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data sp500 companies" sheetId="1" r:id="rId5"/>
    <sheet state="visible" name="Raw_Data" sheetId="2" r:id="rId6"/>
    <sheet state="visible" name="Cleaned_Data" sheetId="3" r:id="rId7"/>
    <sheet state="visible" name="Financial_Analysis" sheetId="4" r:id="rId8"/>
    <sheet state="visible" name="Pivot Table 1" sheetId="5" r:id="rId9"/>
    <sheet state="visible" name="Dashboard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<sst xmlns="http://schemas.openxmlformats.org/spreadsheetml/2006/main" count="15212" uniqueCount="1062">
  <si>
    <t>S. NO.</t>
  </si>
  <si>
    <t xml:space="preserve">S. NO. </t>
  </si>
  <si>
    <t>date</t>
  </si>
  <si>
    <t>firm</t>
  </si>
  <si>
    <t>Ticker</t>
  </si>
  <si>
    <t>Research Development</t>
  </si>
  <si>
    <t>Income Before Tax</t>
  </si>
  <si>
    <t>Net Income</t>
  </si>
  <si>
    <t>Selling General Administrative</t>
  </si>
  <si>
    <t>Gross Profit</t>
  </si>
  <si>
    <t>Ebit</t>
  </si>
  <si>
    <t>Operating Income</t>
  </si>
  <si>
    <t>Interest Expense</t>
  </si>
  <si>
    <t>Income Tax Expense</t>
  </si>
  <si>
    <t>Total Revenue</t>
  </si>
  <si>
    <t>Total Operating Expenses</t>
  </si>
  <si>
    <t>Cost Of Revenue</t>
  </si>
  <si>
    <t>Total Other Income Expense Net</t>
  </si>
  <si>
    <t>Net Income From Continuing Ops</t>
  </si>
  <si>
    <t>Net Income Applicable To Common Shares</t>
  </si>
  <si>
    <t>3M</t>
  </si>
  <si>
    <t>MMM</t>
  </si>
  <si>
    <t>A. O. Smith</t>
  </si>
  <si>
    <t>AOS</t>
  </si>
  <si>
    <t>Abbott Laboratories</t>
  </si>
  <si>
    <t>ABT</t>
  </si>
  <si>
    <t>AbbVie</t>
  </si>
  <si>
    <t>ABBV</t>
  </si>
  <si>
    <t>Abiomed</t>
  </si>
  <si>
    <t>ABMD</t>
  </si>
  <si>
    <t>Accenture</t>
  </si>
  <si>
    <t>ACN</t>
  </si>
  <si>
    <t>Activision Blizzard</t>
  </si>
  <si>
    <t>ATVI</t>
  </si>
  <si>
    <t>ADM</t>
  </si>
  <si>
    <t>Adobe</t>
  </si>
  <si>
    <t>ADBE</t>
  </si>
  <si>
    <t>Advance Auto Parts</t>
  </si>
  <si>
    <t>AAP</t>
  </si>
  <si>
    <t>Advanced Micro Devices</t>
  </si>
  <si>
    <t>AMD</t>
  </si>
  <si>
    <t>AES Corp</t>
  </si>
  <si>
    <t>AES</t>
  </si>
  <si>
    <t>Aflac</t>
  </si>
  <si>
    <t>AFL</t>
  </si>
  <si>
    <t>Agilent Technologies</t>
  </si>
  <si>
    <t>A</t>
  </si>
  <si>
    <t>Air Products &amp; Chemicals</t>
  </si>
  <si>
    <t>APD</t>
  </si>
  <si>
    <t>Akamai Technologies</t>
  </si>
  <si>
    <t>AKAM</t>
  </si>
  <si>
    <t>Alaska Air Group</t>
  </si>
  <si>
    <t>ALB</t>
  </si>
  <si>
    <t>Albemarle Corporation</t>
  </si>
  <si>
    <t>ALK</t>
  </si>
  <si>
    <t>Alexandria Real Estate Equities</t>
  </si>
  <si>
    <t>ARE</t>
  </si>
  <si>
    <t>Align Technology</t>
  </si>
  <si>
    <t>ALGN</t>
  </si>
  <si>
    <t>Allegion</t>
  </si>
  <si>
    <t>ALLE</t>
  </si>
  <si>
    <t>Alliant Energy</t>
  </si>
  <si>
    <t>LNT</t>
  </si>
  <si>
    <t>Allstate Corp</t>
  </si>
  <si>
    <t>ALL</t>
  </si>
  <si>
    <t>Alphabet (Class A)</t>
  </si>
  <si>
    <t>GOOGL</t>
  </si>
  <si>
    <t>Alphabet (Class C)</t>
  </si>
  <si>
    <t>GOOG</t>
  </si>
  <si>
    <t>Altria Group</t>
  </si>
  <si>
    <t>MO</t>
  </si>
  <si>
    <t>Amazon</t>
  </si>
  <si>
    <t>AMZN</t>
  </si>
  <si>
    <t>Amcor</t>
  </si>
  <si>
    <t>AMCR</t>
  </si>
  <si>
    <t>Ameren Corp</t>
  </si>
  <si>
    <t>AEE</t>
  </si>
  <si>
    <t>American Airlines Group</t>
  </si>
  <si>
    <t>AAL</t>
  </si>
  <si>
    <t>American Electric Power</t>
  </si>
  <si>
    <t>AEP</t>
  </si>
  <si>
    <t>American Express</t>
  </si>
  <si>
    <t>AXP</t>
  </si>
  <si>
    <t>American International Group</t>
  </si>
  <si>
    <t>AIG</t>
  </si>
  <si>
    <t>American Tower</t>
  </si>
  <si>
    <t>AMT</t>
  </si>
  <si>
    <t>American Water Works</t>
  </si>
  <si>
    <t>AWK</t>
  </si>
  <si>
    <t>Metric</t>
  </si>
  <si>
    <t>Ameriprise Financial</t>
  </si>
  <si>
    <t>AMP</t>
  </si>
  <si>
    <t>Value</t>
  </si>
  <si>
    <t>Company Analysis</t>
  </si>
  <si>
    <t>Top 10 Companies</t>
  </si>
  <si>
    <t>AmerisourceBergen</t>
  </si>
  <si>
    <t>ABC</t>
  </si>
  <si>
    <t>Ametek</t>
  </si>
  <si>
    <t>AME</t>
  </si>
  <si>
    <t>Amgen</t>
  </si>
  <si>
    <t>AMGN</t>
  </si>
  <si>
    <t>Company</t>
  </si>
  <si>
    <t>Amphenol</t>
  </si>
  <si>
    <t>APH</t>
  </si>
  <si>
    <t>Analog Devices</t>
  </si>
  <si>
    <t>ADI</t>
  </si>
  <si>
    <t>Total Gross Profit</t>
  </si>
  <si>
    <t>Ansys</t>
  </si>
  <si>
    <t>ANSS</t>
  </si>
  <si>
    <t>Anthem</t>
  </si>
  <si>
    <t>ANTM</t>
  </si>
  <si>
    <t>Aon</t>
  </si>
  <si>
    <t>AON</t>
  </si>
  <si>
    <t>APA Corporation</t>
  </si>
  <si>
    <t>APA</t>
  </si>
  <si>
    <t>Total Operating Income</t>
  </si>
  <si>
    <t>Apple</t>
  </si>
  <si>
    <t>AAPL</t>
  </si>
  <si>
    <t>Applied Materials</t>
  </si>
  <si>
    <t>AMAT</t>
  </si>
  <si>
    <t>Total Net Income</t>
  </si>
  <si>
    <t>Aptiv</t>
  </si>
  <si>
    <t>APTV</t>
  </si>
  <si>
    <t>Arista Networks</t>
  </si>
  <si>
    <t>ANET</t>
  </si>
  <si>
    <t>Average Revenue</t>
  </si>
  <si>
    <t>Arthur J. Gallagher &amp; Co.</t>
  </si>
  <si>
    <t>AJG</t>
  </si>
  <si>
    <t>Assurant</t>
  </si>
  <si>
    <t>AIZ</t>
  </si>
  <si>
    <t>Median Revenue</t>
  </si>
  <si>
    <t>AT&amp;T</t>
  </si>
  <si>
    <t>T</t>
  </si>
  <si>
    <t>Atmos Energy</t>
  </si>
  <si>
    <t>ATO</t>
  </si>
  <si>
    <t>Profitability Metric</t>
  </si>
  <si>
    <t>Autodesk</t>
  </si>
  <si>
    <t>ADSK</t>
  </si>
  <si>
    <t>Automatic Data Processing</t>
  </si>
  <si>
    <t>ADP</t>
  </si>
  <si>
    <t>Gross Profit Margin</t>
  </si>
  <si>
    <t>AutoZone</t>
  </si>
  <si>
    <t>AZO</t>
  </si>
  <si>
    <t>AvalonBay Communities</t>
  </si>
  <si>
    <t>AVB</t>
  </si>
  <si>
    <t>Operating Margin</t>
  </si>
  <si>
    <t>Avery Dennison</t>
  </si>
  <si>
    <t>AVY</t>
  </si>
  <si>
    <t>Baker Hughes</t>
  </si>
  <si>
    <t>BKR</t>
  </si>
  <si>
    <t>Net Profit Margin</t>
  </si>
  <si>
    <t>Ball Corp</t>
  </si>
  <si>
    <t>BLL</t>
  </si>
  <si>
    <t>Bank of America</t>
  </si>
  <si>
    <t>BAC</t>
  </si>
  <si>
    <t>Bath &amp; Body Works Inc.</t>
  </si>
  <si>
    <t>BBWI</t>
  </si>
  <si>
    <t>Baxter International</t>
  </si>
  <si>
    <t>BAX</t>
  </si>
  <si>
    <t>Becton Dickinson</t>
  </si>
  <si>
    <t>BDX</t>
  </si>
  <si>
    <t>Best Buy</t>
  </si>
  <si>
    <t>BBY</t>
  </si>
  <si>
    <t>Bio-Rad Laboratories</t>
  </si>
  <si>
    <t>BIO</t>
  </si>
  <si>
    <t>Bio-Techne</t>
  </si>
  <si>
    <t>TECH</t>
  </si>
  <si>
    <t>J16</t>
  </si>
  <si>
    <t>YoY Growth</t>
  </si>
  <si>
    <t>Biogen</t>
  </si>
  <si>
    <t>BIIB</t>
  </si>
  <si>
    <t>BlackRock</t>
  </si>
  <si>
    <t>BLK</t>
  </si>
  <si>
    <t>BNY Mellon</t>
  </si>
  <si>
    <t>BK</t>
  </si>
  <si>
    <t>Boeing</t>
  </si>
  <si>
    <t>BA</t>
  </si>
  <si>
    <t>J17</t>
  </si>
  <si>
    <t>Booking Holdings</t>
  </si>
  <si>
    <t>BKNG</t>
  </si>
  <si>
    <t>BorgWarner</t>
  </si>
  <si>
    <t>BWA</t>
  </si>
  <si>
    <t>Boston Properties</t>
  </si>
  <si>
    <t>BXP</t>
  </si>
  <si>
    <t>J18</t>
  </si>
  <si>
    <t>Boston Scientific</t>
  </si>
  <si>
    <t>BSX</t>
  </si>
  <si>
    <t>Bristol Myers Squibb</t>
  </si>
  <si>
    <t>BMY</t>
  </si>
  <si>
    <t>Broadcom</t>
  </si>
  <si>
    <t>AVGO</t>
  </si>
  <si>
    <t>J19</t>
  </si>
  <si>
    <t>Broadridge Financial Solutions</t>
  </si>
  <si>
    <t>BR</t>
  </si>
  <si>
    <t>Brown &amp; Brown</t>
  </si>
  <si>
    <t>BRO</t>
  </si>
  <si>
    <t>J20</t>
  </si>
  <si>
    <t>C. H. Robinson</t>
  </si>
  <si>
    <t>CHRW</t>
  </si>
  <si>
    <t>Margin</t>
  </si>
  <si>
    <t>Financial_Analysis</t>
  </si>
  <si>
    <t>Revenue</t>
  </si>
  <si>
    <t>Cadence Design Systems</t>
  </si>
  <si>
    <t>CDNS</t>
  </si>
  <si>
    <t>Caesars Entertainment</t>
  </si>
  <si>
    <t>CZR</t>
  </si>
  <si>
    <t>Campbell Soup</t>
  </si>
  <si>
    <t>CPB</t>
  </si>
  <si>
    <t>Capital One Financial</t>
  </si>
  <si>
    <t>COF</t>
  </si>
  <si>
    <t>Cardinal Health</t>
  </si>
  <si>
    <t>CAH</t>
  </si>
  <si>
    <t>CarMax</t>
  </si>
  <si>
    <t>KMX</t>
  </si>
  <si>
    <t>Carnival Corporation</t>
  </si>
  <si>
    <t>CCL</t>
  </si>
  <si>
    <t>Carrier Global</t>
  </si>
  <si>
    <t>CARR</t>
  </si>
  <si>
    <t>Catalent</t>
  </si>
  <si>
    <t>CTLT</t>
  </si>
  <si>
    <t>Caterpillar</t>
  </si>
  <si>
    <t>CAT</t>
  </si>
  <si>
    <t>Cboe Global Markets</t>
  </si>
  <si>
    <t>CBOE</t>
  </si>
  <si>
    <t>Cost Structure</t>
  </si>
  <si>
    <t>CBRE</t>
  </si>
  <si>
    <t>CDW</t>
  </si>
  <si>
    <t>Cost of Revenue</t>
  </si>
  <si>
    <t>Celanese</t>
  </si>
  <si>
    <t>CE</t>
  </si>
  <si>
    <t>Centene Corporation</t>
  </si>
  <si>
    <t>CNC</t>
  </si>
  <si>
    <t>Operating Expenses</t>
  </si>
  <si>
    <t>CenterPoint Energy</t>
  </si>
  <si>
    <t>CNP</t>
  </si>
  <si>
    <t>Ceridian</t>
  </si>
  <si>
    <t>CDAY</t>
  </si>
  <si>
    <t>SG&amp;A</t>
  </si>
  <si>
    <t>Cerner</t>
  </si>
  <si>
    <t>CERN</t>
  </si>
  <si>
    <t>CF Industries</t>
  </si>
  <si>
    <t>CF</t>
  </si>
  <si>
    <t>Charles River Laboratories</t>
  </si>
  <si>
    <t>CRL</t>
  </si>
  <si>
    <t>R&amp;D</t>
  </si>
  <si>
    <t>Charles Schwab Corporation</t>
  </si>
  <si>
    <t>SCHW</t>
  </si>
  <si>
    <t>Charter Communications</t>
  </si>
  <si>
    <t>CHTR</t>
  </si>
  <si>
    <t>Chevron Corporation</t>
  </si>
  <si>
    <t>CVX</t>
  </si>
  <si>
    <t>Chipotle Mexican Grill</t>
  </si>
  <si>
    <t>CMG</t>
  </si>
  <si>
    <t>Chubb</t>
  </si>
  <si>
    <t>CB</t>
  </si>
  <si>
    <t>Church &amp; Dwight</t>
  </si>
  <si>
    <t>CHD</t>
  </si>
  <si>
    <t>Cigna</t>
  </si>
  <si>
    <t>CI</t>
  </si>
  <si>
    <t>Cincinnati Financial</t>
  </si>
  <si>
    <t>CINF</t>
  </si>
  <si>
    <t>Cintas Corporation</t>
  </si>
  <si>
    <t>CTAS</t>
  </si>
  <si>
    <t>Cisco Systems</t>
  </si>
  <si>
    <t>CSCO</t>
  </si>
  <si>
    <t>Citigroup</t>
  </si>
  <si>
    <t>C</t>
  </si>
  <si>
    <t>Citizens Financial Group</t>
  </si>
  <si>
    <t>CFG</t>
  </si>
  <si>
    <t>Citrix Systems</t>
  </si>
  <si>
    <t>CTXS</t>
  </si>
  <si>
    <t>Clorox</t>
  </si>
  <si>
    <t>CLX</t>
  </si>
  <si>
    <t>CME Group</t>
  </si>
  <si>
    <t>CME</t>
  </si>
  <si>
    <t>CMS Energy</t>
  </si>
  <si>
    <t>CMS</t>
  </si>
  <si>
    <t>Coca-Cola Company</t>
  </si>
  <si>
    <t>KO</t>
  </si>
  <si>
    <t>Cognizant Technology Solutions</t>
  </si>
  <si>
    <t>CTSH</t>
  </si>
  <si>
    <t>Colgate-Palmolive</t>
  </si>
  <si>
    <t>CL</t>
  </si>
  <si>
    <t>Comcast</t>
  </si>
  <si>
    <t>CMCSA</t>
  </si>
  <si>
    <t>Comerica</t>
  </si>
  <si>
    <t>CMA</t>
  </si>
  <si>
    <t>Conagra Brands</t>
  </si>
  <si>
    <t>CAG</t>
  </si>
  <si>
    <t>ConocoPhillips</t>
  </si>
  <si>
    <t>COP</t>
  </si>
  <si>
    <t>Consolidated Edison</t>
  </si>
  <si>
    <t>ED</t>
  </si>
  <si>
    <t>Constellation Brands</t>
  </si>
  <si>
    <t>STZ</t>
  </si>
  <si>
    <t>Copart</t>
  </si>
  <si>
    <t>CPRT</t>
  </si>
  <si>
    <t>Corning</t>
  </si>
  <si>
    <t>GLW</t>
  </si>
  <si>
    <t>Corteva</t>
  </si>
  <si>
    <t>CTVA</t>
  </si>
  <si>
    <t>Costco</t>
  </si>
  <si>
    <t>COST</t>
  </si>
  <si>
    <t>Coterra</t>
  </si>
  <si>
    <t>CTRA</t>
  </si>
  <si>
    <t>Crown Castle</t>
  </si>
  <si>
    <t>CCI</t>
  </si>
  <si>
    <t>CSX</t>
  </si>
  <si>
    <t>Cummins</t>
  </si>
  <si>
    <t>CMI</t>
  </si>
  <si>
    <t>CVS Health</t>
  </si>
  <si>
    <t>CVS</t>
  </si>
  <si>
    <t>D. R. Horton</t>
  </si>
  <si>
    <t>DHI</t>
  </si>
  <si>
    <t>Danaher Corporation</t>
  </si>
  <si>
    <t>DHR</t>
  </si>
  <si>
    <t>Darden Restaurants</t>
  </si>
  <si>
    <t>DRI</t>
  </si>
  <si>
    <t>DaVita</t>
  </si>
  <si>
    <t>DVA</t>
  </si>
  <si>
    <t>Deere &amp; Co.</t>
  </si>
  <si>
    <t>DE</t>
  </si>
  <si>
    <t>Delta Air Lines</t>
  </si>
  <si>
    <t>DAL</t>
  </si>
  <si>
    <t>Dentsply Sirona</t>
  </si>
  <si>
    <t>XRAY</t>
  </si>
  <si>
    <t>Devon Energy</t>
  </si>
  <si>
    <t>DVN</t>
  </si>
  <si>
    <t>DexCom</t>
  </si>
  <si>
    <t>DXCM</t>
  </si>
  <si>
    <t>Diamondback Energy</t>
  </si>
  <si>
    <t>FANG</t>
  </si>
  <si>
    <t>Digital Realty Trust</t>
  </si>
  <si>
    <t>DLR</t>
  </si>
  <si>
    <t>Discover Financial Services</t>
  </si>
  <si>
    <t>DFS</t>
  </si>
  <si>
    <t>Discovery (Series A)</t>
  </si>
  <si>
    <t>DISCA</t>
  </si>
  <si>
    <t>Discovery (Series C)</t>
  </si>
  <si>
    <t>DISCK</t>
  </si>
  <si>
    <t>Dish Network</t>
  </si>
  <si>
    <t>DISH</t>
  </si>
  <si>
    <t>Dollar General</t>
  </si>
  <si>
    <t>DG</t>
  </si>
  <si>
    <t>Dollar Tree</t>
  </si>
  <si>
    <t>DLTR</t>
  </si>
  <si>
    <t>Dominion Energy</t>
  </si>
  <si>
    <t>D</t>
  </si>
  <si>
    <t>Domino's Pizza</t>
  </si>
  <si>
    <t>DPZ</t>
  </si>
  <si>
    <t>Dover Corporation</t>
  </si>
  <si>
    <t>DOV</t>
  </si>
  <si>
    <t>Dow</t>
  </si>
  <si>
    <t>DOW</t>
  </si>
  <si>
    <t>DTE Energy</t>
  </si>
  <si>
    <t>DTE</t>
  </si>
  <si>
    <t>Duke Energy</t>
  </si>
  <si>
    <t>DUK</t>
  </si>
  <si>
    <t>Duke Realty Corp</t>
  </si>
  <si>
    <t>DRE</t>
  </si>
  <si>
    <t>DuPont</t>
  </si>
  <si>
    <t>DD</t>
  </si>
  <si>
    <t>DXC Technology</t>
  </si>
  <si>
    <t>DXC</t>
  </si>
  <si>
    <t>Eastman Chemical</t>
  </si>
  <si>
    <t>EMN</t>
  </si>
  <si>
    <t>Eaton Corporation</t>
  </si>
  <si>
    <t>ETN</t>
  </si>
  <si>
    <t>eBay</t>
  </si>
  <si>
    <t>EBAY</t>
  </si>
  <si>
    <t>Ecolab</t>
  </si>
  <si>
    <t>ECL</t>
  </si>
  <si>
    <t>Edison International</t>
  </si>
  <si>
    <t>EIX</t>
  </si>
  <si>
    <t>Edwards Lifesciences</t>
  </si>
  <si>
    <t>EW</t>
  </si>
  <si>
    <t>Electronic Arts</t>
  </si>
  <si>
    <t>EA</t>
  </si>
  <si>
    <t>Eli Lilly &amp; Co</t>
  </si>
  <si>
    <t>LLY</t>
  </si>
  <si>
    <t>Emerson Electric Company</t>
  </si>
  <si>
    <t>EMR</t>
  </si>
  <si>
    <t>Enphase Energy</t>
  </si>
  <si>
    <t>ENPH</t>
  </si>
  <si>
    <t>Entergy</t>
  </si>
  <si>
    <t>ETR</t>
  </si>
  <si>
    <t>EOG Resources</t>
  </si>
  <si>
    <t>EOG</t>
  </si>
  <si>
    <t>Equifax</t>
  </si>
  <si>
    <t>EFX</t>
  </si>
  <si>
    <t>Equinix</t>
  </si>
  <si>
    <t>EQIX</t>
  </si>
  <si>
    <t>Equity Residential</t>
  </si>
  <si>
    <t>EQR</t>
  </si>
  <si>
    <t>Essex Property Trust</t>
  </si>
  <si>
    <t>ESS</t>
  </si>
  <si>
    <t>Estée Lauder Companies</t>
  </si>
  <si>
    <t>EL</t>
  </si>
  <si>
    <t>Etsy</t>
  </si>
  <si>
    <t>ETSY</t>
  </si>
  <si>
    <t>Everest Re</t>
  </si>
  <si>
    <t>RE</t>
  </si>
  <si>
    <t>Evergy</t>
  </si>
  <si>
    <t>EVRG</t>
  </si>
  <si>
    <t>Eversource Energy</t>
  </si>
  <si>
    <t>ES</t>
  </si>
  <si>
    <t>Exelon</t>
  </si>
  <si>
    <t>EXC</t>
  </si>
  <si>
    <t>Expedia Group</t>
  </si>
  <si>
    <t>EXPE</t>
  </si>
  <si>
    <t>Expeditors</t>
  </si>
  <si>
    <t>EXPD</t>
  </si>
  <si>
    <t>Extra Space Storage</t>
  </si>
  <si>
    <t>EXR</t>
  </si>
  <si>
    <t>ExxonMobil</t>
  </si>
  <si>
    <t>XOM</t>
  </si>
  <si>
    <t>F5 Networks</t>
  </si>
  <si>
    <t>FFIV</t>
  </si>
  <si>
    <t>Facebook</t>
  </si>
  <si>
    <t>FB</t>
  </si>
  <si>
    <t>Fastenal</t>
  </si>
  <si>
    <t>FAST</t>
  </si>
  <si>
    <t>Federal Realty Investment Trust</t>
  </si>
  <si>
    <t>FRT</t>
  </si>
  <si>
    <t>FedEx</t>
  </si>
  <si>
    <t>FDX</t>
  </si>
  <si>
    <t>Fidelity National Information Services</t>
  </si>
  <si>
    <t>FIS</t>
  </si>
  <si>
    <t>Fifth Third Bancorp</t>
  </si>
  <si>
    <t>FITB</t>
  </si>
  <si>
    <t>First Republic Bank</t>
  </si>
  <si>
    <t>FRC</t>
  </si>
  <si>
    <t>FirstEnergy</t>
  </si>
  <si>
    <t>FE</t>
  </si>
  <si>
    <t>Fiserv</t>
  </si>
  <si>
    <t>FISV</t>
  </si>
  <si>
    <t>Fleetcor</t>
  </si>
  <si>
    <t>FLT</t>
  </si>
  <si>
    <t>FMC Corporation</t>
  </si>
  <si>
    <t>FMC</t>
  </si>
  <si>
    <t>Ford</t>
  </si>
  <si>
    <t>F</t>
  </si>
  <si>
    <t>Fortinet</t>
  </si>
  <si>
    <t>FTNT</t>
  </si>
  <si>
    <t>Fortive</t>
  </si>
  <si>
    <t>FTV</t>
  </si>
  <si>
    <t>Fortune Brands Home &amp; Security</t>
  </si>
  <si>
    <t>FBHS</t>
  </si>
  <si>
    <t>Fox Corporation (Class A)</t>
  </si>
  <si>
    <t>FOXA</t>
  </si>
  <si>
    <t>Fox Corporation (Class B)</t>
  </si>
  <si>
    <t>FOX</t>
  </si>
  <si>
    <t>Franklin Resources</t>
  </si>
  <si>
    <t>BEN</t>
  </si>
  <si>
    <t>Freeport-McMoRan</t>
  </si>
  <si>
    <t>FCX</t>
  </si>
  <si>
    <t>Gap</t>
  </si>
  <si>
    <t>GPS</t>
  </si>
  <si>
    <t>Garmin</t>
  </si>
  <si>
    <t>GRMN</t>
  </si>
  <si>
    <t>Gartner</t>
  </si>
  <si>
    <t>IT</t>
  </si>
  <si>
    <t>Generac Holdings</t>
  </si>
  <si>
    <t>GNRC</t>
  </si>
  <si>
    <t>General Dynamics</t>
  </si>
  <si>
    <t>GD</t>
  </si>
  <si>
    <t>General Electric</t>
  </si>
  <si>
    <t>GE</t>
  </si>
  <si>
    <t>General Mills</t>
  </si>
  <si>
    <t>GIS</t>
  </si>
  <si>
    <t>General Motors</t>
  </si>
  <si>
    <t>GM</t>
  </si>
  <si>
    <t>Genuine Parts</t>
  </si>
  <si>
    <t>GPC</t>
  </si>
  <si>
    <t>Gilead Sciences</t>
  </si>
  <si>
    <t>GILD</t>
  </si>
  <si>
    <t>Global Payments</t>
  </si>
  <si>
    <t>GPN</t>
  </si>
  <si>
    <t>Globe Life</t>
  </si>
  <si>
    <t>GL</t>
  </si>
  <si>
    <t>Goldman Sachs</t>
  </si>
  <si>
    <t>GS</t>
  </si>
  <si>
    <t>Halliburton</t>
  </si>
  <si>
    <t>HAL</t>
  </si>
  <si>
    <t>Hanesbrands</t>
  </si>
  <si>
    <t>HBI</t>
  </si>
  <si>
    <t>Hasbro</t>
  </si>
  <si>
    <t>HAS</t>
  </si>
  <si>
    <t>HCA Healthcare</t>
  </si>
  <si>
    <t>HCA</t>
  </si>
  <si>
    <t>Healthpeak Properties</t>
  </si>
  <si>
    <t>PEAK</t>
  </si>
  <si>
    <t>Henry Schein</t>
  </si>
  <si>
    <t>HSIC</t>
  </si>
  <si>
    <t>Hess Corporation</t>
  </si>
  <si>
    <t>HES</t>
  </si>
  <si>
    <t>Hewlett Packard Enterprise</t>
  </si>
  <si>
    <t>HPE</t>
  </si>
  <si>
    <t>Hilton Worldwide</t>
  </si>
  <si>
    <t>HLT</t>
  </si>
  <si>
    <t>Hologic</t>
  </si>
  <si>
    <t>HOLX</t>
  </si>
  <si>
    <t>Home Depot</t>
  </si>
  <si>
    <t>HD</t>
  </si>
  <si>
    <t>Honeywell</t>
  </si>
  <si>
    <t>HON</t>
  </si>
  <si>
    <t>Hormel</t>
  </si>
  <si>
    <t>HRL</t>
  </si>
  <si>
    <t>Host Hotels &amp; Resorts</t>
  </si>
  <si>
    <t>HST</t>
  </si>
  <si>
    <t>Howmet Aerospace</t>
  </si>
  <si>
    <t>HWM</t>
  </si>
  <si>
    <t>HP</t>
  </si>
  <si>
    <t>HPQ</t>
  </si>
  <si>
    <t>Humana</t>
  </si>
  <si>
    <t>HUM</t>
  </si>
  <si>
    <t>Huntington Bancshares</t>
  </si>
  <si>
    <t>HBAN</t>
  </si>
  <si>
    <t>Huntington Ingalls Industries</t>
  </si>
  <si>
    <t>HII</t>
  </si>
  <si>
    <t>IBM</t>
  </si>
  <si>
    <t>IDEX Corporation</t>
  </si>
  <si>
    <t>IEX</t>
  </si>
  <si>
    <t>Idexx Laboratories</t>
  </si>
  <si>
    <t>IDXX</t>
  </si>
  <si>
    <t>IHS Markit</t>
  </si>
  <si>
    <t>INFO</t>
  </si>
  <si>
    <t>Illinois Tool Works</t>
  </si>
  <si>
    <t>ITW</t>
  </si>
  <si>
    <t>Illumina</t>
  </si>
  <si>
    <t>ILMN</t>
  </si>
  <si>
    <t>Incyte</t>
  </si>
  <si>
    <t>INCY</t>
  </si>
  <si>
    <t>Ingersoll Rand</t>
  </si>
  <si>
    <t>IR</t>
  </si>
  <si>
    <t>Intel</t>
  </si>
  <si>
    <t>INTC</t>
  </si>
  <si>
    <t>Intercontinental Exchange</t>
  </si>
  <si>
    <t>ICE</t>
  </si>
  <si>
    <t>International Flavors &amp; Fragrances</t>
  </si>
  <si>
    <t>IFF</t>
  </si>
  <si>
    <t>International Paper</t>
  </si>
  <si>
    <t>IP</t>
  </si>
  <si>
    <t>Interpublic Group</t>
  </si>
  <si>
    <t>IPG</t>
  </si>
  <si>
    <t>Intuit</t>
  </si>
  <si>
    <t>INTU</t>
  </si>
  <si>
    <t>Intuitive Surgical</t>
  </si>
  <si>
    <t>ISRG</t>
  </si>
  <si>
    <t>Invesco</t>
  </si>
  <si>
    <t>IVZ</t>
  </si>
  <si>
    <t>IPG Photonics</t>
  </si>
  <si>
    <t>IPGP</t>
  </si>
  <si>
    <t>IQVIA</t>
  </si>
  <si>
    <t>IQV</t>
  </si>
  <si>
    <t>Iron Mountain</t>
  </si>
  <si>
    <t>IRM</t>
  </si>
  <si>
    <t>J. B. Hunt</t>
  </si>
  <si>
    <t>JBHT</t>
  </si>
  <si>
    <t>Jack Henry &amp; Associates</t>
  </si>
  <si>
    <t>JKHY</t>
  </si>
  <si>
    <t>Jacobs Engineering Group</t>
  </si>
  <si>
    <t>J</t>
  </si>
  <si>
    <t>JM Smucker</t>
  </si>
  <si>
    <t>SJM</t>
  </si>
  <si>
    <t>Johnson &amp; Johnson</t>
  </si>
  <si>
    <t>JNJ</t>
  </si>
  <si>
    <t>Johnson Controls</t>
  </si>
  <si>
    <t>JCI</t>
  </si>
  <si>
    <t>JPMorgan Chase</t>
  </si>
  <si>
    <t>JPM</t>
  </si>
  <si>
    <t>Juniper Networks</t>
  </si>
  <si>
    <t>JNPR</t>
  </si>
  <si>
    <t>Kansas City Southern</t>
  </si>
  <si>
    <t>KSU</t>
  </si>
  <si>
    <t>Kellogg's</t>
  </si>
  <si>
    <t>K</t>
  </si>
  <si>
    <t>KeyCorp</t>
  </si>
  <si>
    <t>KEY</t>
  </si>
  <si>
    <t>Keysight Technologies</t>
  </si>
  <si>
    <t>KEYS</t>
  </si>
  <si>
    <t>Kimberly-Clark</t>
  </si>
  <si>
    <t>KMB</t>
  </si>
  <si>
    <t>Kimco Realty</t>
  </si>
  <si>
    <t>KIM</t>
  </si>
  <si>
    <t>Kinder Morgan</t>
  </si>
  <si>
    <t>KMI</t>
  </si>
  <si>
    <t>KLA Corporation</t>
  </si>
  <si>
    <t>KLAC</t>
  </si>
  <si>
    <t>Kraft Heinz</t>
  </si>
  <si>
    <t>KHC</t>
  </si>
  <si>
    <t>Kroger</t>
  </si>
  <si>
    <t>KR</t>
  </si>
  <si>
    <t>L3Harris Technologies</t>
  </si>
  <si>
    <t>LHX</t>
  </si>
  <si>
    <t>LabCorp</t>
  </si>
  <si>
    <t>LH</t>
  </si>
  <si>
    <t>Lam Research</t>
  </si>
  <si>
    <t>LRCX</t>
  </si>
  <si>
    <t>Lamb Weston</t>
  </si>
  <si>
    <t>LW</t>
  </si>
  <si>
    <t>Las Vegas Sands</t>
  </si>
  <si>
    <t>LVS</t>
  </si>
  <si>
    <t>Leggett &amp; Platt</t>
  </si>
  <si>
    <t>LEG</t>
  </si>
  <si>
    <t>Leidos</t>
  </si>
  <si>
    <t>LDOS</t>
  </si>
  <si>
    <t>Lennar</t>
  </si>
  <si>
    <t>LEN</t>
  </si>
  <si>
    <t>Lincoln National</t>
  </si>
  <si>
    <t>LNC</t>
  </si>
  <si>
    <t>Linde</t>
  </si>
  <si>
    <t>LIN</t>
  </si>
  <si>
    <t>Live Nation Entertainment</t>
  </si>
  <si>
    <t>LYV</t>
  </si>
  <si>
    <t>LKQ Corporation</t>
  </si>
  <si>
    <t>LKQ</t>
  </si>
  <si>
    <t>Lockheed Martin</t>
  </si>
  <si>
    <t>LMT</t>
  </si>
  <si>
    <t>Loews Corporation</t>
  </si>
  <si>
    <t>L</t>
  </si>
  <si>
    <t>Lowe's</t>
  </si>
  <si>
    <t>LOW</t>
  </si>
  <si>
    <t>Lumen Technologies</t>
  </si>
  <si>
    <t>LUMN</t>
  </si>
  <si>
    <t>LyondellBasell</t>
  </si>
  <si>
    <t>LYB</t>
  </si>
  <si>
    <t>M&amp;T Bank</t>
  </si>
  <si>
    <t>MTB</t>
  </si>
  <si>
    <t>Marathon Oil</t>
  </si>
  <si>
    <t>MRO</t>
  </si>
  <si>
    <t>Marathon Petroleum</t>
  </si>
  <si>
    <t>MPC</t>
  </si>
  <si>
    <t>MarketAxess</t>
  </si>
  <si>
    <t>MKTX</t>
  </si>
  <si>
    <t>Marriott International</t>
  </si>
  <si>
    <t>MAR</t>
  </si>
  <si>
    <t>Marsh &amp; McLennan</t>
  </si>
  <si>
    <t>MMC</t>
  </si>
  <si>
    <t>Martin Marietta Materials</t>
  </si>
  <si>
    <t>MLM</t>
  </si>
  <si>
    <t>Masco</t>
  </si>
  <si>
    <t>MAS</t>
  </si>
  <si>
    <t>Mastercard</t>
  </si>
  <si>
    <t>MA</t>
  </si>
  <si>
    <t>Match Group</t>
  </si>
  <si>
    <t>MTCH</t>
  </si>
  <si>
    <t>McCormick &amp; Company</t>
  </si>
  <si>
    <t>MKC</t>
  </si>
  <si>
    <t>McDonald's</t>
  </si>
  <si>
    <t>MCD</t>
  </si>
  <si>
    <t>McKesson Corporation</t>
  </si>
  <si>
    <t>MCK</t>
  </si>
  <si>
    <t>Medtronic</t>
  </si>
  <si>
    <t>MDT</t>
  </si>
  <si>
    <t>Merck &amp; Co.</t>
  </si>
  <si>
    <t>MRK</t>
  </si>
  <si>
    <t>MetLife</t>
  </si>
  <si>
    <t>MET</t>
  </si>
  <si>
    <t>Mettler Toledo</t>
  </si>
  <si>
    <t>MTD</t>
  </si>
  <si>
    <t>MGM Resorts International</t>
  </si>
  <si>
    <t>MGM</t>
  </si>
  <si>
    <t>Microchip Technology</t>
  </si>
  <si>
    <t>MCHP</t>
  </si>
  <si>
    <t>Micron Technology</t>
  </si>
  <si>
    <t>MU</t>
  </si>
  <si>
    <t>Microsoft</t>
  </si>
  <si>
    <t>MSFT</t>
  </si>
  <si>
    <t>Mid-America Apartments</t>
  </si>
  <si>
    <t>MAA</t>
  </si>
  <si>
    <t>Moderna</t>
  </si>
  <si>
    <t>MRNA</t>
  </si>
  <si>
    <t>Mohawk Industries</t>
  </si>
  <si>
    <t>MHK</t>
  </si>
  <si>
    <t>Molson Coors Beverage Company</t>
  </si>
  <si>
    <t>TAP</t>
  </si>
  <si>
    <t>Mondelez International</t>
  </si>
  <si>
    <t>MDLZ</t>
  </si>
  <si>
    <t>Monolithic Power Systems</t>
  </si>
  <si>
    <t>MPWR</t>
  </si>
  <si>
    <t>Monster Beverage</t>
  </si>
  <si>
    <t>MNST</t>
  </si>
  <si>
    <t>Moody's Corporation</t>
  </si>
  <si>
    <t>MCO</t>
  </si>
  <si>
    <t>Morgan Stanley</t>
  </si>
  <si>
    <t>MS</t>
  </si>
  <si>
    <t>Motorola Solutions</t>
  </si>
  <si>
    <t>MSI</t>
  </si>
  <si>
    <t>MSCI</t>
  </si>
  <si>
    <t>Nasdaq</t>
  </si>
  <si>
    <t>NDAQ</t>
  </si>
  <si>
    <t>NetApp</t>
  </si>
  <si>
    <t>NTAP</t>
  </si>
  <si>
    <t>Netflix</t>
  </si>
  <si>
    <t>NFLX</t>
  </si>
  <si>
    <t>Newell Brands</t>
  </si>
  <si>
    <t>NWL</t>
  </si>
  <si>
    <t>Newmont</t>
  </si>
  <si>
    <t>NEM</t>
  </si>
  <si>
    <t>News Corp (Class A)</t>
  </si>
  <si>
    <t>NWSA</t>
  </si>
  <si>
    <t>News Corp (Class B)</t>
  </si>
  <si>
    <t>NWS</t>
  </si>
  <si>
    <t>NextEra Energy</t>
  </si>
  <si>
    <t>NEE</t>
  </si>
  <si>
    <t>Nielsen Holdings</t>
  </si>
  <si>
    <t>NLSN</t>
  </si>
  <si>
    <t>Nike</t>
  </si>
  <si>
    <t>NKE</t>
  </si>
  <si>
    <t>NiSource</t>
  </si>
  <si>
    <t>NI</t>
  </si>
  <si>
    <t>Norfolk Southern</t>
  </si>
  <si>
    <t>NSC</t>
  </si>
  <si>
    <t>Northern Trust</t>
  </si>
  <si>
    <t>NTRS</t>
  </si>
  <si>
    <t>Northrop Grumman</t>
  </si>
  <si>
    <t>NOC</t>
  </si>
  <si>
    <t>NortonLifeLock</t>
  </si>
  <si>
    <t>NLOK</t>
  </si>
  <si>
    <t>Norwegian Cruise Line Holdings</t>
  </si>
  <si>
    <t>NCLH</t>
  </si>
  <si>
    <t>NRG Energy</t>
  </si>
  <si>
    <t>NRG</t>
  </si>
  <si>
    <t>Nucor</t>
  </si>
  <si>
    <t>NUE</t>
  </si>
  <si>
    <t>Nvidia</t>
  </si>
  <si>
    <t>NVDA</t>
  </si>
  <si>
    <t>NVR</t>
  </si>
  <si>
    <t>NXP</t>
  </si>
  <si>
    <t>NXPI</t>
  </si>
  <si>
    <t>O'Reilly Automotive</t>
  </si>
  <si>
    <t>ORLY</t>
  </si>
  <si>
    <t>Occidental Petroleum</t>
  </si>
  <si>
    <t>OXY</t>
  </si>
  <si>
    <t>Old Dominion Freight Line</t>
  </si>
  <si>
    <t>ODFL</t>
  </si>
  <si>
    <t>Omnicom Group</t>
  </si>
  <si>
    <t>OMC</t>
  </si>
  <si>
    <t>Oneok</t>
  </si>
  <si>
    <t>OKE</t>
  </si>
  <si>
    <t>Oracle</t>
  </si>
  <si>
    <t>ORCL</t>
  </si>
  <si>
    <t>Organon &amp; Co.</t>
  </si>
  <si>
    <t>OGN</t>
  </si>
  <si>
    <t>Otis Worldwide</t>
  </si>
  <si>
    <t>OTIS</t>
  </si>
  <si>
    <t>Paccar</t>
  </si>
  <si>
    <t>PCAR</t>
  </si>
  <si>
    <t>Packaging Corporation of America</t>
  </si>
  <si>
    <t>PKG</t>
  </si>
  <si>
    <t>Parker-Hannifin</t>
  </si>
  <si>
    <t>PH</t>
  </si>
  <si>
    <t>Paychex</t>
  </si>
  <si>
    <t>PAYX</t>
  </si>
  <si>
    <t>Paycom</t>
  </si>
  <si>
    <t>PAYC</t>
  </si>
  <si>
    <t>PayPal</t>
  </si>
  <si>
    <t>PYPL</t>
  </si>
  <si>
    <t>Penn National Gaming</t>
  </si>
  <si>
    <t>PENN</t>
  </si>
  <si>
    <t>Pentair</t>
  </si>
  <si>
    <t>PNR</t>
  </si>
  <si>
    <t>People's United Financial</t>
  </si>
  <si>
    <t>PBCT</t>
  </si>
  <si>
    <t>PepsiCo</t>
  </si>
  <si>
    <t>PEP</t>
  </si>
  <si>
    <t>PerkinElmer</t>
  </si>
  <si>
    <t>PKI</t>
  </si>
  <si>
    <t>Pfizer</t>
  </si>
  <si>
    <t>PFE</t>
  </si>
  <si>
    <t>Philip Morris International</t>
  </si>
  <si>
    <t>PM</t>
  </si>
  <si>
    <t>Phillips 66</t>
  </si>
  <si>
    <t>PSX</t>
  </si>
  <si>
    <t>Pinnacle West Capital</t>
  </si>
  <si>
    <t>PNW</t>
  </si>
  <si>
    <t>Pioneer Natural Resources</t>
  </si>
  <si>
    <t>PXD</t>
  </si>
  <si>
    <t>PNC Financial Services</t>
  </si>
  <si>
    <t>PNC</t>
  </si>
  <si>
    <t>Pool Corporation</t>
  </si>
  <si>
    <t>POOL</t>
  </si>
  <si>
    <t>PPG Industries</t>
  </si>
  <si>
    <t>PPG</t>
  </si>
  <si>
    <t>PPL</t>
  </si>
  <si>
    <t>Principal Financial Group</t>
  </si>
  <si>
    <t>PFG</t>
  </si>
  <si>
    <t>Procter &amp; Gamble</t>
  </si>
  <si>
    <t>PG</t>
  </si>
  <si>
    <t>Progressive Corporation</t>
  </si>
  <si>
    <t>PGR</t>
  </si>
  <si>
    <t>Prologis</t>
  </si>
  <si>
    <t>PLD</t>
  </si>
  <si>
    <t>Prudential Financial</t>
  </si>
  <si>
    <t>PRU</t>
  </si>
  <si>
    <t>PTC</t>
  </si>
  <si>
    <t>Public Service Enterprise Group</t>
  </si>
  <si>
    <t>PEG</t>
  </si>
  <si>
    <t>Public Storage</t>
  </si>
  <si>
    <t>PSA</t>
  </si>
  <si>
    <t>PulteGroup</t>
  </si>
  <si>
    <t>PHM</t>
  </si>
  <si>
    <t>PVH</t>
  </si>
  <si>
    <t>Qorvo</t>
  </si>
  <si>
    <t>QRVO</t>
  </si>
  <si>
    <t>Qualcomm</t>
  </si>
  <si>
    <t>QCOM</t>
  </si>
  <si>
    <t>Quanta Services</t>
  </si>
  <si>
    <t>PWR</t>
  </si>
  <si>
    <t>Quest Diagnostics</t>
  </si>
  <si>
    <t>DGX</t>
  </si>
  <si>
    <t>Ralph Lauren Corporation</t>
  </si>
  <si>
    <t>RL</t>
  </si>
  <si>
    <t>Raymond James Financial</t>
  </si>
  <si>
    <t>RJF</t>
  </si>
  <si>
    <t>Raytheon Technologies</t>
  </si>
  <si>
    <t>RTX</t>
  </si>
  <si>
    <t>Realty Income Corporation</t>
  </si>
  <si>
    <t>O</t>
  </si>
  <si>
    <t>Regency Centers</t>
  </si>
  <si>
    <t>REG</t>
  </si>
  <si>
    <t>Regeneron Pharmaceuticals</t>
  </si>
  <si>
    <t>REGN</t>
  </si>
  <si>
    <t>Regions Financial Corporation</t>
  </si>
  <si>
    <t>RF</t>
  </si>
  <si>
    <t>Republic Services</t>
  </si>
  <si>
    <t>RSG</t>
  </si>
  <si>
    <t>ResMed</t>
  </si>
  <si>
    <t>RMD</t>
  </si>
  <si>
    <t>Robert Half International</t>
  </si>
  <si>
    <t>RHI</t>
  </si>
  <si>
    <t>Rockwell Automation</t>
  </si>
  <si>
    <t>ROK</t>
  </si>
  <si>
    <t>Rollins</t>
  </si>
  <si>
    <t>ROL</t>
  </si>
  <si>
    <t>Roper Technologies</t>
  </si>
  <si>
    <t>ROP</t>
  </si>
  <si>
    <t>Ross Stores</t>
  </si>
  <si>
    <t>ROST</t>
  </si>
  <si>
    <t>Royal Caribbean Group</t>
  </si>
  <si>
    <t>RCL</t>
  </si>
  <si>
    <t>S&amp;P Global</t>
  </si>
  <si>
    <t>SPGI</t>
  </si>
  <si>
    <t>Salesforce</t>
  </si>
  <si>
    <t>CRM</t>
  </si>
  <si>
    <t>SBA Communications</t>
  </si>
  <si>
    <t>SBAC</t>
  </si>
  <si>
    <t>Schlumberger</t>
  </si>
  <si>
    <t>SLB</t>
  </si>
  <si>
    <t>Seagate Technology</t>
  </si>
  <si>
    <t>STX</t>
  </si>
  <si>
    <t>Sealed Air</t>
  </si>
  <si>
    <t>SEE</t>
  </si>
  <si>
    <t>Sempra Energy</t>
  </si>
  <si>
    <t>SRE</t>
  </si>
  <si>
    <t>ServiceNow</t>
  </si>
  <si>
    <t>NOW</t>
  </si>
  <si>
    <t>Sherwin-Williams</t>
  </si>
  <si>
    <t>SHW</t>
  </si>
  <si>
    <t>Simon Property Group</t>
  </si>
  <si>
    <t>SPG</t>
  </si>
  <si>
    <t>Skyworks Solutions</t>
  </si>
  <si>
    <t>SWKS</t>
  </si>
  <si>
    <t>Snap-on</t>
  </si>
  <si>
    <t>SNA</t>
  </si>
  <si>
    <t>Southern Company</t>
  </si>
  <si>
    <t>SO</t>
  </si>
  <si>
    <t>Southwest Airlines</t>
  </si>
  <si>
    <t>LUV</t>
  </si>
  <si>
    <t>Stanley Black &amp; Decker</t>
  </si>
  <si>
    <t>SWK</t>
  </si>
  <si>
    <t>Starbucks</t>
  </si>
  <si>
    <t>SBUX</t>
  </si>
  <si>
    <t>State Street Corporation</t>
  </si>
  <si>
    <t>STT</t>
  </si>
  <si>
    <t>Steris</t>
  </si>
  <si>
    <t>STE</t>
  </si>
  <si>
    <t>Stryker Corporation</t>
  </si>
  <si>
    <t>SYK</t>
  </si>
  <si>
    <t>SVB Financial</t>
  </si>
  <si>
    <t>SIVB</t>
  </si>
  <si>
    <t>Synchrony Financial</t>
  </si>
  <si>
    <t>SYF</t>
  </si>
  <si>
    <t>Synopsys</t>
  </si>
  <si>
    <t>SNPS</t>
  </si>
  <si>
    <t>Sysco</t>
  </si>
  <si>
    <t>SYY</t>
  </si>
  <si>
    <t>T-Mobile US</t>
  </si>
  <si>
    <t>TMUS</t>
  </si>
  <si>
    <t>T. Rowe Price</t>
  </si>
  <si>
    <t>TROW</t>
  </si>
  <si>
    <t>Take-Two Interactive</t>
  </si>
  <si>
    <t>TTWO</t>
  </si>
  <si>
    <t>Tapestry</t>
  </si>
  <si>
    <t>TPR</t>
  </si>
  <si>
    <t>Target Corporation</t>
  </si>
  <si>
    <t>TGT</t>
  </si>
  <si>
    <t>TE Connectivity</t>
  </si>
  <si>
    <t>TEL</t>
  </si>
  <si>
    <t>Teledyne Technologies</t>
  </si>
  <si>
    <t>TDY</t>
  </si>
  <si>
    <t>Teleflex</t>
  </si>
  <si>
    <t>TFX</t>
  </si>
  <si>
    <t>Teradyne</t>
  </si>
  <si>
    <t>TER</t>
  </si>
  <si>
    <t>Tesla</t>
  </si>
  <si>
    <t>TSLA</t>
  </si>
  <si>
    <t>Texas Instruments</t>
  </si>
  <si>
    <t>TXN</t>
  </si>
  <si>
    <t>Textron</t>
  </si>
  <si>
    <t>TXT</t>
  </si>
  <si>
    <t>The Cooper Companies</t>
  </si>
  <si>
    <t>COO</t>
  </si>
  <si>
    <t>The Hartford</t>
  </si>
  <si>
    <t>HIG</t>
  </si>
  <si>
    <t>The Hershey Company</t>
  </si>
  <si>
    <t>HSY</t>
  </si>
  <si>
    <t>The Mosaic Company</t>
  </si>
  <si>
    <t>MOS</t>
  </si>
  <si>
    <t>The Travelers Companies</t>
  </si>
  <si>
    <t>TRV</t>
  </si>
  <si>
    <t>The Walt Disney Company</t>
  </si>
  <si>
    <t>DIS</t>
  </si>
  <si>
    <t>Thermo Fisher Scientific</t>
  </si>
  <si>
    <t>TMO</t>
  </si>
  <si>
    <t>TJX Companies</t>
  </si>
  <si>
    <t>TJX</t>
  </si>
  <si>
    <t>Tractor Supply Company</t>
  </si>
  <si>
    <t>TSCO</t>
  </si>
  <si>
    <t>Trane Technologies</t>
  </si>
  <si>
    <t>TT</t>
  </si>
  <si>
    <t>TransDigm Group</t>
  </si>
  <si>
    <t>TDG</t>
  </si>
  <si>
    <t>Trimble</t>
  </si>
  <si>
    <t>TRMB</t>
  </si>
  <si>
    <t>Truist Financial</t>
  </si>
  <si>
    <t>TFC</t>
  </si>
  <si>
    <t>Twitter</t>
  </si>
  <si>
    <t>TWTR</t>
  </si>
  <si>
    <t>Tyler Technologies</t>
  </si>
  <si>
    <t>TYL</t>
  </si>
  <si>
    <t>Tyson Foods</t>
  </si>
  <si>
    <t>TSN</t>
  </si>
  <si>
    <t>U.S. Bancorp</t>
  </si>
  <si>
    <t>USB</t>
  </si>
  <si>
    <t>Ulta Beauty</t>
  </si>
  <si>
    <t>ULTA</t>
  </si>
  <si>
    <t>Under Armour (Class A)</t>
  </si>
  <si>
    <t>UAA</t>
  </si>
  <si>
    <t>Under Armour (Class C)</t>
  </si>
  <si>
    <t>UA</t>
  </si>
  <si>
    <t>Union Pacific</t>
  </si>
  <si>
    <t>UNP</t>
  </si>
  <si>
    <t>United Airlines</t>
  </si>
  <si>
    <t>UAL</t>
  </si>
  <si>
    <t>United Parcel Service</t>
  </si>
  <si>
    <t>UPS</t>
  </si>
  <si>
    <t>United Rentals</t>
  </si>
  <si>
    <t>URI</t>
  </si>
  <si>
    <t>UnitedHealth Group</t>
  </si>
  <si>
    <t>UNH</t>
  </si>
  <si>
    <t>Universal Health Services</t>
  </si>
  <si>
    <t>UHS</t>
  </si>
  <si>
    <t>Valero Energy</t>
  </si>
  <si>
    <t>VLO</t>
  </si>
  <si>
    <t>Ventas</t>
  </si>
  <si>
    <t>VTR</t>
  </si>
  <si>
    <t>Verisign</t>
  </si>
  <si>
    <t>VRSN</t>
  </si>
  <si>
    <t>Verisk Analytics</t>
  </si>
  <si>
    <t>VRSK</t>
  </si>
  <si>
    <t>Verizon Communications</t>
  </si>
  <si>
    <t>VZ</t>
  </si>
  <si>
    <t>Vertex Pharmaceuticals</t>
  </si>
  <si>
    <t>VRTX</t>
  </si>
  <si>
    <t>VF Corporation</t>
  </si>
  <si>
    <t>VFC</t>
  </si>
  <si>
    <t>ViacomCBS</t>
  </si>
  <si>
    <t>VIAC</t>
  </si>
  <si>
    <t>Viatris</t>
  </si>
  <si>
    <t>VTRS</t>
  </si>
  <si>
    <t>Visa</t>
  </si>
  <si>
    <t>V</t>
  </si>
  <si>
    <t>Vornado Realty Trust</t>
  </si>
  <si>
    <t>VNO</t>
  </si>
  <si>
    <t>Vulcan Materials</t>
  </si>
  <si>
    <t>VMC</t>
  </si>
  <si>
    <t>W. R. Berkley Corporation</t>
  </si>
  <si>
    <t>WRB</t>
  </si>
  <si>
    <t>W. W. Grainger</t>
  </si>
  <si>
    <t>GWW</t>
  </si>
  <si>
    <t>Wabtec</t>
  </si>
  <si>
    <t>WAB</t>
  </si>
  <si>
    <t>Walgreens Boots Alliance</t>
  </si>
  <si>
    <t>WBA</t>
  </si>
  <si>
    <t>Walmart</t>
  </si>
  <si>
    <t>WMT</t>
  </si>
  <si>
    <t>Waste Management</t>
  </si>
  <si>
    <t>WM</t>
  </si>
  <si>
    <t>Waters Corporation</t>
  </si>
  <si>
    <t>WAT</t>
  </si>
  <si>
    <t>WEC Energy Group</t>
  </si>
  <si>
    <t>WEC</t>
  </si>
  <si>
    <t>Wells Fargo</t>
  </si>
  <si>
    <t>WFC</t>
  </si>
  <si>
    <t>Welltower</t>
  </si>
  <si>
    <t>WELL</t>
  </si>
  <si>
    <t>West Pharmaceutical Services</t>
  </si>
  <si>
    <t>WST</t>
  </si>
  <si>
    <t>Western Digital</t>
  </si>
  <si>
    <t>WDC</t>
  </si>
  <si>
    <t>Western Union</t>
  </si>
  <si>
    <t>WU</t>
  </si>
  <si>
    <t>WestRock</t>
  </si>
  <si>
    <t>WRK</t>
  </si>
  <si>
    <t>Weyerhaeuser</t>
  </si>
  <si>
    <t>WY</t>
  </si>
  <si>
    <t>Whirlpool Corporation</t>
  </si>
  <si>
    <t>WHR</t>
  </si>
  <si>
    <t>Williams Companies</t>
  </si>
  <si>
    <t>WMB</t>
  </si>
  <si>
    <t>Willis Towers Watson</t>
  </si>
  <si>
    <t>WLTW</t>
  </si>
  <si>
    <t>Wynn Resorts</t>
  </si>
  <si>
    <t>WYNN</t>
  </si>
  <si>
    <t>Xcel Energy</t>
  </si>
  <si>
    <t>XEL</t>
  </si>
  <si>
    <t>Xilinx</t>
  </si>
  <si>
    <t>XLNX</t>
  </si>
  <si>
    <t>Xylem</t>
  </si>
  <si>
    <t>XYL</t>
  </si>
  <si>
    <t>Yum! Brands</t>
  </si>
  <si>
    <t>YUM</t>
  </si>
  <si>
    <t>Zebra Technologies</t>
  </si>
  <si>
    <t>ZBRA</t>
  </si>
  <si>
    <t>Zimmer Biomet</t>
  </si>
  <si>
    <t>ZBH</t>
  </si>
  <si>
    <t>Zions Bancorp</t>
  </si>
  <si>
    <t>ZION</t>
  </si>
  <si>
    <t>Zoetis</t>
  </si>
  <si>
    <t>ZTS</t>
  </si>
  <si>
    <t>Top 10 Companies by Operating Income</t>
  </si>
  <si>
    <t>Top 10 Companies by Net Income</t>
  </si>
  <si>
    <t>S&amp;P 500 Financial Performance Dashboard</t>
  </si>
  <si>
    <t xml:space="preserve"> Total Revenue</t>
  </si>
  <si>
    <t xml:space="preserve">   Total Gross Profit</t>
  </si>
  <si>
    <t>Revenue Growth (2020–2021)</t>
  </si>
  <si>
    <t>Key Financial Insights</t>
  </si>
  <si>
    <t>Revenue increased by 35.11% from 2020 to 2021.</t>
  </si>
  <si>
    <t>Operating income grew 62.07%, showing improved operating profitability in 2021.</t>
  </si>
  <si>
    <t>Net income increased 102.63%, indicating a significant improvement in overall profitability.</t>
  </si>
  <si>
    <t>Gross profit margin improved from 38.12% to 40.02%.</t>
  </si>
  <si>
    <t>Operating margin improved from 13.95% to 16.74%.</t>
  </si>
  <si>
    <t>Net profit margin improved from 8.50% to 12.75%.</t>
  </si>
  <si>
    <t>date - Year</t>
  </si>
  <si>
    <t>SUM of Total Revenue</t>
  </si>
  <si>
    <t>2020</t>
  </si>
  <si>
    <t>2021</t>
  </si>
  <si>
    <t>Grand Total</t>
  </si>
  <si>
    <t>SUM of Operating Income</t>
  </si>
  <si>
    <t>SUM of 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</si>
</sst>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d/MM/yyyy"/>
    <numFmt numFmtId="166" formatCode="yyyy-mm-dd hh:mm:ss"/>
    <numFmt numFmtId="167" formatCode="$0.00,,,&quot;T&quot;"/>
    <numFmt numFmtId="168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10" xfId="0" applyFont="1" applyNumberFormat="1"/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166" xfId="0" applyAlignment="1" applyFont="1" applyNumberFormat="1">
      <alignment readingOrder="0"/>
    </xf>
    <xf borderId="0" fillId="2" fontId="4" numFmtId="0" xfId="0" applyAlignment="1" applyFill="1" applyFont="1">
      <alignment horizontal="center" readingOrder="0"/>
    </xf>
    <xf borderId="0" fillId="2" fontId="1" numFmtId="0" xfId="0" applyFill="1" applyFont="1"/>
    <xf borderId="1" fillId="2" fontId="5" numFmtId="0" xfId="0" applyAlignment="1" applyBorder="1" applyFill="1" applyFont="1">
      <alignment horizontal="center" readingOrder="0"/>
    </xf>
    <xf borderId="1" fillId="2" fontId="6" numFmtId="167" xfId="0" applyAlignment="1" applyBorder="1" applyFill="1" applyFont="1" applyNumberFormat="1">
      <alignment horizontal="center"/>
    </xf>
    <xf borderId="1" fillId="2" fontId="6" numFmtId="10" xfId="0" applyAlignment="1" applyBorder="1" applyFill="1" applyFont="1" applyNumberFormat="1">
      <alignment horizontal="center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Companies by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Financial_Analysis!$H$1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Financial_Analysis!$G$2:$G$11</c:f>
            </c:strRef>
          </c:cat>
          <c:val>
            <c:numRef>
              <c:f>Financial_Analysis!$H$2:$H$11</c:f>
              <c:numCache/>
            </c:numRef>
          </c:val>
        </c:ser>
        <c:axId val="352711057"/>
        <c:axId val="2089712989"/>
      </c:barChart>
      <c:catAx>
        <c:axId val="352711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10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712989"/>
      </c:catAx>
      <c:valAx>
        <c:axId val="20897129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7110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Arial"/>
              </a:defRPr>
            </a:pPr>
            <a:r>
              <a:rPr b="1" sz="1800">
                <a:solidFill>
                  <a:srgbClr val="000000"/>
                </a:solidFill>
                <a:latin typeface="Arial"/>
              </a:rPr>
              <a:t>Total Revenue: 2020 vs 2021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$0.00,,,, &quot;T&quot;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1'!$A$2:$A$3</c:f>
            </c:strRef>
          </c:cat>
          <c:val>
            <c:numRef>
              <c:f>'Pivot Table 1'!$B$2:$B$3</c:f>
              <c:numCache/>
            </c:numRef>
          </c:val>
        </c:ser>
        <c:axId val="1913309101"/>
        <c:axId val="1369790176"/>
      </c:barChart>
      <c:catAx>
        <c:axId val="1913309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69790176"/>
      </c:catAx>
      <c:valAx>
        <c:axId val="1369790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1330910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Arial"/>
              </a:defRPr>
            </a:pPr>
            <a:r>
              <a:rPr b="1" sz="2000">
                <a:solidFill>
                  <a:srgbClr val="000000"/>
                </a:solidFill>
                <a:latin typeface="Arial"/>
              </a:rPr>
              <a:t>Profitability Margins - 2020 vs 2021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Financial_Analysis!$B$23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Financial_Analysis!$A$24:$A$26</c:f>
            </c:strRef>
          </c:cat>
          <c:val>
            <c:numRef>
              <c:f>Financial_Analysis!$B$24:$B$26</c:f>
              <c:numCache/>
            </c:numRef>
          </c:val>
        </c:ser>
        <c:ser>
          <c:idx val="1"/>
          <c:order val="1"/>
          <c:tx>
            <c:strRef>
              <c:f>Financial_Analysis!$C$23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Financial_Analysis!$A$24:$A$26</c:f>
            </c:strRef>
          </c:cat>
          <c:val>
            <c:numRef>
              <c:f>Financial_Analysis!$C$24:$C$26</c:f>
              <c:numCache/>
            </c:numRef>
          </c:val>
        </c:ser>
        <c:axId val="2060920635"/>
        <c:axId val="664279617"/>
      </c:barChart>
      <c:catAx>
        <c:axId val="2060920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279617"/>
      </c:catAx>
      <c:valAx>
        <c:axId val="664279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920635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Companies by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Financial_Analysis!$H$1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Financial_Analysis!$G$2:$G$11</c:f>
            </c:strRef>
          </c:cat>
          <c:val>
            <c:numRef>
              <c:f>Financial_Analysis!$H$2:$H$11</c:f>
              <c:numCache/>
            </c:numRef>
          </c:val>
        </c:ser>
        <c:axId val="862487565"/>
        <c:axId val="706170633"/>
      </c:barChart>
      <c:catAx>
        <c:axId val="8624875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10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170633"/>
      </c:catAx>
      <c:valAx>
        <c:axId val="7061706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4875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1247775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1219200</xdr:colOff>
      <xdr:row>8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1219200</xdr:colOff>
      <xdr:row>8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1247775</xdr:colOff>
      <xdr:row>27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13" sheet="Raw_Data"/>
  </cacheSource>
  <cacheFields>
    <cacheField name="S. NO. 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</sharedItems>
    </cacheField>
    <cacheField name="date" numFmtId="164">
      <sharedItems containsSemiMixedTypes="0" containsDate="1" containsString="0">
        <d v="2021-09-30T00:00:00Z"/>
        <d v="2021-06-30T00:00:00Z"/>
        <d v="2021-03-31T00:00:00Z"/>
        <d v="2020-12-31T00:00:00Z"/>
        <d v="2021-08-31T00:00:00Z"/>
        <d v="2021-05-31T00:00:00Z"/>
        <d v="2021-02-28T00:00:00Z"/>
        <d v="2020-11-30T00:00:00Z"/>
        <d v="2021-09-03T00:00:00Z"/>
        <d v="2021-06-04T00:00:00Z"/>
        <d v="2021-03-05T00:00:00Z"/>
        <d v="2020-11-27T00:00:00Z"/>
        <d v="2021-07-17T00:00:00Z"/>
        <d v="2021-04-24T00:00:00Z"/>
        <d v="2021-04-17T00:00:00Z"/>
        <d v="2021-09-25T00:00:00Z"/>
        <d v="2021-06-26T00:00:00Z"/>
        <d v="2021-03-27T00:00:00Z"/>
        <d v="2020-12-26T00:00:00Z"/>
        <d v="2021-07-31T00:00:00Z"/>
        <d v="2021-04-30T00:00:00Z"/>
        <d v="2021-01-31T00:00:00Z"/>
        <d v="2020-10-31T00:00:00Z"/>
        <d v="2020-09-30T00:00:00Z"/>
        <d v="2020-06-30T00:00:00Z"/>
        <d v="2021-05-01T00:00:00Z"/>
        <d v="2021-01-30T00:00:00Z"/>
        <d v="2020-09-26T00:00:00Z"/>
        <d v="2021-08-01T00:00:00Z"/>
        <d v="2021-05-02T00:00:00Z"/>
        <d v="2020-10-25T00:00:00Z"/>
        <d v="2021-08-28T00:00:00Z"/>
        <d v="2021-05-08T00:00:00Z"/>
        <d v="2021-02-13T00:00:00Z"/>
        <d v="2020-11-21T00:00:00Z"/>
        <d v="2021-07-03T00:00:00Z"/>
        <d v="2021-04-03T00:00:00Z"/>
        <d v="2021-01-02T00:00:00Z"/>
        <d v="2020-11-01T00:00:00Z"/>
        <d v="2020-08-02T00:00:00Z"/>
        <d v="2020-08-31T00:00:00Z"/>
        <d v="2021-01-23T00:00:00Z"/>
        <d v="2020-10-24T00:00:00Z"/>
        <d v="2020-07-25T00:00:00Z"/>
        <d v="2021-07-02T00:00:00Z"/>
        <d v="2021-04-02T00:00:00Z"/>
        <d v="2020-09-25T00:00:00Z"/>
        <d v="2020-11-29T00:00:00Z"/>
        <d v="2020-08-30T00:00:00Z"/>
        <d v="2020-05-31T00:00:00Z"/>
        <d v="2020-07-31T00:00:00Z"/>
        <d v="2021-08-29T00:00:00Z"/>
        <d v="2021-05-09T00:00:00Z"/>
        <d v="2021-02-14T00:00:00Z"/>
        <d v="2020-11-22T00:00:00Z"/>
        <d v="2021-07-04T00:00:00Z"/>
        <d v="2021-04-04T00:00:00Z"/>
        <d v="2020-09-27T00:00:00Z"/>
        <d v="2020-10-02T00:00:00Z"/>
        <d v="2021-05-30T00:00:00Z"/>
        <d v="2021-01-29T00:00:00Z"/>
        <d v="2020-10-30T00:00:00Z"/>
        <d v="2020-08-01T00:00:00Z"/>
        <d v="2021-06-20T00:00:00Z"/>
        <d v="2021-03-28T00:00:00Z"/>
        <d v="2021-01-03T00:00:00Z"/>
        <d v="2020-09-06T00:00:00Z"/>
        <d v="2021-06-27T00:00:00Z"/>
        <d v="2020-12-27T00:00:00Z"/>
        <d v="2020-06-27T00:00:00Z"/>
        <d v="2021-07-25T00:00:00Z"/>
        <d v="2021-04-25T00:00:00Z"/>
        <d v="2021-01-24T00:00:00Z"/>
        <d v="2020-06-28T00:00:00Z"/>
        <d v="2020-03-31T00:00:00Z"/>
        <d v="2021-01-01T00:00:00Z"/>
        <d v="2021-05-14T00:00:00Z"/>
        <d v="2020-11-07T00:00:00Z"/>
        <d v="2020-08-15T00:00:00Z"/>
        <d v="2021-07-30T00:00:00Z"/>
        <d v="2021-03-04T00:00:00Z"/>
        <d v="2020-12-03T00:00:00Z"/>
        <d v="2020-09-03T00:00:00Z"/>
        <d v="2020-05-28T00:00:00Z"/>
        <d v="2020-10-03T00:00:00Z"/>
        <d v="2021-09-04T00:00:00Z"/>
        <d v="2021-06-12T00:00:00Z"/>
        <d v="2021-03-20T00:00:00Z"/>
        <d v="2021-10-03T00:00:00Z"/>
        <d v="2021-10-02T00:00:00Z"/>
        <d v="2021-09-26T00:00:00Z"/>
        <d v="2021-10-01T00:00:00Z"/>
        <d v="2021-06-25T00:00:00Z"/>
        <d v="2021-03-26T00:00:00Z"/>
        <d v="2020-12-25T00:00:00Z"/>
        <d v="2020-07-03T00:00:00Z"/>
      </sharedItems>
    </cacheField>
    <cacheField name="firm" numFmtId="0">
      <sharedItems>
        <s v="3M"/>
        <s v="A. O. Smith"/>
        <s v="Abbott Laboratories"/>
        <s v="AbbVie"/>
        <s v="Abiomed"/>
        <s v="Accenture"/>
        <s v="Activision Blizzard"/>
        <s v="ADM"/>
        <s v="Adobe"/>
        <s v="Advance Auto Parts"/>
        <s v="Advanced Micro Devices"/>
        <s v="AES Corp"/>
        <s v="Aflac"/>
        <s v="Agilent Technologies"/>
        <s v="Air Products &amp; Chemicals"/>
        <s v="Akamai Technologies"/>
        <s v="Alaska Air Group"/>
        <s v="Albemarle Corporation"/>
        <s v="Alexandria Real Estate Equities"/>
        <s v="Align Technology"/>
        <s v="Allegion"/>
        <s v="Alliant Energy"/>
        <s v="Allstate Corp"/>
        <s v="Alphabet (Class A)"/>
        <s v="Alphabet (Class C)"/>
        <s v="Altria Group"/>
        <s v="Amazon"/>
        <s v="Amcor"/>
        <s v="Ameren Corp"/>
        <s v="American Airlines Group"/>
        <s v="American Electric Power"/>
        <s v="American Express"/>
        <s v="American International Group"/>
        <s v="American Tower"/>
        <s v="American Water Works"/>
        <s v="Ameriprise Financial"/>
        <s v="AmerisourceBergen"/>
        <s v="Ametek"/>
        <s v="Amgen"/>
        <s v="Amphenol"/>
        <s v="Analog Devices"/>
        <s v="Ansys"/>
        <s v="Anthem"/>
        <s v="Aon"/>
        <s v="APA Corporation"/>
        <s v="Apple"/>
        <s v="Applied Materials"/>
        <s v="Aptiv"/>
        <s v="Arista Networks"/>
        <s v="Arthur J. Gallagher &amp; Co."/>
        <s v="Assurant"/>
        <s v="AT&amp;T"/>
        <s v="Atmos Energy"/>
        <s v="Autodesk"/>
        <s v="Automatic Data Processing"/>
        <s v="AutoZone"/>
        <s v="AvalonBay Communities"/>
        <s v="Avery Dennison"/>
        <s v="Baker Hughes"/>
        <s v="Ball Corp"/>
        <s v="Bank of America"/>
        <s v="Bath &amp; Body Works Inc."/>
        <s v="Baxter International"/>
        <s v="Becton Dickinson"/>
        <s v="Best Buy"/>
        <s v="Bio-Rad Laboratories"/>
        <s v="Bio-Techne"/>
        <s v="Biogen"/>
        <s v="BlackRock"/>
        <s v="BNY Mellon"/>
        <s v="Boeing"/>
        <s v="Booking Holdings"/>
        <s v="BorgWarner"/>
        <s v="Boston Properties"/>
        <s v="Boston Scientific"/>
        <s v="Bristol Myers Squibb"/>
        <s v="Broadcom"/>
        <s v="Broadridge Financial Solutions"/>
        <s v="Brown &amp; Brown"/>
        <s v="C. H. Robinson"/>
        <s v="Cadence Design Systems"/>
        <s v="Caesars Entertainment"/>
        <s v="Campbell Soup"/>
        <s v="Capital One Financial"/>
        <s v="Cardinal Health"/>
        <s v="CarMax"/>
        <s v="Carnival Corporation"/>
        <s v="Carrier Global"/>
        <s v="Catalent"/>
        <s v="Caterpillar"/>
        <s v="Cboe Global Markets"/>
        <s v="CBRE"/>
        <s v="CDW"/>
        <s v="Celanese"/>
        <s v="Centene Corporation"/>
        <s v="CenterPoint Energy"/>
        <s v="Ceridian"/>
        <s v="Cerner"/>
        <s v="CF Industries"/>
        <s v="Charles River Laboratories"/>
        <s v="Charles Schwab Corporation"/>
        <s v="Charter Communications"/>
        <s v="Chevron Corporation"/>
        <s v="Chipotle Mexican Grill"/>
        <s v="Chubb"/>
        <s v="Church &amp; Dwight"/>
        <s v="Cigna"/>
        <s v="Cincinnati Financial"/>
        <s v="Cintas Corporation"/>
        <s v="Cisco Systems"/>
        <s v="Citigroup"/>
        <s v="Citizens Financial Group"/>
        <s v="Citrix Systems"/>
        <s v="Clorox"/>
        <s v="CME Group"/>
        <s v="CMS Energy"/>
        <s v="Coca-Cola Company"/>
        <s v="Cognizant Technology Solutions"/>
        <s v="Colgate-Palmolive"/>
        <s v="Comcast"/>
        <s v="Comerica"/>
        <s v="Conagra Brands"/>
        <s v="ConocoPhillips"/>
        <s v="Consolidated Edison"/>
        <s v="Constellation Brands"/>
        <s v="Copart"/>
        <s v="Corning"/>
        <s v="Corteva"/>
        <s v="Costco"/>
        <s v="Coterra"/>
        <s v="Crown Castle"/>
        <s v="CSX"/>
        <s v="Cummins"/>
        <s v="CVS Health"/>
        <s v="D. R. Horton"/>
        <s v="Danaher Corporation"/>
        <s v="Darden Restaurants"/>
        <s v="DaVita"/>
        <s v="Deere &amp; Co."/>
        <s v="Delta Air Lines"/>
        <s v="Dentsply Sirona"/>
        <s v="Devon Energy"/>
        <s v="DexCom"/>
        <s v="Diamondback Energy"/>
        <s v="Digital Realty Trust"/>
        <s v="Discover Financial Services"/>
        <s v="Discovery (Series A)"/>
        <s v="Discovery (Series C)"/>
        <s v="Dish Network"/>
        <s v="Dollar General"/>
        <s v="Dollar Tree"/>
        <s v="Dominion Energy"/>
        <s v="Domino's Pizza"/>
        <s v="Dover Corporation"/>
        <s v="Dow"/>
        <s v="DTE Energy"/>
        <s v="Duke Energy"/>
        <s v="Duke Realty Corp"/>
        <s v="DuPont"/>
        <s v="DXC Technology"/>
        <s v="Eastman Chemical"/>
        <s v="Eaton Corporation"/>
        <s v="eBay"/>
        <s v="Ecolab"/>
        <s v="Edison International"/>
        <s v="Edwards Lifesciences"/>
        <s v="Electronic Arts"/>
        <s v="Eli Lilly &amp; Co"/>
        <s v="Emerson Electric Company"/>
        <s v="Enphase Energy"/>
        <s v="Entergy"/>
        <s v="EOG Resources"/>
        <s v="Equifax"/>
        <s v="Equinix"/>
        <s v="Equity Residential"/>
        <s v="Essex Property Trust"/>
        <s v="Estée Lauder Companies"/>
        <s v="Etsy"/>
        <s v="Everest Re"/>
        <s v="Evergy"/>
        <s v="Eversource Energy"/>
        <s v="Exelon"/>
        <s v="Expedia Group"/>
        <s v="Expeditors"/>
        <s v="Extra Space Storage"/>
        <s v="ExxonMobil"/>
        <s v="F5 Networks"/>
        <s v="Facebook"/>
        <s v="Fastenal"/>
        <s v="Federal Realty Investment Trust"/>
        <s v="FedEx"/>
        <s v="Fidelity National Information Services"/>
        <s v="Fifth Third Bancorp"/>
        <s v="First Republic Bank"/>
        <s v="FirstEnergy"/>
        <s v="Fiserv"/>
        <s v="Fleetcor"/>
        <s v="FMC Corporation"/>
        <s v="Ford"/>
        <s v="Fortinet"/>
        <s v="Fortive"/>
        <s v="Fortune Brands Home &amp; Security"/>
        <s v="Fox Corporation (Class A)"/>
        <s v="Fox Corporation (Class B)"/>
        <s v="Franklin Resources"/>
        <s v="Freeport-McMoRan"/>
        <s v="Gap"/>
        <s v="Garmin"/>
        <s v="Gartner"/>
        <s v="Generac Holdings"/>
        <s v="General Dynamics"/>
        <s v="General Electric"/>
        <s v="General Mills"/>
        <s v="General Motors"/>
        <s v="Genuine Parts"/>
        <s v="Gilead Sciences"/>
        <s v="Global Payments"/>
        <s v="Globe Life"/>
        <s v="Goldman Sachs"/>
        <s v="Halliburton"/>
        <s v="Hanesbrands"/>
        <s v="Hasbro"/>
        <s v="HCA Healthcare"/>
        <s v="Healthpeak Properties"/>
        <s v="Henry Schein"/>
        <s v="Hess Corporation"/>
        <s v="Hewlett Packard Enterprise"/>
        <s v="Hilton Worldwide"/>
        <s v="Hologic"/>
        <s v="Home Depot"/>
        <s v="Honeywell"/>
        <s v="Hormel"/>
        <s v="Host Hotels &amp; Resorts"/>
        <s v="Howmet Aerospace"/>
        <s v="HP"/>
        <s v="Humana"/>
        <s v="Huntington Bancshares"/>
        <s v="Huntington Ingalls Industries"/>
        <s v="IBM"/>
        <s v="IDEX Corporation"/>
        <s v="Idexx Laboratories"/>
        <s v="IHS Markit"/>
        <s v="Illinois Tool Works"/>
        <s v="Illumina"/>
        <s v="Incyte"/>
        <s v="Ingersoll Rand"/>
        <s v="Intel"/>
        <s v="Intercontinental Exchange"/>
        <s v="International Flavors &amp; Fragrances"/>
        <s v="International Paper"/>
        <s v="Interpublic Group"/>
        <s v="Intuit"/>
        <s v="Intuitive Surgical"/>
        <s v="Invesco"/>
        <s v="IPG Photonics"/>
        <s v="IQVIA"/>
        <s v="Iron Mountain"/>
        <s v="J. B. Hunt"/>
        <s v="Jack Henry &amp; Associates"/>
        <s v="Jacobs Engineering Group"/>
        <s v="JM Smucker"/>
        <s v="Johnson &amp; Johnson"/>
        <s v="Johnson Controls"/>
        <s v="JPMorgan Chase"/>
        <s v="Juniper Networks"/>
        <s v="Kansas City Southern"/>
        <s v="Kellogg's"/>
        <s v="KeyCorp"/>
        <s v="Keysight Technologies"/>
        <s v="Kimberly-Clark"/>
        <s v="Kimco Realty"/>
        <s v="Kinder Morgan"/>
        <s v="KLA Corporation"/>
        <s v="Kraft Heinz"/>
        <s v="Kroger"/>
        <s v="L3Harris Technologies"/>
        <s v="LabCorp"/>
        <s v="Lam Research"/>
        <s v="Lamb Weston"/>
        <s v="Las Vegas Sands"/>
        <s v="Leggett &amp; Platt"/>
        <s v="Leidos"/>
        <s v="Lennar"/>
        <s v="Lincoln National"/>
        <s v="Linde"/>
        <s v="Live Nation Entertainment"/>
        <s v="LKQ Corporation"/>
        <s v="Lockheed Martin"/>
        <s v="Loews Corporation"/>
        <s v="Lowe's"/>
        <s v="Lumen Technologies"/>
        <s v="LyondellBasell"/>
        <s v="M&amp;T Bank"/>
        <s v="Marathon Oil"/>
        <s v="Marathon Petroleum"/>
        <s v="MarketAxess"/>
        <s v="Marriott International"/>
        <s v="Marsh &amp; McLennan"/>
        <s v="Martin Marietta Materials"/>
        <s v="Masco"/>
        <s v="Mastercard"/>
        <s v="Match Group"/>
        <s v="McCormick &amp; Company"/>
        <s v="McDonald's"/>
        <s v="McKesson Corporation"/>
        <s v="Medtronic"/>
        <s v="Merck &amp; Co."/>
        <s v="MetLife"/>
        <s v="Mettler Toledo"/>
        <s v="MGM Resorts International"/>
        <s v="Microchip Technology"/>
        <s v="Micron Technology"/>
        <s v="Microsoft"/>
        <s v="Mid-America Apartments"/>
        <s v="Moderna"/>
        <s v="Mohawk Industries"/>
        <s v="Molson Coors Beverage Company"/>
        <s v="Mondelez International"/>
        <s v="Monolithic Power Systems"/>
        <s v="Monster Beverage"/>
        <s v="Moody's Corporation"/>
        <s v="Morgan Stanley"/>
        <s v="Motorola Solutions"/>
        <s v="MSCI"/>
        <s v="Nasdaq"/>
        <s v="NetApp"/>
        <s v="Netflix"/>
        <s v="Newell Brands"/>
        <s v="Newmont"/>
        <s v="News Corp (Class A)"/>
        <s v="News Corp (Class B)"/>
        <s v="NextEra Energy"/>
        <s v="Nielsen Holdings"/>
        <s v="Nike"/>
        <s v="NiSource"/>
        <s v="Norfolk Southern"/>
        <s v="Northern Trust"/>
        <s v="Northrop Grumman"/>
        <s v="NortonLifeLock"/>
        <s v="Norwegian Cruise Line Holdings"/>
        <s v="NRG Energy"/>
        <s v="Nucor"/>
        <s v="Nvidia"/>
        <s v="NVR"/>
        <s v="NXP"/>
        <s v="O'Reilly Automotive"/>
        <s v="Occidental Petroleum"/>
        <s v="Old Dominion Freight Line"/>
        <s v="Omnicom Group"/>
        <s v="Oneok"/>
        <s v="Oracle"/>
        <s v="Organon &amp; Co."/>
        <s v="Otis Worldwide"/>
        <s v="Paccar"/>
        <s v="Packaging Corporation of America"/>
        <s v="Parker-Hannifin"/>
        <s v="Paychex"/>
        <s v="Paycom"/>
        <s v="PayPal"/>
        <s v="Penn National Gaming"/>
        <s v="Pentair"/>
        <s v="People's United Financial"/>
        <s v="PepsiCo"/>
        <s v="PerkinElmer"/>
        <s v="Pfizer"/>
        <s v="Philip Morris International"/>
        <s v="Phillips 66"/>
        <s v="Pinnacle West Capital"/>
        <s v="Pioneer Natural Resources"/>
        <s v="PNC Financial Services"/>
        <s v="Pool Corporation"/>
        <s v="PPG Industries"/>
        <s v="PPL"/>
        <s v="Principal Financial Group"/>
        <s v="Procter &amp; Gamble"/>
        <s v="Progressive Corporation"/>
        <s v="Prologis"/>
        <s v="Prudential Financial"/>
        <s v="PTC"/>
        <s v="Public Service Enterprise Group"/>
        <s v="Public Storage"/>
        <s v="PulteGroup"/>
        <s v="PVH"/>
        <s v="Qorvo"/>
        <s v="Qualcomm"/>
        <s v="Quanta Services"/>
        <s v="Quest Diagnostics"/>
        <s v="Ralph Lauren Corporation"/>
        <s v="Raymond James Financial"/>
        <s v="Raytheon Technologies"/>
        <s v="Realty Income Corporation"/>
        <s v="Regency Centers"/>
        <s v="Regeneron Pharmaceuticals"/>
        <s v="Regions Financial Corporation"/>
        <s v="Republic Services"/>
        <s v="ResMed"/>
        <s v="Robert Half International"/>
        <s v="Rockwell Automation"/>
        <s v="Rollins"/>
        <s v="Roper Technologies"/>
        <s v="Ross Stores"/>
        <s v="Royal Caribbean Group"/>
        <s v="S&amp;P Global"/>
        <s v="Salesforce"/>
        <s v="SBA Communications"/>
        <s v="Schlumberger"/>
        <s v="Seagate Technology"/>
        <s v="Sealed Air"/>
        <s v="Sempra Energy"/>
        <s v="ServiceNow"/>
        <s v="Sherwin-Williams"/>
        <s v="Simon Property Group"/>
        <s v="Skyworks Solutions"/>
        <s v="Snap-on"/>
        <s v="Southern Company"/>
        <s v="Southwest Airlines"/>
        <s v="Stanley Black &amp; Decker"/>
        <s v="Starbucks"/>
        <s v="State Street Corporation"/>
        <s v="Steris"/>
        <s v="Stryker Corporation"/>
        <s v="SVB Financial"/>
        <s v="Synchrony Financial"/>
        <s v="Synopsys"/>
        <s v="Sysco"/>
        <s v="T-Mobile US"/>
        <s v="T. Rowe Price"/>
        <s v="Take-Two Interactive"/>
        <s v="Tapestry"/>
        <s v="Target Corporation"/>
        <s v="TE Connectivity"/>
        <s v="Teledyne Technologies"/>
        <s v="Teleflex"/>
        <s v="Teradyne"/>
        <s v="Tesla"/>
        <s v="Texas Instruments"/>
        <s v="Textron"/>
        <s v="The Cooper Companies"/>
        <s v="The Hartford"/>
        <s v="The Hershey Company"/>
        <s v="The Mosaic Company"/>
        <s v="The Travelers Companies"/>
        <s v="The Walt Disney Company"/>
        <s v="Thermo Fisher Scientific"/>
        <s v="TJX Companies"/>
        <s v="Tractor Supply Company"/>
        <s v="Trane Technologies"/>
        <s v="TransDigm Group"/>
        <s v="Trimble"/>
        <s v="Truist Financial"/>
        <s v="Twitter"/>
        <s v="Tyler Technologies"/>
        <s v="Tyson Foods"/>
        <s v="U.S. Bancorp"/>
        <s v="Ulta Beauty"/>
        <s v="Under Armour (Class A)"/>
        <s v="Under Armour (Class C)"/>
        <s v="Union Pacific"/>
        <s v="United Airlines"/>
        <s v="United Parcel Service"/>
        <s v="United Rentals"/>
        <s v="UnitedHealth Group"/>
        <s v="Universal Health Services"/>
        <s v="Valero Energy"/>
        <s v="Ventas"/>
        <s v="Verisign"/>
        <s v="Verisk Analytics"/>
        <s v="Verizon Communications"/>
        <s v="Vertex Pharmaceuticals"/>
        <s v="VF Corporation"/>
        <s v="ViacomCBS"/>
        <s v="Viatris"/>
        <s v="Visa"/>
        <s v="Vornado Realty Trust"/>
        <s v="Vulcan Materials"/>
        <s v="W. R. Berkley Corporation"/>
        <s v="W. W. Grainger"/>
        <s v="Wabtec"/>
        <s v="Walgreens Boots Alliance"/>
        <s v="Walmart"/>
        <s v="Waste Management"/>
        <s v="Waters Corporation"/>
        <s v="WEC Energy Group"/>
        <s v="Wells Fargo"/>
        <s v="Welltower"/>
        <s v="West Pharmaceutical Services"/>
        <s v="Western Digital"/>
        <s v="Western Union"/>
        <s v="WestRock"/>
        <s v="Weyerhaeuser"/>
        <s v="Whirlpool Corporation"/>
        <s v="Williams Companies"/>
        <s v="Willis Towers Watson"/>
        <s v="Wynn Resorts"/>
        <s v="Xcel Energy"/>
        <s v="Xilinx"/>
        <s v="Xylem"/>
        <s v="Yum! Brands"/>
        <s v="Zebra Technologies"/>
        <s v="Zimmer Biomet"/>
        <s v="Zions Bancorp"/>
        <s v="Zoetis"/>
      </sharedItems>
    </cacheField>
    <cacheField name="Ticker" numFmtId="0">
      <sharedItems>
        <s v="MMM"/>
        <s v="AOS"/>
        <s v="ABT"/>
        <s v="ABBV"/>
        <s v="ABMD"/>
        <s v="ACN"/>
        <s v="ATVI"/>
        <s v="ADM"/>
        <s v="ADBE"/>
        <s v="AAP"/>
        <s v="AMD"/>
        <s v="AES"/>
        <s v="AFL"/>
        <s v="A"/>
        <s v="APD"/>
        <s v="AKAM"/>
        <s v="ALB"/>
        <s v="ALK"/>
        <s v="ARE"/>
        <s v="ALGN"/>
        <s v="ALLE"/>
        <s v="LNT"/>
        <s v="ALL"/>
        <s v="GOOGL"/>
        <s v="GOOG"/>
        <s v="MO"/>
        <s v="AMZN"/>
        <s v="AMCR"/>
        <s v="AEE"/>
        <s v="AAL"/>
        <s v="AEP"/>
        <s v="AXP"/>
        <s v="AIG"/>
        <s v="AMT"/>
        <s v="AWK"/>
        <s v="AMP"/>
        <s v="ABC"/>
        <s v="AME"/>
        <s v="AMGN"/>
        <s v="APH"/>
        <s v="ADI"/>
        <s v="ANSS"/>
        <s v="ANTM"/>
        <s v="AON"/>
        <s v="APA"/>
        <s v="AAPL"/>
        <s v="AMAT"/>
        <s v="APTV"/>
        <s v="ANET"/>
        <s v="AJG"/>
        <s v="AIZ"/>
        <s v="T"/>
        <s v="ATO"/>
        <s v="ADSK"/>
        <s v="ADP"/>
        <s v="AZO"/>
        <s v="AVB"/>
        <s v="AVY"/>
        <s v="BKR"/>
        <s v="BLL"/>
        <s v="BAC"/>
        <s v="BBWI"/>
        <s v="BAX"/>
        <s v="BDX"/>
        <s v="BBY"/>
        <s v="BIO"/>
        <s v="TECH"/>
        <s v="BIIB"/>
        <s v="BLK"/>
        <s v="BK"/>
        <s v="BA"/>
        <s v="BKNG"/>
        <s v="BWA"/>
        <s v="BXP"/>
        <s v="BSX"/>
        <s v="BMY"/>
        <s v="AVGO"/>
        <s v="BR"/>
        <s v="BRO"/>
        <s v="CHRW"/>
        <s v="CDNS"/>
        <s v="CZR"/>
        <s v="CPB"/>
        <s v="COF"/>
        <s v="CAH"/>
        <s v="KMX"/>
        <s v="CCL"/>
        <s v="CARR"/>
        <s v="CTLT"/>
        <s v="CAT"/>
        <s v="CBOE"/>
        <s v="CBRE"/>
        <s v="CDW"/>
        <s v="CE"/>
        <s v="CNC"/>
        <s v="CNP"/>
        <s v="CDAY"/>
        <s v="CERN"/>
        <s v="CF"/>
        <s v="CRL"/>
        <s v="SCHW"/>
        <s v="CHTR"/>
        <s v="CVX"/>
        <s v="CMG"/>
        <s v="CB"/>
        <s v="CHD"/>
        <s v="CI"/>
        <s v="CINF"/>
        <s v="CTAS"/>
        <s v="CSCO"/>
        <s v="C"/>
        <s v="CFG"/>
        <s v="CTXS"/>
        <s v="CLX"/>
        <s v="CME"/>
        <s v="CMS"/>
        <s v="KO"/>
        <s v="CTSH"/>
        <s v="CL"/>
        <s v="CMCSA"/>
        <s v="CMA"/>
        <s v="CAG"/>
        <s v="COP"/>
        <s v="ED"/>
        <s v="STZ"/>
        <s v="CPRT"/>
        <s v="GLW"/>
        <s v="CTVA"/>
        <s v="COST"/>
        <s v="CTRA"/>
        <s v="CCI"/>
        <s v="CSX"/>
        <s v="CMI"/>
        <s v="CVS"/>
        <s v="DHI"/>
        <s v="DHR"/>
        <s v="DRI"/>
        <s v="DVA"/>
        <s v="DE"/>
        <s v="DAL"/>
        <s v="XRAY"/>
        <s v="DVN"/>
        <s v="DXCM"/>
        <s v="FANG"/>
        <s v="DLR"/>
        <s v="DFS"/>
        <s v="DISCA"/>
        <s v="DISCK"/>
        <s v="DISH"/>
        <s v="DG"/>
        <s v="DLTR"/>
        <s v="D"/>
        <s v="DPZ"/>
        <s v="DOV"/>
        <s v="DOW"/>
        <s v="DTE"/>
        <s v="DUK"/>
        <s v="DRE"/>
        <s v="DD"/>
        <s v="DXC"/>
        <s v="EMN"/>
        <s v="ETN"/>
        <s v="EBAY"/>
        <s v="ECL"/>
        <s v="EIX"/>
        <s v="EW"/>
        <s v="EA"/>
        <s v="LLY"/>
        <s v="EMR"/>
        <s v="ENPH"/>
        <s v="ETR"/>
        <s v="EOG"/>
        <s v="EFX"/>
        <s v="EQIX"/>
        <s v="EQR"/>
        <s v="ESS"/>
        <s v="EL"/>
        <s v="ETSY"/>
        <s v="RE"/>
        <s v="EVRG"/>
        <s v="ES"/>
        <s v="EXC"/>
        <s v="EXPE"/>
        <s v="EXPD"/>
        <s v="EXR"/>
        <s v="XOM"/>
        <s v="FFIV"/>
        <s v="FB"/>
        <s v="FAST"/>
        <s v="FRT"/>
        <s v="FDX"/>
        <s v="FIS"/>
        <s v="FITB"/>
        <s v="FRC"/>
        <s v="FE"/>
        <s v="FISV"/>
        <s v="FLT"/>
        <s v="FMC"/>
        <s v="F"/>
        <s v="FTNT"/>
        <s v="FTV"/>
        <s v="FBHS"/>
        <s v="FOXA"/>
        <s v="FOX"/>
        <s v="BEN"/>
        <s v="FCX"/>
        <s v="GPS"/>
        <s v="GRMN"/>
        <s v="IT"/>
        <s v="GNRC"/>
        <s v="GD"/>
        <s v="GE"/>
        <s v="GIS"/>
        <s v="GM"/>
        <s v="GPC"/>
        <s v="GILD"/>
        <s v="GPN"/>
        <s v="GL"/>
        <s v="GS"/>
        <s v="HAL"/>
        <s v="HBI"/>
        <s v="HAS"/>
        <s v="HCA"/>
        <s v="PEAK"/>
        <s v="HSIC"/>
        <s v="HES"/>
        <s v="HPE"/>
        <s v="HLT"/>
        <s v="HOLX"/>
        <s v="HD"/>
        <s v="HON"/>
        <s v="HRL"/>
        <s v="HST"/>
        <s v="HWM"/>
        <s v="HPQ"/>
        <s v="HUM"/>
        <s v="HBAN"/>
        <s v="HII"/>
        <s v="IBM"/>
        <s v="IEX"/>
        <s v="IDXX"/>
        <s v="INFO"/>
        <s v="ITW"/>
        <s v="ILMN"/>
        <s v="INCY"/>
        <s v="IR"/>
        <s v="INTC"/>
        <s v="ICE"/>
        <s v="IFF"/>
        <s v="IP"/>
        <s v="IPG"/>
        <s v="INTU"/>
        <s v="ISRG"/>
        <s v="IVZ"/>
        <s v="IPGP"/>
        <s v="IQV"/>
        <s v="IRM"/>
        <s v="JBHT"/>
        <s v="JKHY"/>
        <s v="J"/>
        <s v="SJM"/>
        <s v="JNJ"/>
        <s v="JCI"/>
        <s v="JPM"/>
        <s v="JNPR"/>
        <s v="KSU"/>
        <s v="K"/>
        <s v="KEY"/>
        <s v="KEYS"/>
        <s v="KMB"/>
        <s v="KIM"/>
        <s v="KMI"/>
        <s v="KLAC"/>
        <s v="KHC"/>
        <s v="KR"/>
        <s v="LHX"/>
        <s v="LH"/>
        <s v="LRCX"/>
        <s v="LW"/>
        <s v="LVS"/>
        <s v="LEG"/>
        <s v="LDOS"/>
        <s v="LEN"/>
        <s v="LNC"/>
        <s v="LIN"/>
        <s v="LYV"/>
        <s v="LKQ"/>
        <s v="LMT"/>
        <s v="L"/>
        <s v="LOW"/>
        <s v="LUMN"/>
        <s v="LYB"/>
        <s v="MTB"/>
        <s v="MRO"/>
        <s v="MPC"/>
        <s v="MKTX"/>
        <s v="MAR"/>
        <s v="MMC"/>
        <s v="MLM"/>
        <s v="MAS"/>
        <s v="MA"/>
        <s v="MTCH"/>
        <s v="MKC"/>
        <s v="MCD"/>
        <s v="MCK"/>
        <s v="MDT"/>
        <s v="MRK"/>
        <s v="MET"/>
        <s v="MTD"/>
        <s v="MGM"/>
        <s v="MCHP"/>
        <s v="MU"/>
        <s v="MSFT"/>
        <s v="MAA"/>
        <s v="MRNA"/>
        <s v="MHK"/>
        <s v="TAP"/>
        <s v="MDLZ"/>
        <s v="MPWR"/>
        <s v="MNST"/>
        <s v="MCO"/>
        <s v="MS"/>
        <s v="MSI"/>
        <s v="MSCI"/>
        <s v="NDAQ"/>
        <s v="NTAP"/>
        <s v="NFLX"/>
        <s v="NWL"/>
        <s v="NEM"/>
        <s v="NWSA"/>
        <s v="NWS"/>
        <s v="NEE"/>
        <s v="NLSN"/>
        <s v="NKE"/>
        <s v="NI"/>
        <s v="NSC"/>
        <s v="NTRS"/>
        <s v="NOC"/>
        <s v="NLOK"/>
        <s v="NCLH"/>
        <s v="NRG"/>
        <s v="NUE"/>
        <s v="NVDA"/>
        <s v="NVR"/>
        <s v="NXPI"/>
        <s v="ORLY"/>
        <s v="OXY"/>
        <s v="ODFL"/>
        <s v="OMC"/>
        <s v="OKE"/>
        <s v="ORCL"/>
        <s v="OGN"/>
        <s v="OTIS"/>
        <s v="PCAR"/>
        <s v="PKG"/>
        <s v="PH"/>
        <s v="PAYX"/>
        <s v="PAYC"/>
        <s v="PYPL"/>
        <s v="PENN"/>
        <s v="PNR"/>
        <s v="PBCT"/>
        <s v="PEP"/>
        <s v="PKI"/>
        <s v="PFE"/>
        <s v="PM"/>
        <s v="PSX"/>
        <s v="PNW"/>
        <s v="PXD"/>
        <s v="PNC"/>
        <s v="POOL"/>
        <s v="PPG"/>
        <s v="PPL"/>
        <s v="PFG"/>
        <s v="PG"/>
        <s v="PGR"/>
        <s v="PLD"/>
        <s v="PRU"/>
        <s v="PTC"/>
        <s v="PEG"/>
        <s v="PSA"/>
        <s v="PHM"/>
        <s v="PVH"/>
        <s v="QRVO"/>
        <s v="QCOM"/>
        <s v="PWR"/>
        <s v="DGX"/>
        <s v="RL"/>
        <s v="RJF"/>
        <s v="RTX"/>
        <s v="O"/>
        <s v="REG"/>
        <s v="REGN"/>
        <s v="RF"/>
        <s v="RSG"/>
        <s v="RMD"/>
        <s v="RHI"/>
        <s v="ROK"/>
        <s v="ROL"/>
        <s v="ROP"/>
        <s v="ROST"/>
        <s v="RCL"/>
        <s v="SPGI"/>
        <s v="CRM"/>
        <s v="SBAC"/>
        <s v="SLB"/>
        <s v="STX"/>
        <s v="SEE"/>
        <s v="SRE"/>
        <s v="NOW"/>
        <s v="SHW"/>
        <s v="SPG"/>
        <s v="SWKS"/>
        <s v="SNA"/>
        <s v="SO"/>
        <s v="LUV"/>
        <s v="SWK"/>
        <s v="SBUX"/>
        <s v="STT"/>
        <s v="STE"/>
        <s v="SYK"/>
        <s v="SIVB"/>
        <s v="SYF"/>
        <s v="SNPS"/>
        <s v="SYY"/>
        <s v="TMUS"/>
        <s v="TROW"/>
        <s v="TTWO"/>
        <s v="TPR"/>
        <s v="TGT"/>
        <s v="TEL"/>
        <s v="TDY"/>
        <s v="TFX"/>
        <s v="TER"/>
        <s v="TSLA"/>
        <s v="TXN"/>
        <s v="TXT"/>
        <s v="COO"/>
        <s v="HIG"/>
        <s v="HSY"/>
        <s v="MOS"/>
        <s v="TRV"/>
        <s v="DIS"/>
        <s v="TMO"/>
        <s v="TJX"/>
        <s v="TSCO"/>
        <s v="TT"/>
        <s v="TDG"/>
        <s v="TRMB"/>
        <s v="TFC"/>
        <s v="TWTR"/>
        <s v="TYL"/>
        <s v="TSN"/>
        <s v="USB"/>
        <s v="ULTA"/>
        <s v="UAA"/>
        <s v="UA"/>
        <s v="UNP"/>
        <s v="UAL"/>
        <s v="UPS"/>
        <s v="URI"/>
        <s v="UNH"/>
        <s v="UHS"/>
        <s v="VLO"/>
        <s v="VTR"/>
        <s v="VRSN"/>
        <s v="VRSK"/>
        <s v="VZ"/>
        <s v="VRTX"/>
        <s v="VFC"/>
        <s v="VIAC"/>
        <s v="VTRS"/>
        <s v="V"/>
        <s v="VNO"/>
        <s v="VMC"/>
        <s v="WRB"/>
        <s v="GWW"/>
        <s v="WAB"/>
        <s v="WBA"/>
        <s v="WMT"/>
        <s v="WM"/>
        <s v="WAT"/>
        <s v="WEC"/>
        <s v="WFC"/>
        <s v="WELL"/>
        <s v="WST"/>
        <s v="WDC"/>
        <s v="WU"/>
        <s v="WRK"/>
        <s v="WY"/>
        <s v="WHR"/>
        <s v="WMB"/>
        <s v="WLTW"/>
        <s v="WYNN"/>
        <s v="XEL"/>
        <s v="XLNX"/>
        <s v="XYL"/>
        <s v="YUM"/>
        <s v="ZBRA"/>
        <s v="ZBH"/>
        <s v="ZION"/>
        <s v="ZTS"/>
      </sharedItems>
    </cacheField>
    <cacheField name="Research Development" numFmtId="0">
      <sharedItems containsString="0" containsBlank="1" containsNumber="1" containsInteger="1">
        <n v="4.82E8"/>
        <n v="5.14E8"/>
        <n v="5.2E8"/>
        <n v="4.49E8"/>
        <m/>
        <n v="6.72E8"/>
        <n v="6.54E8"/>
        <n v="6.43E8"/>
        <n v="1.655E9"/>
        <n v="1.784E9"/>
        <n v="1.731E9"/>
        <n v="1.821E9"/>
        <n v="4.1041E7"/>
        <n v="3.6837E7"/>
        <n v="3.2599E7"/>
        <n v="3.2105E7"/>
        <n v="3.29E8"/>
        <n v="3.35E8"/>
        <n v="3.53E8"/>
        <n v="3.48E8"/>
        <n v="6.51E8"/>
        <n v="6.12E8"/>
        <n v="6.2E8"/>
        <n v="5.58E8"/>
        <n v="7.65E8"/>
        <n v="6.59E8"/>
        <n v="6.1E8"/>
        <n v="5.73E8"/>
        <n v="1.13E8"/>
        <n v="1.09E8"/>
        <n v="1.03E8"/>
        <n v="1.02E8"/>
        <n v="2.57E7"/>
        <n v="2.32E7"/>
        <n v="2.11E7"/>
        <n v="2.35E7"/>
        <n v="8.2899E7"/>
        <n v="7.7255E7"/>
        <n v="8.2045E7"/>
        <n v="6.7228E7"/>
        <n v="1.3289E7"/>
        <n v="1.3976E7"/>
        <n v="1.4636E7"/>
        <n v="1.5375E7"/>
        <n v="6.5587E7"/>
        <n v="5.7715E7"/>
        <n v="5.4537E7"/>
        <n v="4.8887E7"/>
        <n v="7.675E9"/>
        <n v="7.485E9"/>
        <n v="7.022E9"/>
        <n v="6.856E9"/>
        <n v="1.1794E10"/>
        <n v="1.0584E10"/>
        <n v="1.6466E10"/>
        <n v="9.334E9"/>
        <n v="2.6E7"/>
        <n v="2.5E7"/>
        <n v="2.3E7"/>
        <n v="1.082E9"/>
        <n v="9.67E8"/>
        <n v="1.229E9"/>
        <n v="1.062E9"/>
        <n v="2.607E8"/>
        <n v="3.06617E8"/>
        <n v="3.02238E8"/>
        <n v="2.8815E8"/>
        <n v="2.80239E8"/>
        <n v="1.00879E8"/>
        <n v="1.00479E8"/>
        <n v="9.651E7"/>
        <n v="8.6616E7"/>
        <n v="5.717E9"/>
        <n v="5.262E9"/>
        <n v="5.163E9"/>
        <n v="4.978E9"/>
        <n v="6.4E8"/>
        <n v="6.17E8"/>
        <n v="6.06E8"/>
        <n v="5.6E8"/>
        <n v="1.43293E8"/>
        <n v="1.32487E8"/>
        <n v="1.41147E8"/>
        <n v="1.28049E8"/>
        <n v="2.678E8"/>
        <n v="2.558E8"/>
        <n v="2.44E8"/>
        <n v="2.234E8"/>
        <n v="1.128E8"/>
        <n v="1.39E8"/>
        <n v="1.28E8"/>
        <n v="1.32E8"/>
        <n v="1.22E8"/>
        <n v="3.44E8"/>
        <n v="3.17E8"/>
        <n v="2.91E8"/>
        <n v="2.99E8"/>
        <n v="6.5291E7"/>
        <n v="5.6912E7"/>
        <n v="6.6965E7"/>
        <n v="5.9546E7"/>
        <n v="2.0721E7"/>
        <n v="1.7052E7"/>
        <n v="1.6789E7"/>
        <n v="1.6041E7"/>
        <n v="5.851E8"/>
        <n v="5.142E8"/>
        <n v="1.7198E9"/>
        <n v="1.1409E9"/>
        <n v="5.75E8"/>
        <n v="4.97E8"/>
        <n v="4.99E8"/>
        <n v="6.05E8"/>
        <n v="2.98E8"/>
        <n v="2.76E8"/>
        <n v="2.82E8"/>
        <n v="3.15E8"/>
        <n v="2.261E9"/>
        <n v="2.225E9"/>
        <n v="2.579E9"/>
        <n v="2.273E9"/>
        <n v="1.205E9"/>
        <n v="1.238E9"/>
        <n v="1.211E9"/>
        <n v="1.182E9"/>
        <n v="2.85227E8"/>
        <n v="2.70992E8"/>
        <n v="2.90309E8"/>
        <n v="2.50934E8"/>
        <n v="2.2E7"/>
        <n v="1.9E7"/>
        <n v="2.0E7"/>
        <n v="2.4E7"/>
        <n v="1.25E8"/>
        <n v="1.21E8"/>
        <n v="1.27E8"/>
        <n v="1.0E8"/>
        <n v="3.74E8"/>
        <n v="3.41E8"/>
        <n v="1.936E8"/>
        <n v="1.92327E8"/>
        <n v="1.97906E8"/>
        <n v="1.86826E8"/>
        <n v="1.697E9"/>
        <n v="1.527E9"/>
        <n v="1.612E9"/>
        <n v="1.565E9"/>
        <n v="1.46179E8"/>
        <n v="1.44158E8"/>
        <n v="1.32517E8"/>
        <n v="1.30628E8"/>
        <n v="4.5E7"/>
        <n v="3.2E7"/>
        <n v="4.0E7"/>
        <n v="2.38E8"/>
        <n v="2.22E8"/>
        <n v="2.28E8"/>
        <n v="2.13E8"/>
        <n v="2.93E8"/>
        <n v="2.81E8"/>
        <n v="3.05E8"/>
        <n v="2.84E8"/>
        <n v="2.6E8"/>
        <n v="2.55E8"/>
        <n v="2.24E8"/>
        <n v="4.26E8"/>
        <n v="3.8E8"/>
        <n v="3.958E8"/>
        <n v="3.426E8"/>
        <n v="3.94E8"/>
        <n v="3.77E8"/>
        <n v="3.66E8"/>
        <n v="3.88E8"/>
        <n v="3.7E7"/>
        <n v="1.15E8"/>
        <n v="1.291E8"/>
        <n v="1.094E8"/>
        <n v="1.192E8"/>
        <n v="8.77E7"/>
        <n v="3.44E7"/>
        <n v="4.12E7"/>
        <n v="1.42101E8"/>
        <n v="1.94E8"/>
        <n v="2.14E8"/>
        <n v="1.93E8"/>
        <n v="1.48E8"/>
        <n v="1.56E8"/>
        <n v="2.16E8"/>
        <n v="1.99E8"/>
        <n v="6.3E7"/>
        <n v="5.8E7"/>
        <n v="5.7E7"/>
        <n v="5.6E7"/>
        <n v="1.54E8"/>
        <n v="1.4E8"/>
        <n v="3.5E8"/>
        <n v="3.04E8"/>
        <n v="2.87E8"/>
        <n v="2.253E8"/>
        <n v="2.07E8"/>
        <n v="1.957E8"/>
        <n v="1.955E8"/>
        <n v="5.15E8"/>
        <n v="4.68E8"/>
        <n v="4.51E8"/>
        <n v="4.21E8"/>
        <n v="1.6848E9"/>
        <n v="1.838E9"/>
        <n v="1.4654E9"/>
        <n v="1.3902E9"/>
        <n v="2.1818E7"/>
        <n v="1.5801E7"/>
        <n v="1.5052E7"/>
        <n v="1.3192E7"/>
        <n v="6.1753E7"/>
        <n v="5.3706E7"/>
        <n v="5.1157E7"/>
        <n v="4.5908E7"/>
        <n v="2.47E8"/>
        <n v="2.23E8"/>
        <n v="1.30608E8"/>
        <n v="1.14191E8"/>
        <n v="1.203E8"/>
        <n v="1.15991E8"/>
        <n v="6.096E9"/>
        <n v="5.197E9"/>
        <n v="5.207E9"/>
        <n v="4.763E9"/>
        <n v="6.59E7"/>
        <n v="7.4E7"/>
        <n v="8.46E7"/>
        <n v="7.17E7"/>
        <n v="1.066E8"/>
        <n v="9.72E7"/>
        <n v="8.9E7"/>
        <n v="9.0E7"/>
        <n v="8.78E7"/>
        <n v="8.62E7"/>
        <n v="-1.03E7"/>
        <n v="1.107E8"/>
        <n v="4.6E7"/>
        <n v="2.00981E8"/>
        <n v="2.03214E8"/>
        <n v="1.99672E8"/>
        <n v="1.74882E8"/>
        <n v="2.2388E7"/>
        <n v="2.1489E7"/>
        <n v="2.0658E7"/>
        <n v="1.9455E7"/>
        <n v="6.04E8"/>
        <n v="5.61E8"/>
        <n v="2.565E9"/>
        <n v="1.134E9"/>
        <n v="1.055E9"/>
        <n v="1.412E9"/>
        <n v="1.158E9"/>
        <n v="4.471E7"/>
        <n v="8.72E7"/>
        <n v="6.18E7"/>
        <n v="8.4659E7"/>
        <n v="6.2709E7"/>
        <n v="5.06E8"/>
        <n v="5.03E8"/>
        <n v="4.84E8"/>
        <n v="6.9E7"/>
        <n v="7.15E7"/>
        <n v="5.93E7"/>
        <n v="3.19E7"/>
        <n v="4000000.0"/>
        <n v="5000000.0"/>
        <n v="4.77E8"/>
        <n v="4.71E8"/>
        <n v="3.81E8"/>
        <n v="1.657E9"/>
        <n v="1.63E9"/>
        <n v="1.611E9"/>
        <n v="1.515E9"/>
        <n v="3.7697E7"/>
        <n v="3.7579E7"/>
        <n v="3.8777E7"/>
        <n v="3.7517E7"/>
        <n v="1.97E8"/>
        <n v="1.26E8"/>
        <n v="1.72E8"/>
        <n v="1.55E8"/>
        <n v="3.715E9"/>
        <n v="3.623E9"/>
        <n v="3.655E9"/>
        <n v="3.272E9"/>
        <n v="1.64E8"/>
        <n v="1.43E8"/>
        <n v="1.00038E8"/>
        <n v="8.9968E7"/>
        <n v="4.64E8"/>
        <n v="3.68E8"/>
        <n v="3.25E8"/>
        <n v="3.93E8"/>
        <n v="1.598E8"/>
        <n v="1.498E8"/>
        <n v="1.432E8"/>
        <n v="3.1766E7"/>
        <n v="3.171E7"/>
        <n v="3.1584E7"/>
        <n v="3.1838E7"/>
        <n v="2.8814E7"/>
        <n v="2.7395E7"/>
        <n v="2.678E7"/>
        <n v="2.6057E7"/>
        <n v="3.394E9"/>
        <n v="3.178E9"/>
        <n v="4.032E9"/>
        <n v="2.84E9"/>
        <n v="2.74E8"/>
        <n v="2.458E8"/>
        <n v="2.547E8"/>
        <n v="2.425E8"/>
        <n v="2.424E8"/>
        <n v="2.09E8"/>
        <n v="1.69E8"/>
        <n v="2.41428E8"/>
        <n v="2.38957E8"/>
        <n v="2.29064E8"/>
        <n v="2.19038E8"/>
        <n v="1.19E8"/>
        <n v="3.81749E8"/>
        <n v="3.8112E8"/>
        <n v="3.75172E8"/>
        <n v="3.55367E8"/>
        <n v="1.29E7"/>
        <n v="3.4E7"/>
        <n v="3.5E7"/>
        <n v="3.8E7"/>
        <n v="3.6E7"/>
        <n v="3.0E7"/>
        <n v="2.9E7"/>
        <n v="5.2133E7"/>
        <n v="5.5576E7"/>
        <n v="4.4832E7"/>
        <n v="3.928E7"/>
        <n v="6.86E7"/>
        <n v="7.5E8"/>
        <n v="6.32E8"/>
        <n v="6.01E8"/>
        <n v="6.39E8"/>
        <n v="2.611E9"/>
        <n v="2.458E9"/>
        <n v="2.617E9"/>
        <n v="2.539E9"/>
        <n v="3.9272E7"/>
        <n v="3.9866E7"/>
        <n v="3.4656E7"/>
        <n v="3.1193E7"/>
        <n v="2.384E8"/>
        <n v="2.285E8"/>
        <n v="2.101E8"/>
        <n v="1.998E8"/>
        <n v="6.41E8"/>
        <n v="6.47E8"/>
        <n v="6.3E8"/>
        <n v="6.49E8"/>
        <n v="5.687E9"/>
        <n v="5.204E9"/>
        <n v="4.899E9"/>
        <n v="4.926E9"/>
        <n v="4.4753E7"/>
        <n v="4.1892E7"/>
        <n v="4.2252E7"/>
        <n v="3.7717E7"/>
        <n v="1.81E8"/>
        <n v="1.8E8"/>
        <n v="1.75E8"/>
        <n v="2.7531E7"/>
        <n v="2.4862E7"/>
        <n v="2.7056E7"/>
        <n v="2.4901E7"/>
        <n v="2.21E8"/>
        <n v="2.15E8"/>
        <n v="2.12E8"/>
        <n v="2.33E8"/>
        <n v="5.25207E8"/>
        <n v="4.86936E8"/>
        <n v="4.53802E8"/>
        <n v="4.35045E8"/>
        <n v="1.44E8"/>
        <n v="3.1E7"/>
        <n v="3.9E7"/>
        <n v="6.8E7"/>
        <n v="7.1E7"/>
        <n v="2000000.0"/>
        <n v="1000000.0"/>
        <n v="1.245E9"/>
        <n v="1.153E9"/>
        <n v="1.146E9"/>
        <n v="1.047E9"/>
        <n v="4.75E8"/>
        <n v="4.61E8"/>
        <n v="4.38E8"/>
        <n v="4.31E8"/>
        <n v="1.684E9"/>
        <n v="1.715E9"/>
        <n v="1.621E9"/>
        <n v="1.601E9"/>
        <n v="7.6E7"/>
        <n v="6.7E7"/>
        <n v="5.1E7"/>
        <n v="7.25E7"/>
        <n v="8.44E7"/>
        <n v="8.01E7"/>
        <n v="3.1077E7"/>
        <n v="2.8224E7"/>
        <n v="2.4711E7"/>
        <n v="2.5073E7"/>
        <n v="7.55E8"/>
        <n v="7.46E8"/>
        <n v="7.41E8"/>
        <n v="7.32E8"/>
        <n v="2.19E7"/>
        <n v="2.1E7"/>
        <n v="2.15E7"/>
        <n v="2.01E7"/>
        <n v="7.19E8"/>
        <n v="6.8608E7"/>
        <n v="6.5824E7"/>
        <n v="6.0216E7"/>
        <n v="5.6823E7"/>
        <n v="2.739E9"/>
        <n v="2.271E9"/>
        <n v="2.011E9"/>
        <n v="2.828E9"/>
        <n v="1.14E8"/>
        <n v="1.07E8"/>
        <n v="7.8403E7"/>
        <n v="7.8134E7"/>
        <n v="7.2545E7"/>
        <n v="7.0835E7"/>
        <n v="1.58377E8"/>
        <n v="1.52079E8"/>
        <n v="1.47285E8"/>
        <n v="1.36697E8"/>
        <n v="1.879E9"/>
        <n v="1.864E9"/>
        <n v="1.78E9"/>
        <n v="1.653E9"/>
        <n v="6.76E8"/>
        <n v="6.57E8"/>
        <n v="5.89E8"/>
        <n v="7.1E8"/>
        <n v="5.995E7"/>
        <n v="5.9875E7"/>
        <n v="5.5941E7"/>
        <n v="5.4935E7"/>
        <n v="4.461E8"/>
        <n v="1.02E9"/>
        <n v="9.51E8"/>
        <n v="9.39E8"/>
        <n v="9.02E8"/>
        <n v="1.34E8"/>
        <n v="1.35E8"/>
        <n v="2.32E8"/>
        <n v="2.27E8"/>
        <n v="3.58E8"/>
        <n v="3.33E8"/>
        <n v="3.14E8"/>
        <n v="2.84297E8"/>
        <n v="1.492E8"/>
        <n v="1.308E8"/>
        <n v="1.307E8"/>
        <n v="1.216E8"/>
        <n v="1.8192E7"/>
        <n v="1.7514E7"/>
        <n v="1.6438E7"/>
        <n v="1.6143E7"/>
        <n v="3.1E8"/>
        <n v="2.88E8"/>
        <n v="2.42E8"/>
        <n v="3.71146E8"/>
        <n v="3.62345E8"/>
        <n v="3.57468E8"/>
        <n v="3.39566E8"/>
        <n v="1.01508E8"/>
        <n v="9.2294E7"/>
        <n v="8.3559E7"/>
        <n v="8.6428E7"/>
        <n v="1.68E8"/>
        <n v="1.74E8"/>
        <n v="1.62E8"/>
        <n v="3.3283E7"/>
        <n v="2.9947E7"/>
        <n v="3.3769E7"/>
        <n v="2.9218E7"/>
        <n v="1.10021E8"/>
        <n v="1.00402E8"/>
        <n v="1.00794E8"/>
        <n v="9.4909E7"/>
        <n v="6.66E8"/>
        <n v="5.22E8"/>
        <n v="2.79E8"/>
        <n v="3.91E8"/>
        <n v="3.86E8"/>
        <n v="2.48E7"/>
        <n v="2.14E7"/>
        <n v="2.55E7"/>
        <n v="3.7577E7"/>
        <n v="3.43E8"/>
        <n v="3.2E8"/>
        <n v="3.76E8"/>
        <n v="2.96E8"/>
        <n v="1.383E8"/>
        <n v="1.294E8"/>
        <n v="1.258E8"/>
        <n v="1.179E8"/>
        <n v="2.99859E8"/>
        <n v="2.50709E8"/>
        <n v="2.4794E8"/>
        <n v="2.08877E8"/>
        <n v="2.1813E7"/>
        <n v="2.2411E7"/>
        <n v="2.1642E7"/>
        <n v="2.1949E7"/>
        <n v="1.9808E7"/>
        <n v="2.0311E7"/>
        <n v="1.9403E7"/>
        <n v="1.9708E7"/>
        <n v="1.438E8"/>
        <n v="1.63E8"/>
        <n v="1.533E8"/>
        <n v="3.77E7"/>
        <n v="3.84E7"/>
        <n v="3.65E7"/>
        <n v="3.82E7"/>
        <n v="4.4949E7"/>
        <n v="3.8092E7"/>
        <n v="3.9662E7"/>
        <n v="3.4971E7"/>
        <n v="1.38E7"/>
        <n v="1.22E7"/>
        <n v="1.25E7"/>
        <n v="5.55E8"/>
        <n v="5.35E8"/>
        <n v="5.46E8"/>
        <n v="2.47975E8"/>
        <n v="2.39863E8"/>
        <n v="2.35018E8"/>
        <n v="2.19647E8"/>
        <n v="5.3E7"/>
        <n v="5.0E7"/>
        <n v="4.9E7"/>
        <n v="1.41E8"/>
        <n v="1.37E8"/>
        <n v="1.805E8"/>
        <n v="9.44E7"/>
        <n v="8.59E7"/>
        <n v="1.2E8"/>
        <n v="1.18E8"/>
        <n v="1.33E8"/>
        <n v="1.12E8"/>
      </sharedItems>
    </cacheField>
    <cacheField name="Income Before Tax" numFmtId="0">
      <sharedItems containsString="0" containsBlank="1" containsNumber="1" containsInteger="1">
        <n v="1.761E9"/>
        <n v="1.94E9"/>
        <n v="1.946E9"/>
        <n v="1.706E9"/>
        <n v="1.664E8"/>
        <n v="1.513E8"/>
        <n v="1.261E8"/>
        <n v="1.519E8"/>
        <n v="2.493E9"/>
        <n v="1.348E9"/>
        <n v="2.043E9"/>
        <n v="2.388E9"/>
        <n v="3.688E9"/>
        <n v="1.163E9"/>
        <n v="3.867E9"/>
        <n v="-1.507E9"/>
        <n v="6.7271E7"/>
        <n v="-9350000.0"/>
        <n v="7.3494E7"/>
        <n v="8.0735E7"/>
        <n v="1.917805E9"/>
        <n v="2.094001E9"/>
        <n v="1.762443E9"/>
        <n v="1.986867E9"/>
        <n v="7.59E8"/>
        <n v="1.002E9"/>
        <n v="7.65E8"/>
        <n v="5.63E8"/>
        <n v="6.53E8"/>
        <n v="8.25E8"/>
        <n v="8.24E8"/>
        <n v="7.56E8"/>
        <n v="1.418E9"/>
        <n v="1.386E9"/>
        <n v="1.433E9"/>
        <n v="1.197E9"/>
        <n v="2.37765E8"/>
        <n v="2.45774E8"/>
        <n v="1.005E9"/>
        <n v="8.23E8"/>
        <n v="6.44E8"/>
        <n v="5.49E8"/>
        <n v="6.11E8"/>
        <n v="-1.4E8"/>
        <n v="-2.1E7"/>
        <n v="5.62E8"/>
        <n v="1.113E9"/>
        <n v="1.373E9"/>
        <n v="1.603E9"/>
        <n v="1.217E9"/>
        <n v="3.27E8"/>
        <n v="2.73E8"/>
        <n v="3.12E8"/>
        <n v="2.83E8"/>
        <n v="6.923E8"/>
        <n v="6.258E8"/>
        <n v="5.99E8"/>
        <n v="5.903E8"/>
        <n v="1.92564E8"/>
        <n v="1.74506E8"/>
        <n v="1.67593E8"/>
        <n v="1.17528E8"/>
        <n v="-4.89103E8"/>
        <n v="5.53193E8"/>
        <n v="1.39805E8"/>
        <n v="9.2076E7"/>
        <n v="2.45E8"/>
        <n v="5.28E8"/>
        <n v="-1.73E8"/>
        <n v="-6.43E8"/>
        <n v="1.24433E8"/>
        <n v="4.0452E8"/>
        <n v="2.5533E7"/>
        <n v="4.57133E8"/>
        <n v="2.61988E8"/>
        <n v="2.68802E8"/>
        <n v="2.61621E8"/>
        <n v="2.14542E8"/>
        <n v="1.408E8"/>
        <n v="1.362E8"/>
        <n v="1.225E8"/>
        <n v="1.058E8"/>
        <n v="2.35E8"/>
        <n v="1.27E8"/>
        <n v="1.43E8"/>
        <n v="5.4E7"/>
        <n v="2.26E8"/>
        <n v="1.797E9"/>
        <n v="3.032E9"/>
        <n v="3.31E9"/>
        <n v="2.1985E10"/>
        <n v="2.1283E10"/>
        <n v="1.8689E10"/>
        <n v="1.3359E10"/>
        <n v="2.909E9"/>
        <n v="1.937E9"/>
        <n v="2.541E9"/>
        <n v="-3.24E8"/>
        <n v="8.646E9"/>
        <n v="1.0263E10"/>
        <n v="7.787E9"/>
        <n v="6.9E9"/>
        <n v="3.33E8"/>
        <n v="3.41E8"/>
        <n v="2.77E8"/>
        <n v="2.61E8"/>
        <n v="2.39E8"/>
        <n v="2.62E8"/>
        <n v="1.37E8"/>
        <n v="4.32E8"/>
        <n v="9000000.0"/>
        <n v="-1.573E9"/>
        <n v="-2.809E9"/>
        <n v="-3.095E9"/>
        <n v="6.35E8"/>
        <n v="6.333E8"/>
        <n v="4.173E8"/>
        <n v="7.47E8"/>
        <n v="2.94E9"/>
        <n v="2.993E9"/>
        <n v="1.858E9"/>
        <n v="1.364E9"/>
        <n v="1.47E8"/>
        <n v="4.728E9"/>
        <n v="-5.58E8"/>
        <n v="3.68E8"/>
        <n v="8.207E8"/>
        <n v="7.026E8"/>
        <n v="4.197E8"/>
        <n v="5.022E8"/>
        <n v="2.51E8"/>
        <n v="1.55E8"/>
        <n v="1.81E8"/>
        <n v="3.52E8"/>
        <n v="7.21E8"/>
        <n v="4.93E8"/>
        <n v="1.9E8"/>
        <n v="-1.84E8"/>
        <n v="5.7353E8"/>
        <n v="5.66511E8"/>
        <n v="5.27882E8"/>
        <n v="-6.143457E9"/>
        <n v="2.91755E8"/>
        <n v="2.72456E8"/>
        <n v="2.76707E8"/>
        <n v="2.48075E8"/>
        <n v="5.58E8"/>
        <n v="1.857E9"/>
        <n v="1.877E9"/>
        <n v="2.206E9"/>
        <n v="4.359E8"/>
        <n v="4.602E8"/>
        <n v="4.488E8"/>
        <n v="3.285E8"/>
        <n v="5.72278E8"/>
        <n v="4.75985E8"/>
        <n v="4.36618E8"/>
        <n v="4.1731E8"/>
        <n v="1.2886E8"/>
        <n v="4.7623E7"/>
        <n v="2.57872E8"/>
        <n v="9.0144E7"/>
        <n v="1.996E9"/>
        <n v="2.353E9"/>
        <n v="2.176E9"/>
        <n v="5.96E8"/>
        <n v="1.167E9"/>
        <n v="6.26E8"/>
        <n v="3.63E8"/>
        <n v="4.95E8"/>
        <n v="6.2E8"/>
        <n v="7.0E7"/>
        <n v="7.2E7"/>
        <n v="2.4369E10"/>
        <n v="2.8011E10"/>
        <n v="3.3579E10"/>
        <n v="1.4901E10"/>
        <n v="1.98E9"/>
        <n v="1.545E9"/>
        <n v="1.24E9"/>
        <n v="1.243E9"/>
        <n v="1.94E8"/>
        <n v="3.48E8"/>
        <n v="3.7E8"/>
        <n v="3.03E8"/>
        <n v="2.21084E8"/>
        <n v="2.07867E8"/>
        <n v="2.0018E8"/>
        <n v="2.01619E8"/>
        <n v="2.223E8"/>
        <n v="4.084E8"/>
        <n v="1.337E8"/>
        <n v="2.095E8"/>
        <n v="2.366E8"/>
        <n v="1.931E8"/>
        <n v="1.834E8"/>
        <n v="-4100000.0"/>
        <n v="2.625E9"/>
        <n v="1.0064E10"/>
        <n v="-1.5553E10"/>
        <n v="3.934E9"/>
        <n v="1.18315E8"/>
        <n v="3.58542E8"/>
        <n v="2.82902E8"/>
        <n v="8.3389E7"/>
        <n v="1.388E8"/>
        <n v="1.314E8"/>
        <n v="1.711E8"/>
        <n v="1.561E8"/>
        <n v="6.971E8"/>
        <n v="1.0662E9"/>
        <n v="8.326E8"/>
        <n v="7.652E8"/>
        <n v="9.8591E8"/>
        <n v="7.58479E8"/>
        <n v="4.35755E8"/>
        <n v="5.69046E8"/>
        <n v="4.47987E8"/>
        <n v="1.41479E8"/>
        <n v="3.38936E8"/>
        <n v="1.4769E8"/>
        <n v="2.542E8"/>
        <n v="2.676E8"/>
        <n v="2.544E8"/>
        <n v="1.968E8"/>
        <n v="2.09E8"/>
        <n v="6.6E7"/>
        <n v="-5.36E8"/>
        <n v="1.52E9"/>
        <n v="3.18E8"/>
        <n v="2.32E8"/>
        <n v="2.34E8"/>
        <n v="3.13E8"/>
        <n v="8.95E9"/>
        <n v="8.042E9"/>
        <n v="9.166E9"/>
        <n v="6.119E9"/>
        <n v="4.99E8"/>
        <n v="3.53E8"/>
        <n v="1.155E9"/>
        <n v="4.1E8"/>
        <n v="3.92E8"/>
        <n v="3.51E8"/>
        <n v="2.1E8"/>
        <n v="4.15E8"/>
        <n v="5.14E8"/>
        <n v="3.05E8"/>
        <n v="1.157E9"/>
        <n v="7.98E8"/>
        <n v="7.67E8"/>
        <n v="1.043E9"/>
        <n v="5.55E8"/>
        <n v="1.156775E9"/>
        <n v="1.297203E9"/>
        <n v="1.078533E9"/>
        <n v="1.684461E9"/>
        <n v="7113000.0"/>
        <n v="4.5354E7"/>
        <n v="5.6368E7"/>
        <n v="3.9339E7"/>
        <n v="6.164E8"/>
        <n v="3.709E8"/>
        <n v="9.447E8"/>
        <n v="2.201E9"/>
        <n v="1.591E9"/>
        <n v="2.167E9"/>
        <n v="1.981E9"/>
        <n v="1.162E9"/>
        <n v="1.268E9"/>
        <n v="1.153E9"/>
        <n v="9.03E8"/>
        <n v="-3.1E8"/>
        <n v="-5.72E8"/>
        <n v="-8.625E9"/>
        <n v="-4.1E7"/>
        <n v="-2.78E8"/>
        <n v="8.35E8"/>
        <n v="3.02E8"/>
        <n v="1.36E8"/>
        <n v="2.72E8"/>
        <n v="1.4125E8"/>
        <n v="1.28147E8"/>
        <n v="2.4905E7"/>
        <n v="1.1806E8"/>
        <n v="1.49E8"/>
        <n v="3.25E8"/>
        <n v="3.06E8"/>
        <n v="-2.27E8"/>
        <n v="1.553E9"/>
        <n v="2.53E9"/>
        <n v="-1.0451E10"/>
        <n v="2.257E9"/>
        <n v="1.726E9"/>
        <n v="1.486E9"/>
        <n v="1.384E9"/>
        <n v="1.137E9"/>
        <n v="2.169E8"/>
        <n v="6.94E7"/>
        <n v="7.36E7"/>
        <n v="2.947E8"/>
        <n v="2.39207E8"/>
        <n v="1.30916E8"/>
        <n v="1.58528E8"/>
        <n v="1.29401E8"/>
        <n v="2.12069E8"/>
        <n v="1.94769E8"/>
        <n v="1.60774E8"/>
        <n v="1.78576E8"/>
        <n v="1.83265E8"/>
        <n v="2.02421E8"/>
        <n v="1.86189E8"/>
        <n v="1.65713E8"/>
        <n v="1.01E8"/>
        <n v="-4.96E8"/>
        <n v="-7.89E8"/>
        <n v="2.19E8"/>
        <n v="3.47E8"/>
        <n v="4.06E8"/>
        <n v="1.07E8"/>
        <n v="4.568E9"/>
        <n v="4.196E9"/>
        <n v="3.064E9"/>
        <n v="3.502E9"/>
        <n v="1.19E8"/>
        <n v="4.4E8"/>
        <n v="4.27E8"/>
        <n v="-6.63E8"/>
        <n v="5.67324E8"/>
        <n v="2.62249E8"/>
        <n v="3.10503E8"/>
        <n v="3.88341E8"/>
        <n v="-2.06E9"/>
        <n v="-1.979E9"/>
        <n v="-2.237E9"/>
        <n v="-2.86E9"/>
        <n v="7.31E8"/>
        <n v="4.96E8"/>
        <n v="1.176E9"/>
        <n v="1.009E9"/>
        <n v="2.215E8"/>
        <n v="3.171E8"/>
        <n v="1.09E8"/>
        <n v="6.74E7"/>
        <n v="2.006E9"/>
        <n v="9.47E8"/>
        <n v="8.58E8"/>
        <n v="6.86E8"/>
        <n v="1.792E8"/>
        <n v="1.929E8"/>
        <n v="1.229E8"/>
        <n v="1.634E8"/>
        <n v="5.76887E8"/>
        <n v="3.45304E8"/>
        <n v="4.1044E8"/>
        <n v="2.33902E8"/>
        <n v="3.712E8"/>
        <n v="2.889E8"/>
        <n v="2.95E8"/>
        <n v="2.501E8"/>
        <n v="6.6E8"/>
        <n v="4.09E8"/>
        <n v="1.571E9"/>
        <n v="2.41E8"/>
        <n v="7.2E8"/>
        <n v="-5.42E8"/>
        <n v="9.41E8"/>
        <n v="-7.4E7"/>
        <n v="2.48E8"/>
        <n v="4.37E8"/>
        <n v="2.54E8"/>
        <n v="1.17E8"/>
        <n v="-3.78E7"/>
        <n v="-1.26E7"/>
        <n v="-2.76E7"/>
        <n v="-6300000.0"/>
        <n v="4.7882E7"/>
        <n v="2.19264E8"/>
        <n v="1.76132E8"/>
        <n v="4.5984E8"/>
        <n v="4.02E8"/>
        <n v="1.93E8"/>
        <n v="-9000000.0"/>
        <n v="1.27496E8"/>
        <n v="6.6302E7"/>
        <n v="1.72427E8"/>
        <n v="1.35276E8"/>
        <n v="1.719E9"/>
        <n v="1.96E9"/>
        <n v="1.476E9"/>
        <n v="8.89E8"/>
        <n v="1.754E9"/>
        <n v="1.439E9"/>
        <n v="1.655E9"/>
        <n v="4.422E9"/>
        <n v="2.177E9"/>
        <n v="-9.57E8"/>
        <n v="-4.4E7"/>
        <n v="2.39554E8"/>
        <n v="2.46376E8"/>
        <n v="1.59274E8"/>
        <n v="1.17732E8"/>
        <n v="2.582E9"/>
        <n v="2.638E9"/>
        <n v="2.752E9"/>
        <n v="1.336E9"/>
        <n v="2.893E8"/>
        <n v="2.873E8"/>
        <n v="2.91E8"/>
        <n v="1.769E8"/>
        <n v="1.898E9"/>
        <n v="1.513E9"/>
        <n v="5.378E9"/>
        <n v="1.804E9"/>
        <n v="7.68E8"/>
        <n v="1.316E9"/>
        <n v="6.14E8"/>
        <n v="1.145E9"/>
        <n v="3.72303E8"/>
        <n v="3.31993E8"/>
        <n v="3.02003E8"/>
        <n v="3.28533E8"/>
        <n v="3.591E9"/>
        <n v="3.255E9"/>
        <n v="2.681E9"/>
        <n v="3.306E9"/>
        <n v="7.348E9"/>
        <n v="1.0309E10"/>
        <n v="4.998E9"/>
        <n v="4.076E9"/>
        <n v="8.31E8"/>
        <n v="7.81E8"/>
        <n v="5.71E8"/>
        <n v="3.75E8"/>
        <n v="6.8679E7"/>
        <n v="8.119E7"/>
        <n v="1.19148E8"/>
        <n v="1.15998E8"/>
        <n v="-5.9E7"/>
        <n v="3.32E8"/>
        <n v="5.26E8"/>
        <n v="7.261E8"/>
        <n v="7.523E8"/>
        <n v="5.35E8"/>
        <n v="5.365E8"/>
        <n v="1.79E8"/>
        <n v="1.75E8"/>
        <n v="3.5E8"/>
        <n v="1.97E8"/>
        <n v="3.618E9"/>
        <n v="2.763E9"/>
        <n v="2.361E9"/>
        <n v="2.181E9"/>
        <n v="6.96E8"/>
        <n v="6.65E8"/>
        <n v="4.68E8"/>
        <n v="6.24E8"/>
        <n v="9.53E8"/>
        <n v="9.57E8"/>
        <n v="8.94E8"/>
        <n v="9.67E8"/>
        <n v="5.63E9"/>
        <n v="4.411E9"/>
        <n v="4.416E9"/>
        <n v="2.77E9"/>
        <n v="4.21E8"/>
        <n v="4.48E8"/>
        <n v="2.78E8"/>
        <n v="2.59E8"/>
        <n v="3.833E8"/>
        <n v="4.165E8"/>
        <n v="2.611E8"/>
        <n v="3.08E9"/>
        <n v="1.714E9"/>
        <n v="-1.086E9"/>
        <n v="-5.12E8"/>
        <n v="4.98E8"/>
        <n v="6.21E8"/>
        <n v="2.11E8"/>
        <n v="1.432E8"/>
        <n v="-9.108E8"/>
        <n v="4.853E8"/>
        <n v="1.4686E9"/>
        <n v="3.23535E8"/>
        <n v="2.52452E8"/>
        <n v="2.46815E8"/>
        <n v="2.01883E8"/>
        <n v="5.16E8"/>
        <n v="3.3E8"/>
        <n v="4.5E8"/>
        <n v="1.302E9"/>
        <n v="7.91E8"/>
        <n v="-7.0E7"/>
        <n v="-5.07E8"/>
        <n v="2.291E9"/>
        <n v="1.65E9"/>
        <n v="1.319E9"/>
        <n v="1.42E9"/>
        <n v="4.1304E7"/>
        <n v="1.63015E8"/>
        <n v="1.51853E8"/>
        <n v="-2.1979E7"/>
        <n v="3.39E8"/>
        <n v="1.28E8"/>
        <n v="5.12E8"/>
        <n v="1.68E8"/>
        <n v="1.279E9"/>
        <n v="1.53E9"/>
        <n v="9.37E8"/>
        <n v="9.94E8"/>
        <n v="7.79E8"/>
        <n v="7.83E8"/>
        <n v="3.735E9"/>
        <n v="2.97E9"/>
        <n v="1.225E9"/>
        <n v="1.806E9"/>
        <n v="1.4156E9"/>
        <n v="1.1799E9"/>
        <n v="1.0343E9"/>
        <n v="1.0561E9"/>
        <n v="2.083E9"/>
        <n v="1.5415E9"/>
        <n v="1.0215E9"/>
        <n v="1.323E8"/>
        <n v="1.057E8"/>
        <n v="3.25E7"/>
        <n v="3.94458E8"/>
        <n v="4.3234E8"/>
        <n v="3.76756E8"/>
        <n v="3.27371E8"/>
        <n v="2.158E9"/>
        <n v="2.32E9"/>
        <n v="1.532E9"/>
        <n v="1.088E9"/>
        <n v="7.76E8"/>
        <n v="-1.515E9"/>
        <n v="-1.108E9"/>
        <n v="6.67E7"/>
        <n v="-1.199E8"/>
        <n v="3.04E8"/>
        <n v="-3.2E7"/>
        <n v="-1.1E8"/>
        <n v="-1.93E8"/>
        <n v="7.67E7"/>
        <n v="2.12E7"/>
        <n v="8.13E7"/>
        <n v="7.51E7"/>
        <n v="2.88E8"/>
        <n v="-9.58E8"/>
        <n v="-1.409E9"/>
        <n v="-3.092E9"/>
        <n v="1.7338E8"/>
        <n v="4.02223E8"/>
        <n v="6.283E7"/>
        <n v="1.4599E7"/>
        <n v="2.222E9"/>
        <n v="2.079E9"/>
        <n v="1.015E9"/>
        <n v="9.59E8"/>
        <n v="2.97E8"/>
        <n v="4.16E8"/>
        <n v="3.19E8"/>
        <n v="4.56E8"/>
        <n v="8.98989E8"/>
        <n v="8.57412E8"/>
        <n v="9.89709E8"/>
        <n v="8.06473E8"/>
        <n v="8.68458E8"/>
        <n v="8.31956E8"/>
        <n v="7.32832E8"/>
        <n v="1.003301E9"/>
        <n v="4.869E8"/>
        <n v="6.474E8"/>
        <n v="4.273E8"/>
        <n v="3.399E8"/>
        <n v="2.22E8"/>
        <n v="1.192E9"/>
        <n v="1.021E9"/>
        <n v="2000000.0"/>
        <n v="1.45093E8"/>
        <n v="1.49638E8"/>
        <n v="1.89565E8"/>
        <n v="1.23773E8"/>
        <n v="3.27519E8"/>
        <n v="3.23344E8"/>
        <n v="2.8925E8"/>
        <n v="2.20408E8"/>
        <n v="2.456E9"/>
        <n v="1.323E9"/>
        <n v="1.816E9"/>
        <n v="4.2E7"/>
        <n v="2.01E8"/>
        <n v="4.25E8"/>
        <n v="3.24E8"/>
        <n v="5.4E8"/>
        <n v="7.34E8"/>
        <n v="1.025E9"/>
        <n v="-3.19E8"/>
        <n v="1.339E9"/>
        <n v="8.5388E7"/>
        <n v="1.66418E8"/>
        <n v="7.152E7"/>
        <n v="4.0047E7"/>
        <n v="7.15E8"/>
        <n v="5.73E8"/>
        <n v="1.56E8"/>
        <n v="2.0E7"/>
        <n v="4.24E8"/>
        <n v="-7.93E8"/>
        <n v="1.978E9"/>
        <n v="-3.06E8"/>
        <n v="-1.07E8"/>
        <n v="2.5E7"/>
        <n v="5.38E8"/>
        <n v="5.53E8"/>
        <n v="5.25E8"/>
        <n v="4.01E8"/>
        <n v="7.24E8"/>
        <n v="1.109E9"/>
        <n v="7.74E8"/>
        <n v="3.997E8"/>
        <n v="2.626E8"/>
        <n v="3.78E8"/>
        <n v="2.917E8"/>
        <n v="3.86E8"/>
        <n v="2.23E8"/>
        <n v="5.76E8"/>
        <n v="-5.63E8"/>
        <n v="5.455E8"/>
        <n v="3.893E8"/>
        <n v="3.561E8"/>
        <n v="3.643E8"/>
        <n v="3.08E8"/>
        <n v="1.65E8"/>
        <n v="1.39E8"/>
        <n v="1.4764E9"/>
        <n v="2.4691E9"/>
        <n v="1.4372E9"/>
        <n v="1.6437E9"/>
        <n v="7.84E8"/>
        <n v="7.37E8"/>
        <n v="-1666000.0"/>
        <n v="7.1352E7"/>
        <n v="4.4845E7"/>
        <n v="-5.3855E7"/>
        <n v="-2.439E7"/>
        <n v="4.00507E8"/>
        <n v="9.9096E7"/>
        <n v="6.70563E8"/>
        <n v="1.124E9"/>
        <n v="8.81E8"/>
        <n v="4.2776E8"/>
        <n v="-5.2555E7"/>
        <n v="2.771E8"/>
        <n v="2.685E8"/>
        <n v="1.116E8"/>
        <n v="3.004E8"/>
        <n v="4.996E7"/>
        <n v="1.88702E8"/>
        <n v="9.224E7"/>
        <n v="9.6734E7"/>
        <n v="3.28282E8"/>
        <n v="6.0517E7"/>
        <n v="2.63334E8"/>
        <n v="9.5627E7"/>
        <n v="6.9615E7"/>
        <n v="1.76949E8"/>
        <n v="1.01649E8"/>
        <n v="7.8842E7"/>
        <n v="1.05E9"/>
        <n v="5.8E8"/>
        <n v="1.03E9"/>
        <n v="6.71E8"/>
        <n v="8.5754E7"/>
        <n v="1.57728E8"/>
        <n v="1.53307E8"/>
        <n v="9.0393E7"/>
        <n v="7.60181E8"/>
        <n v="3.73095E8"/>
        <n v="1.19396E8"/>
        <n v="2.72508E8"/>
        <n v="2.079E8"/>
        <n v="2.176E8"/>
        <n v="6.24E7"/>
        <n v="4.175E8"/>
        <n v="3.52789E8"/>
        <n v="4.82003E8"/>
        <n v="3.44368E8"/>
        <n v="4.56382E8"/>
        <n v="-2.83E8"/>
        <n v="6.67E8"/>
        <n v="7.85E8"/>
        <n v="7.93E8"/>
        <n v="-7.5E8"/>
        <n v="-4.95E8"/>
        <n v="-2.24E8"/>
        <n v="-9.53E8"/>
        <n v="3.90461E8"/>
        <n v="2.83907E8"/>
        <n v="2.54429E8"/>
        <n v="2.50982E8"/>
        <n v="1.84E8"/>
        <n v="2.19638E8"/>
        <n v="1.70106E8"/>
        <n v="1.28511E8"/>
        <n v="6.307E9"/>
        <n v="3.592E9"/>
        <n v="-2.6613E10"/>
        <n v="-3.72E8"/>
        <n v="5.2124E7"/>
        <n v="1.17065E8"/>
        <n v="9.7523E7"/>
        <n v="8.7762E7"/>
        <n v="1.2513E10"/>
        <n v="1.1503E10"/>
        <n v="1.3055E10"/>
        <n v="8.133E9"/>
        <n v="3.152E8"/>
        <n v="2.779E8"/>
        <n v="2.622E8"/>
        <n v="2.876E8"/>
        <n v="4.8059E7"/>
        <n v="4.9739E7"/>
        <n v="1.02211E8"/>
        <n v="-3.3623E7"/>
        <n v="2.613E9"/>
        <n v="1.049E9"/>
        <n v="1.406E9"/>
        <n v="1.606E9"/>
        <n v="-4.67E8"/>
        <n v="1.05E8"/>
        <n v="9.11E8"/>
        <n v="8.83E8"/>
        <n v="7.46E8"/>
        <n v="4.51565E8"/>
        <n v="4.28845E8"/>
        <n v="3.79255E8"/>
        <n v="3.64515E8"/>
        <n v="4.22E8"/>
        <n v="2.16E8"/>
        <n v="3.73E8"/>
        <n v="3.36E8"/>
        <n v="4.0E8"/>
        <n v="2.62519E8"/>
        <n v="2.3568E8"/>
        <n v="2.63188E8"/>
        <n v="2.3541E8"/>
        <n v="2.512E8"/>
        <n v="2.235E8"/>
        <n v="1.075E8"/>
        <n v="1.489E8"/>
        <n v="7.35E8"/>
        <n v="3.942E9"/>
        <n v="-3.81E9"/>
        <n v="2.756E9"/>
        <n v="1.45E8"/>
        <n v="1.194E8"/>
        <n v="1.717E8"/>
        <n v="1.284E8"/>
        <n v="2.075E8"/>
        <n v="1.187E8"/>
        <n v="1.018E9"/>
        <n v="2.651E8"/>
        <n v="2.75E8"/>
        <n v="2.237E8"/>
        <n v="2.107E8"/>
        <n v="2.198E8"/>
        <n v="3.57E8"/>
        <n v="7.78E8"/>
        <n v="1.479E9"/>
        <n v="5.554E8"/>
        <n v="6.135E8"/>
        <n v="5.373E8"/>
        <n v="1.996E8"/>
        <n v="1.934E9"/>
        <n v="1.396E9"/>
        <n v="1.469E9"/>
        <n v="7.29E8"/>
        <n v="3.59E8"/>
        <n v="1.87E8"/>
        <n v="7.7E7"/>
        <n v="1.21E8"/>
        <n v="3.72059E8"/>
        <n v="2.50514E8"/>
        <n v="3.91466E8"/>
        <n v="3.36717E8"/>
        <n v="3.79187E8"/>
        <n v="2.14753E8"/>
        <n v="1.56155E8"/>
        <n v="1.4167E7"/>
        <n v="1.85313E8"/>
        <n v="1.63986E8"/>
        <n v="1.47285E8"/>
        <n v="8.2065E7"/>
        <n v="8.45E8"/>
        <n v="1.185E9"/>
        <n v="9.78E8"/>
        <n v="-1.036E9"/>
        <n v="2.36E8"/>
        <n v="2.721E9"/>
        <n v="-1.661E9"/>
        <n v="5.068E8"/>
        <n v="7.658E8"/>
        <n v="8.853E8"/>
        <n v="8.172E8"/>
        <n v="3.75E9"/>
        <n v="4.191E9"/>
        <n v="3.439E9"/>
        <n v="4.905E9"/>
        <n v="2.69607E8"/>
        <n v="2.85859E8"/>
        <n v="2.25546E8"/>
        <n v="2.97665E8"/>
        <n v="1.817E9"/>
        <n v="2.264E9"/>
        <n v="1.814E9"/>
        <n v="3.27621E8"/>
        <n v="2.19085E8"/>
        <n v="2.02798E8"/>
        <n v="2.73064E8"/>
        <n v="2.45243E8"/>
        <n v="2.18794E8"/>
        <n v="2.49984E8"/>
        <n v="2.31538E8"/>
        <n v="6.84E9"/>
        <n v="8.337E9"/>
        <n v="5.541E9"/>
        <n v="4.299E9"/>
        <n v="-2.4E8"/>
        <n v="-1000000.0"/>
        <n v="1.73099E8"/>
        <n v="1.43101E8"/>
        <n v="-4.94134E8"/>
        <n v="1.25394E8"/>
        <n v="4.11E7"/>
        <n v="1.295E8"/>
        <n v="1.38474E8"/>
        <n v="2.99198E8"/>
        <n v="2.117E9"/>
        <n v="1.973E9"/>
        <n v="2.072E9"/>
        <n v="9.88E8"/>
        <n v="1.67302E8"/>
        <n v="-1.20577E8"/>
        <n v="-2.1835E7"/>
        <n v="-3.5407E7"/>
        <n v="2.31613E8"/>
        <n v="1.76038E8"/>
        <n v="1.80818E8"/>
        <n v="-1.4802E7"/>
        <n v="1.35E8"/>
        <n v="4.59E8"/>
        <n v="4.5E7"/>
        <n v="-1.78E8"/>
        <n v="2.05E8"/>
        <n v="1.25E8"/>
        <n v="-1.44E8"/>
        <n v="-3.49E8"/>
        <n v="-1.14E8"/>
        <n v="-4.44E8"/>
        <n v="3.375E8"/>
        <n v="7.805E8"/>
        <n v="8.324E8"/>
        <n v="6.171E8"/>
        <n v="6.318E9"/>
        <n v="5.448E9"/>
        <n v="3.756E9"/>
        <n v="4.523E9"/>
        <n v="1.881E9"/>
        <n v="1.861E9"/>
        <n v="1.71E9"/>
        <n v="1.148E9"/>
        <n v="2.04238E8"/>
        <n v="2.92621E8"/>
        <n v="2.77082E8"/>
        <n v="2.78732E8"/>
        <n v="-1.99E8"/>
        <n v="-1.3E8"/>
        <n v="-3.89E8"/>
        <n v="-4.02E8"/>
        <m/>
        <n v="7.1E7"/>
        <n v="-1.2E7"/>
        <n v="-8.6E7"/>
        <n v="1.326E9"/>
        <n v="1.296E9"/>
        <n v="1.061E9"/>
        <n v="-4.52E8"/>
        <n v="1.79E9"/>
        <n v="2.611E9"/>
        <n v="6.34E8"/>
        <n v="3.58E8"/>
        <n v="1.61E8"/>
        <n v="1.73E8"/>
        <n v="1.552E9"/>
        <n v="9.05E8"/>
        <n v="1.289E9"/>
        <n v="1.827E9"/>
        <n v="1.29876E8"/>
        <n v="1.45619E8"/>
        <n v="1.29871E8"/>
        <n v="1.21275E8"/>
        <n v="2.51731E8"/>
        <n v="2.4009E8"/>
        <n v="1.77436E8"/>
        <n v="1.63954E8"/>
        <n v="2.165E8"/>
        <n v="1.153E8"/>
        <n v="2.036E8"/>
        <n v="8.65E8"/>
        <n v="7.39E8"/>
        <n v="1.69E8"/>
        <n v="2.99E8"/>
        <n v="2.15E8"/>
        <n v="1.71633E8"/>
        <n v="6.9322E7"/>
        <n v="1.68102E8"/>
        <n v="-3508000.0"/>
        <n v="1.508E8"/>
        <n v="1.007E8"/>
        <n v="1.089E8"/>
        <n v="4.81E7"/>
        <n v="5.745E9"/>
        <n v="3.906E9"/>
        <n v="7.488E9"/>
        <n v="5.041E9"/>
        <n v="1.932E9"/>
        <n v="8.33E8"/>
        <n v="6.74E8"/>
        <n v="5.83E8"/>
        <n v="4.4E7"/>
        <n v="-5.4E7"/>
        <n v="7.9298E7"/>
        <n v="1.055E8"/>
        <n v="5.36E8"/>
        <n v="3.545E8"/>
        <n v="1.162E8"/>
        <n v="1.751E8"/>
        <n v="1.922E8"/>
        <n v="1.921E9"/>
        <n v="2.2E7"/>
        <n v="4.86E8"/>
        <n v="4.365E8"/>
        <n v="3.552E8"/>
        <n v="1.072E8"/>
        <n v="6.493E8"/>
        <n v="4.781E8"/>
        <n v="3.866E8"/>
        <n v="6.5596E7"/>
        <n v="4.2522E7"/>
        <n v="4.9514E7"/>
        <n v="4.806E7"/>
        <n v="6.1271E7"/>
        <n v="2.4306E8"/>
        <n v="5.2496E7"/>
        <n v="2570000.0"/>
        <n v="2.29487E8"/>
        <n v="1.95628E8"/>
        <n v="1.97347E8"/>
        <n v="1.63608E8"/>
        <n v="9.5683E7"/>
        <n v="9.0937E7"/>
        <n v="9.3567E7"/>
        <n v="1.17539E8"/>
        <n v="2.83394E8"/>
        <n v="-1.12281E8"/>
        <n v="3.54111E8"/>
        <n v="6.0156E7"/>
        <n v="2.052E8"/>
        <n v="1.933E8"/>
        <n v="3.615E8"/>
        <n v="3.035E8"/>
        <n v="6.662E9"/>
        <n v="7.429E9"/>
        <n v="1.647E9"/>
        <n v="4.401E9"/>
        <n v="7.69E8"/>
        <n v="6.06E8"/>
        <n v="4.33E8"/>
        <n v="5.21E8"/>
        <n v="1.5097E10"/>
        <n v="1.7697E10"/>
        <n v="1.5065E10"/>
        <n v="1.1661E10"/>
        <n v="7.48E7"/>
        <n v="3.92E7"/>
        <n v="-4.596E8"/>
        <n v="2.119E8"/>
        <n v="2.359E8"/>
        <n v="2.387E8"/>
        <n v="4.8E8"/>
        <n v="2.63E8"/>
        <n v="4.17E8"/>
        <n v="4.63E8"/>
        <n v="9.13E8"/>
        <n v="6.89E8"/>
        <n v="4.84E8"/>
        <n v="2.08E8"/>
        <n v="1.95E8"/>
        <n v="2.66E8"/>
        <n v="1.85E8"/>
        <n v="7.41E8"/>
        <n v="7.12E8"/>
        <n v="5.97E8"/>
        <n v="8.91E8"/>
        <n v="1.18393E8"/>
        <n v="1.42733E8"/>
        <n v="2.02295E8"/>
        <n v="-3.7041E7"/>
        <n v="1.776E9"/>
        <n v="8.0E8"/>
        <n v="6.12E8"/>
        <n v="-5.2E8"/>
        <n v="7.08843E8"/>
        <n v="6.40403E8"/>
        <n v="5.27402E8"/>
        <n v="4.83806E8"/>
        <n v="6.45E8"/>
        <n v="7.04E8"/>
        <n v="1.286E9"/>
        <n v="9.06E8"/>
        <n v="8.34E8"/>
        <n v="5.82E8"/>
        <n v="5.27E8"/>
        <n v="2.47E8"/>
        <n v="5.18E8"/>
        <n v="1.0218E9"/>
        <n v="1.2427E9"/>
        <n v="9.471E8"/>
        <n v="1.308761E9"/>
        <n v="1.159988E9"/>
        <n v="9.79783E8"/>
        <n v="9.22272E8"/>
        <n v="7.98E7"/>
        <n v="8.24E7"/>
        <n v="1.288E8"/>
        <n v="1.173E8"/>
        <n v="-2.66E8"/>
        <n v="-3.68E8"/>
        <n v="-7.48E8"/>
        <n v="-1.039E9"/>
        <n v="1.093E8"/>
        <n v="1.309E8"/>
        <n v="1.269E8"/>
        <n v="2400000.0"/>
        <n v="2.14E8"/>
        <n v="1.096885E9"/>
        <n v="1.327014E9"/>
        <n v="1.164646E9"/>
        <n v="8.59013E8"/>
        <n v="7.72E8"/>
        <n v="8.9E7"/>
        <n v="4.6E8"/>
        <n v="1.21E9"/>
        <n v="1.285E9"/>
        <n v="1.056E9"/>
        <n v="9.95E8"/>
        <n v="-2.08175E8"/>
        <n v="-3.16333E8"/>
        <n v="-4.43284E8"/>
        <n v="-5.59362E8"/>
        <n v="3.59301E8"/>
        <n v="2.49899E8"/>
        <n v="2.72441E8"/>
        <n v="1.60362E8"/>
        <n v="2.17E9"/>
        <n v="2.211E9"/>
        <n v="2.187E9"/>
        <n v="2.056E9"/>
        <n v="1.012E9"/>
        <n v="4.07E8"/>
        <n v="5.48E8"/>
        <n v="1.83E8"/>
        <n v="3.994E9"/>
        <n v="3.034E9"/>
        <n v="1.32E9"/>
        <n v="6.32E8"/>
        <n v="-2.208E9"/>
        <n v="2.213E9"/>
        <n v="2.562E9"/>
        <n v="1.14E9"/>
        <n v="6.05628E8"/>
        <n v="5.92549E8"/>
        <n v="6.20522E8"/>
        <n v="4.86882E8"/>
        <n v="2.6E7"/>
        <n v="-3.41E8"/>
        <n v="5.93E8"/>
        <n v="-1.36E8"/>
        <n v="5.7E7"/>
        <n v="-1.416E9"/>
        <n v="8.6053E7"/>
        <n v="1.01801E8"/>
        <n v="9.0289E7"/>
        <n v="8.7965E7"/>
        <n v="-2.7E7"/>
        <n v="-3.14E8"/>
        <n v="-2.98E8"/>
        <n v="1.322E9"/>
        <n v="7.87E8"/>
        <n v="2.881E8"/>
        <n v="8.14E7"/>
        <n v="2.083E8"/>
        <n v="3.759E8"/>
        <n v="1.57E8"/>
        <n v="3.8E8"/>
        <n v="2.478E9"/>
        <n v="2.19E9"/>
        <n v="2.168E9"/>
        <n v="1.915E9"/>
        <n v="1.7734E8"/>
        <n v="1.56101E8"/>
        <n v="1.65796E8"/>
        <n v="1.55055E8"/>
        <n v="2.439E8"/>
        <n v="2.291E8"/>
        <n v="2.204E8"/>
        <n v="2.582E8"/>
        <n v="2.376E9"/>
        <n v="1.9527E9"/>
        <n v="1.83E9"/>
        <n v="2.2171E9"/>
        <n v="1.029E9"/>
        <n v="-7.363E9"/>
        <n v="6.55E8"/>
        <n v="1.566E9"/>
        <n v="1.22E9"/>
        <n v="1.717E9"/>
        <n v="3.462E9"/>
        <n v="-1.993E9"/>
        <n v="3.428E9"/>
        <n v="4.487E9"/>
        <n v="1.64E8"/>
        <n v="9.23E8"/>
        <n v="1.85414E8"/>
        <n v="2.6918E8"/>
        <n v="2.05809E8"/>
        <n v="1.55255E8"/>
        <n v="1.2513E8"/>
        <n v="-4.30636E8"/>
        <n v="-5.62872E8"/>
        <n v="-6.78705E8"/>
        <n v="1.444E8"/>
        <n v="1.68E7"/>
        <n v="8.88E7"/>
        <n v="6.51E8"/>
        <n v="8.54E8"/>
        <n v="1.126E9"/>
        <n v="8.73E8"/>
        <n v="1.9405E10"/>
        <n v="1.7236E10"/>
        <n v="1.8337E10"/>
        <n v="1.6124E10"/>
        <n v="2.2592E8"/>
        <n v="4.9863E7"/>
        <n v="8.7094E7"/>
        <n v="6.2701E7"/>
        <n v="3.063E9"/>
        <n v="1.26E9"/>
        <n v="-2.71012E8"/>
        <n v="-2.32772E8"/>
        <n v="4.00698E8"/>
        <n v="3.04501E8"/>
        <n v="2.73577E8"/>
        <n v="2.48616E8"/>
        <n v="5.226E8"/>
        <n v="1.263E8"/>
        <n v="-1.3373E9"/>
        <n v="4.504E8"/>
        <n v="1.477E9"/>
        <n v="1.18E9"/>
        <n v="1.503E9"/>
        <n v="6.3659E7"/>
        <n v="4.8673E7"/>
        <n v="4.4442E7"/>
        <n v="6.2473E7"/>
        <n v="5.26847E8"/>
        <n v="4.13387E8"/>
        <n v="4.00796E8"/>
        <n v="4.54033E8"/>
        <n v="7.58E8"/>
        <n v="8.62E8"/>
        <n v="4.874E9"/>
        <n v="4.566E9"/>
        <n v="5.344E9"/>
        <n v="4.43E9"/>
        <n v="3.4E8"/>
        <n v="2.89E8"/>
        <n v="5.22E8"/>
        <n v="1.95695E8"/>
        <n v="2.16028E8"/>
        <n v="1.95166E8"/>
        <n v="1.89043E8"/>
        <n v="4.54E8"/>
        <n v="3.95E8"/>
        <n v="2.67E8"/>
        <n v="4.36E8"/>
        <n v="1.04E8"/>
        <n v="2.034502E9"/>
        <n v="5.06417E8"/>
        <n v="8.6146E8"/>
        <n v="1.035602E9"/>
        <n v="2.43E8"/>
        <n v="1.26E8"/>
        <n v="9.92E8"/>
        <n v="1.004E9"/>
        <n v="9.33E8"/>
        <n v="3.46E8"/>
        <n v="-6.8E7"/>
        <n v="1.748E9"/>
        <n v="-2.25E8"/>
        <n v="1.252E9"/>
        <n v="1.24E8"/>
        <n v="6.1E7"/>
        <n v="7.9E7"/>
        <n v="1.636E9"/>
        <n v="1.456E9"/>
        <n v="1.715E9"/>
        <n v="-8.04E8"/>
        <n v="7.01E7"/>
        <n v="3.591E8"/>
        <n v="1.446E8"/>
        <n v="-2.378E8"/>
        <n v="8.66E8"/>
        <n v="8.67E8"/>
        <n v="5.03E8"/>
        <n v="4.865E8"/>
        <n v="4.959E8"/>
        <n v="3.734E8"/>
        <n v="3.899E8"/>
        <n v="3.016E9"/>
        <n v="2.52E8"/>
        <n v="2.53E8"/>
        <n v="2.31E8"/>
        <n v="-1.368464E9"/>
        <n v="-7.07409E8"/>
        <n v="-6.81127E8"/>
        <n v="-7.24366E8"/>
        <n v="-1.67E8"/>
        <n v="-1.38E8"/>
        <n v="4.14E8"/>
        <n v="2.025748E9"/>
        <n v="1.298246E9"/>
        <n v="2.17766E8"/>
        <n v="2.90418E8"/>
        <n v="2.394E9"/>
        <n v="2.044E9"/>
        <n v="1.47E9"/>
        <n v="4.17465E8"/>
        <n v="3.12006E8"/>
        <n v="3.8537E8"/>
        <n v="3.21457E8"/>
        <n v="4.71E8"/>
        <n v="4.04E8"/>
        <n v="-7.5E7"/>
        <n v="6.55827E8"/>
        <n v="4.99929E8"/>
        <n v="6.86406E8"/>
        <n v="7.0041E8"/>
        <n v="3.15E8"/>
        <n v="-1.425E9"/>
        <n v="-4.058E9"/>
        <n v="3.82951E8"/>
        <n v="3.64388E8"/>
        <n v="2.69308E8"/>
        <n v="2.53323E8"/>
        <n v="5.001E8"/>
        <n v="4.948E8"/>
        <n v="4.179E8"/>
        <n v="5.7E8"/>
        <n v="5.13917E8"/>
        <n v="4.52208E8"/>
        <n v="5.08308E8"/>
        <n v="4.03236E8"/>
        <n v="4.156E9"/>
        <n v="3.276E9"/>
        <n v="2.972E9"/>
        <n v="4.67E8"/>
        <n v="7.02E8"/>
        <n v="8.44E8"/>
        <n v="5.07E8"/>
        <n v="5.32E8"/>
        <n v="4.75E8"/>
        <n v="3.97E8"/>
        <n v="4.833E8"/>
        <n v="6.37E8"/>
        <n v="6.073E8"/>
        <n v="5.218E8"/>
        <n v="3.339E8"/>
        <n v="2.747E8"/>
        <n v="2.196E8"/>
        <n v="1.654E8"/>
        <n v="5.71745E8"/>
        <n v="6.57798E8"/>
        <n v="5.97352E8"/>
        <n v="5.76512E8"/>
        <n v="4.439E8"/>
        <n v="3.459E8"/>
        <n v="4.626E8"/>
        <n v="3.496E8"/>
        <n v="4.3549E7"/>
        <n v="4.7236E7"/>
        <n v="9.5175E7"/>
        <n v="3.6601E7"/>
        <n v="1.165E9"/>
        <n v="1.356E9"/>
        <n v="8.72E8"/>
        <n v="1.859E9"/>
        <n v="2.518E8"/>
        <n v="1.115E8"/>
        <n v="1.98E7"/>
        <n v="1.658E8"/>
        <n v="1.577E8"/>
        <n v="1.516E8"/>
        <n v="1.107E8"/>
        <n v="1.694E8"/>
        <n v="2.157E8"/>
        <n v="1.822E8"/>
        <n v="-1.001E8"/>
        <n v="3.045E9"/>
        <n v="3.014E9"/>
        <n v="2.174E9"/>
        <n v="2.357E9"/>
        <n v="1.61668E8"/>
        <n v="3.26057E8"/>
        <n v="4.80482E8"/>
        <n v="4.73091E8"/>
        <n v="7.836E9"/>
        <n v="6.608E9"/>
        <n v="5.682E9"/>
        <n v="1.78E8"/>
        <n v="3.323E9"/>
        <n v="2.944E9"/>
        <n v="3.292E9"/>
        <n v="2.732E9"/>
        <n v="-7.71E8"/>
        <n v="-6.91E8"/>
        <n v="4.15967E8"/>
        <n v="2.65996E8"/>
        <n v="3.6164E7"/>
        <n v="-3.4431E7"/>
        <n v="5.0E8"/>
        <n v="-8.1E7"/>
        <n v="-7.3E7"/>
        <n v="1.813E9"/>
        <n v="1.315E9"/>
        <n v="2.197E9"/>
        <n v="2.35051E8"/>
        <n v="3.3668E8"/>
        <n v="1.26524E8"/>
        <n v="7.1336E7"/>
        <n v="4.41E8"/>
        <n v="3.45E8"/>
        <n v="2.6E8"/>
        <n v="-1.91E8"/>
        <n v="3.69E8"/>
        <n v="4.281E8"/>
        <n v="4.326E8"/>
        <n v="6.139E8"/>
        <n v="5.916E8"/>
        <n v="5.035E9"/>
        <n v="3.564E9"/>
        <n v="3.877E9"/>
        <n v="4.877E9"/>
        <n v="9.992E8"/>
        <n v="1.8679E9"/>
        <n v="2.1062E9"/>
        <n v="8.57166E8"/>
        <n v="6.99508E8"/>
        <n v="4.2541E8"/>
        <n v="3.48887E8"/>
        <n v="1.824E9"/>
        <n v="2.792E9"/>
        <n v="3.44E9"/>
        <n v="9.34E8"/>
        <n v="1.69522E8"/>
        <n v="5.8469E7"/>
        <n v="8.6357E7"/>
        <n v="7.7407E7"/>
        <n v="-2.246E9"/>
        <n v="-2.39E8"/>
        <n v="4.91628E8"/>
        <n v="4.1173E8"/>
        <n v="4.34262E8"/>
        <n v="3.52432E8"/>
        <n v="6.20402E8"/>
        <n v="6.39473E8"/>
        <n v="3.94052E8"/>
        <n v="5.2375E8"/>
        <n v="2.527E8"/>
        <n v="-8200000.0"/>
        <n v="8.86E7"/>
        <n v="3.51787E8"/>
        <n v="2.98614E8"/>
        <n v="2.86786E8"/>
        <n v="2.23516E8"/>
        <n v="3.285E9"/>
        <n v="2.129E9"/>
        <n v="2.604E9"/>
        <n v="2.36979E8"/>
        <n v="1.59922E8"/>
        <n v="1.05043E8"/>
        <n v="1.71722E8"/>
        <n v="6.8E8"/>
        <n v="8.27E8"/>
        <n v="6.43E8"/>
        <n v="2.381E8"/>
        <n v="-3.53E7"/>
        <n v="1.622E8"/>
        <n v="5.6E8"/>
        <n v="3.85E8"/>
        <n v="4.47E8"/>
        <n v="3.99E8"/>
        <n v="1.43E9"/>
        <n v="1.158E9"/>
        <n v="3.7E7"/>
        <n v="1.41355E8"/>
        <n v="1.33993E8"/>
        <n v="1.02461E8"/>
        <n v="1.2265E8"/>
        <n v="1.18848E8"/>
        <n v="9.6832E7"/>
        <n v="8.1625E7"/>
        <n v="3.8861E7"/>
        <n v="1.8166E9"/>
        <n v="3.7528E9"/>
        <n v="1.253E9"/>
        <n v="1.2246E9"/>
        <n v="8.22E8"/>
        <n v="4.707E8"/>
        <n v="4.274E8"/>
        <n v="4.001E8"/>
        <n v="2.013E8"/>
        <n v="2.58788E8"/>
        <n v="2.39211E8"/>
        <n v="2.18005E8"/>
        <n v="2.10592E8"/>
        <n v="2.27658E8"/>
        <n v="2.03862E8"/>
        <n v="1.50106E8"/>
        <n v="1.29585E8"/>
        <n v="4300000.0"/>
        <n v="3.135E8"/>
        <n v="5.077E8"/>
        <n v="7.007E8"/>
        <n v="1.27072E8"/>
        <n v="1.33939E8"/>
        <n v="1.19852E8"/>
        <n v="8.6898E7"/>
        <n v="3.436E8"/>
        <n v="3.669E8"/>
        <n v="3.175E8"/>
        <n v="6.57608E8"/>
        <n v="6.23582E8"/>
        <n v="3.82851E8"/>
        <n v="1.36493E8"/>
        <n v="-1.424554E9"/>
        <n v="-1.347255E9"/>
        <n v="-1.131722E9"/>
        <n v="-1.381935E9"/>
        <n v="1.074E9"/>
        <n v="1.144E9"/>
        <n v="6.4E8"/>
        <n v="8.26E8"/>
        <n v="6.04E8"/>
        <n v="1.25E9"/>
        <n v="3.6964E7"/>
        <n v="1.99919E8"/>
        <n v="-3.2667E7"/>
        <n v="1.40533E8"/>
        <n v="6.91E8"/>
        <n v="5.42E8"/>
        <n v="5.33E8"/>
        <n v="4.97E8"/>
        <n v="1.544E8"/>
        <n v="1.604E8"/>
        <n v="1.849E8"/>
        <n v="-9.74E8"/>
        <n v="1.086E9"/>
        <n v="6.8E7"/>
        <n v="5.0E7"/>
        <n v="9.9E7"/>
        <n v="1.336E7"/>
        <n v="6.115E8"/>
        <n v="8.192E8"/>
        <n v="5.09E8"/>
        <n v="5.039E8"/>
        <n v="8.4591E8"/>
        <n v="7.52872E8"/>
        <n v="5.04562E8"/>
        <n v="3.11154E8"/>
        <n v="3.162E8"/>
        <n v="3.362E8"/>
        <n v="3.755E8"/>
        <n v="5.709E8"/>
        <n v="2.624E8"/>
        <n v="2.761E8"/>
        <n v="2.567E8"/>
        <n v="1.478E9"/>
        <n v="3.6E8"/>
        <n v="1.293E9"/>
        <n v="6.0E8"/>
        <n v="5.02E8"/>
        <n v="1.46E8"/>
        <n v="-1.331E9"/>
        <n v="5.322E8"/>
        <n v="6.063E8"/>
        <n v="5.351E8"/>
        <n v="4.736E8"/>
        <n v="1.4113E9"/>
        <n v="8.899E8"/>
        <n v="8.083E8"/>
        <n v="4.424E8"/>
        <n v="9.38E8"/>
        <n v="6.27E8"/>
        <n v="6.41E8"/>
        <n v="6.81E8"/>
        <n v="-2.8977E7"/>
        <n v="1.37519E8"/>
        <n v="1.3943E8"/>
        <n v="1.33786E8"/>
        <n v="6.62E8"/>
        <n v="3.67E8"/>
        <n v="7.8E8"/>
        <n v="7.49079E8"/>
        <n v="5.86897E8"/>
        <n v="6.3632E8"/>
        <n v="3.35658E8"/>
        <n v="1.641E9"/>
        <n v="9.44E8"/>
        <n v="4.12E8"/>
        <n v="2.13337E8"/>
        <n v="2.15995E8"/>
        <n v="1.77104E8"/>
        <n v="1.91566E8"/>
        <n v="1.02852E8"/>
        <n v="8.112E7"/>
        <n v="2.58738E8"/>
        <n v="-7.36245E8"/>
        <n v="1.255E9"/>
        <n v="1.179E9"/>
        <n v="8.21E8"/>
        <n v="1.66E9"/>
        <n v="1.102E9"/>
        <n v="9.953E8"/>
        <n v="1.146E9"/>
        <n v="9.205E8"/>
        <n v="1.9974E7"/>
        <n v="1.71444E8"/>
        <n v="2.53591E8"/>
        <n v="2.16446E8"/>
        <n v="2.422E8"/>
        <n v="9.54E7"/>
        <n v="3.743E8"/>
        <n v="1.854E8"/>
        <n v="2.37E9"/>
        <n v="2.609E9"/>
        <n v="1.73E9"/>
        <n v="1.298E9"/>
        <n v="7.05E8"/>
        <n v="4.35E8"/>
        <n v="3.37E8"/>
        <n v="9.21E7"/>
        <n v="1.013E8"/>
        <n v="1.411E8"/>
        <n v="1.197E8"/>
        <n v="9.9695E7"/>
        <n v="8.7295E7"/>
        <n v="7.6561E7"/>
        <n v="1.15654E8"/>
        <n v="3.84026E8"/>
        <n v="2.23993E8"/>
        <n v="2.22926E8"/>
        <n v="2.63731E8"/>
        <n v="3.79E8"/>
        <n v="1.5E8"/>
        <n v="2.242E9"/>
        <n v="1.939E9"/>
        <n v="1.927E9"/>
        <n v="1.587E9"/>
        <n v="2.18E8"/>
        <n v="1.16E8"/>
        <n v="9.4E7"/>
        <n v="1.364E8"/>
        <n v="1.395E8"/>
        <n v="9.37E7"/>
        <n v="1.11E9"/>
        <n v="6.52E8"/>
        <n v="4.18416E8"/>
        <n v="5.14194E8"/>
        <n v="2.634E8"/>
        <n v="5.62508E8"/>
        <n v="5.547E8"/>
        <n v="2.179E8"/>
        <n v="3.474E8"/>
        <n v="3.35E7"/>
        <n v="1.131E9"/>
        <n v="1.616E9"/>
        <n v="9.86E8"/>
        <n v="1.23E9"/>
        <n v="4.6E7"/>
        <n v="-5.8E8"/>
        <n v="-4.84E9"/>
        <n v="2.047E9"/>
        <n v="2.753E9"/>
        <n v="2.892E9"/>
        <n v="2.252E9"/>
        <n v="7.21346E8"/>
        <n v="5.08138E8"/>
        <n v="1.015992E9"/>
        <n v="-9.2019E7"/>
        <n v="4.79182E8"/>
        <n v="2.23315E8"/>
        <n v="1.76381E8"/>
        <n v="2.44969E8"/>
        <n v="5.92E8"/>
        <n v="2.853E8"/>
        <n v="3.226E8"/>
        <n v="2.44E8"/>
        <n v="1.3E8"/>
        <n v="5.3E7"/>
        <n v="7.6E7"/>
        <n v="1.624E8"/>
        <n v="1.374E8"/>
        <n v="1.283E8"/>
        <n v="9.64E7"/>
        <n v="2.073E9"/>
        <n v="5.0004E7"/>
        <n v="2.24019E8"/>
        <n v="2.9683E7"/>
        <n v="3.8296E7"/>
        <n v="4.8412E7"/>
        <n v="4.9936E7"/>
        <n v="4.1811E7"/>
        <n v="9.66E8"/>
        <n v="6.16E8"/>
        <n v="2.539E9"/>
        <n v="1.92E9"/>
        <n v="1.933E9"/>
        <n v="3.31882E8"/>
        <n v="3.04966E8"/>
        <n v="2.23809E8"/>
        <n v="9.9894E7"/>
        <n v="6.9234E7"/>
        <n v="8.7633E7"/>
        <n v="2.19144E8"/>
        <n v="3.5232E7"/>
        <n v="2.316E9"/>
        <n v="1.793E9"/>
        <n v="1.773E9"/>
        <n v="-5.64E8"/>
        <n v="-1.751E9"/>
        <n v="-2.373E9"/>
        <n v="-2.332E9"/>
        <n v="3.436E9"/>
        <n v="6.204E9"/>
        <n v="-4.288E9"/>
        <n v="2.525E9"/>
        <n v="3.77E8"/>
        <n v="3.87E8"/>
        <n v="5.568E9"/>
        <n v="6.342E9"/>
        <n v="3.116E9"/>
        <n v="4.256E9"/>
        <n v="4.26798E8"/>
        <n v="2.72877E8"/>
        <n v="4.02378E8"/>
        <n v="3.23264E8"/>
        <n v="4.61E8"/>
        <n v="-7.7E8"/>
        <n v="-5.98E8"/>
        <n v="-7.16E8"/>
        <n v="9.1929E7"/>
        <n v="-5.3245E7"/>
        <n v="1.11274E8"/>
        <n v="1.0542E7"/>
        <n v="1.87874E8"/>
        <n v="1.88317E8"/>
        <n v="1.82896E8"/>
        <n v="1.84887E8"/>
        <n v="2.354E8"/>
        <n v="2.167E8"/>
        <n v="2.4E8"/>
        <n v="7.824E9"/>
        <n v="7.078E9"/>
        <n v="6.253E9"/>
        <n v="5.851E9"/>
        <n v="-4.4255E7"/>
        <n v="8.2096E8"/>
        <n v="8.88623E8"/>
        <n v="7.45871E8"/>
        <n v="1.7915E8"/>
        <n v="8.9049E7"/>
        <n v="3.86707E8"/>
        <n v="2.93661E8"/>
        <n v="8.84E8"/>
        <n v="9.25E8"/>
        <n v="-2.191E8"/>
        <n v="-4.413E8"/>
        <n v="-1.0135E9"/>
        <n v="2.416E8"/>
        <n v="4.389E9"/>
        <n v="3.628E9"/>
        <n v="3.748E9"/>
        <n v="3.055E9"/>
        <n v="7.9673E7"/>
        <n v="2.8977E7"/>
        <n v="-2.10527E8"/>
        <n v="9.2517E7"/>
        <n v="2.54063E8"/>
        <n v="2.22308E8"/>
        <n v="1.41188E8"/>
        <n v="2.58109E8"/>
        <n v="2.9994E8"/>
        <n v="2.96068E8"/>
        <n v="3.99407E8"/>
        <n v="2.06414E8"/>
        <n v="3.43E8"/>
        <n v="3.62E8"/>
        <n v="1.582E8"/>
        <n v="1.183E8"/>
        <n v="1.754E8"/>
        <n v="1.143E8"/>
        <n v="9.6E8"/>
        <n v="-5.93E8"/>
        <n v="5.65E8"/>
        <n v="-1.766E9"/>
        <n v="5.923E9"/>
        <n v="3.844E9"/>
        <n v="7.115E9"/>
        <n v="5.45E8"/>
        <n v="5.47E8"/>
        <n v="1.97414E8"/>
        <n v="1.73784E8"/>
        <n v="2.57251E8"/>
        <n v="1.50437E8"/>
        <n v="3.295E8"/>
        <n v="5.849E8"/>
        <n v="2.765E8"/>
        <n v="3.137E8"/>
        <n v="8.189E9"/>
        <n v="5.591E9"/>
        <n v="3.302E9"/>
        <n v="2.864E9"/>
        <n v="4.3536E7"/>
        <n v="7.6135E7"/>
        <n v="1.55568E8"/>
        <n v="3.96981E8"/>
        <n v="1.799E8"/>
        <n v="1.188E8"/>
        <n v="1.034E8"/>
        <n v="2.49E8"/>
        <n v="8.5E7"/>
        <n v="-3000000.0"/>
        <n v="2.601E8"/>
        <n v="2.029E8"/>
        <n v="1.99E8"/>
        <n v="1.449E8"/>
        <n v="2.028E8"/>
        <n v="-1.1145E9"/>
        <n v="1.992E8"/>
        <n v="1.352E9"/>
        <n v="8.7E8"/>
        <n v="3.11E8"/>
        <n v="5.41E8"/>
        <n v="4.34E8"/>
        <n v="8.32E8"/>
        <n v="6.02E8"/>
        <n v="1.77E8"/>
        <n v="-1.727E8"/>
        <n v="-3.35686E8"/>
        <n v="-3.09723E8"/>
        <n v="-4.24168E8"/>
        <n v="2.58E8"/>
        <n v="2.11363E8"/>
        <n v="1.95536E8"/>
        <n v="1.76134E8"/>
        <n v="1.94646E8"/>
        <n v="1.38E8"/>
        <n v="1.14E8"/>
        <n v="1.58E8"/>
        <n v="3.16E8"/>
        <n v="2.38E8"/>
        <n v="2.76E8"/>
        <n v="1.739E8"/>
        <n v="2.206E8"/>
        <n v="1.956E8"/>
        <n v="2.558E8"/>
        <n v="4.55E8"/>
        <n v="4.11E8"/>
        <n v="6.36E8"/>
        <n v="6.87E8"/>
        <n v="4.2E8"/>
      </sharedItems>
    </cacheField>
    <cacheField name="Net Income" numFmtId="0">
      <sharedItems containsSemiMixedTypes="0" containsString="0" containsNumber="1" containsInteger="1">
        <n v="1.434E9"/>
        <n v="1.524E9"/>
        <n v="1.624E9"/>
        <n v="1.389E9"/>
        <n v="1.316E8"/>
        <n v="1.182E8"/>
        <n v="9.77E7"/>
        <n v="1.2E8"/>
        <n v="2.1E9"/>
        <n v="1.189E9"/>
        <n v="1.793E9"/>
        <n v="2.162E9"/>
        <n v="3.179E9"/>
        <n v="7.66E8"/>
        <n v="3.553E9"/>
        <n v="3.6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1.8231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3147E8"/>
        <n v="3.85084E8"/>
        <n v="8121000.0"/>
        <n v="4.41484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38E8"/>
        <n v="1.625E9"/>
        <n v="-1.381E9"/>
        <n v="2.624E9"/>
        <n v="1.8525E10"/>
        <n v="1.793E10"/>
        <n v="1.5227E10"/>
        <n v="1.1247E10"/>
        <n v="2.149E9"/>
        <n v="1.424E9"/>
        <n v="1.924E9"/>
        <n v="-9.52E8"/>
        <n v="7.778E9"/>
        <n v="8.107E9"/>
        <n v="7.222E9"/>
        <n v="6.331E9"/>
        <n v="2.55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8E9"/>
        <n v="2.235E9"/>
        <n v="1.438E9"/>
        <n v="1.073E9"/>
        <n v="9.9E7"/>
        <n v="3.876E9"/>
        <n v="-5.3E7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63E8"/>
        <n v="2.95E8"/>
        <n v="2.99E8"/>
        <n v="1.96888E8"/>
        <n v="1.80366E8"/>
        <n v="1.82958E8"/>
        <n v="1.68375E8"/>
        <n v="1.902E8"/>
        <n v="3.821E8"/>
        <n v="1.422E8"/>
        <n v="1.766E8"/>
        <n v="2.034E8"/>
        <n v="1.392E8"/>
        <n v="-3.02E7"/>
        <n v="1.57E9"/>
        <n v="7.55E9"/>
        <n v="-1.3883E10"/>
        <n v="2.816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2223E8"/>
        <n v="3.41128E8"/>
        <n v="1.47703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691E9"/>
        <n v="9.224E9"/>
        <n v="8.05E9"/>
        <n v="5.47E9"/>
        <n v="3.74E8"/>
        <n v="2.77E8"/>
        <n v="8.6E8"/>
        <n v="3.31E8"/>
        <n v="2.98E8"/>
        <n v="1.68E8"/>
        <n v="3.56E8"/>
        <n v="5.25E8"/>
        <n v="1.003E9"/>
        <n v="1.28E8"/>
        <n v="7.34E8"/>
        <n v="5.95E8"/>
        <n v="8.16E8"/>
        <n v="3.91E8"/>
        <n v="9.14114E8"/>
        <n v="9.77414E8"/>
        <n v="8.39102E8"/>
        <n v="1.314824E9"/>
        <n v="1.496E7"/>
        <n v="4.5782E7"/>
        <n v="4.6274E7"/>
        <n v="3.3395E7"/>
        <n v="4.485E8"/>
        <n v="4.102E8"/>
        <n v="3.579E8"/>
        <n v="7.015E8"/>
        <n v="1.378E9"/>
        <n v="1.199E9"/>
        <n v="1.548E9"/>
        <n v="1.364E9"/>
        <n v="9.47E8"/>
        <n v="1.022E9"/>
        <n v="9.27E8"/>
        <n v="7.5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1.00596E8"/>
        <n v="1.0311E7"/>
        <n v="9.2479E7"/>
        <n v="1.86E8"/>
        <n v="3.41E8"/>
        <n v="2.1E8"/>
        <n v="-1.55E8"/>
        <n v="1.055E9"/>
        <n v="-1.0027E10"/>
        <n v="1.872E9"/>
        <n v="1.876E9"/>
        <n v="1.493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536E9"/>
        <n v="3.325E9"/>
        <n v="2.566E9"/>
        <n v="2.406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824E8"/>
        <n v="2.318E8"/>
        <n v="8.84E7"/>
        <n v="8.24E7"/>
        <n v="1.53E9"/>
        <n v="7.8E8"/>
        <n v="6.68E8"/>
        <n v="4.58E8"/>
        <n v="1.055E8"/>
        <n v="1.372E8"/>
        <n v="8.73E7"/>
        <n v="1.099E8"/>
        <n v="4.42637E8"/>
        <n v="2.66202E8"/>
        <n v="3.13765E8"/>
        <n v="1.84132E8"/>
        <n v="2.741E8"/>
        <n v="2.326E8"/>
        <n v="2.383E8"/>
        <n v="1.932E8"/>
        <n v="3.22E8"/>
        <n v="1.453E9"/>
        <n v="5.84E8"/>
        <n v="-5.35E8"/>
        <n v="6.99E8"/>
        <n v="-1.2E7"/>
        <n v="2.51E8"/>
        <n v="3.63E8"/>
        <n v="1.21E8"/>
        <n v="-2.58E7"/>
        <n v="-1.92E7"/>
        <n v="-1.73E7"/>
        <n v="-800000.0"/>
        <n v="3.2707E7"/>
        <n v="1.72252E8"/>
        <n v="1.41505E8"/>
        <n v="3.56676E8"/>
        <n v="2.46E8"/>
        <n v="1.51E8"/>
        <n v="8.7E7"/>
        <n v="-2.8E7"/>
        <n v="8.8448E7"/>
        <n v="6.153E7"/>
        <n v="1.43191E8"/>
        <n v="1.02909E8"/>
        <n v="1.265E9"/>
        <n v="1.484E9"/>
        <n v="1.135E9"/>
        <n v="6.98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1.388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42E9"/>
        <n v="3.979E9"/>
        <n v="3.23E9"/>
        <n v="6.48E8"/>
        <n v="6.11E8"/>
        <n v="4.56E8"/>
        <n v="3.14E8"/>
        <n v="6.2766E7"/>
        <n v="9.0048E7"/>
        <n v="1.12091E8"/>
        <n v="9.8227E7"/>
        <n v="9.7E7"/>
        <n v="-6.1E7"/>
        <n v="2.59E8"/>
        <n v="4.15E8"/>
        <n v="5.103E8"/>
        <n v="5.744E8"/>
        <n v="4.24E8"/>
        <n v="4.117E8"/>
        <n v="1.89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3.738E9"/>
        <n v="3.329E9"/>
        <n v="3.38E9"/>
        <n v="2.019E9"/>
        <n v="3.28E8"/>
        <n v="3.5E8"/>
        <n v="2.15E8"/>
        <n v="2.11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4.49E8"/>
        <n v="5.99E8"/>
        <n v="2.52E8"/>
        <n v="4.27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3.34E8"/>
        <n v="5.8E7"/>
        <n v="5.08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85E9"/>
        <n v="1.702E9"/>
        <n v="1.2401E9"/>
        <n v="8.835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13E8"/>
        <n v="-1.02E8"/>
        <n v="-9.2E7"/>
        <n v="6.29E7"/>
        <n v="4.03E7"/>
        <n v="3.552E8"/>
        <n v="7.22E7"/>
        <n v="2.2E8"/>
        <n v="-7.39E8"/>
        <n v="-1.113E9"/>
        <n v="-2.393E9"/>
        <n v="1.21254E8"/>
        <n v="3.8592E8"/>
        <n v="5.7691E7"/>
        <n v="-138000.0"/>
        <n v="1.698E9"/>
        <n v="1.593E9"/>
        <n v="7.99E8"/>
        <n v="7.71E8"/>
        <n v="1.4E8"/>
        <n v="2.71E8"/>
        <n v="3.0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85E8"/>
        <n v="1.008E9"/>
        <n v="6.82E8"/>
        <n v="1.16619E8"/>
        <n v="1.17761E8"/>
        <n v="1.51897E8"/>
        <n v="9.9129E7"/>
        <n v="2.63756E8"/>
        <n v="2.64508E8"/>
        <n v="2.32769E8"/>
        <n v="1.82106E8"/>
        <n v="1.901E9"/>
        <n v="9.91E8"/>
        <n v="1.236E9"/>
        <n v="-2.5E7"/>
        <n v="1.79E8"/>
        <n v="4.76E8"/>
        <n v="7.65E8"/>
        <n v="9.92E8"/>
        <n v="-6.3E7"/>
        <n v="1.304E9"/>
        <n v="7.9362E7"/>
        <n v="1.68816E8"/>
        <n v="7.1823E7"/>
        <n v="3.982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75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6386E8"/>
        <n v="5.7539E7"/>
        <n v="2.52856E8"/>
        <n v="9.1286E7"/>
        <n v="6.4846E7"/>
        <n v="1.68444E8"/>
        <n v="9.5745E7"/>
        <n v="7.3661E7"/>
        <n v="1.018E9"/>
        <n v="8.73E8"/>
        <n v="5.23E8"/>
        <n v="9.8254E7"/>
        <n v="1.43766E8"/>
        <n v="1.48538E8"/>
        <n v="9.1761E7"/>
        <n v="6.79982E8"/>
        <n v="3.41862E8"/>
        <n v="6.3602E7"/>
        <n v="2.43057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5.78E8"/>
        <n v="-3.83E8"/>
        <n v="-1.92E8"/>
        <n v="-7.36E8"/>
        <n v="2.8722E8"/>
        <n v="1.9862E8"/>
        <n v="1.91307E8"/>
        <n v="1.83869E8"/>
        <n v="1.67948E8"/>
        <n v="2.02998E8"/>
        <n v="1.56056E8"/>
        <n v="1.14633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6204E7"/>
        <n v="4.8236E7"/>
        <n v="9.4725E7"/>
        <n v="-2.8289E7"/>
        <n v="1.868E9"/>
        <n v="8.92E8"/>
        <n v="1.226E9"/>
        <n v="1.245E9"/>
        <n v="-3.73E8"/>
        <n v="1.04E8"/>
        <n v="2.0E7"/>
        <n v="7.09E8"/>
        <n v="6.94E8"/>
        <n v="6.04E8"/>
        <n v="5.81E8"/>
        <n v="3.73106E8"/>
        <n v="3.34833E8"/>
        <n v="2.9556E8"/>
        <n v="2.93137E8"/>
        <n v="3.35E8"/>
        <n v="2.42E8"/>
        <n v="4.54E8"/>
        <n v="2.69E8"/>
        <n v="3.04E8"/>
        <n v="1.96247E8"/>
        <n v="1.84239E8"/>
        <n v="2.09851E8"/>
        <n v="1.88817E8"/>
        <n v="2.029E8"/>
        <n v="1.826E8"/>
        <n v="4.95E7"/>
        <n v="1.114E8"/>
        <n v="3.262E9"/>
        <n v="-2.788E9"/>
        <n v="2.385E9"/>
        <n v="1.375E8"/>
        <n v="1.072E8"/>
        <n v="1.467E8"/>
        <n v="1.234E8"/>
        <n v="1.809E8"/>
        <n v="1.102E8"/>
        <n v="1.2156E9"/>
        <n v="2.258E8"/>
        <n v="2.172E8"/>
        <n v="1.778E8"/>
        <n v="1.636E8"/>
        <n v="1.646E8"/>
        <n v="2.53E8"/>
        <n v="5.67E8"/>
        <n v="2.24E8"/>
        <n v="1.106E9"/>
        <n v="4.384E8"/>
        <n v="3.818E8"/>
        <n v="3.453E8"/>
        <n v="7.89E7"/>
        <n v="1.083E9"/>
        <n v="7.18E8"/>
        <n v="7.08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8993E8"/>
        <n v="1.25001E8"/>
        <n v="1.1497E8"/>
        <n v="6.6145E7"/>
        <n v="7.37E8"/>
        <n v="1.002E9"/>
        <n v="8.34E8"/>
        <n v="-1.131E9"/>
        <n v="-2.803E9"/>
        <n v="-1.144E9"/>
        <n v="4.168E8"/>
        <n v="5.957E8"/>
        <n v="6.884E8"/>
        <n v="6.389E8"/>
        <n v="2.836E9"/>
        <n v="3.022E9"/>
        <n v="2.846E9"/>
        <n v="4.04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486E9"/>
        <n v="6.836E9"/>
        <n v="4.506E9"/>
        <n v="3.367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628E8"/>
        <n v="1.45788E8"/>
        <n v="1.46394E8"/>
        <n v="-6.3417E7"/>
        <n v="1.65997E8"/>
        <n v="1.42633E8"/>
        <n v="1.41697E8"/>
        <n v="-1.0797E7"/>
        <n v="-7.3E7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n v="0.0"/>
        <n v="1.06E8"/>
        <n v="-9.6E7"/>
        <n v="1.108E9"/>
        <n v="1.228E9"/>
        <n v="1.068E9"/>
        <n v="8.28E8"/>
        <n v="-2.74E8"/>
        <n v="1.34E9"/>
        <n v="1.828E9"/>
        <n v="-1.5E7"/>
        <n v="5.32E8"/>
        <n v="3.03E8"/>
        <n v="1.29E8"/>
        <n v="1.48E8"/>
        <n v="2.49E8"/>
        <n v="1.325E9"/>
        <n v="9.55E8"/>
        <n v="1.356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1.47E8"/>
        <n v="2.57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-4.2E7"/>
        <n v="6.7589E7"/>
        <n v="8.4828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4.275E8"/>
        <n v="3.27E8"/>
        <n v="2.703E8"/>
        <n v="2.509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65794E8"/>
        <n v="1.1045E7"/>
        <n v="2.57048E8"/>
        <n v="8.199E7"/>
        <n v="1.539E8"/>
        <n v="2.308E8"/>
        <n v="6.278E9"/>
        <n v="6.197E9"/>
        <n v="1.738E9"/>
        <n v="3.554E9"/>
        <n v="5.74E8"/>
        <n v="4.51E8"/>
        <n v="4.41E8"/>
        <n v="1.1948E10"/>
        <n v="1.43E10"/>
        <n v="1.2136E10"/>
        <n v="9.443E9"/>
        <n v="6.2E7"/>
        <n v="-3.11E7"/>
        <n v="3.08E7"/>
        <n v="1.454E8"/>
        <n v="-3.785E8"/>
        <n v="1.657E8"/>
        <n v="1.898E8"/>
        <n v="3.68E8"/>
        <n v="2.05E8"/>
        <n v="3.51E8"/>
        <n v="7.29E8"/>
        <n v="6.22E8"/>
        <n v="4.28E8"/>
        <n v="1.72E8"/>
        <n v="2.17E8"/>
        <n v="5.39E8"/>
        <n v="4.72E8"/>
        <n v="1.16697E8"/>
        <n v="1.37942E8"/>
        <n v="2.01234E8"/>
        <n v="-3.8394E7"/>
        <n v="1.409E9"/>
        <n v="6.07E8"/>
        <n v="4.55E8"/>
        <n v="-6.37E8"/>
        <n v="6.32978E8"/>
        <n v="5.67496E8"/>
        <n v="4.57251E8"/>
        <n v="4.20567E8"/>
        <n v="-2.7E7"/>
        <n v="5.63E8"/>
        <n v="1.032E9"/>
        <n v="5.97E8"/>
        <n v="-7.7E7"/>
        <n v="6.31E8"/>
        <n v="8.1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31363E8"/>
        <n v="1.001369E9"/>
        <n v="8.8276E8"/>
        <n v="6.66418E8"/>
        <n v="2.25E8"/>
        <n v="1.43E8"/>
        <n v="3.98E8"/>
        <n v="8.41E8"/>
        <n v="9.8E8"/>
        <n v="7.7E8"/>
        <n v="7.0E8"/>
        <n v="-1.95665E8"/>
        <n v="-3.07193E8"/>
        <n v="-4.43332E8"/>
        <n v="-5.28902E8"/>
        <n v="2.65913E8"/>
        <n v="1.81012E8"/>
        <n v="1.93483E8"/>
        <n v="1.18792E8"/>
        <n v="1.815E9"/>
        <n v="1.837E9"/>
        <n v="1.792E9"/>
        <n v="7.54E8"/>
        <n v="2.61E8"/>
        <n v="1.39E8"/>
        <n v="3.018E9"/>
        <n v="2.321E9"/>
        <n v="9.78E8"/>
        <n v="6.92E8"/>
        <n v="-2.289E9"/>
        <n v="3.66E8"/>
        <n v="1.76E9"/>
        <n v="2.058E9"/>
        <n v="8.53E8"/>
        <n v="4.58069E8"/>
        <n v="4.47249E8"/>
        <n v="4.7114E8"/>
        <n v="3.72136E8"/>
        <n v="1.6E7"/>
        <n v="-3.38E8"/>
        <n v="-3.17E8"/>
        <n v="8.512E9"/>
        <n v="-2.42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6.53E7"/>
        <n v="1.83E8"/>
        <n v="2.944E8"/>
        <n v="9.4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-2.094E9"/>
        <n v="2.941E9"/>
        <n v="3.407E9"/>
        <n v="1.49663E8"/>
        <n v="2.16295E8"/>
        <n v="1.61767E8"/>
        <n v="1.26562E8"/>
        <n v="1.04753E8"/>
        <n v="-3.31829E8"/>
        <n v="-4.47605E8"/>
        <n v="-5.34731E8"/>
        <n v="2.528E8"/>
        <n v="3.62E7"/>
        <n v="7.36E7"/>
        <n v="8.03E8"/>
        <n v="9.88E8"/>
        <n v="1.6458E10"/>
        <n v="1.5457E10"/>
        <n v="1.5463E10"/>
        <n v="1.3893E10"/>
        <n v="2.16478E8"/>
        <n v="4.7193E7"/>
        <n v="8.3342E7"/>
        <n v="5.9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4.67E8"/>
        <n v="3.707E9"/>
        <n v="3.511E9"/>
        <n v="4.12E9"/>
        <n v="3.385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3.5E7"/>
        <n v="7000000.0"/>
        <n v="1.449E9"/>
        <n v="1.251E9"/>
        <n v="1.518E9"/>
        <n v="-7.9E8"/>
        <n v="6.03E7"/>
        <n v="2.965E8"/>
        <n v="8.44E7"/>
        <n v="-1.729E8"/>
        <n v="6.73E8"/>
        <n v="5.69E8"/>
        <n v="3.681E8"/>
        <n v="3.751E8"/>
        <n v="2.409E8"/>
        <n v="2.945E8"/>
        <n v="1.037E9"/>
        <n v="2.195E9"/>
        <n v="9.86E8"/>
        <n v="1.81E8"/>
        <n v="1.78E8"/>
        <n v="-1.370192E9"/>
        <n v="-7.38933E8"/>
        <n v="-6.77366E8"/>
        <n v="-7.15243E8"/>
        <n v="-8.2E7"/>
        <n v="-1.73E8"/>
        <n v="3.13E8"/>
        <n v="1.506868E9"/>
        <n v="9.42432E8"/>
        <n v="3.98843E8"/>
        <n v="1.93415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1.03E8"/>
        <n v="-1.112E9"/>
        <n v="-3.575E9"/>
        <n v="2.86634E8"/>
        <n v="2.69576E8"/>
        <n v="1.99359E8"/>
        <n v="1.89832E8"/>
        <n v="3.556E8"/>
        <n v="3.482E8"/>
        <n v="2.878E8"/>
        <n v="3.981E8"/>
        <n v="3.92018E8"/>
        <n v="3.42139E8"/>
        <n v="3.86176E8"/>
        <n v="3.08029E8"/>
        <n v="2.457E9"/>
        <n v="4.032E9"/>
        <n v="5.021E9"/>
        <n v="2.442E9"/>
        <n v="3.99E8"/>
        <n v="5.42E8"/>
        <n v="3.26E8"/>
        <n v="3.08E8"/>
        <n v="3.777E8"/>
        <n v="4.929E8"/>
        <n v="4.701E8"/>
        <n v="4.058E8"/>
        <n v="2.507E8"/>
        <n v="2.073E8"/>
        <n v="1.665E8"/>
        <n v="1.236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1E7"/>
        <n v="1.11E7"/>
        <n v="1.436E8"/>
        <n v="1.321E8"/>
        <n v="1.286E8"/>
        <n v="1.397E8"/>
        <n v="1.708E8"/>
        <n v="1.445E8"/>
        <n v="-1.453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426E9"/>
        <n v="2.172E9"/>
        <n v="1.976E9"/>
        <n v="4.02E8"/>
        <n v="2.96E8"/>
        <n v="-6.54E8"/>
        <n v="-5.39E8"/>
        <n v="3.39798E8"/>
        <n v="2.15697E8"/>
        <n v="3.5641E7"/>
        <n v="-1.9391E7"/>
        <n v="1.045E9"/>
        <n v="3.8E8"/>
        <n v="-7.0E7"/>
        <n v="-3.0E7"/>
        <n v="1.474E9"/>
        <n v="1.091E9"/>
        <n v="1.816E9"/>
        <n v="1.84665E8"/>
        <n v="2.59695E8"/>
        <n v="9.8655E7"/>
        <n v="5.9173E7"/>
        <n v="3.44E8"/>
        <n v="4.31E8"/>
        <n v="3.78E8"/>
        <n v="2.72E8"/>
        <n v="-1.84E9"/>
        <n v="2.9E8"/>
        <n v="3.599E8"/>
        <n v="3.618E8"/>
        <n v="5.171E8"/>
        <n v="4.726E8"/>
        <n v="4.112E9"/>
        <n v="2.906E9"/>
        <n v="3.269E9"/>
        <n v="3.854E9"/>
        <n v="1.185E8"/>
        <n v="7.901E8"/>
        <n v="1.48E9"/>
        <n v="1.6843E9"/>
        <n v="7.23538E8"/>
        <n v="6.00176E8"/>
        <n v="3.67347E8"/>
        <n v="2.81894E8"/>
        <n v="2.158E9"/>
        <n v="2.828E9"/>
        <n v="2.92943E8"/>
        <n v="5.1203E7"/>
        <n v="1.09262E8"/>
        <n v="2.3515E7"/>
        <n v="-1.564E9"/>
        <n v="-1.77E8"/>
        <n v="4.90091E8"/>
        <n v="4.10426E8"/>
        <n v="4.33036E8"/>
        <n v="3.51267E8"/>
        <n v="4.75549E8"/>
        <n v="5.03399E8"/>
        <n v="3.04107E8"/>
        <n v="4.38111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4.69E8"/>
        <n v="5.79E8"/>
        <n v="1.933E8"/>
        <n v="1.647E8"/>
        <n v="-7.41E7"/>
        <n v="1.198E8"/>
        <n v="4.29E8"/>
        <n v="3.07E8"/>
        <n v="3.55E8"/>
        <n v="3.12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51E8"/>
        <n v="7.9E8"/>
        <n v="6.16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13E8"/>
        <n v="5.933E8"/>
        <n v="9.3853E7"/>
        <n v="9.8854E7"/>
        <n v="9.2643E7"/>
        <n v="6.2619E7"/>
        <n v="2.895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1.081E9"/>
        <n v="4.7798E7"/>
        <n v="1.52669E8"/>
        <n v="-1.1745E7"/>
        <n v="1.05782E8"/>
        <n v="5.5E8"/>
        <n v="2.8E8"/>
        <n v="1.077E8"/>
        <n v="1.081E8"/>
        <n v="1.101E8"/>
        <n v="8.95E8"/>
        <n v="4.61E8"/>
        <n v="6.3E7"/>
        <n v="5.9E7"/>
        <n v="8.2E7"/>
        <n v="1.6648E7"/>
        <n v="5.022E8"/>
        <n v="6.486E8"/>
        <n v="4.096E8"/>
        <n v="4.07E8"/>
        <n v="6.8077E8"/>
        <n v="6.18091E8"/>
        <n v="4.46694E8"/>
        <n v="2.72317E8"/>
        <n v="3.263E8"/>
        <n v="3.378E8"/>
        <n v="3.25E8"/>
        <n v="5.093E8"/>
        <n v="1.962E8"/>
        <n v="2.08E8"/>
        <n v="1.926E8"/>
        <n v="2.089E8"/>
        <n v="1.101E9"/>
        <n v="3.72E8"/>
        <n v="3.87E8"/>
        <n v="-9.08E8"/>
        <n v="4.595E8"/>
        <n v="4.874E8"/>
        <n v="4.673E8"/>
        <n v="3.949E8"/>
        <n v="1.1534E9"/>
        <n v="6.594E8"/>
        <n v="6.222E8"/>
        <n v="3.926E8"/>
        <n v="5.19E8"/>
        <n v="5.37E8"/>
        <n v="-2.1807E7"/>
        <n v="8.8851E7"/>
        <n v="1.14501E8"/>
        <n v="1.05858E8"/>
        <n v="5.92E8"/>
        <n v="3.02E8"/>
        <n v="5.68E8"/>
        <n v="6.21E8"/>
        <n v="5.36814E8"/>
        <n v="3.9291E8"/>
        <n v="4.46307E8"/>
        <n v="2.33529E8"/>
        <n v="1.242E9"/>
        <n v="1.025E9"/>
        <n v="7.38E8"/>
        <n v="1.98646E8"/>
        <n v="1.95078E8"/>
        <n v="1.62345E8"/>
        <n v="1.97455E8"/>
        <n v="8.8927E7"/>
        <n v="6.7289E7"/>
        <n v="2.169E8"/>
        <n v="-6.18419E8"/>
        <n v="9.33E8"/>
        <n v="1.253E9"/>
        <n v="8.157E8"/>
        <n v="7.494E8"/>
        <n v="7.834E8"/>
        <n v="6.432E8"/>
        <n v="1.0297E7"/>
        <n v="1.52256E8"/>
        <n v="2.18812E8"/>
        <n v="1.82248E8"/>
        <n v="1.998E8"/>
        <n v="3.11E8"/>
        <n v="2.317E8"/>
        <n v="1.817E9"/>
        <n v="2.097E9"/>
        <n v="1.38E9"/>
        <n v="1.014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31E9"/>
        <n v="1.753E9"/>
        <n v="1.688E9"/>
        <n v="1.353E9"/>
        <n v="2.36E8"/>
        <n v="6.158E8"/>
        <n v="1.175E8"/>
        <n v="2.1011E9"/>
        <n v="8.12E7"/>
        <n v="9.05E8"/>
        <n v="4.59E8"/>
        <n v="3.0123E8"/>
        <n v="3.95799E8"/>
        <n v="2.91387E8"/>
        <n v="4.47283E8"/>
        <n v="4.372E8"/>
        <n v="1.567E8"/>
        <n v="8.279E8"/>
        <n v="-6200000.0"/>
        <n v="9.34E8"/>
        <n v="7.33E8"/>
        <n v="1.31E9"/>
        <n v="8.27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5.0E7"/>
        <n v="1.389E8"/>
        <n v="1.145E8"/>
        <n v="1.803E8"/>
        <n v="1.657E9"/>
        <n v="1.477E9"/>
        <n v="1.329E9"/>
        <n v="1.138E9"/>
        <n v="6.5649E7"/>
        <n v="6.8005E7"/>
        <n v="2.22116E8"/>
        <n v="2.8659E7"/>
        <n v="3.6976E7"/>
        <n v="5.4094E7"/>
        <n v="3.9284E7"/>
        <n v="5.3892E7"/>
        <n v="7.49E8"/>
        <n v="6.13E8"/>
        <n v="1.982E9"/>
        <n v="1.519E9"/>
        <n v="1.58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03E8"/>
        <n v="2.97E8"/>
        <n v="4.266E9"/>
        <n v="4.862E9"/>
        <n v="2.212E9"/>
        <n v="3.172E9"/>
        <n v="3.25024E8"/>
        <n v="2.09091E8"/>
        <n v="3.08708E8"/>
        <n v="2.41279E8"/>
        <n v="1.62E8"/>
        <n v="-7.04E8"/>
        <n v="-3.59E8"/>
        <n v="-4.64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6.15E8"/>
        <n v="4.81E8"/>
        <n v="-2.792E8"/>
        <n v="-1.0376E9"/>
        <n v="-9.158E8"/>
        <n v="1.857E8"/>
        <n v="2.575E9"/>
        <n v="3.026E9"/>
        <n v="3.126E9"/>
        <n v="2.137E9"/>
        <n v="6.4512E7"/>
        <n v="2.055E7"/>
        <n v="-1.94979E8"/>
        <n v="6.57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9E7"/>
        <n v="1.281E8"/>
        <n v="8.68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2.76E8"/>
        <n v="5.101E8"/>
        <n v="2.39E8"/>
        <n v="2.668E8"/>
        <n v="6.04E9"/>
        <n v="4.636E9"/>
        <n v="2.992E9"/>
        <n v="2.035E9"/>
        <n v="2.6257E7"/>
        <n v="7.1546E7"/>
        <n v="1.63729E8"/>
        <n v="3.25585E8"/>
        <n v="1.873E8"/>
        <n v="1.512E8"/>
        <n v="9.84E7"/>
        <n v="8.23E7"/>
        <n v="-6.0E7"/>
        <n v="2.225E8"/>
        <n v="1.818E8"/>
        <n v="1.771E8"/>
        <n v="2.286E8"/>
        <n v="1.125E8"/>
        <n v="1.52E8"/>
        <n v="-1.156E9"/>
        <n v="1.785E8"/>
        <n v="1.028E9"/>
        <n v="2.92E8"/>
        <n v="2.83E8"/>
        <n v="4.33E8"/>
        <n v="4.97E8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54E8"/>
        <n v="2.84E8"/>
        <n v="4.79E8"/>
      </sharedItems>
    </cacheField>
    <cacheField name="Selling General Administrative" numFmtId="0">
      <sharedItems containsString="0" containsBlank="1" containsNumber="1" containsInteger="1">
        <n v="1.739E9"/>
        <n v="1.666E9"/>
        <n v="1.72E9"/>
        <n v="1.814E9"/>
        <n v="1.743E8"/>
        <n v="1.698E8"/>
        <n v="1.665E8"/>
        <n v="1.847E8"/>
        <n v="2.699E9"/>
        <n v="2.658E9"/>
        <n v="2.716E9"/>
        <n v="2.525E9"/>
        <n v="2.946E9"/>
        <n v="3.049E9"/>
        <n v="2.741E9"/>
        <n v="3.099E9"/>
        <n v="1.02779E8"/>
        <n v="1.03484E8"/>
        <n v="1.00374E8"/>
        <n v="8.6198E7"/>
        <n v="2.507527E9"/>
        <n v="2.285728E9"/>
        <n v="1.941717E9"/>
        <n v="2.007627E9"/>
        <n v="3.87E8"/>
        <n v="4.34E8"/>
        <n v="5.19E8"/>
        <n v="5.97E8"/>
        <n v="7.16E8"/>
        <n v="8.15E8"/>
        <n v="6.97E8"/>
        <n v="7.2E8"/>
        <n v="1.333E9"/>
        <n v="1.329E9"/>
        <n v="1.339E9"/>
        <n v="1.184E9"/>
        <n v="9.32793E8"/>
        <n v="1.200138E9"/>
        <n v="3.68E8"/>
        <n v="3.31E8"/>
        <n v="3.04E8"/>
        <n v="3.08E8"/>
        <n v="3.9E7"/>
        <n v="4.5E7"/>
        <n v="4.6E7"/>
        <n v="4.7E7"/>
        <n v="8.69E8"/>
        <n v="8.81E8"/>
        <n v="8.32E8"/>
        <n v="1.038E9"/>
        <n v="3.9E8"/>
        <n v="4.2E8"/>
        <n v="3.98E8"/>
        <n v="3.42E8"/>
        <n v="2.021E8"/>
        <n v="1.926E8"/>
        <n v="1.891E8"/>
        <n v="1.821E8"/>
        <n v="2.41463E8"/>
        <n v="2.46049E8"/>
        <n v="2.53005E8"/>
        <n v="2.98739E8"/>
        <n v="9.5699E7"/>
        <n v="1.13393E8"/>
        <n v="8.5589E7"/>
        <n v="1.15008E8"/>
        <n v="4.9E7"/>
        <n v="4.1E7"/>
        <n v="3.3E7"/>
        <n v="1.8E7"/>
        <n v="3.7931E7"/>
        <n v="3.788E7"/>
        <n v="3.3996E7"/>
        <n v="3.269E7"/>
        <n v="4.28409E8"/>
        <n v="4.31921E8"/>
        <n v="3.97115E8"/>
        <n v="3.48392E8"/>
        <n v="1.6E8"/>
        <n v="1.731E8"/>
        <n v="1.642E8"/>
        <n v="1.566E8"/>
        <m/>
        <n v="2.4E7"/>
        <n v="1.93E9"/>
        <n v="1.549E9"/>
        <n v="1.399E9"/>
        <n v="1.131E9"/>
        <n v="8.617E9"/>
        <n v="7.289E9"/>
        <n v="8.145E9"/>
        <n v="6.987E9"/>
        <n v="4.92E8"/>
        <n v="4.67E8"/>
        <n v="5.2E8"/>
        <n v="2.9397E10"/>
        <n v="2.6628E10"/>
        <n v="2.3428E10"/>
        <n v="2.3449E10"/>
        <n v="3.27E8"/>
        <n v="3.21E8"/>
        <n v="3.05E8"/>
        <n v="3.26E8"/>
        <n v="-3.4E7"/>
        <n v="-3.1E7"/>
        <n v="-3.2E7"/>
        <n v="2.77E8"/>
        <n v="1.51E8"/>
        <n v="9.5E7"/>
        <n v="7.0E7"/>
        <n v="-2.97E7"/>
        <n v="-2.96E7"/>
        <n v="-2.98E7"/>
        <n v="3.758E9"/>
        <n v="3.316E9"/>
        <n v="3.601E9"/>
        <n v="3.23E9"/>
        <n v="2.092E9"/>
        <n v="2.014E9"/>
        <n v="2.054E9"/>
        <n v="1.891E9"/>
        <n v="2.072E8"/>
        <n v="1.826E8"/>
        <n v="1.963E8"/>
        <n v="1.76E8"/>
        <n v="-1.9E7"/>
        <n v="-2.0E7"/>
        <n v="-1.2E7"/>
        <n v="8.23E8"/>
        <n v="8.28E8"/>
        <n v="7.62E8"/>
        <n v="9.13414E8"/>
        <n v="7.30081E8"/>
        <n v="7.35068E8"/>
        <n v="6.71028E8"/>
        <n v="1.57023E8"/>
        <n v="1.3844E8"/>
        <n v="1.35844E8"/>
        <n v="1.28482E8"/>
        <n v="1.384E9"/>
        <n v="1.254E9"/>
        <n v="1.773E9"/>
        <n v="1.346E9"/>
        <n v="2.627E8"/>
        <n v="1.19E7"/>
        <n v="2.591E8"/>
        <n v="2.464E8"/>
        <n v="1.87776E8"/>
        <n v="1.83612E8"/>
        <n v="1.70075E8"/>
        <n v="1.46219E8"/>
        <n v="1.59089E8"/>
        <n v="1.44245E8"/>
        <n v="1.93524E8"/>
        <n v="1.31093E8"/>
        <n v="6.844E9"/>
        <n v="6.435E9"/>
        <n v="6.238E9"/>
        <n v="6.84E9"/>
        <n v="4.71E8"/>
        <n v="4.45E8"/>
        <n v="5.04E8"/>
        <n v="4.22E8"/>
        <n v="8.6E7"/>
        <n v="8.3E7"/>
        <n v="7.6E7"/>
        <n v="5.2E7"/>
        <n v="5.412E9"/>
        <n v="5.314E9"/>
        <n v="5.631E9"/>
        <n v="4.936E9"/>
        <n v="3.09E8"/>
        <n v="2.85E8"/>
        <n v="2.84E8"/>
        <n v="2.61E8"/>
        <n v="2.75E8"/>
        <n v="2.6E8"/>
        <n v="2.62E8"/>
        <n v="9.152E7"/>
        <n v="8.6493E7"/>
        <n v="8.4099E7"/>
        <n v="6.8518E7"/>
        <n v="2.376E8"/>
        <n v="2.286E8"/>
        <n v="2.208E8"/>
        <n v="1.974E8"/>
        <n v="1.6824E9"/>
        <n v="8.39E9"/>
        <n v="5.297E9"/>
        <n v="1.2866E10"/>
        <n v="8.248E9"/>
        <n v="1.0133E7"/>
        <n v="1252000.0"/>
        <n v="1253000.0"/>
        <n v="-1866000.0"/>
        <n v="5.227E8"/>
        <n v="4.87E8"/>
        <n v="5.016E8"/>
        <n v="4.634E8"/>
        <n v="8.503E8"/>
        <n v="7.475E8"/>
        <n v="7.443E8"/>
        <n v="6.676E8"/>
        <n v="1.526809E9"/>
        <n v="1.111441E9"/>
        <n v="1.037716E9"/>
        <n v="1.060392E9"/>
        <n v="1.9112E7"/>
        <n v="1.8265E7"/>
        <n v="1.0914E7"/>
        <n v="1.3985E7"/>
        <n v="3.07E8"/>
        <n v="3.123E8"/>
        <n v="1.782E8"/>
        <n v="2.583E8"/>
        <n v="6.07E8"/>
        <n v="6.36E8"/>
        <n v="5.82E8"/>
        <n v="5.8E8"/>
        <n v="1.66E8"/>
        <n v="1.57E8"/>
        <n v="1.62E8"/>
        <n v="1.21E8"/>
        <n v="1.2675E10"/>
        <n v="1.3096E10"/>
        <n v="1.3765E10"/>
        <n v="1.2395E10"/>
        <n v="8.99E8"/>
        <n v="8.42E8"/>
        <n v="1.731E9"/>
        <n v="8.08E8"/>
        <n v="6.52E8"/>
        <n v="6.24E8"/>
        <n v="6.21E8"/>
        <n v="5.74E8"/>
        <n v="1.238E9"/>
        <n v="1.144E9"/>
        <n v="1.205E9"/>
        <n v="1.989E9"/>
        <n v="1.968E9"/>
        <n v="2.348E9"/>
        <n v="2.103E9"/>
        <n v="2.21425E8"/>
        <n v="1.91653E8"/>
        <n v="2.15448E8"/>
        <n v="1.99265E8"/>
        <n v="8.5691E7"/>
        <n v="8.0865E7"/>
        <n v="7.8695E7"/>
        <n v="7.2748E7"/>
        <n v="6.373E8"/>
        <n v="5.95E8"/>
        <n v="8.132E8"/>
        <n v="5.731E8"/>
        <n v="4.6E8"/>
        <n v="4.74E8"/>
        <n v="4.61E8"/>
        <n v="2.461E9"/>
        <n v="2.39E9"/>
        <n v="2.449E9"/>
        <n v="2.493E9"/>
        <n v="1.062E9"/>
        <n v="8.6E8"/>
        <n v="8.5E8"/>
        <n v="1.722E9"/>
        <n v="1.421E9"/>
        <n v="7.79E8"/>
        <n v="7.12E8"/>
        <n v="1.079E9"/>
        <n v="3.52E8"/>
        <n v="3.66E8"/>
        <n v="3.48E8"/>
        <n v="2.02E8"/>
        <n v="3.8405E7"/>
        <n v="4.4959E7"/>
        <n v="3.1053E7"/>
        <n v="2.7862E7"/>
        <n v="1.121E9"/>
        <n v="1.019E9"/>
        <n v="9.76E8"/>
        <n v="9.84E8"/>
        <n v="1.866E9"/>
        <n v="1.667E9"/>
        <n v="2.48E9"/>
        <n v="1.694E9"/>
        <n v="3.46E8"/>
        <n v="3.25E8"/>
        <n v="3.39E8"/>
        <n v="5.12E8"/>
        <n v="1.9E8"/>
        <n v="1.69E8"/>
        <n v="1.517E8"/>
        <n v="1.789E8"/>
        <n v="1.18216E8"/>
        <n v="1.24516E8"/>
        <n v="1.1813E8"/>
        <n v="1.25183E8"/>
        <n v="1.763E8"/>
        <n v="1.72778E8"/>
        <n v="1.95766E8"/>
        <n v="1.59666E8"/>
        <n v="4.94E8"/>
        <n v="4.46E8"/>
        <n v="4.62E8"/>
        <n v="3.44E8"/>
        <n v="3.84E8"/>
        <n v="3.45E8"/>
        <n v="3.58E9"/>
        <n v="3.414E9"/>
        <n v="3.579E9"/>
        <n v="3.145E9"/>
        <n v="1.129E9"/>
        <n v="1.12E9"/>
        <n v="1.147E9"/>
        <n v="1.137E9"/>
        <n v="5.54069E8"/>
        <n v="5.56128E8"/>
        <n v="4.788E8"/>
        <n v="4.90208E8"/>
        <n v="4.17E8"/>
        <n v="7.76E8"/>
        <n v="8.74E8"/>
        <n v="6.37E8"/>
        <n v="1.862E8"/>
        <n v="1.72E8"/>
        <n v="1.648E8"/>
        <n v="1.64E8"/>
        <n v="1.004E9"/>
        <n v="1.276E9"/>
        <n v="9.33E8"/>
        <n v="1.02E9"/>
        <n v="1.136E8"/>
        <n v="1.12E8"/>
        <n v="9.74E7"/>
        <n v="9.58E7"/>
        <n v="9.57216E8"/>
        <n v="8.28327E8"/>
        <n v="8.7605E8"/>
        <n v="7.54527E8"/>
        <n v="5.129E8"/>
        <n v="4.718E8"/>
        <n v="5.487E8"/>
        <n v="4.992E8"/>
        <n v="1.23E8"/>
        <n v="9.9E7"/>
        <n v="7.8E7"/>
        <n v="2.642E9"/>
        <n v="2.232E9"/>
        <n v="2.265E9"/>
        <n v="2.943E9"/>
        <n v="-2000000.0"/>
        <n v="2.6E7"/>
        <n v="1.072E8"/>
        <n v="8.74E7"/>
        <n v="8.06E7"/>
        <n v="7.75E7"/>
        <n v="7.65384E8"/>
        <n v="7.14541E8"/>
        <n v="7.28063E8"/>
        <n v="7.42218E8"/>
        <n v="6.0E7"/>
        <n v="5.5E7"/>
        <n v="5.1E7"/>
        <n v="1.54756E8"/>
        <n v="1.4789E8"/>
        <n v="1.43735E8"/>
        <n v="1.28575E8"/>
        <n v="1.857E9"/>
        <n v="1.972E9"/>
        <n v="1.708E9"/>
        <n v="1.291E9"/>
        <n v="9.18E8"/>
        <n v="6.83E8"/>
        <n v="7.33E8"/>
        <n v="-3.613E9"/>
        <n v="6.16E9"/>
        <n v="6.294E9"/>
        <n v="5.629E9"/>
        <n v="5.658E9"/>
        <n v="1.4593E8"/>
        <n v="1.46044E8"/>
        <n v="1.55103E8"/>
        <n v="2.76195E8"/>
        <n v="7.75E8"/>
        <n v="7.44E8"/>
        <n v="8.77E8"/>
        <n v="3.188E8"/>
        <n v="2.915E8"/>
        <n v="2.673E8"/>
        <n v="3.888E8"/>
        <n v="3.0E9"/>
        <n v="3.3E9"/>
        <n v="3.71E9"/>
        <n v="3.207E9"/>
        <n v="5.08655E8"/>
        <n v="4.9749E8"/>
        <n v="4.83048E8"/>
        <n v="4.67012E8"/>
        <n v="2.92E9"/>
        <n v="2.761E9"/>
        <n v="2.757E9"/>
        <n v="2.704E9"/>
        <n v="8.775E9"/>
        <n v="8.699E9"/>
        <n v="8.352E9"/>
        <n v="8.299E9"/>
        <n v="9.29E8"/>
        <n v="9.46E8"/>
        <n v="9.35E8"/>
        <n v="9.17E8"/>
        <n v="4.00214E8"/>
        <n v="3.72774E8"/>
        <n v="4.07709E8"/>
        <n v="3.8025E8"/>
        <n v="4.91E8"/>
        <n v="4.4E8"/>
        <n v="4.58E8"/>
        <n v="3.685E8"/>
        <n v="3.923E8"/>
        <n v="3.94E8"/>
        <n v="3.885E8"/>
        <n v="-4.0E7"/>
        <n v="-4.1E7"/>
        <n v="-2.8E7"/>
        <n v="2.944E9"/>
        <n v="2.609E9"/>
        <n v="2.566E9"/>
        <n v="2.467E9"/>
        <n v="8.27E8"/>
        <n v="8.97E8"/>
        <n v="8.04E8"/>
        <n v="1.586E9"/>
        <n v="1.623E9"/>
        <n v="1.654E9"/>
        <n v="1.533E9"/>
        <n v="1.04E10"/>
        <n v="9.885E9"/>
        <n v="1.11E10"/>
        <n v="9.571E9"/>
        <n v="4.42E8"/>
        <n v="4.41E8"/>
        <n v="4.15E8"/>
        <n v="2.793E8"/>
        <n v="3.328E8"/>
        <n v="2.703E8"/>
        <n v="4.09E8"/>
        <n v="1.56E8"/>
        <n v="2.74E8"/>
        <n v="1.88E8"/>
        <n v="1.15E8"/>
        <n v="-7.9E7"/>
        <n v="9.4E7"/>
        <n v="4.842E8"/>
        <n v="3.784E8"/>
        <n v="4.536E8"/>
        <n v="4.47E8"/>
        <n v="6.1585E7"/>
        <n v="5.7719E7"/>
        <n v="5.7216E7"/>
        <n v="1.2002E7"/>
        <n v="3.72E8"/>
        <n v="4.55E8"/>
        <n v="6.7E8"/>
        <n v="4.08E8"/>
        <n v="6.31E8"/>
        <n v="5.632E9"/>
        <n v="4.189E9"/>
        <n v="4.342E9"/>
        <n v="4.298E9"/>
        <n v="1.6837E7"/>
        <n v="2.6755E7"/>
        <n v="2.4534E7"/>
        <n v="2.4262E7"/>
        <n v="1.85E8"/>
        <n v="1.54E8"/>
        <n v="6.25E8"/>
        <n v="5.5E8"/>
        <n v="5.59E8"/>
        <n v="5.17E8"/>
        <n v="8.828E9"/>
        <n v="8.881E9"/>
        <n v="9.297E9"/>
        <n v="8.414E9"/>
        <n v="5.287E8"/>
        <n v="4.978E8"/>
        <n v="4.764E8"/>
        <n v="4.907E8"/>
        <n v="1.955E9"/>
        <n v="1.855E9"/>
        <n v="1.9548E9"/>
        <n v="1.7919E9"/>
        <n v="1.611E8"/>
        <n v="9.81E7"/>
        <n v="1.087E8"/>
        <n v="1.168E8"/>
        <n v="2.93095E8"/>
        <n v="2.98091E8"/>
        <n v="2.81426E8"/>
        <n v="3.04519E8"/>
        <n v="7.0E8"/>
        <n v="7.31E8"/>
        <n v="7.63E8"/>
        <n v="2.22E8"/>
        <n v="1.1E8"/>
        <n v="8.4E7"/>
        <n v="3.85E8"/>
        <n v="2.982E8"/>
        <n v="3.406E8"/>
        <n v="2.791E8"/>
        <n v="1.07E8"/>
        <n v="8.2E7"/>
        <n v="7.5E7"/>
        <n v="1.87E8"/>
        <n v="1.886E8"/>
        <n v="1.759E8"/>
        <n v="1.586E8"/>
        <n v="2.5E7"/>
        <n v="2.0E7"/>
        <n v="9.7492E7"/>
        <n v="9.9994E7"/>
        <n v="1.78188E8"/>
        <n v="9.1352E7"/>
        <n v="8.82E8"/>
        <n v="8.66E8"/>
        <n v="8.85E8"/>
        <n v="7.88E8"/>
        <n v="1.047E9"/>
        <n v="8.03E8"/>
        <n v="6.33E8"/>
        <n v="6.35E8"/>
        <n v="5.07909E8"/>
        <n v="4.81686E8"/>
        <n v="4.29261E8"/>
        <n v="5.16648E8"/>
        <n v="1.846818E9"/>
        <n v="1.861771E9"/>
        <n v="1.79511E9"/>
        <n v="1.775608E9"/>
        <n v="1.4471E9"/>
        <n v="1.3942E9"/>
        <n v="1.4235E9"/>
        <n v="1.4191E9"/>
        <n v="-1.14E8"/>
        <n v="-1.24E8"/>
        <n v="-4.86E8"/>
        <n v="3.1E7"/>
        <n v="1.00448E8"/>
        <n v="9.1253E7"/>
        <n v="1.38404E8"/>
        <n v="9.1652E7"/>
        <n v="3.74239E8"/>
        <n v="3.80932E8"/>
        <n v="3.63954E8"/>
        <n v="2.50888E8"/>
        <n v="3.54E8"/>
        <n v="2.91E8"/>
        <n v="4.05E8"/>
        <n v="3000000.0"/>
        <n v="4000000.0"/>
        <n v="8000000.0"/>
        <n v="5000000.0"/>
        <n v="2.4217E7"/>
        <n v="1.3196E7"/>
        <n v="1.1439E7"/>
        <n v="1.1506E7"/>
        <n v="4.44E8"/>
        <n v="5.29E8"/>
        <n v="3.18E8"/>
        <n v="1.65E8"/>
        <n v="1.48E8"/>
        <n v="3.83E8"/>
        <n v="1.35E8"/>
        <n v="7.8E8"/>
        <n v="7.73E8"/>
        <n v="7.6E8"/>
        <n v="8.09E8"/>
        <n v="7.57E8"/>
        <n v="1.057E9"/>
        <n v="8.362E8"/>
        <n v="8.459E8"/>
        <n v="7.946E8"/>
        <n v="7.875E8"/>
        <n v="-3.3E7"/>
        <n v="6.94E8"/>
        <n v="3.745E8"/>
        <n v="3.308E8"/>
        <n v="3.389E8"/>
        <n v="3.072E8"/>
        <n v="3.61E8"/>
        <n v="3.65E8"/>
        <n v="2.89E8"/>
        <n v="1.5026E9"/>
        <n v="1.4966E9"/>
        <n v="1.4551E9"/>
        <n v="1.4127E9"/>
        <n v="1.073E9"/>
        <n v="1.054E9"/>
        <n v="9.98E8"/>
        <n v="3.6645E7"/>
        <n v="2.7023E7"/>
        <n v="2.817E7"/>
        <n v="2.4341E7"/>
        <n v="1.45691E8"/>
        <n v="3.1739E7"/>
        <n v="-1.65327E8"/>
        <n v="7.6341E7"/>
        <n v="1.2E8"/>
        <n v="1.13235E8"/>
        <n v="1.2446E8"/>
        <n v="3.284E8"/>
        <n v="3.088E8"/>
        <n v="3.444E8"/>
        <n v="3.32E8"/>
        <n v="5.07615E8"/>
        <n v="4.84283E8"/>
        <n v="4.80199E8"/>
        <n v="4.52077E8"/>
        <n v="1.4678E7"/>
        <n v="1.5383E7"/>
        <n v="1.1093E7"/>
        <n v="1.0859E7"/>
        <n v="1.2222E7"/>
        <n v="9812000.0"/>
        <n v="2.3144E7"/>
        <n v="1.331E7"/>
        <n v="2.604E9"/>
        <n v="2.05E9"/>
        <n v="2.599E9"/>
        <n v="2.029E9"/>
        <n v="2.19129E8"/>
        <n v="2.03386E8"/>
        <n v="2.5398E8"/>
        <n v="1.66841E8"/>
        <n v="1.6168E7"/>
        <n v="1.2378E7"/>
        <n v="1.1934E7"/>
        <n v="1.0618E7"/>
        <n v="1.48E7"/>
        <n v="1.49E7"/>
        <n v="1.37E7"/>
        <n v="-2.21E7"/>
        <n v="-2.01E7"/>
        <n v="-1.01E7"/>
        <n v="-1.1E7"/>
        <n v="-1.5E7"/>
        <n v="-1.3E7"/>
        <n v="8.2E8"/>
        <n v="6.63E8"/>
        <n v="4.48E8"/>
        <n v="3070000.0"/>
        <n v="4135000.0"/>
        <n v="2945000.0"/>
        <n v="3113000.0"/>
        <n v="2.6341E7"/>
        <n v="2.354E7"/>
        <n v="5.2688E7"/>
        <n v="2.3894E7"/>
        <n v="2.497E9"/>
        <n v="2.767E9"/>
        <n v="2.187E9"/>
        <n v="2.96256E8"/>
        <n v="2.74999E8"/>
        <n v="2.83936E8"/>
        <n v="2.736E8"/>
        <n v="5.215E9"/>
        <n v="4.465E9"/>
        <n v="4.88E9"/>
        <n v="4.473E9"/>
        <n v="3.829E8"/>
        <n v="3.631E8"/>
        <n v="3.547E8"/>
        <n v="3.515E8"/>
        <n v="1.2846E7"/>
        <n v="1.0258E7"/>
        <n v="1.8739E7"/>
        <n v="9308000.0"/>
        <n v="4.28E8"/>
        <n v="9.77E8"/>
        <n v="9.97E8"/>
        <n v="6.61E8"/>
        <n v="6.67E8"/>
        <n v="8.61E8"/>
        <n v="9.26E8"/>
        <n v="8.71E8"/>
        <n v="6.76044E8"/>
        <n v="6.38356E8"/>
        <n v="5.83502E8"/>
        <n v="5.32071E8"/>
        <n v="-1.17E8"/>
        <n v="-2.35E8"/>
        <n v="1.44E9"/>
        <n v="1.367E9"/>
        <n v="1.379E9"/>
        <n v="1.408E9"/>
        <n v="1.78233E8"/>
        <n v="1.60444E8"/>
        <n v="1.38698E8"/>
        <n v="1.3763E8"/>
        <n v="1.61E8"/>
        <n v="1.741E8"/>
        <n v="1.687E8"/>
        <n v="1.733E8"/>
        <n v="1.856E9"/>
        <n v="2.231E9"/>
        <n v="3.304E9"/>
        <n v="1.822E9"/>
        <n v="3.613E8"/>
        <n v="3.36E8"/>
        <n v="3.238E8"/>
        <n v="2.961E8"/>
        <n v="4.571E8"/>
        <n v="4.289E8"/>
        <n v="2.36E7"/>
        <n v="5.631E8"/>
        <n v="3.946E8"/>
        <n v="3.715E8"/>
        <n v="3.632E8"/>
        <n v="3.278E8"/>
        <n v="5.4E8"/>
        <n v="4.37E8"/>
        <n v="3.88E8"/>
        <n v="3.344E8"/>
        <n v="2.882E8"/>
        <n v="2.849E8"/>
        <n v="2.319E8"/>
        <n v="8.7E7"/>
        <n v="1.0E8"/>
        <n v="1.17E8"/>
        <n v="7.2E7"/>
        <n v="1.398E9"/>
        <n v="2.913E9"/>
        <n v="1.449E9"/>
        <n v="2.08698E8"/>
        <n v="1.88683E8"/>
        <n v="2.20045E8"/>
        <n v="4.88496E8"/>
        <n v="4.80755E8"/>
        <n v="5.23375E8"/>
        <n v="5.22708E8"/>
        <n v="1.01323E8"/>
        <n v="9.8719E7"/>
        <n v="9.1962E7"/>
        <n v="9.2308E7"/>
        <n v="4.75E8"/>
        <n v="5.02E8"/>
        <n v="6.14E8"/>
        <n v="4.8E8"/>
        <n v="2.648E9"/>
        <n v="2.659E9"/>
        <n v="2.571E9"/>
        <n v="2.918E9"/>
        <n v="7.897E8"/>
        <n v="6.829E8"/>
        <n v="7.712E8"/>
        <n v="7.029E8"/>
        <n v="1.32E9"/>
        <n v="2.088E9"/>
        <n v="1.23E9"/>
        <n v="1.263673E9"/>
        <n v="1.186966E9"/>
        <n v="1.121115E9"/>
        <n v="1.133851E9"/>
        <n v="1.351E9"/>
        <n v="1.044E9"/>
        <n v="1.576E9"/>
        <n v="1.106E9"/>
        <n v="7.60269E8"/>
        <n v="6.97702E8"/>
        <n v="7.38516E8"/>
        <n v="6.60775E8"/>
        <n v="9800000.0"/>
        <n v="5.963E9"/>
        <n v="6.73E9"/>
        <n v="3.172E9"/>
        <n v="3.72E9"/>
        <n v="4.8E7"/>
        <n v="4.4E7"/>
        <n v="4.576E8"/>
        <n v="4.05334E8"/>
        <n v="4.49694E8"/>
        <n v="4.46355E8"/>
        <n v="4.597E8"/>
        <n v="3.765E8"/>
        <n v="4.72029E8"/>
        <n v="4.62768E8"/>
        <n v="9.23E8"/>
        <n v="2.4088E7"/>
        <n v="2.2439E7"/>
        <n v="2.5507E7"/>
        <n v="2.1661E7"/>
        <n v="6.57992E8"/>
        <n v="6.95331E8"/>
        <n v="5.59636E8"/>
        <n v="4.45793E8"/>
        <n v="3.99E8"/>
        <n v="3.59E8"/>
        <n v="3.28E8"/>
        <n v="1.271E9"/>
        <n v="1.18E9"/>
        <n v="1.142E9"/>
        <n v="1.126E9"/>
        <n v="9.8E7"/>
        <n v="1.27E8"/>
        <n v="6.9E7"/>
        <n v="6.6E7"/>
        <n v="2.204E8"/>
        <n v="2.195E8"/>
        <n v="2.242E8"/>
        <n v="6.409E9"/>
        <n v="6.296E9"/>
        <n v="5.722E9"/>
        <n v="5.663E9"/>
        <n v="8.8E8"/>
        <n v="9.09E8"/>
        <n v="1.041E9"/>
        <n v="8.52E8"/>
        <n v="1.98822E8"/>
        <n v="1.99966E8"/>
        <n v="1.9638E8"/>
        <n v="1.58897E8"/>
        <n v="2.1E7"/>
        <n v="5.8E7"/>
        <n v="7.4E7"/>
        <n v="7.9E7"/>
        <n v="1.441E9"/>
        <n v="1.336E9"/>
        <n v="1.263E9"/>
        <n v="2.007E9"/>
        <n v="3.037E9"/>
        <n v="2.544E9"/>
        <n v="2.354E9"/>
        <n v="7.32E8"/>
        <n v="6.82E8"/>
        <n v="6.59E8"/>
        <n v="6.56E8"/>
        <n v="2.26E8"/>
        <n v="1.91E8"/>
        <n v="5.433E9"/>
        <n v="5.45E9"/>
        <n v="4.919E9"/>
        <n v="1.4468E8"/>
        <n v="1.33796E8"/>
        <n v="1.23935E8"/>
        <n v="1.16858E8"/>
        <n v="1.92358E8"/>
        <n v="1.85581E8"/>
        <n v="1.8563E8"/>
        <n v="2.13233E8"/>
        <n v="2.833E8"/>
        <n v="3.022E8"/>
        <n v="2.962E8"/>
        <n v="2.587E8"/>
        <n v="5.6E8"/>
        <n v="5.53E8"/>
        <n v="5.57E8"/>
        <n v="4.83E8"/>
        <n v="3.74E8"/>
        <n v="3.73E8"/>
        <n v="2.17E8"/>
        <n v="1.77E8"/>
        <n v="1.68859E8"/>
        <n v="1.54144E8"/>
        <n v="1.67228E8"/>
        <n v="1.21025E8"/>
        <n v="2.663E8"/>
        <n v="2.515E8"/>
        <n v="2.452E8"/>
        <n v="2.442E8"/>
        <n v="1.599E9"/>
        <n v="1.328E9"/>
        <n v="1.757E9"/>
        <n v="1.435E9"/>
        <n v="6.47E8"/>
        <n v="6.32E8"/>
        <n v="5.28E8"/>
        <n v="2.14333E8"/>
        <n v="1.8813E8"/>
        <n v="7.14E8"/>
        <n v="8.02E8"/>
        <n v="7.26E8"/>
        <n v="2.94E7"/>
        <n v="2.82E7"/>
        <n v="3.357E8"/>
        <n v="9900000.0"/>
        <n v="1.146E9"/>
        <n v="5.31E8"/>
        <n v="6.17E8"/>
        <n v="3.314E8"/>
        <n v="2.989E8"/>
        <n v="1.278E8"/>
        <n v="1.124E8"/>
        <n v="1.165E8"/>
        <n v="1.053E8"/>
        <n v="4.4686E7"/>
        <n v="4.637E7"/>
        <n v="4.3725E7"/>
        <n v="4.5807E7"/>
        <n v="4.82E8"/>
        <n v="4.64E8"/>
        <n v="2.58723E8"/>
        <n v="2.3644E8"/>
        <n v="2.32095E8"/>
        <n v="2.4031E8"/>
        <n v="8.3013E7"/>
        <n v="8.2921E7"/>
        <n v="9.2439E7"/>
        <n v="7.7306E7"/>
        <n v="5.0259E7"/>
        <n v="4.7408E7"/>
        <n v="4.4167E7"/>
        <n v="4.5226E7"/>
        <n v="5.64711E8"/>
        <n v="5.2075E8"/>
        <n v="3.86419E8"/>
        <n v="3.43176E8"/>
        <n v="3.293E8"/>
        <n v="4.167E8"/>
        <n v="3.744E8"/>
        <n v="5.939E9"/>
        <n v="5.263E9"/>
        <n v="6.714E9"/>
        <n v="5.336E9"/>
        <n v="1.152E9"/>
        <n v="1.274E9"/>
        <n v="1.298E9"/>
        <n v="8.19E8"/>
        <n v="1.6403E10"/>
        <n v="1.7189E10"/>
        <n v="1.4705E10"/>
        <n v="1.4984E10"/>
        <n v="3.288E8"/>
        <n v="3.138E8"/>
        <n v="2.987E8"/>
        <n v="2.891E8"/>
        <n v="7.49E8"/>
        <n v="7.9E8"/>
        <n v="6.69E8"/>
        <n v="9.07E8"/>
        <n v="9.08E8"/>
        <n v="9.13E8"/>
        <n v="2.94E8"/>
        <n v="2.87E8"/>
        <n v="2.41E8"/>
        <n v="8.06E8"/>
        <n v="9.6E8"/>
        <n v="8.17E8"/>
        <n v="2.4754E7"/>
        <n v="2.4478E7"/>
        <n v="1.2201E7"/>
        <n v="2.8795E7"/>
        <n v="1.53E8"/>
        <n v="1.55E8"/>
        <n v="1.93861E8"/>
        <n v="1.8304E8"/>
        <n v="1.81909E8"/>
        <n v="1.72631E8"/>
        <n v="6.22E8"/>
        <n v="8.39E8"/>
        <n v="7.58E9"/>
        <n v="7.256E9"/>
        <n v="5.333E9"/>
        <n v="5.439E9"/>
        <n v="7.13E8"/>
        <n v="6.91E8"/>
        <n v="4.183E8"/>
        <n v="4.955E8"/>
        <n v="4.132E8"/>
        <n v="3.837E8"/>
        <n v="2.17525E8"/>
        <n v="2.03703E8"/>
        <n v="2.18899E8"/>
        <n v="1.89748E8"/>
        <n v="8.55E7"/>
        <n v="9.51E7"/>
        <n v="7.89E7"/>
        <n v="7.41E7"/>
        <n v="2.97E8"/>
        <n v="2.86E8"/>
        <n v="3.13E8"/>
        <n v="3.37E8"/>
        <n v="1.06E8"/>
        <n v="1.032E8"/>
        <n v="9.71E7"/>
        <n v="2.24E8"/>
        <n v="1.59E8"/>
        <n v="2.0E8"/>
        <n v="5.45881E8"/>
        <n v="5.20767E8"/>
        <n v="5.70522E8"/>
        <n v="5.2861E8"/>
        <n v="2.565E9"/>
        <n v="7.38E8"/>
        <n v="7.56E8"/>
        <n v="7.29E8"/>
        <n v="3.56492E8"/>
        <n v="3.50801E8"/>
        <n v="3.26725E8"/>
        <n v="4.37564E8"/>
        <n v="8.57921E8"/>
        <n v="8.15386E8"/>
        <n v="8.17958E8"/>
        <n v="7.40093E8"/>
        <n v="-1.07E8"/>
        <n v="-1.06E8"/>
        <n v="-6.0E7"/>
        <n v="-5.9E7"/>
        <n v="9.14E8"/>
        <n v="8.93E8"/>
        <n v="4.666E9"/>
        <n v="4.494E9"/>
        <n v="3.307E9"/>
        <n v="4.77E9"/>
        <n v="7.35E8"/>
        <n v="3.4E8"/>
        <n v="3.02E8"/>
        <n v="2.98E8"/>
        <n v="6.5665E8"/>
        <n v="7.13245E8"/>
        <n v="6.54539E8"/>
        <n v="6.45914E8"/>
        <n v="5.7E7"/>
        <n v="5.9E7"/>
        <n v="6.81E8"/>
        <n v="5.75E8"/>
        <n v="6.39E8"/>
        <n v="6.79E8"/>
        <n v="2.4784E7"/>
        <n v="2.2082E7"/>
        <n v="2.2543E7"/>
        <n v="2.1171E7"/>
        <n v="2.11E8"/>
        <n v="4.59E8"/>
        <n v="1.31E8"/>
        <n v="1.78E8"/>
        <n v="7.67E7"/>
        <n v="7.36E7"/>
        <n v="8.63E7"/>
        <n v="6.82E7"/>
        <n v="3.53E8"/>
        <n v="1.934E9"/>
        <n v="1.795E9"/>
        <n v="1.859E9"/>
        <n v="1.591E9"/>
        <n v="2.38811E8"/>
        <n v="2.28653E8"/>
        <n v="2.13007E8"/>
        <n v="2.1882E8"/>
        <n v="3.258E8"/>
        <n v="3.552E8"/>
        <n v="3.195E8"/>
        <n v="2.99E8"/>
        <n v="5.724E8"/>
        <n v="4.904E8"/>
        <n v="6.98E8"/>
        <n v="4.547E8"/>
        <n v="2.224E9"/>
        <n v="2.291E9"/>
        <n v="2.237E9"/>
        <n v="2.097E9"/>
        <n v="2.491E9"/>
        <n v="2.51E9"/>
        <n v="2.481E9"/>
        <n v="2.612E9"/>
        <n v="2.144E9"/>
        <n v="2.333E9"/>
        <n v="2.993E9"/>
        <n v="2.109E9"/>
        <n v="2.19215E8"/>
        <n v="2.23208E8"/>
        <n v="2.01873E8"/>
        <n v="1.87182E8"/>
        <n v="6.87079E8"/>
        <n v="6.24444E8"/>
        <n v="6.18495E8"/>
        <n v="6.1373E8"/>
        <n v="1.737E8"/>
        <n v="1.545E8"/>
        <n v="1.45E8"/>
        <n v="2.14E8"/>
        <n v="2.31E8"/>
        <n v="2.16E8"/>
        <n v="7.379E9"/>
        <n v="6.086E9"/>
        <n v="5.35E9"/>
        <n v="1.3114E7"/>
        <n v="1.2979E7"/>
        <n v="1.1677E7"/>
        <n v="1.136E7"/>
        <n v="7.7E7"/>
        <n v="7.899E7"/>
        <n v="4.8541E7"/>
        <n v="4.96302E8"/>
        <n v="4.73252E8"/>
        <n v="4.52079E8"/>
        <n v="4.34691E8"/>
        <n v="6.687E8"/>
        <n v="5.299E8"/>
        <n v="6.407E8"/>
        <n v="6.269E8"/>
        <n v="1.525E9"/>
        <n v="1.515E9"/>
        <n v="1.446E9"/>
        <n v="5.7238E7"/>
        <n v="5.1453E7"/>
        <n v="4.512E7"/>
        <n v="4.3503E7"/>
        <n v="3.10741E8"/>
        <n v="3.00655E8"/>
        <n v="3.82595E8"/>
        <n v="2.77753E8"/>
        <n v="2.93E8"/>
        <n v="3.34E8"/>
        <n v="2.72E8"/>
        <n v="7.208E9"/>
        <n v="7.704E9"/>
        <n v="7.94E9"/>
        <n v="6.595E9"/>
        <n v="3.0E8"/>
        <n v="2.73E8"/>
        <n v="8.8373E7"/>
        <n v="9.1195E7"/>
        <n v="8.5569E7"/>
        <n v="8.0281E7"/>
        <n v="3.62E8"/>
        <n v="3.76E8"/>
        <n v="5.13E8"/>
        <n v="4.99E8"/>
        <n v="4.9E8"/>
        <n v="8.09708E8"/>
        <n v="1.038104E9"/>
        <n v="7.99221E8"/>
        <n v="7.11606E8"/>
        <n v="5.7E8"/>
        <n v="5.33E8"/>
        <n v="4.96E8"/>
        <n v="5.45E8"/>
        <n v="7.1E7"/>
        <n v="6.5E7"/>
        <n v="1.046E9"/>
        <n v="8.48E8"/>
        <n v="-6.4E7"/>
        <n v="-5.1E7"/>
        <n v="-5.0E7"/>
        <n v="2.18E8"/>
        <n v="2.06E8"/>
        <n v="4.51E8"/>
        <n v="3.018E9"/>
        <n v="3.16E9"/>
        <n v="2.835E9"/>
        <n v="3.191E9"/>
        <n v="-8600000.0"/>
        <n v="-8500000.0"/>
        <n v="1.74E7"/>
        <n v="-600000.0"/>
        <n v="1.0622E9"/>
        <n v="1.0537E9"/>
        <n v="1.0355E9"/>
        <n v="9.911E8"/>
        <n v="1.681E9"/>
        <n v="2.01E8"/>
        <n v="1.82E8"/>
        <n v="1.86E8"/>
        <n v="2.03293E8"/>
        <n v="1.86666E8"/>
        <n v="1.56656E8"/>
        <n v="1.31436E8"/>
        <n v="3.3E8"/>
        <n v="2.46E8"/>
        <n v="2.53E8"/>
        <n v="2.08E8"/>
        <n v="3.8707E8"/>
        <n v="2.91124E8"/>
        <n v="1.75078E8"/>
        <n v="1.49113E8"/>
        <n v="5.26E8"/>
        <n v="5.15E8"/>
        <n v="1.13406E8"/>
        <n v="1.21419E8"/>
        <n v="1.12398E8"/>
        <n v="1.05741E8"/>
        <n v="2.34E8"/>
        <n v="2.15E8"/>
        <n v="9.4969E8"/>
        <n v="6.31466E8"/>
        <n v="9.55455E8"/>
        <n v="9.0069E8"/>
        <n v="2.09E8"/>
        <n v="5.2986E7"/>
        <n v="4.941E7"/>
        <n v="4.409E7"/>
        <n v="3.319E7"/>
        <n v="7.16E7"/>
        <n v="1.013E8"/>
        <n v="2.31226E8"/>
        <n v="2.19101E8"/>
        <n v="2.121E8"/>
        <n v="2.27019E8"/>
        <n v="2.152E9"/>
        <n v="2.382E9"/>
        <n v="2.245E9"/>
        <n v="2.16E9"/>
        <n v="4.16E8"/>
        <n v="3.82E8"/>
        <n v="3.17E8"/>
        <n v="4.77E8"/>
        <n v="4.85E8"/>
        <n v="4.81E8"/>
        <n v="1.152E8"/>
        <n v="1.132E8"/>
        <n v="1.098E8"/>
        <n v="1.207E8"/>
        <n v="1.395E8"/>
        <n v="1.413E8"/>
        <n v="1.402E8"/>
        <n v="1.297E8"/>
        <n v="3.90633E8"/>
        <n v="4.21864E8"/>
        <n v="3.92824E8"/>
        <n v="3.63184E8"/>
        <n v="3.275E8"/>
        <n v="3.596E8"/>
        <n v="3.147E8"/>
        <n v="3.095E8"/>
        <n v="1.29725E8"/>
        <n v="1.22042E8"/>
        <n v="1.08952E8"/>
        <n v="1.19201E8"/>
        <n v="1.15E9"/>
        <n v="1.174E9"/>
        <n v="3.627E8"/>
        <n v="3.261E8"/>
        <n v="3.008E8"/>
        <n v="1.416E8"/>
        <n v="1.521E8"/>
        <n v="1.355E8"/>
        <n v="1.423E8"/>
        <n v="2.525E8"/>
        <n v="2.619E8"/>
        <n v="2.57E8"/>
        <n v="2.329E8"/>
        <n v="7.464E9"/>
        <n v="7.049E9"/>
        <n v="5.852E9"/>
        <n v="8.492E9"/>
        <n v="2.86097E8"/>
        <n v="2.67182E8"/>
        <n v="2.3777E8"/>
        <n v="2.8197E8"/>
        <n v="1.6E9"/>
        <n v="2.552E9"/>
        <n v="2.385E9"/>
        <n v="3.481E9"/>
        <n v="2.037E9"/>
        <n v="2.041E9"/>
        <n v="1.829E9"/>
        <n v="1.9E9"/>
        <n v="1.59E9"/>
        <n v="1.608E9"/>
        <n v="1.788E9"/>
        <n v="1.612E9"/>
        <n v="7.9553E7"/>
        <n v="-2.8175E7"/>
        <n v="-2.7791E7"/>
        <n v="-1.85105E8"/>
        <n v="6.8E7"/>
        <n v="6.4E7"/>
        <n v="2.692E9"/>
        <n v="2.257E9"/>
        <n v="2.03E9"/>
        <n v="2.096E9"/>
        <n v="2.06023E8"/>
        <n v="2.13099E8"/>
        <n v="1.721E8"/>
        <n v="1.64745E8"/>
        <n v="9.55E8"/>
        <n v="8.91E8"/>
        <n v="9.16E8"/>
        <n v="-8000000.0"/>
        <n v="-4000000.0"/>
        <n v="1.1965E9"/>
        <n v="1.2651E9"/>
        <n v="1.2017E9"/>
        <n v="1.1618E9"/>
        <n v="5.012E9"/>
        <n v="4.616E9"/>
        <n v="5.402E9"/>
        <n v="5.112E9"/>
        <n v="6.697E7"/>
        <n v="7.4342E7"/>
        <n v="7.8032E7"/>
        <n v="6.6144E7"/>
        <n v="3.386E9"/>
        <n v="3.314E9"/>
        <n v="3.719E9"/>
        <n v="1.77887E8"/>
        <n v="1.80878E8"/>
        <n v="1.79673E8"/>
        <n v="1.70337E8"/>
        <n v="-8.2E7"/>
        <n v="-6.3E7"/>
        <n v="3.1682E7"/>
        <n v="2.764E7"/>
        <n v="1.8374E7"/>
        <n v="2.0453E7"/>
        <n v="3.20506E8"/>
        <n v="2.72286E8"/>
        <n v="2.71686E8"/>
        <n v="2.79757E8"/>
        <n v="1.048E9"/>
        <n v="9.841E8"/>
        <n v="1.1112E9"/>
        <n v="9.829E8"/>
        <n v="9.3489E7"/>
        <n v="9.0299E7"/>
        <n v="7.8123E7"/>
        <n v="9.3139E7"/>
        <n v="6.18E8"/>
        <n v="5.67E8"/>
        <n v="2.74846E8"/>
        <n v="2.7011E8"/>
        <n v="2.43352E8"/>
        <n v="2.65775E8"/>
        <n v="4.21E8"/>
        <n v="3.97E8"/>
        <n v="4.36E8"/>
        <n v="7.551E8"/>
        <n v="6.774E8"/>
        <n v="9.017E8"/>
        <n v="6.873E8"/>
        <n v="1.902E9"/>
        <n v="1.776E9"/>
        <n v="1.75E9"/>
        <n v="1.61E9"/>
        <n v="7.23E8"/>
        <n v="6.89E8"/>
        <n v="1.065E9"/>
        <n v="2.3813E7"/>
        <n v="2.1849E7"/>
        <n v="2.0796E7"/>
        <n v="1.6674E7"/>
        <n v="1.7789E7"/>
        <n v="1.9187E7"/>
        <n v="2.1287E7"/>
        <n v="2.0512E7"/>
        <n v="4.147E8"/>
        <n v="4.056E8"/>
        <n v="3.985E8"/>
        <n v="7.4E8"/>
        <n v="2.995E8"/>
        <n v="2.654E8"/>
        <n v="3.437E8"/>
        <n v="1.76719E8"/>
        <n v="1.81483E8"/>
        <n v="1.60446E8"/>
        <n v="1.6947E8"/>
        <n v="4.95576E8"/>
        <n v="4.88093E8"/>
        <n v="4.23062E8"/>
        <n v="4.25162E8"/>
        <n v="4.627E8"/>
        <n v="4.716E8"/>
        <n v="4.288E8"/>
        <n v="1.94261E8"/>
        <n v="1.83482E8"/>
        <n v="1.62208E8"/>
        <n v="1.59086E8"/>
        <n v="5.926E8"/>
        <n v="5.933E8"/>
        <n v="1.534E8"/>
        <n v="7.17788E8"/>
        <n v="6.75053E8"/>
        <n v="1.291999E9"/>
        <n v="8.77857E8"/>
        <n v="3.30472E8"/>
        <n v="2.90369E8"/>
        <n v="2.63171E8"/>
        <n v="2.51349E8"/>
        <n v="3.58E8"/>
        <n v="3.1E8"/>
        <n v="3.321E9"/>
        <n v="3.103E9"/>
        <n v="3.206E9"/>
        <n v="2.899E9"/>
        <n v="5.0771E7"/>
        <n v="5.371E7"/>
        <n v="5.1381E7"/>
        <n v="4.7192E7"/>
        <n v="8.0E7"/>
        <n v="8.1E7"/>
        <n v="1.33E8"/>
        <n v="1.36E8"/>
        <n v="1.26E8"/>
        <n v="1.22E8"/>
        <n v="1.896E8"/>
        <n v="1.906E8"/>
        <n v="1.877E8"/>
        <n v="1.95E8"/>
        <n v="1.5E7"/>
        <n v="-2.9E7"/>
        <n v="7.3E8"/>
        <n v="6.96E8"/>
        <n v="6.5E8"/>
        <n v="6.68999E8"/>
        <n v="1.37E9"/>
        <n v="1.4389E9"/>
        <n v="1.3268E9"/>
        <n v="1.465E9"/>
        <n v="9.4211E7"/>
        <n v="7.4518E7"/>
        <n v="7.2061E7"/>
        <n v="8.426E7"/>
        <n v="1.005E8"/>
        <n v="8.51E7"/>
        <n v="7.02E7"/>
        <n v="6.66E7"/>
        <n v="3.156E8"/>
        <n v="3.222E8"/>
        <n v="3.089E8"/>
        <n v="2.945E8"/>
        <n v="-1.42E8"/>
        <n v="-1.43E8"/>
        <n v="-1.04E8"/>
        <n v="1.68E8"/>
        <n v="8.789E8"/>
        <n v="8.274E8"/>
        <n v="8.353E8"/>
        <n v="6.953E8"/>
        <n v="4.949E8"/>
        <n v="4.644E8"/>
        <n v="4.721E8"/>
        <n v="4.39E8"/>
        <n v="1.789E9"/>
        <n v="1.579E9"/>
        <n v="2.52756E8"/>
        <n v="1.9942E8"/>
        <n v="1.7081E8"/>
        <n v="1.71572E8"/>
        <n v="1.505E9"/>
        <n v="1.394E9"/>
        <n v="1.284E9"/>
        <n v="1.188E9"/>
        <n v="5.81082E8"/>
        <n v="5.54026E8"/>
        <n v="4.46535E8"/>
        <n v="4.3317E8"/>
        <n v="7.99E8"/>
        <n v="2.55274E8"/>
        <n v="2.45448E8"/>
        <n v="2.48116E8"/>
        <n v="2.56295E8"/>
        <n v="1.908018E9"/>
        <n v="1.923229E9"/>
        <n v="1.784838E9"/>
        <n v="1.589107E9"/>
        <n v="4.572E9"/>
        <n v="4.66E9"/>
        <n v="4.607E9"/>
        <n v="4.67E9"/>
        <n v="2.314E8"/>
        <n v="2.235E8"/>
        <n v="2.218E8"/>
        <n v="2.043E8"/>
        <n v="2.40401E8"/>
        <n v="2.06298E8"/>
        <n v="2.05062E8"/>
        <n v="2.38489E8"/>
        <n v="8.855E8"/>
        <n v="7.626E8"/>
        <n v="6.014E8"/>
        <n v="4.802E9"/>
        <n v="4.462E9"/>
        <n v="5.446E9"/>
        <n v="4.644E9"/>
        <n v="2.237E8"/>
        <n v="1.683E8"/>
        <n v="1.582E8"/>
        <n v="2.24159E8"/>
        <n v="1.96794E8"/>
        <n v="2.09885E8"/>
        <n v="1.71673E8"/>
        <n v="1.40187E8"/>
        <n v="1.29797E8"/>
        <n v="1.35525E8"/>
        <n v="1.1584E8"/>
        <n v="1.056E9"/>
        <n v="9.69E8"/>
        <n v="9.31E8"/>
        <n v="4.35E8"/>
        <n v="3.64E8"/>
        <n v="2.58E8"/>
        <n v="2.64E8"/>
        <n v="2.37E8"/>
        <n v="2.938E8"/>
        <n v="2.576E8"/>
        <n v="2.642E8"/>
        <n v="1.202E9"/>
        <n v="1.087E9"/>
        <n v="4.68647E8"/>
        <n v="4.94183E8"/>
        <n v="5.04428E8"/>
        <n v="4.73395E8"/>
        <n v="1.076E8"/>
        <n v="1.017E8"/>
        <n v="1.109E8"/>
        <n v="9.76E7"/>
        <n v="1.163E9"/>
        <n v="1.109E9"/>
        <n v="3.149E9"/>
        <n v="2.95E9"/>
        <n v="2.833E9"/>
        <n v="2.452E9"/>
        <n v="1.941E9"/>
        <n v="1.808E9"/>
        <n v="1.647E9"/>
        <n v="2.064992E9"/>
        <n v="5.610468E9"/>
        <n v="1.986128E9"/>
        <n v="1.527768E9"/>
        <n v="7.23749E8"/>
        <n v="6.9319E8"/>
        <n v="6.43522E8"/>
        <n v="6.21129E8"/>
        <n v="6.178E8"/>
        <n v="5.972E8"/>
        <n v="5.634E8"/>
        <n v="5.668E8"/>
        <n v="1.67E8"/>
        <n v="2.248E8"/>
        <n v="2.078E8"/>
        <n v="1.801E8"/>
        <n v="3.211E9"/>
        <n v="3.14E9"/>
        <n v="3.156E9"/>
        <n v="3.093E9"/>
        <n v="4.43384E8"/>
        <n v="3.52119E8"/>
        <n v="2.06403E8"/>
        <n v="3.09861E8"/>
        <n v="7.7961E7"/>
        <n v="6.2736E7"/>
        <n v="6.6819E7"/>
        <n v="6.2521E7"/>
        <n v="5.62E8"/>
        <n v="5.34E8"/>
        <n v="3.024E9"/>
        <n v="2.878E9"/>
        <n v="2.876E9"/>
        <n v="4.65347E8"/>
        <n v="4.46214E8"/>
        <n v="8.47035E8"/>
        <n v="4.16378E8"/>
        <n v="5.45503E8"/>
        <n v="5.16138E8"/>
        <n v="5.81178E8"/>
        <n v="5.55049E8"/>
        <n v="1.39E8"/>
        <n v="8.5E7"/>
        <n v="5.3E7"/>
        <n v="3.01E8"/>
        <n v="2.5E8"/>
        <n v="2.32E8"/>
        <n v="1.0359E10"/>
        <n v="1.0223E10"/>
        <n v="1.1514E10"/>
        <n v="1.0174E10"/>
        <n v="2.9149E7"/>
        <n v="3.1324E7"/>
        <n v="3.1092E7"/>
        <n v="2.8488E7"/>
        <n v="1.94E8"/>
        <n v="3.0588E7"/>
        <n v="4.0309E7"/>
        <n v="2.3411E7"/>
        <n v="3.4228E7"/>
        <n v="4.8822E7"/>
        <n v="4.5935E7"/>
        <n v="5.0401E7"/>
        <n v="4.6498E7"/>
        <n v="1.135E8"/>
        <n v="1.193E8"/>
        <n v="1.074E8"/>
        <n v="9.59E7"/>
        <n v="6.973E9"/>
        <n v="6.822E9"/>
        <n v="7.951E9"/>
        <n v="7.043E9"/>
        <n v="1.94669E8"/>
        <n v="1.92077E8"/>
        <n v="2.11843E8"/>
        <n v="1.84551E8"/>
        <n v="1.099034E9"/>
        <n v="1.155947E9"/>
        <n v="1.195245E9"/>
        <n v="9.9796E8"/>
        <n v="1.434E9"/>
        <n v="1.391E9"/>
        <n v="1.24E9"/>
        <n v="9.814E8"/>
        <n v="9.687E8"/>
        <n v="1.3587E9"/>
        <n v="6.152E8"/>
        <n v="1.678E9"/>
        <n v="1.613E9"/>
        <n v="1.472E9"/>
        <n v="1.537E9"/>
        <n v="3.0602E7"/>
        <n v="4.4186E7"/>
        <n v="3.9122E7"/>
        <n v="3.2407E7"/>
        <n v="1.02338E8"/>
        <n v="9.0264E7"/>
        <n v="1.00205E8"/>
        <n v="8.5805E7"/>
        <n v="1.1429E7"/>
        <n v="1.1264E7"/>
        <n v="1.1161E7"/>
        <n v="1.1016E7"/>
        <n v="6.55E8"/>
        <n v="2.217E8"/>
        <n v="2.323E8"/>
        <n v="2.382E8"/>
        <n v="1.875E8"/>
        <n v="5.997E9"/>
        <n v="5.82E9"/>
        <n v="6.283E9"/>
        <n v="6.307E9"/>
        <n v="2.8511E10"/>
        <n v="2.8129E10"/>
        <n v="3.0331E10"/>
        <n v="2.7991E10"/>
        <n v="3.6E8"/>
        <n v="1.58163E8"/>
        <n v="1.43145E8"/>
        <n v="1.53179E8"/>
        <n v="1.29625E8"/>
        <n v="-2.13E7"/>
        <n v="-2.33E7"/>
        <n v="1200000.0"/>
        <n v="-1.18E7"/>
        <n v="1.195E10"/>
        <n v="1.265E10"/>
        <n v="1.2641E10"/>
        <n v="1.2461E10"/>
        <n v="3.1436E7"/>
        <n v="2.9926E7"/>
        <n v="2.7848E7"/>
        <n v="3.1003E7"/>
        <n v="9.14E7"/>
        <n v="7.92E7"/>
        <n v="7.53E7"/>
        <n v="7.59E7"/>
        <n v="2.65E8"/>
        <n v="2.56E8"/>
        <n v="2.68E8"/>
        <n v="2.828E8"/>
        <n v="2.743E8"/>
        <n v="2.786E8"/>
        <n v="2.462E8"/>
        <n v="4.234E8"/>
        <n v="3.651E8"/>
        <n v="3.645E8"/>
        <n v="1.18E8"/>
        <n v="5.56E8"/>
        <n v="5.01E8"/>
        <n v="1.13E8"/>
        <n v="1.97545E8"/>
        <n v="1.79774E8"/>
        <n v="1.73544E8"/>
        <n v="1.60896E8"/>
        <n v="5.6E7"/>
        <n v="1.2492E8"/>
        <n v="1.27872E8"/>
        <n v="1.36701E8"/>
        <n v="1.13793E8"/>
        <n v="2.96E8"/>
        <n v="2.69E8"/>
        <n v="2.28E8"/>
        <n v="2.4E8"/>
        <n v="8.12E8"/>
        <n v="7.655E8"/>
        <n v="8.072E8"/>
        <n v="7.723E8"/>
        <n v="3.78E8"/>
        <n v="3.63E8"/>
        <n v="4.95E8"/>
        <n v="5.18E8"/>
        <n v="4.19E8"/>
      </sharedItems>
    </cacheField>
    <cacheField name="Gross Profit" numFmtId="0">
      <sharedItems containsSemiMixedTypes="0" containsString="0" containsNumber="1" containsInteger="1">
        <n v="4.089E9"/>
        <n v="4.231E9"/>
        <n v="4.327E9"/>
        <n v="4.246E9"/>
        <n v="3.403E8"/>
        <n v="3.214E8"/>
        <n v="2.886E8"/>
        <n v="3.241E8"/>
        <n v="6.505E9"/>
        <n v="5.786E9"/>
        <n v="6.056E9"/>
        <n v="6.207E9"/>
        <n v="9.998E9"/>
        <n v="9.461E9"/>
        <n v="8.818E9"/>
        <n v="1.0448E10"/>
        <n v="2.04256E8"/>
        <n v="2.07397E8"/>
        <n v="1.95167E8"/>
        <n v="1.90553E8"/>
        <n v="4.466216E9"/>
        <n v="4.404384E9"/>
        <n v="3.595232E9"/>
        <n v="3.898296E9"/>
        <n v="1.543E9"/>
        <n v="1.741E9"/>
        <n v="1.697E9"/>
        <n v="1.595E9"/>
        <n v="1.326E9"/>
        <n v="1.463E9"/>
        <n v="1.548E9"/>
        <n v="1.352E9"/>
        <n v="3.468E9"/>
        <n v="3.391E9"/>
        <n v="3.458E9"/>
        <n v="2.996E9"/>
        <n v="1.189416E9"/>
        <n v="1.487229E9"/>
        <n v="1.3383225E9"/>
        <n v="2.086E9"/>
        <n v="1.83E9"/>
        <n v="1.587E9"/>
        <n v="1.451E9"/>
        <n v="7.6E8"/>
        <n v="7.28E8"/>
        <n v="6.64E8"/>
        <n v="7.24E8"/>
        <n v="2.039E9"/>
        <n v="2.316E9"/>
        <n v="2.497E9"/>
        <n v="8.52E8"/>
        <n v="8.17E8"/>
        <n v="8.38E8"/>
        <n v="7.88E8"/>
        <n v="8.348E8"/>
        <n v="8.028E8"/>
        <n v="7.565E8"/>
        <n v="7.428E8"/>
        <n v="5.43467E8"/>
        <n v="5.32824E8"/>
        <n v="5.36021E8"/>
        <n v="5.4244E8"/>
        <n v="2.49273E8"/>
        <n v="2.48417E8"/>
        <n v="2.63687E8"/>
        <n v="2.6672E8"/>
        <n v="5.62E8"/>
        <n v="2.46E8"/>
        <n v="-3.12E8"/>
        <n v="-2.13E8"/>
        <n v="3.84855E8"/>
        <n v="3.68273E8"/>
        <n v="3.45498E8"/>
        <n v="3.30546E8"/>
        <n v="7.55156E8"/>
        <n v="7.58538E8"/>
        <n v="6.77098E8"/>
        <n v="6.10463E8"/>
        <n v="3.005E8"/>
        <n v="3.205E8"/>
        <n v="2.974E8"/>
        <n v="3.207E8"/>
        <n v="4.8E8"/>
        <n v="3.67E8"/>
        <n v="3.88E8"/>
        <n v="2.99E8"/>
        <n v="2.357E9"/>
        <n v="3.642E9"/>
        <n v="4.643E9"/>
        <n v="4.59E9"/>
        <n v="3.5653E10"/>
        <n v="3.1211E10"/>
        <n v="3.0818E10"/>
        <n v="2.5056E10"/>
        <n v="3.732E9"/>
        <n v="3.273E9"/>
        <n v="3.166E9"/>
        <n v="3.718E9"/>
        <n v="4.8904E10"/>
        <n v="4.6115E10"/>
        <n v="4.6271E10"/>
        <n v="3.9039E10"/>
        <n v="7.45E8"/>
        <n v="6.82E8"/>
        <n v="6.51E8"/>
        <n v="6.54E8"/>
        <n v="6.93E8"/>
        <n v="7.25E8"/>
        <n v="5.98E8"/>
        <n v="8.95E8"/>
        <n v="7.87E8"/>
        <n v="-1.806E9"/>
        <n v="-9.23E8"/>
        <n v="-2.489E9"/>
        <n v="1.8713E9"/>
        <n v="1.8531E9"/>
        <n v="1.5759E9"/>
        <n v="1.9255E9"/>
        <n v="7.705E9"/>
        <n v="7.179E9"/>
        <n v="6.859E9"/>
        <n v="5.823E9"/>
        <n v="2.662E9"/>
        <n v="7.198E9"/>
        <n v="1.491E9"/>
        <n v="2.504E9"/>
        <n v="1.651E9"/>
        <n v="1.5842E9"/>
        <n v="1.5499E9"/>
        <n v="1.4503E9"/>
        <n v="5.68E8"/>
        <n v="4.69E8"/>
        <n v="4.94E8"/>
        <n v="6.6E8"/>
        <n v="1.72E9"/>
        <n v="1.522E9"/>
        <n v="1.183E9"/>
        <n v="7.96E8"/>
        <n v="1.888206E9"/>
        <n v="1.533381E9"/>
        <n v="1.45223E9"/>
        <n v="1.346317E9"/>
        <n v="4.73634E8"/>
        <n v="4.2635E8"/>
        <n v="4.28979E8"/>
        <n v="3.94237E8"/>
        <n v="4.889E9"/>
        <n v="4.411E9"/>
        <n v="5.037E9"/>
        <n v="4.862E9"/>
        <n v="7.275E8"/>
        <n v="7.656E8"/>
        <n v="7.349E8"/>
        <n v="6.038E8"/>
        <n v="1.221184E9"/>
        <n v="1.136637E9"/>
        <n v="1.045371E9"/>
        <n v="1.023084E9"/>
        <n v="3.97521E8"/>
        <n v="3.16072E8"/>
        <n v="5.67198E8"/>
        <n v="3.23491E8"/>
        <n v="9.177E9"/>
        <n v="9.088E9"/>
        <n v="8.686E9"/>
        <n v="7.737E9"/>
        <n v="1.266E9"/>
        <n v="1.812E9"/>
        <n v="1.333E9"/>
        <n v="1.002E9"/>
        <n v="1.196E9"/>
        <n v="1.116E9"/>
        <n v="7.46E8"/>
        <n v="7.32E8"/>
        <n v="3.5255E10"/>
        <n v="3.8079E10"/>
        <n v="4.4328E10"/>
        <n v="2.4689E10"/>
        <n v="2.967E9"/>
        <n v="2.653E9"/>
        <n v="2.361E9"/>
        <n v="2.13E9"/>
        <n v="6.02E8"/>
        <n v="7.27E8"/>
        <n v="8.12E8"/>
        <n v="6.74E8"/>
        <n v="4.54178E8"/>
        <n v="4.25272E8"/>
        <n v="4.14584E8"/>
        <n v="3.84962E8"/>
        <n v="6.869E8"/>
        <n v="8.413E8"/>
        <n v="5.696E8"/>
        <n v="6.141E8"/>
        <n v="3.014E8"/>
        <n v="2.612E8"/>
        <n v="3.294E8"/>
        <n v="1.945E8"/>
        <n v="2.2946E10"/>
        <n v="2.2852E10"/>
        <n v="2.2781E10"/>
        <n v="2.2501E10"/>
        <n v="3.34213E8"/>
        <n v="5.88889E8"/>
        <n v="4.87577E8"/>
        <n v="2.76811E8"/>
        <n v="9.681E8"/>
        <n v="9.069E8"/>
        <n v="9.573E8"/>
        <n v="8.765E8"/>
        <n v="1.631E9"/>
        <n v="1.9239E9"/>
        <n v="1.6734E9"/>
        <n v="1.5399E9"/>
        <n v="2.567839E9"/>
        <n v="1.914946E9"/>
        <n v="1.559383E9"/>
        <n v="1.675617E9"/>
        <n v="3.47692E8"/>
        <n v="3.42152E8"/>
        <n v="3.37684E8"/>
        <n v="3.59605E8"/>
        <n v="5.763E8"/>
        <n v="5.97E8"/>
        <n v="5.711E8"/>
        <n v="4.842E8"/>
        <n v="1.01E9"/>
        <n v="9.76E8"/>
        <n v="8.58E8"/>
        <n v="1.037E9"/>
        <n v="6.99E8"/>
        <n v="6.32E8"/>
        <n v="6.63E8"/>
        <n v="2.339E10"/>
        <n v="2.3087E10"/>
        <n v="2.4681E10"/>
        <n v="2.0046E10"/>
        <n v="1.498E9"/>
        <n v="1.414E9"/>
        <n v="3.069E9"/>
        <n v="1.359E9"/>
        <n v="1.254E9"/>
        <n v="1.174E9"/>
        <n v="1.26E9"/>
        <n v="1.209E9"/>
        <n v="2.161E9"/>
        <n v="2.283E9"/>
        <n v="2.766E9"/>
        <n v="2.509E9"/>
        <n v="2.81E9"/>
        <n v="2.709E9"/>
        <n v="3.53E9"/>
        <n v="2.831E9"/>
        <n v="4.02698E8"/>
        <n v="4.24527E8"/>
        <n v="4.58255E8"/>
        <n v="3.67311E8"/>
        <n v="1.77509E8"/>
        <n v="1.68274E8"/>
        <n v="1.50923E8"/>
        <n v="1.37731E8"/>
        <n v="2.3153E9"/>
        <n v="2.2159E9"/>
        <n v="2.362E9"/>
        <n v="2.927E9"/>
        <n v="2.429E9"/>
        <n v="2.164E9"/>
        <n v="2.349E9"/>
        <n v="2.245E9"/>
        <n v="4.08E9"/>
        <n v="4.046E9"/>
        <n v="4.004E9"/>
        <n v="3.828E9"/>
        <n v="2.925E9"/>
        <n v="1.977E9"/>
        <n v="-4.062E9"/>
        <n v="1.474E9"/>
        <n v="5.89E8"/>
        <n v="7.47E8"/>
        <n v="2.123E9"/>
        <n v="7.62E8"/>
        <n v="8.18E8"/>
        <n v="7.72E8"/>
        <n v="5.17E8"/>
        <n v="4.57565E8"/>
        <n v="4.46779E8"/>
        <n v="3.9312E8"/>
        <n v="4.24219E8"/>
        <n v="2.12E9"/>
        <n v="1.846E9"/>
        <n v="1.778E9"/>
        <n v="9.34E9"/>
        <n v="8.649E9"/>
        <n v="8.833E9"/>
        <n v="8.497E9"/>
        <n v="5.049E9"/>
        <n v="4.911E9"/>
        <n v="4.841E9"/>
        <n v="4.714E9"/>
        <n v="4.293E8"/>
        <n v="2.484E8"/>
        <n v="2.303E8"/>
        <n v="4.777E8"/>
        <n v="3.85528E8"/>
        <n v="2.67038E8"/>
        <n v="3.08629E8"/>
        <n v="2.51642E8"/>
        <n v="3.41545E8"/>
        <n v="3.31318E8"/>
        <n v="2.86369E8"/>
        <n v="3.1397E8"/>
        <n v="6.51526E8"/>
        <n v="6.52061E8"/>
        <n v="6.86373E8"/>
        <n v="5.84323E8"/>
        <n v="1.457E9"/>
        <n v="9.47E8"/>
        <n v="7.12E8"/>
        <n v="7.1E8"/>
        <n v="6.3E8"/>
        <n v="7.81E8"/>
        <n v="8.14E8"/>
        <n v="7.5E8"/>
        <n v="8.534E9"/>
        <n v="7.936E9"/>
        <n v="7.073E9"/>
        <n v="7.05E9"/>
        <n v="1.672E9"/>
        <n v="1.776E9"/>
        <n v="1.715E9"/>
        <n v="1.16624E9"/>
        <n v="8.29589E8"/>
        <n v="8.07875E8"/>
        <n v="8.99338E8"/>
        <n v="-3.59E8"/>
        <n v="-3.28E8"/>
        <n v="-3.51E8"/>
        <n v="-4.0E8"/>
        <n v="1.625E9"/>
        <n v="1.399E9"/>
        <n v="1.3E9"/>
        <n v="1.56E9"/>
        <n v="4.393E8"/>
        <n v="3.656E8"/>
        <n v="2.982E8"/>
        <n v="2.489E8"/>
        <n v="3.331E9"/>
        <n v="2.843E9"/>
        <n v="2.37E9"/>
        <n v="3.506E8"/>
        <n v="3.655E8"/>
        <n v="3.071E8"/>
        <n v="2.92E8"/>
        <n v="1.441854E9"/>
        <n v="1.219333E9"/>
        <n v="1.566071E9"/>
        <n v="1.096263E9"/>
        <n v="8.828E8"/>
        <n v="7.952E8"/>
        <n v="8.809E8"/>
        <n v="8.255E8"/>
        <n v="7.61E8"/>
        <n v="4.85E8"/>
        <n v="3.76E8"/>
        <n v="3.27E8"/>
        <n v="4.97E9"/>
        <n v="4.574E9"/>
        <n v="4.826E9"/>
        <n v="3.945E9"/>
        <n v="7.49E8"/>
        <n v="9.03E8"/>
        <n v="7.41E8"/>
        <n v="7.3E8"/>
        <n v="1.066E8"/>
        <n v="1.052E8"/>
        <n v="9.66E7"/>
        <n v="8.86E7"/>
        <n v="1.19543E9"/>
        <n v="1.157122E9"/>
        <n v="1.160352E9"/>
        <n v="1.136784E9"/>
        <n v="5.03E8"/>
        <n v="2.89E8"/>
        <n v="1.8E8"/>
        <n v="9.4E7"/>
        <n v="3.42414E8"/>
        <n v="3.08841E8"/>
        <n v="3.00631E8"/>
        <n v="2.9018E8"/>
        <n v="4.361E9"/>
        <n v="4.568E9"/>
        <n v="4.049E9"/>
        <n v="2.375E9"/>
        <n v="6.091E9"/>
        <n v="5.776E9"/>
        <n v="5.562E9"/>
        <n v="1.321E9"/>
        <n v="1.5488E10"/>
        <n v="1.3508E10"/>
        <n v="1.1456E10"/>
        <n v="1.0549E10"/>
        <n v="7.54003E8"/>
        <n v="7.50124E8"/>
        <n v="6.83466E8"/>
        <n v="6.01683E8"/>
        <n v="2.79E9"/>
        <n v="3.09E9"/>
        <n v="3.256E9"/>
        <n v="1.81E9"/>
        <n v="5.792E8"/>
        <n v="5.522E8"/>
        <n v="5.509E8"/>
        <n v="5.574E8"/>
        <n v="5.705E9"/>
        <n v="5.732E9"/>
        <n v="5.973E9"/>
        <n v="5.934E9"/>
        <n v="8.03E8"/>
        <n v="1.357E9"/>
        <n v="6.52E8"/>
        <n v="1.189E9"/>
        <n v="9.02756E8"/>
        <n v="8.5905E8"/>
        <n v="8.09516E8"/>
        <n v="8.19884E8"/>
        <n v="8.185E9"/>
        <n v="7.784E9"/>
        <n v="7.581E9"/>
        <n v="7.684E9"/>
        <n v="1.8596E10"/>
        <n v="2.0817E10"/>
        <n v="1.654E10"/>
        <n v="1.5509E10"/>
        <n v="1.822E9"/>
        <n v="1.799E9"/>
        <n v="1.583E9"/>
        <n v="1.363E9"/>
        <n v="6.70924E8"/>
        <n v="6.43306E8"/>
        <n v="6.84118E8"/>
        <n v="6.48177E8"/>
        <n v="6.68E8"/>
        <n v="7.74E8"/>
        <n v="8.37E8"/>
        <n v="9.2E8"/>
        <n v="1.1768E9"/>
        <n v="1.2508E9"/>
        <n v="1.0953E9"/>
        <n v="1.0773E9"/>
        <n v="5.91E8"/>
        <n v="5.83E8"/>
        <n v="8.87E8"/>
        <n v="6.342E9"/>
        <n v="5.515E9"/>
        <n v="5.033E9"/>
        <n v="5.181E9"/>
        <n v="1.722E9"/>
        <n v="1.637E9"/>
        <n v="1.539E9"/>
        <n v="1.617E9"/>
        <n v="2.556E9"/>
        <n v="2.637E9"/>
        <n v="2.643E9"/>
        <n v="2.54E9"/>
        <n v="1.929E10"/>
        <n v="1.8286E10"/>
        <n v="1.827E10"/>
        <n v="1.6967E10"/>
        <n v="8.84E8"/>
        <n v="7.51E8"/>
        <n v="7.05E8"/>
        <n v="7.676E8"/>
        <n v="8.984E8"/>
        <n v="8.206E8"/>
        <n v="9.33E8"/>
        <n v="5.318E9"/>
        <n v="4.138E9"/>
        <n v="1.968E9"/>
        <n v="1.619E9"/>
        <n v="2.061E9"/>
        <n v="1.655E9"/>
        <n v="2.015E9"/>
        <n v="1.559E9"/>
        <n v="1.2296E9"/>
        <n v="1.1219E9"/>
        <n v="1.0433E9"/>
        <n v="1.3162E9"/>
        <n v="3.89696E8"/>
        <n v="3.1594E8"/>
        <n v="3.0581E8"/>
        <n v="2.17717E8"/>
        <n v="1.309E9"/>
        <n v="1.156E9"/>
        <n v="1.273E9"/>
        <n v="1.125E9"/>
        <n v="2.617E9"/>
        <n v="1.758E9"/>
        <n v="1.095E9"/>
        <n v="5.66E8"/>
        <n v="7.942E9"/>
        <n v="5.862E9"/>
        <n v="5.691E9"/>
        <n v="5.75E9"/>
        <n v="2.62146E8"/>
        <n v="3.1934E8"/>
        <n v="2.49079E8"/>
        <n v="1.66115E8"/>
        <n v="1.089E9"/>
        <n v="1.023E9"/>
        <n v="9.91E8"/>
        <n v="9.99E8"/>
        <n v="1.76E9"/>
        <n v="1.689E9"/>
        <n v="1.461E9"/>
        <n v="1.478E9"/>
        <n v="1.486E9"/>
        <n v="1.405E9"/>
        <n v="1.305E9"/>
        <n v="1.2906E10"/>
        <n v="1.2202E10"/>
        <n v="1.1709E10"/>
        <n v="1.1516E10"/>
        <n v="1.9592E9"/>
        <n v="1.6824E9"/>
        <n v="1.5034E9"/>
        <n v="1.5531E9"/>
        <n v="4.397E9"/>
        <n v="4.282E9"/>
        <n v="3.9939E9"/>
        <n v="3.6427E9"/>
        <n v="5.394E8"/>
        <n v="3.374E8"/>
        <n v="3.154E8"/>
        <n v="3.013E8"/>
        <n v="9.2973E8"/>
        <n v="9.51233E8"/>
        <n v="8.81671E8"/>
        <n v="8.48441E8"/>
        <n v="3.615E9"/>
        <n v="2.625E9"/>
        <n v="2.702E9"/>
        <n v="1.695E9"/>
        <n v="4.87E8"/>
        <n v="-1.597E9"/>
        <n v="-9.22E8"/>
        <n v="5.79E8"/>
        <n v="5.821E8"/>
        <n v="4.746E8"/>
        <n v="1.761E8"/>
        <n v="1.291E9"/>
        <n v="5.11E8"/>
        <n v="4.09E8"/>
        <n v="4.171E8"/>
        <n v="3.439E8"/>
        <n v="3.991E8"/>
        <n v="3.404E8"/>
        <n v="9.62E8"/>
        <n v="5.77E8"/>
        <n v="5.22E8"/>
        <n v="2.33E8"/>
        <n v="7.13617E8"/>
        <n v="6.38958E8"/>
        <n v="6.73352E8"/>
        <n v="6.21274E8"/>
        <n v="3.299E9"/>
        <n v="3.051E9"/>
        <n v="2.095E9"/>
        <n v="1.853E9"/>
        <n v="1.823E9"/>
        <n v="1.797E9"/>
        <n v="1.737E9"/>
        <n v="1.601037E9"/>
        <n v="1.536647E9"/>
        <n v="1.615425E9"/>
        <n v="1.526979E9"/>
        <n v="2.755668E9"/>
        <n v="2.736695E9"/>
        <n v="2.56824E9"/>
        <n v="2.818235E9"/>
        <n v="1.967E9"/>
        <n v="2.1604E9"/>
        <n v="1.9353E9"/>
        <n v="1.9276E9"/>
        <n v="1.51E9"/>
        <n v="1.886E9"/>
        <n v="1.762E9"/>
        <n v="1.998E9"/>
        <n v="2.9135E8"/>
        <n v="2.77791E8"/>
        <n v="3.82448E8"/>
        <n v="2.53833E8"/>
        <n v="7.56773E8"/>
        <n v="7.77011E8"/>
        <n v="7.25455E8"/>
        <n v="6.58535E8"/>
        <n v="3.247E9"/>
        <n v="1.82E9"/>
        <n v="1.567E9"/>
        <n v="1.341E9"/>
        <n v="8.85E8"/>
        <n v="1.026E9"/>
        <n v="9.49E8"/>
        <n v="1.061E9"/>
        <n v="2.854E9"/>
        <n v="3.029E9"/>
        <n v="2.564E9"/>
        <n v="3.42E9"/>
        <n v="1.93897E8"/>
        <n v="1.94057E8"/>
        <n v="1.83094E8"/>
        <n v="1.76515E8"/>
        <n v="1.48E9"/>
        <n v="1.464E9"/>
        <n v="1.731E9"/>
        <n v="1.704E9"/>
        <n v="8.86E8"/>
        <n v="1.016E9"/>
        <n v="9.55E8"/>
        <n v="6.81E8"/>
        <n v="5.27E8"/>
        <n v="5.08E8"/>
        <n v="1.67E9"/>
        <n v="1.508E9"/>
        <n v="1.509E9"/>
        <n v="1.475E9"/>
        <n v="1.996E9"/>
        <n v="2.032E9"/>
        <n v="2.126E9"/>
        <n v="1.95E9"/>
        <n v="1.3224E9"/>
        <n v="1.1926E9"/>
        <n v="1.2876E9"/>
        <n v="1.2585E9"/>
        <n v="1.278E9"/>
        <n v="1.103E9"/>
        <n v="1.698E9"/>
        <n v="2.301E9"/>
        <n v="1.0417E9"/>
        <n v="9.232E8"/>
        <n v="8.954E8"/>
        <n v="8.599E8"/>
        <n v="1.236E9"/>
        <n v="1.027E9"/>
        <n v="1.072E9"/>
        <n v="8.65E8"/>
        <n v="4.927E9"/>
        <n v="5.7202E9"/>
        <n v="4.4142E9"/>
        <n v="4.2774E9"/>
        <n v="1.982E9"/>
        <n v="1.862E9"/>
        <n v="1.723E9"/>
        <n v="1.887E9"/>
        <n v="1.22949E8"/>
        <n v="1.21938E8"/>
        <n v="9.4981E7"/>
        <n v="4.8387E7"/>
        <n v="1.118817E9"/>
        <n v="1.213412E9"/>
        <n v="9.68432E8"/>
        <n v="1.421255E9"/>
        <n v="2.912E9"/>
        <n v="2.618E9"/>
        <n v="1.704077E9"/>
        <n v="1.276567E9"/>
        <n v="7.518E8"/>
        <n v="7.297E8"/>
        <n v="6.375E8"/>
        <n v="6.351E8"/>
        <n v="7.92799E8"/>
        <n v="7.84847E8"/>
        <n v="7.4117E8"/>
        <n v="7.49314E8"/>
        <n v="3.68457E8"/>
        <n v="3.50948E8"/>
        <n v="3.89939E8"/>
        <n v="3.93899E8"/>
        <n v="2.52587E8"/>
        <n v="2.52695E8"/>
        <n v="2.53071E8"/>
        <n v="2.64755E8"/>
        <n v="2.951E9"/>
        <n v="2.929E9"/>
        <n v="3.771E9"/>
        <n v="2.74E9"/>
        <n v="3.79931E8"/>
        <n v="4.07729E8"/>
        <n v="4.66575E8"/>
        <n v="3.3131E8"/>
        <n v="7.91956E8"/>
        <n v="3.49312E8"/>
        <n v="1.91376E8"/>
        <n v="2.28367E8"/>
        <n v="6.184E8"/>
        <n v="6.39E8"/>
        <n v="4.76E8"/>
        <n v="8.594E8"/>
        <n v="1.061304E9"/>
        <n v="1.361807E9"/>
        <n v="1.087446E9"/>
        <n v="1.207257E9"/>
        <n v="1.943E9"/>
        <n v="2.259E9"/>
        <n v="3.132E9"/>
        <n v="1.966E9"/>
        <n v="9.35E8"/>
        <n v="6.33E8"/>
        <n v="1.129E9"/>
        <n v="1.77E8"/>
        <n v="4.54151E8"/>
        <n v="3.57761E8"/>
        <n v="3.18282E8"/>
        <n v="3.13109E8"/>
        <n v="2.97313E8"/>
        <n v="2.66285E8"/>
        <n v="2.9377E8"/>
        <n v="2.49118E8"/>
        <n v="2.0506E10"/>
        <n v="1.7011E10"/>
        <n v="1.5973E10"/>
        <n v="1.4643E10"/>
        <n v="5.2109E8"/>
        <n v="5.09638E8"/>
        <n v="5.02849E8"/>
        <n v="4.77212E8"/>
        <n v="2.3678E10"/>
        <n v="2.104E10"/>
        <n v="2.2862E10"/>
        <n v="1.7276E10"/>
        <n v="7.007E8"/>
        <n v="6.434E8"/>
        <n v="6.188E8"/>
        <n v="6.406E8"/>
        <n v="1.59507E8"/>
        <n v="1.38165E8"/>
        <n v="1.47122E8"/>
        <n v="1.34224E8"/>
        <n v="7.594E9"/>
        <n v="5.333E9"/>
        <n v="5.417E9"/>
        <n v="5.386E9"/>
        <n v="1.34E9"/>
        <n v="1.105E9"/>
        <n v="1.206E9"/>
        <n v="1.093E9"/>
        <n v="2.066E9"/>
        <n v="2.125E9"/>
        <n v="1.991E9"/>
        <n v="1.918E9"/>
        <n v="1.21433E9"/>
        <n v="1.149241E9"/>
        <n v="1.045299E9"/>
        <n v="9.72725E8"/>
        <n v="1.798E9"/>
        <n v="1.843E9"/>
        <n v="2.246E9"/>
        <n v="1.819E9"/>
        <n v="2.084E9"/>
        <n v="1.848E9"/>
        <n v="1.978E9"/>
        <n v="1.953E9"/>
        <n v="5.45087E8"/>
        <n v="4.92195E8"/>
        <n v="4.95819E8"/>
        <n v="4.65427E8"/>
        <n v="5.318E8"/>
        <n v="5.124E8"/>
        <n v="5.014E8"/>
        <n v="4.664E8"/>
        <n v="2.864E9"/>
        <n v="5.357E9"/>
        <n v="1.035E9"/>
        <n v="4.83E9"/>
        <n v="6.142E8"/>
        <n v="5.537E8"/>
        <n v="5.81E8"/>
        <n v="5.119E8"/>
        <n v="7.555E8"/>
        <n v="7.119E8"/>
        <n v="-5.68E7"/>
        <n v="9.834E8"/>
        <n v="7.058E8"/>
        <n v="6.474E8"/>
        <n v="6.181E8"/>
        <n v="5.806E8"/>
        <n v="1.252E9"/>
        <n v="1.33E9"/>
        <n v="1.549E9"/>
        <n v="9.135E8"/>
        <n v="8.595E8"/>
        <n v="8.3E8"/>
        <n v="6.79E8"/>
        <n v="2.75E9"/>
        <n v="2.063E9"/>
        <n v="1.864E9"/>
        <n v="1.407E9"/>
        <n v="1.63E9"/>
        <n v="3.043E9"/>
        <n v="1.62E9"/>
        <n v="7.80851E8"/>
        <n v="6.41556E8"/>
        <n v="7.90984E8"/>
        <n v="6.67983E8"/>
        <n v="8.16517E8"/>
        <n v="7.69571E8"/>
        <n v="7.61331E8"/>
        <n v="6.64851E8"/>
        <n v="3.21814E8"/>
        <n v="2.99902E8"/>
        <n v="2.76149E8"/>
        <n v="2.15301E8"/>
        <n v="1.515E9"/>
        <n v="1.497E9"/>
        <n v="1.85E9"/>
        <n v="3.239E9"/>
        <n v="3.722E9"/>
        <n v="6.37E9"/>
        <n v="2.963E9"/>
        <n v="1.5835E9"/>
        <n v="1.5546E9"/>
        <n v="1.7216E9"/>
        <n v="1.5909E9"/>
        <n v="5.057E9"/>
        <n v="5.134E9"/>
        <n v="5.014E9"/>
        <n v="6.098E9"/>
        <n v="1.689105E9"/>
        <n v="1.540815E9"/>
        <n v="1.44811E9"/>
        <n v="1.528066E9"/>
        <n v="4.827E9"/>
        <n v="5.062E9"/>
        <n v="6.904E9"/>
        <n v="5.436E9"/>
        <n v="1.201127E9"/>
        <n v="1.064761E9"/>
        <n v="1.046598E9"/>
        <n v="1.016894E9"/>
        <n v="3.46167E8"/>
        <n v="3.21182E8"/>
        <n v="3.45738E8"/>
        <n v="3.28609E8"/>
        <n v="1.3984E10"/>
        <n v="1.6143E10"/>
        <n v="9.797E9"/>
        <n v="9.252E9"/>
        <n v="4.18E8"/>
        <n v="3.94E8"/>
        <n v="3.05E8"/>
        <n v="6.83529E8"/>
        <n v="6.05488E8"/>
        <n v="7.35275E8"/>
        <n v="6.64349E8"/>
        <n v="7.55E8"/>
        <n v="6.185E8"/>
        <n v="8.28432E8"/>
        <n v="9.04156E8"/>
        <n v="5.67E9"/>
        <n v="5.452E9"/>
        <n v="5.534E9"/>
        <n v="5.086E9"/>
        <n v="2.84487E8"/>
        <n v="2.68863E8"/>
        <n v="2.4606E8"/>
        <n v="2.77861E8"/>
        <n v="8.90851E8"/>
        <n v="8.59711E8"/>
        <n v="7.54299E8"/>
        <n v="4.54294E8"/>
        <n v="1.213E9"/>
        <n v="1.343E9"/>
        <n v="9.04E8"/>
        <n v="2.382E9"/>
        <n v="2.287E9"/>
        <n v="2.288E9"/>
        <n v="2.206E9"/>
        <n v="2.43E8"/>
        <n v="2.42E8"/>
        <n v="2.41E8"/>
        <n v="8.1E7"/>
        <n v="7.697E8"/>
        <n v="1.1526E9"/>
        <n v="1.243E9"/>
        <n v="1.0024E9"/>
        <n v="1.3665E10"/>
        <n v="1.2742E10"/>
        <n v="1.0831E10"/>
        <n v="2.805E9"/>
        <n v="2.745E9"/>
        <n v="2.924E9"/>
        <n v="2.414E9"/>
        <n v="4.38248E8"/>
        <n v="4.82307E8"/>
        <n v="4.6517E8"/>
        <n v="5.37765E8"/>
        <n v="3.0E7"/>
        <n v="-6.6E7"/>
        <n v="-9.6E7"/>
        <n v="-1.85E8"/>
        <n v="0.0"/>
        <n v="4.07E8"/>
        <n v="3.34E8"/>
        <n v="3.388E9"/>
        <n v="3.44E9"/>
        <n v="3.324E9"/>
        <n v="2.679E9"/>
        <n v="3.372E9"/>
        <n v="2.849E9"/>
        <n v="4.464E9"/>
        <n v="4.908E9"/>
        <n v="1.074E9"/>
        <n v="1.42E9"/>
        <n v="1.13E9"/>
        <n v="1.069E9"/>
        <n v="3.22E8"/>
        <n v="3.42E8"/>
        <n v="5.47E8"/>
        <n v="4.36E8"/>
        <n v="9.062E9"/>
        <n v="8.207E9"/>
        <n v="1.0523E10"/>
        <n v="8.431E9"/>
        <n v="3.06072E8"/>
        <n v="2.93287E8"/>
        <n v="2.69168E8"/>
        <n v="2.515E8"/>
        <n v="4.89308E8"/>
        <n v="4.70782E8"/>
        <n v="4.09502E8"/>
        <n v="4.22606E8"/>
        <n v="7.556E8"/>
        <n v="7.047E8"/>
        <n v="7.069E8"/>
        <n v="6.876E8"/>
        <n v="1.505E9"/>
        <n v="1.397E9"/>
        <n v="9.7E8"/>
        <n v="7.7E8"/>
        <n v="6.37E8"/>
        <n v="5.33E8"/>
        <n v="4.35E8"/>
        <n v="3.14327E8"/>
        <n v="2.58118E8"/>
        <n v="3.34812E8"/>
        <n v="1.33223E8"/>
        <n v="5.127E8"/>
        <n v="4.521E8"/>
        <n v="5.269E8"/>
        <n v="4.82E8"/>
        <n v="1.1206E10"/>
        <n v="1.0854E10"/>
        <n v="1.1348E10"/>
        <n v="9.741E9"/>
        <n v="1.707E9"/>
        <n v="1.671E9"/>
        <n v="1.411E9"/>
        <n v="9.36E8"/>
        <n v="5.13819E8"/>
        <n v="5.2453E8"/>
        <n v="1.703E9"/>
        <n v="1.516E9"/>
        <n v="1.58E9"/>
        <n v="1.582E9"/>
        <n v="3.431E8"/>
        <n v="8.877E8"/>
        <n v="3.776E8"/>
        <n v="3.592E9"/>
        <n v="1.223E9"/>
        <n v="1.499E9"/>
        <n v="9.026E8"/>
        <n v="8.958E8"/>
        <n v="7.243E8"/>
        <n v="5.029E8"/>
        <n v="5.632E8"/>
        <n v="5.206E8"/>
        <n v="5.073E8"/>
        <n v="4.473E8"/>
        <n v="1.46879E8"/>
        <n v="1.52792E8"/>
        <n v="1.36449E8"/>
        <n v="1.02876E8"/>
        <n v="1.115E9"/>
        <n v="1.126E9"/>
        <n v="9.86E8"/>
        <n v="6.30131E8"/>
        <n v="6.1043E8"/>
        <n v="6.02142E8"/>
        <n v="5.83194E8"/>
        <n v="4.78139E8"/>
        <n v="4.41932E8"/>
        <n v="4.40276E8"/>
        <n v="3.98897E8"/>
        <n v="1.75369E8"/>
        <n v="1.66006E8"/>
        <n v="1.64579E8"/>
        <n v="1.88871E8"/>
        <n v="8.16935E8"/>
        <n v="7.67013E8"/>
        <n v="6.3206E8"/>
        <n v="6.67249E8"/>
        <n v="6.44E8"/>
        <n v="7.391E8"/>
        <n v="8.094E8"/>
        <n v="8.182E8"/>
        <n v="1.5745E10"/>
        <n v="1.5285E10"/>
        <n v="1.4692E10"/>
        <n v="1.4142E10"/>
        <n v="2.197E9"/>
        <n v="1.728E9"/>
        <n v="1.975E9"/>
        <n v="3.2764E10"/>
        <n v="3.6422E10"/>
        <n v="3.1113E10"/>
        <n v="2.8536E10"/>
        <n v="6.819E8"/>
        <n v="6.156E8"/>
        <n v="7.17E8"/>
        <n v="6.578E8"/>
        <n v="3.803E8"/>
        <n v="3.688E8"/>
        <n v="3.843E8"/>
        <n v="3.632E8"/>
        <n v="1.167E9"/>
        <n v="1.188E9"/>
        <n v="1.201E9"/>
        <n v="1.207E9"/>
        <n v="1.989E9"/>
        <n v="1.836E9"/>
        <n v="1.817E9"/>
        <n v="1.521E9"/>
        <n v="7.37E8"/>
        <n v="7.07E8"/>
        <n v="7.56E8"/>
        <n v="6.06E8"/>
        <n v="1.614E9"/>
        <n v="1.71E9"/>
        <n v="1.837E9"/>
        <n v="1.99532E8"/>
        <n v="1.93817E8"/>
        <n v="1.77826E8"/>
        <n v="1.73778E8"/>
        <n v="2.688E9"/>
        <n v="1.621E9"/>
        <n v="1.513E9"/>
        <n v="1.15323E9"/>
        <n v="1.094144E9"/>
        <n v="9.81137E8"/>
        <n v="9.18058E8"/>
        <n v="2.292E9"/>
        <n v="2.204E9"/>
        <n v="2.521E9"/>
        <n v="2.341E9"/>
        <n v="9.351E9"/>
        <n v="7.934E9"/>
        <n v="6.822E9"/>
        <n v="6.938E9"/>
        <n v="1.417E9"/>
        <n v="1.354E9"/>
        <n v="1.311E9"/>
        <n v="1.599E9"/>
        <n v="1.9614E9"/>
        <n v="1.5594E9"/>
        <n v="7.605E8"/>
        <n v="1.915201E9"/>
        <n v="1.780131E9"/>
        <n v="1.603795E9"/>
        <n v="1.506179E9"/>
        <n v="1.98E8"/>
        <n v="1.967E8"/>
        <n v="2.235E8"/>
        <n v="2.298E8"/>
        <n v="4.68E8"/>
        <n v="1.258E9"/>
        <n v="8.3E7"/>
        <n v="-2.74E8"/>
        <n v="2.475E8"/>
        <n v="2.581E8"/>
        <n v="2.674E8"/>
        <n v="1.463E8"/>
        <n v="4.98E8"/>
        <n v="4.67E8"/>
        <n v="4.91E8"/>
        <n v="1.703804E9"/>
        <n v="1.384255E9"/>
        <n v="1.717361E9"/>
        <n v="1.410208E9"/>
        <n v="3.4E8"/>
        <n v="3.215E9"/>
        <n v="5.46E8"/>
        <n v="3.39E9"/>
        <n v="3.189E9"/>
        <n v="3.186E9"/>
        <n v="3.02E9"/>
        <n v="3.32826E8"/>
        <n v="1.56643E8"/>
        <n v="3.4109E7"/>
        <n v="5.3269E7"/>
        <n v="1.293551E9"/>
        <n v="1.170496E9"/>
        <n v="1.199375E9"/>
        <n v="1.016669E9"/>
        <n v="2.151E9"/>
        <n v="2.222E9"/>
        <n v="2.241E9"/>
        <n v="2.136E9"/>
        <n v="1.768E9"/>
        <n v="1.446E9"/>
        <n v="1.524E9"/>
        <n v="9.312E9"/>
        <n v="8.13E9"/>
        <n v="6.466E9"/>
        <n v="7.3E9"/>
        <n v="2.809E9"/>
        <n v="2.893E9"/>
        <n v="2.894E9"/>
        <n v="2.931E9"/>
        <n v="2.591E9"/>
        <n v="2.885E9"/>
        <n v="1.404E9"/>
        <n v="1.225E9"/>
        <n v="1.470973E9"/>
        <n v="1.511993E9"/>
        <n v="1.46553E9"/>
        <n v="1.313656E9"/>
        <n v="9.66E8"/>
        <n v="9.07E8"/>
        <n v="5.3E8"/>
        <n v="4.52E8"/>
        <n v="2.557E9"/>
        <n v="1.287E9"/>
        <n v="1.25058E8"/>
        <n v="1.3734E8"/>
        <n v="1.25952E8"/>
        <n v="1.18006E8"/>
        <n v="4.01E8"/>
        <n v="3.58E8"/>
        <n v="3.31E8"/>
        <n v="1.41E8"/>
        <n v="1.865E9"/>
        <n v="1.533E9"/>
        <n v="3.853E8"/>
        <n v="1.759E8"/>
        <n v="3.262E8"/>
        <n v="4.046E8"/>
        <n v="7.0E8"/>
        <n v="6.62E8"/>
        <n v="7.52E8"/>
        <n v="6.28E8"/>
        <n v="4.528E9"/>
        <n v="4.155E9"/>
        <n v="4.12E9"/>
        <n v="3.837E9"/>
        <n v="5.14661E8"/>
        <n v="4.88157E8"/>
        <n v="4.81671E8"/>
        <n v="4.69947E8"/>
        <n v="5.996E8"/>
        <n v="6.146E8"/>
        <n v="5.838E8"/>
        <n v="6.607E8"/>
        <n v="3.2195E9"/>
        <n v="2.6683E9"/>
        <n v="2.7802E9"/>
        <n v="2.9047E9"/>
        <n v="3.116E9"/>
        <n v="3.151E9"/>
        <n v="3.0E9"/>
        <n v="2.7E9"/>
        <n v="5.422E9"/>
        <n v="5.568E9"/>
        <n v="5.19E9"/>
        <n v="4.974E9"/>
        <n v="8.373E9"/>
        <n v="8.625E9"/>
        <n v="8.914E9"/>
        <n v="9.108E9"/>
        <n v="7.368E9"/>
        <n v="3.441E9"/>
        <n v="3.588E9"/>
        <n v="4.393E9"/>
        <n v="4.71696E8"/>
        <n v="5.59044E8"/>
        <n v="4.69608E8"/>
        <n v="3.9797E8"/>
        <n v="1.12231E9"/>
        <n v="7.1996E8"/>
        <n v="5.82876E8"/>
        <n v="3.96403E8"/>
        <n v="1.0076E9"/>
        <n v="9.268E8"/>
        <n v="8.458E8"/>
        <n v="8.079E8"/>
        <n v="1.649E9"/>
        <n v="1.736E9"/>
        <n v="2.068E9"/>
        <n v="1.763E9"/>
        <n v="3.2161E10"/>
        <n v="2.8661E10"/>
        <n v="2.8882E10"/>
        <n v="2.6152E10"/>
        <n v="2.54414E8"/>
        <n v="2.49598E8"/>
        <n v="2.50411E8"/>
        <n v="2.40694E8"/>
        <n v="3.183E9"/>
        <n v="-1.96048E8"/>
        <n v="-1.86576E8"/>
        <n v="9.07506E8"/>
        <n v="8.01951E8"/>
        <n v="7.60931E8"/>
        <n v="7.23909E8"/>
        <n v="1.2715E9"/>
        <n v="7.31E8"/>
        <n v="8.952E8"/>
        <n v="1.2025E9"/>
        <n v="2.631E9"/>
        <n v="2.966E9"/>
        <n v="2.872E9"/>
        <n v="2.792E9"/>
        <n v="1.64215E8"/>
        <n v="1.41059E8"/>
        <n v="1.28874E8"/>
        <n v="1.4304E8"/>
        <n v="8.36838E8"/>
        <n v="7.14935E8"/>
        <n v="6.90685E8"/>
        <n v="7.36531E8"/>
        <n v="8.81E8"/>
        <n v="9.92E8"/>
        <n v="1.314E10"/>
        <n v="1.3199E10"/>
        <n v="1.4076E10"/>
        <n v="1.2167E10"/>
        <n v="8.62E8"/>
        <n v="1.151E9"/>
        <n v="9.12E8"/>
        <n v="4.10853E8"/>
        <n v="3.92643E8"/>
        <n v="3.67726E8"/>
        <n v="3.54629E8"/>
        <n v="8.46E8"/>
        <n v="8.51E8"/>
        <n v="7.15E8"/>
        <n v="9.75E8"/>
        <n v="8.72E8"/>
        <n v="3.294771E9"/>
        <n v="2.479282E9"/>
        <n v="2.567886E9"/>
        <n v="2.504579E9"/>
        <n v="8.82E8"/>
        <n v="8.88E8"/>
        <n v="9.14E8"/>
        <n v="1.732E9"/>
        <n v="1.593E9"/>
        <n v="1.777E9"/>
        <n v="1.869E9"/>
        <n v="1.261E9"/>
        <n v="1.149E9"/>
        <n v="1.216E9"/>
        <n v="9.53E8"/>
        <n v="1.958E9"/>
        <n v="1.831E9"/>
        <n v="2.424E9"/>
        <n v="2.752E9"/>
        <n v="5.69E8"/>
        <n v="5.86E8"/>
        <n v="9.6E8"/>
        <n v="9.0E8"/>
        <n v="4.725E9"/>
        <n v="4.877E9"/>
        <n v="4.741E9"/>
        <n v="2.353E9"/>
        <n v="3.949E8"/>
        <n v="5.177E8"/>
        <n v="4.029E8"/>
        <n v="1.332E9"/>
        <n v="1.294E9"/>
        <n v="9.15E8"/>
        <n v="1.6073E9"/>
        <n v="1.6134E9"/>
        <n v="1.5244E9"/>
        <n v="1.4846E9"/>
        <n v="2.043E9"/>
        <n v="1.74E9"/>
        <n v="2.09E9"/>
        <n v="1.84E9"/>
        <n v="5.84E8"/>
        <n v="5.73E8"/>
        <n v="5.52E8"/>
        <n v="5.36E8"/>
        <n v="-1.97755E8"/>
        <n v="-1.97413E8"/>
        <n v="-1.83639E8"/>
        <n v="-2.84723E8"/>
        <n v="1.227E9"/>
        <n v="4.12E8"/>
        <n v="7.75E8"/>
        <n v="8.04E8"/>
        <n v="2.473503E9"/>
        <n v="1.622437E9"/>
        <n v="7.39487E8"/>
        <n v="5.02195E8"/>
        <n v="4.215E9"/>
        <n v="3.629E9"/>
        <n v="3.156E9"/>
        <n v="2.96E9"/>
        <n v="5.36521E8"/>
        <n v="4.46431E8"/>
        <n v="5.03637E8"/>
        <n v="4.33707E8"/>
        <n v="1.422E9"/>
        <n v="1.355E9"/>
        <n v="1.288E9"/>
        <n v="1.102E9"/>
        <n v="1.640795E9"/>
        <n v="1.472138E9"/>
        <n v="1.680468E9"/>
        <n v="1.63718E9"/>
        <n v="3.719E9"/>
        <n v="3.036E9"/>
        <n v="2.2E9"/>
        <n v="2.158E9"/>
        <n v="5.43077E8"/>
        <n v="5.17997E8"/>
        <n v="4.1379E8"/>
        <n v="3.88259E8"/>
        <n v="6.877E8"/>
        <n v="6.746E8"/>
        <n v="5.903E8"/>
        <n v="6.269E8"/>
        <n v="1.087048E9"/>
        <n v="1.021985E9"/>
        <n v="1.073169E9"/>
        <n v="9.43491E8"/>
        <n v="7.625E9"/>
        <n v="9.105E9"/>
        <n v="8.17E9"/>
        <n v="7.861E9"/>
        <n v="1.012E9"/>
        <n v="1.066E9"/>
        <n v="1.242E9"/>
        <n v="1.065E9"/>
        <n v="1.085E9"/>
        <n v="9.93E8"/>
        <n v="6.777E8"/>
        <n v="8.314E8"/>
        <n v="7.992E8"/>
        <n v="7.128E8"/>
        <n v="5.137E8"/>
        <n v="4.508E8"/>
        <n v="4.042E8"/>
        <n v="3.343E8"/>
        <n v="1.050912E9"/>
        <n v="1.131835E9"/>
        <n v="1.034609E9"/>
        <n v="9.0736E8"/>
        <n v="7.704E8"/>
        <n v="7.134E8"/>
        <n v="7.833E8"/>
        <n v="6.638E8"/>
        <n v="2.21428E8"/>
        <n v="2.13373E8"/>
        <n v="2.43125E8"/>
        <n v="1.9482E8"/>
        <n v="2.846E9"/>
        <n v="3.024E9"/>
        <n v="2.913E9"/>
        <n v="7.433E8"/>
        <n v="7.763E8"/>
        <n v="6.24E8"/>
        <n v="5.204E8"/>
        <n v="3.348E8"/>
        <n v="3.41E8"/>
        <n v="3.152E8"/>
        <n v="2.855E8"/>
        <n v="4.586E8"/>
        <n v="5.187E8"/>
        <n v="4.959E8"/>
        <n v="5.454E8"/>
        <n v="1.0804E10"/>
        <n v="1.034E10"/>
        <n v="8.151E9"/>
        <n v="1.2057E10"/>
        <n v="6.41261E8"/>
        <n v="6.87494E8"/>
        <n v="7.88127E8"/>
        <n v="8.36038E8"/>
        <n v="1.4163E10"/>
        <n v="1.1985E10"/>
        <n v="1.041E10"/>
        <n v="8.797E9"/>
        <n v="5.526E9"/>
        <n v="5.241E9"/>
        <n v="5.311E9"/>
        <n v="4.872E9"/>
        <n v="2.717E9"/>
        <n v="1.577E9"/>
        <n v="1.262E9"/>
        <n v="7.56104E8"/>
        <n v="5.00724E8"/>
        <n v="2.68193E8"/>
        <n v="7.5452E7"/>
        <n v="2.697E9"/>
        <n v="2.173E9"/>
        <n v="1.444E9"/>
        <n v="5.4E9"/>
        <n v="4.365E9"/>
        <n v="4.771E9"/>
        <n v="4.462E9"/>
        <n v="4.41899E8"/>
        <n v="5.51685E8"/>
        <n v="3.01131E8"/>
        <n v="2.39095E8"/>
        <n v="1.639E9"/>
        <n v="1.73E9"/>
        <n v="7.57E8"/>
        <n v="5.88E8"/>
        <n v="7.34E8"/>
        <n v="1.6246E9"/>
        <n v="1.6977E9"/>
        <n v="1.8156E9"/>
        <n v="1.7534E9"/>
        <n v="9.973E9"/>
        <n v="9.289E9"/>
        <n v="9.187E9"/>
        <n v="1.0492E10"/>
        <n v="2.66E8"/>
        <n v="1.1235E9"/>
        <n v="1.9736E9"/>
        <n v="2.2282E9"/>
        <n v="9.65871E8"/>
        <n v="9.33029E8"/>
        <n v="8.88031E8"/>
        <n v="9.01146E8"/>
        <n v="5.192E9"/>
        <n v="5.943E9"/>
        <n v="6.726E9"/>
        <n v="4.638E9"/>
        <n v="3.80908E8"/>
        <n v="3.40591E8"/>
        <n v="3.72337E8"/>
        <n v="3.4222E8"/>
        <n v="2.49E8"/>
        <n v="1.082E9"/>
        <n v="6.91057E8"/>
        <n v="6.39795E8"/>
        <n v="5.58295E8"/>
        <n v="5.59854E8"/>
        <n v="9.4565E8"/>
        <n v="9.13238E8"/>
        <n v="7.29746E8"/>
        <n v="8.11261E8"/>
        <n v="1.3336E9"/>
        <n v="1.2291E9"/>
        <n v="1.0583E9"/>
        <n v="1.1013E9"/>
        <n v="6.21553E8"/>
        <n v="5.46183E8"/>
        <n v="5.28475E8"/>
        <n v="5.37752E8"/>
        <n v="5.399E9"/>
        <n v="4.656E9"/>
        <n v="4.503E9"/>
        <n v="4.746E9"/>
        <n v="5.34676E8"/>
        <n v="4.47711E8"/>
        <n v="3.7289E8"/>
        <n v="4.65873E8"/>
        <n v="1.111E9"/>
        <n v="9.97E8"/>
        <n v="1.0117E9"/>
        <n v="9.601E8"/>
        <n v="8.093E8"/>
        <n v="9.374E8"/>
        <n v="2.539E9"/>
        <n v="2.356E9"/>
        <n v="2.27E9"/>
        <n v="2.107E9"/>
        <n v="3.128E9"/>
        <n v="3.226E9"/>
        <n v="2.734E9"/>
        <n v="2.309E9"/>
        <n v="4.62213E8"/>
        <n v="4.32548E8"/>
        <n v="4.14305E8"/>
        <n v="3.90941E8"/>
        <n v="2.42371E8"/>
        <n v="2.05581E8"/>
        <n v="2.04621E8"/>
        <n v="1.87145E8"/>
        <n v="2.3342E9"/>
        <n v="3.7306E9"/>
        <n v="1.4778E9"/>
        <n v="1.1386E9"/>
        <n v="1.767E9"/>
        <n v="1.919E9"/>
        <n v="1.75E9"/>
        <n v="1.1899E9"/>
        <n v="1.1621E9"/>
        <n v="1.0621E9"/>
        <n v="1.112E9"/>
        <n v="5.17348E8"/>
        <n v="5.01758E8"/>
        <n v="4.58182E8"/>
        <n v="4.78879E8"/>
        <n v="7.25327E8"/>
        <n v="6.64872E8"/>
        <n v="5.61711E8"/>
        <n v="5.14327E8"/>
        <n v="7.194E8"/>
        <n v="7.644E8"/>
        <n v="7.674E8"/>
        <n v="6.465E8"/>
        <n v="3.44725E8"/>
        <n v="3.40342E8"/>
        <n v="2.74002E8"/>
        <n v="2.69948E8"/>
        <n v="9.961E8"/>
        <n v="9.938E8"/>
        <n v="9.666E8"/>
        <n v="1.394103E9"/>
        <n v="1.317684E9"/>
        <n v="1.934002E9"/>
        <n v="1.04309E9"/>
        <n v="-3.49683E8"/>
        <n v="-3.69105E8"/>
        <n v="-2.36343E8"/>
        <n v="-2.35306E8"/>
        <n v="1.544E9"/>
        <n v="1.573E9"/>
        <n v="1.489E9"/>
        <n v="1.308E9"/>
        <n v="4.727E9"/>
        <n v="4.408E9"/>
        <n v="4.338E9"/>
        <n v="4.025E9"/>
        <n v="4.43552E8"/>
        <n v="4.32975E8"/>
        <n v="4.13964E8"/>
        <n v="4.03891E8"/>
        <n v="9.85E8"/>
        <n v="8.66E8"/>
        <n v="7.19E8"/>
        <n v="7.04E8"/>
        <n v="9.56E8"/>
        <n v="7.4E8"/>
        <n v="6.96E8"/>
        <n v="4.037E8"/>
        <n v="4.007E8"/>
        <n v="4.011E8"/>
        <n v="4.244E8"/>
        <n v="1.415E9"/>
        <n v="1.163E9"/>
        <n v="1.162E9"/>
        <n v="1.08E9"/>
        <n v="9.71226E8"/>
        <n v="2.1396E9"/>
        <n v="2.4114E9"/>
        <n v="2.112E9"/>
        <n v="2.1287E9"/>
        <n v="1.049169E9"/>
        <n v="1.024342E9"/>
        <n v="1.015965E9"/>
        <n v="9.1745E8"/>
        <n v="6.137E8"/>
        <n v="5.586E8"/>
        <n v="5.784E8"/>
        <n v="7.617E8"/>
        <n v="5.913E8"/>
        <n v="6.119E8"/>
        <n v="5.789E8"/>
        <n v="5.857E8"/>
        <n v="3.07E9"/>
        <n v="2.818E9"/>
        <n v="2.08E9"/>
        <n v="6.88E8"/>
        <n v="-5.44E8"/>
        <n v="-6.01E8"/>
        <n v="1.5457E9"/>
        <n v="1.5695E9"/>
        <n v="1.5683E9"/>
        <n v="1.3833E9"/>
        <n v="2.3236E9"/>
        <n v="1.8523E9"/>
        <n v="1.833E9"/>
        <n v="1.6251E9"/>
        <n v="3.049E9"/>
        <n v="2.959E9"/>
        <n v="2.917E9"/>
        <n v="2.784E9"/>
        <n v="4.26282E8"/>
        <n v="3.86852E8"/>
        <n v="3.53112E8"/>
        <n v="3.34576E8"/>
        <n v="2.772E9"/>
        <n v="2.586E9"/>
        <n v="2.773E9"/>
        <n v="2.461E9"/>
        <n v="1.38508E9"/>
        <n v="1.251696E9"/>
        <n v="1.097323E9"/>
        <n v="8.15294E8"/>
        <n v="2.589E9"/>
        <n v="2.247E9"/>
        <n v="1.944E9"/>
        <n v="1.479E9"/>
        <n v="8.63934E8"/>
        <n v="8.21745E8"/>
        <n v="7.74208E8"/>
        <n v="8.1261E8"/>
        <n v="2.122668E9"/>
        <n v="2.098458E9"/>
        <n v="2.219845E9"/>
        <n v="1.565655E9"/>
        <n v="1.1366E10"/>
        <n v="1.1386E10"/>
        <n v="1.1222E10"/>
        <n v="1.167E10"/>
        <n v="1.1895E9"/>
        <n v="1.1167E9"/>
        <n v="9.777E8"/>
        <n v="9.332E8"/>
        <n v="4.56794E8"/>
        <n v="4.93402E8"/>
        <n v="5.7363E8"/>
        <n v="5.20177E8"/>
        <n v="1.158E9"/>
        <n v="9.119E8"/>
        <n v="1.1737E9"/>
        <n v="8.302E8"/>
        <n v="7.88E9"/>
        <n v="7.481E9"/>
        <n v="7.638E9"/>
        <n v="7.123E9"/>
        <n v="1.268E9"/>
        <n v="1.21E9"/>
        <n v="1.146E9"/>
        <n v="9.69E8"/>
        <n v="4.816E8"/>
        <n v="3.132E8"/>
        <n v="3.031E8"/>
        <n v="2.905E8"/>
        <n v="3.97556E8"/>
        <n v="3.44527E8"/>
        <n v="3.83554E8"/>
        <n v="3.29324E8"/>
        <n v="6.46989E8"/>
        <n v="4.61618E8"/>
        <n v="4.4979E8"/>
        <n v="4.58928E8"/>
        <n v="2.215E9"/>
        <n v="1.267E9"/>
        <n v="3.077E9"/>
        <n v="2.797E9"/>
        <n v="2.646E9"/>
        <n v="2.453E9"/>
        <n v="4.74E8"/>
        <n v="5.38E8"/>
        <n v="3.98E8"/>
        <n v="5.161E8"/>
        <n v="4.871E8"/>
        <n v="4.507E8"/>
        <n v="5.141E8"/>
        <n v="2.379E9"/>
        <n v="1.547E9"/>
        <n v="1.779E9"/>
        <n v="9.26487E8"/>
        <n v="1.052946E9"/>
        <n v="9.6428E8"/>
        <n v="1.080024E9"/>
        <n v="7.293E8"/>
        <n v="4.649E8"/>
        <n v="3.484E8"/>
        <n v="3.741E8"/>
        <n v="2.388E9"/>
        <n v="2.841E9"/>
        <n v="2.182E9"/>
        <n v="5.831E9"/>
        <n v="4.474E9"/>
        <n v="3.694E9"/>
        <n v="3.883E9"/>
        <n v="4.524E9"/>
        <n v="5.217E9"/>
        <n v="5.557E9"/>
        <n v="4.332E9"/>
        <n v="2.831026E9"/>
        <n v="5.966002E9"/>
        <n v="3.055004E9"/>
        <n v="1.493085E9"/>
        <n v="1.287485E9"/>
        <n v="9.8378E8"/>
        <n v="9.9553E8"/>
        <n v="9.47957E8"/>
        <n v="9.501E8"/>
        <n v="1.138E9"/>
        <n v="6.57E8"/>
        <n v="6.15E8"/>
        <n v="5.54E8"/>
        <n v="5.6E8"/>
        <n v="5.476E8"/>
        <n v="5.154E8"/>
        <n v="4.633E8"/>
        <n v="6.084E9"/>
        <n v="5.434E9"/>
        <n v="5.474E9"/>
        <n v="5.151E9"/>
        <n v="7.73495E8"/>
        <n v="6.5501E8"/>
        <n v="8.56117E8"/>
        <n v="5.74845E8"/>
        <n v="1.44207E8"/>
        <n v="1.38669E8"/>
        <n v="1.43509E8"/>
        <n v="1.31203E8"/>
        <n v="1.675E9"/>
        <n v="1.348E9"/>
        <n v="1.297E9"/>
        <n v="1.807E9"/>
        <n v="5.907E9"/>
        <n v="6.237E9"/>
        <n v="5.238E9"/>
        <n v="5.259E9"/>
        <n v="7.97963E8"/>
        <n v="7.53788E8"/>
        <n v="1.156328E9"/>
        <n v="5.45519E8"/>
        <n v="6.69229E8"/>
        <n v="6.28641E8"/>
        <n v="7.05998E8"/>
        <n v="6.8632E8"/>
        <n v="3.314E9"/>
        <n v="2.868E9"/>
        <n v="3.089E9"/>
        <n v="2.897E9"/>
        <n v="5.12E8"/>
        <n v="-1.402E9"/>
        <n v="-9.17E8"/>
        <n v="-1.334E9"/>
        <n v="6.094E9"/>
        <n v="8.97E9"/>
        <n v="-2.065E9"/>
        <n v="5.001E9"/>
        <n v="8.98E8"/>
        <n v="1.7115E10"/>
        <n v="1.772E10"/>
        <n v="1.5763E10"/>
        <n v="1.5544E10"/>
        <n v="1.371912E9"/>
        <n v="1.168104E9"/>
        <n v="1.269541E9"/>
        <n v="1.170784E9"/>
        <n v="1.285E9"/>
        <n v="1.58E8"/>
        <n v="2.76E8"/>
        <n v="1.22E8"/>
        <n v="4.28582E8"/>
        <n v="4.31384E8"/>
        <n v="4.85269E8"/>
        <n v="4.18692E8"/>
        <n v="2.81609E8"/>
        <n v="2.76653E8"/>
        <n v="2.74312E8"/>
        <n v="2.72855E8"/>
        <n v="4.826E8"/>
        <n v="4.637E8"/>
        <n v="4.529E8"/>
        <n v="4.627E8"/>
        <n v="1.9509E10"/>
        <n v="1.9345E10"/>
        <n v="1.987E10"/>
        <n v="1.9209E10"/>
        <n v="1.58308E8"/>
        <n v="1.076003E9"/>
        <n v="9.58135E8"/>
        <n v="8.58592E8"/>
        <n v="1.240406E9"/>
        <n v="1.350573E9"/>
        <n v="1.649017E9"/>
        <n v="1.329118E9"/>
        <n v="2.417E9"/>
        <n v="2.482E9"/>
        <n v="1.9841E9"/>
        <n v="1.8607E9"/>
        <n v="1.3613E9"/>
        <n v="1.2602E9"/>
        <n v="5.944E9"/>
        <n v="5.55E9"/>
        <n v="5.514E9"/>
        <n v="4.91E9"/>
        <n v="2.19447E8"/>
        <n v="2.17228E8"/>
        <n v="2.21255E8"/>
        <n v="1.94431E8"/>
        <n v="3.98364E8"/>
        <n v="2.29267E8"/>
        <n v="3.02741E8"/>
        <n v="3.80498E8"/>
        <n v="9.85741E8"/>
        <n v="9.48987E8"/>
        <n v="1.07232E9"/>
        <n v="8.40151E8"/>
        <n v="1.124E9"/>
        <n v="5.382E8"/>
        <n v="5.265E8"/>
        <n v="5.712E8"/>
        <n v="5.037E8"/>
        <n v="6.781E9"/>
        <n v="6.63E9"/>
        <n v="6.803E9"/>
        <n v="6.438E9"/>
        <n v="3.5865E10"/>
        <n v="3.5038E10"/>
        <n v="3.6818E10"/>
        <n v="3.4369E10"/>
        <n v="1.598E9"/>
        <n v="1.529E9"/>
        <n v="4.01393E8"/>
        <n v="3.54398E8"/>
        <n v="4.66089E8"/>
        <n v="3.31442E8"/>
        <n v="6.865E8"/>
        <n v="9.459E8"/>
        <n v="6.894E8"/>
        <n v="6.695E8"/>
        <n v="2.1493E10"/>
        <n v="1.958E10"/>
        <n v="1.8175E10"/>
        <n v="1.81E10"/>
        <n v="4.90603E8"/>
        <n v="4.12149E8"/>
        <n v="4.19534E8"/>
        <n v="4.17492E8"/>
        <n v="3.151E8"/>
        <n v="2.719E8"/>
        <n v="2.111E8"/>
        <n v="1.946E8"/>
        <n v="8.74E8"/>
        <n v="5.347E8"/>
        <n v="5.04E8"/>
        <n v="5.146E8"/>
        <n v="5.376E8"/>
        <n v="7.496E8"/>
        <n v="7.523E8"/>
        <n v="8.73E8"/>
        <n v="7.658E8"/>
        <n v="1.561E9"/>
        <n v="1.076E9"/>
        <n v="6.71E8"/>
        <n v="7.2E8"/>
        <n v="1.09E9"/>
        <n v="1.148E9"/>
        <n v="1.364E9"/>
        <n v="1.155E9"/>
        <n v="1.299E9"/>
        <n v="1.143E9"/>
        <n v="7.54E8"/>
        <n v="8.22E8"/>
        <n v="5.94118E8"/>
        <n v="4.18774E8"/>
        <n v="4.0241E8"/>
        <n v="1.49845E8"/>
        <n v="1.57E9"/>
        <n v="1.179E9"/>
        <n v="1.249E9"/>
        <n v="1.322E9"/>
        <n v="5.95165E8"/>
        <n v="5.78136E8"/>
        <n v="5.53875E8"/>
        <n v="5.48415E8"/>
        <n v="5.2E8"/>
        <n v="4.9E8"/>
        <n v="5.32E8"/>
        <n v="4.61E8"/>
        <n v="7.86E8"/>
        <n v="8.23E8"/>
        <n v="7.23E8"/>
        <n v="6.58E8"/>
        <n v="6.55E8"/>
        <n v="6.18E8"/>
        <n v="4.93E8"/>
        <n v="1.4532E9"/>
        <n v="1.331E9"/>
        <n v="1.4337E9"/>
        <n v="1.3622E9"/>
        <n v="8.83E8"/>
        <n v="7.78E8"/>
        <n v="6.67E8"/>
        <n v="1.382E9"/>
        <n v="1.323E9"/>
        <n v="1.221E9"/>
        <n v="1.241E9"/>
      </sharedItems>
    </cacheField>
    <cacheField name="Ebit" numFmtId="0">
      <sharedItems containsSemiMixedTypes="0" containsString="0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2.718565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0.0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568E9"/>
        <n v="6.28E8"/>
        <n v="-6.389E9"/>
        <n v="-5.5E7"/>
        <n v="-3.03E8"/>
        <n v="-7.9E7"/>
        <n v="9.29E8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076E9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9.1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073E8"/>
        <n v="4.71E7"/>
        <n v="1.758E8"/>
        <n v="1.263E8"/>
        <n v="2.723E8"/>
        <n v="2.769E8"/>
        <n v="5.6E8"/>
        <n v="4.11E8"/>
        <n v="5.38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4.237E9"/>
        <n v="3.245E9"/>
        <n v="2.769E9"/>
        <n v="2.175E9"/>
        <n v="1.043E9"/>
        <n v="1.011E9"/>
        <n v="2.513E9"/>
        <n v="1.073E9"/>
        <n v="8.93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3.86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1.55334E8"/>
        <n v="1.69918E8"/>
        <n v="1.65864E8"/>
        <n v="1.46861E8"/>
        <n v="8.08E8"/>
        <n v="1.104E9"/>
        <n v="9.17E8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3.74E8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7.26E8"/>
        <n v="7.56E8"/>
        <n v="6.7E8"/>
      </sharedItems>
    </cacheField>
    <cacheField name="Operating Income" numFmtId="0">
      <sharedItems containsString="0" containsBlank="1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2.701E9"/>
        <n v="2.621E9"/>
        <n v="1.995E9"/>
        <n v="1.36E9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8.95E9"/>
        <n v="8.042E9"/>
        <n v="9.166E9"/>
        <n v="6.119E9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181E9"/>
        <n v="1.288E9"/>
        <n v="1.177E9"/>
        <n v="9.29E8"/>
        <n v="1.568E9"/>
        <n v="6.28E8"/>
        <n v="-6.389E9"/>
        <n v="-5.5E7"/>
        <n v="-3.03E8"/>
        <n v="-7.9E7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613E9"/>
        <n v="4.237E9"/>
        <n v="3.401E9"/>
        <n v="3.565E9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1.86E9"/>
        <n v="2.075E9"/>
        <n v="1.899E9"/>
        <n v="8.89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7.348E9"/>
        <n v="1.0309E10"/>
        <n v="4.998E9"/>
        <n v="4.076E9"/>
        <n v="8.31E8"/>
        <n v="5.71E8"/>
        <n v="3.75E8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28E8"/>
        <n v="2.72E8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2.314E9"/>
        <n v="2.079E9"/>
        <n v="1.111E9"/>
        <n v="9.59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9.15E8"/>
        <n v="9.1E8"/>
        <n v="7.57E8"/>
        <n v="7.58E8"/>
        <n v="4.70188E8"/>
        <n v="4.4547E8"/>
        <n v="4.17705E8"/>
        <n v="3.75518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7.066E9"/>
        <n v="8.411E9"/>
        <n v="5.561E9"/>
        <n v="4.555E9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m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6.73E8"/>
        <n v="3.86E8"/>
        <n v="3.74E8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5282E10"/>
        <n v="1.7725E10"/>
        <n v="1.5341E10"/>
        <n v="1.2185E10"/>
        <n v="1.073E8"/>
        <n v="4.71E7"/>
        <n v="1.758E8"/>
        <n v="1.263E8"/>
        <n v="2.723E8"/>
        <n v="2.769E8"/>
        <n v="5.6E8"/>
        <n v="4.11E8"/>
        <n v="5.38E8"/>
        <n v="9.27E8"/>
        <n v="7.8E8"/>
        <n v="7.43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3.245E9"/>
        <n v="2.769E9"/>
        <n v="2.175E9"/>
        <n v="1.043E9"/>
        <n v="1.011E9"/>
        <n v="2.513E9"/>
        <n v="1.073E9"/>
        <n v="8.93E8"/>
        <n v="6.30134E8"/>
        <n v="6.09475E8"/>
        <n v="6.38855E8"/>
        <n v="5.02917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5.908E9"/>
        <n v="5.422E9"/>
        <n v="6.234E9"/>
        <n v="5.572E9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4.865E8"/>
        <n v="4.959E8"/>
        <n v="4.259E8"/>
        <n v="3.899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1.849E8"/>
        <n v="2.413E8"/>
        <n v="2.216E8"/>
        <n v="3.118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1.813E9"/>
        <n v="1.315E9"/>
        <n v="1.754E9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5.65E8"/>
        <n v="4.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8.49E8"/>
        <n v="1.023E9"/>
        <n v="7.82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6.95E8"/>
        <n v="8.45E8"/>
        <n v="7.55E8"/>
        <n v="1.55334E8"/>
        <n v="1.69918E8"/>
        <n v="1.65864E8"/>
        <n v="1.46861E8"/>
        <n v="8.08E8"/>
        <n v="1.104E9"/>
        <n v="9.17E8"/>
        <n v="7.58542E8"/>
        <n v="6.25398E8"/>
        <n v="6.13235E8"/>
        <n v="3.42477E8"/>
        <n v="1.641E9"/>
        <n v="1.321E9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2.543E9"/>
        <n v="2.131E9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2.579E9"/>
        <n v="2.93E9"/>
        <n v="1.739E9"/>
        <n v="2.026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8.227E9"/>
        <n v="5.525E9"/>
        <n v="4.083E9"/>
        <n v="3.589E9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4.61E8"/>
        <n v="4.18E8"/>
        <n v="2.22E8"/>
        <n v="7.26E8"/>
        <n v="7.56E8"/>
        <n v="6.7E8"/>
      </sharedItems>
    </cacheField>
    <cacheField name="Interest Expense" numFmtId="0">
      <sharedItems containsString="0" containsBlank="1" containsNumber="1" containsInteger="1">
        <n v="-1.17E8"/>
        <n v="-1.21E8"/>
        <n v="-1.32E8"/>
        <n v="-1.41E8"/>
        <n v="-1000000.0"/>
        <n v="-900000.0"/>
        <n v="-1.33E8"/>
        <n v="-1.34E8"/>
        <n v="-1.35E8"/>
        <n v="-1.36E8"/>
        <n v="-5.96E8"/>
        <n v="-6.15E8"/>
        <n v="-6.32E8"/>
        <n v="-6.29E8"/>
        <m/>
        <n v="-1.2977E7"/>
        <n v="-2.8739E7"/>
        <n v="-8922000.0"/>
        <n v="-8854000.0"/>
        <n v="-2.7E7"/>
        <n v="-2.8E7"/>
        <n v="-6.1E7"/>
        <n v="-4.0E7"/>
        <n v="-8.7E7"/>
        <n v="-6.9E7"/>
        <n v="-3.0E7"/>
        <n v="-8306000.0"/>
        <n v="-1.1191E7"/>
        <n v="-9748500.0"/>
        <n v="-7000000.0"/>
        <n v="-1.0E7"/>
        <n v="-9000000.0"/>
        <n v="-2.42E8"/>
        <n v="-2.37E8"/>
        <n v="-1.9E8"/>
        <n v="-2.97E8"/>
        <n v="-5.7E7"/>
        <n v="-6.2E7"/>
        <n v="-2.1E7"/>
        <n v="-2.0E7"/>
        <n v="-1.9E7"/>
        <n v="-3.34E7"/>
        <n v="-3.56E7"/>
        <n v="-3.61E7"/>
        <n v="-3.67E7"/>
        <n v="-1.8144E7"/>
        <n v="-1.8037E7"/>
        <n v="-1.7834E7"/>
        <n v="-1.7342E7"/>
        <n v="-5136000.0"/>
        <n v="-5952000.0"/>
        <n v="-1.6084E7"/>
        <n v="-1.9152E7"/>
        <n v="-3.6E7"/>
        <n v="-2.9E7"/>
        <n v="-3.1E7"/>
        <n v="-3.5678E7"/>
        <n v="-3.5158E7"/>
        <n v="-3.6467E7"/>
        <n v="-3.7538E7"/>
        <n v="-1.23E7"/>
        <n v="-1.24E7"/>
        <n v="-7.1E7"/>
        <n v="-7.2E7"/>
        <n v="-7.0E7"/>
        <n v="-9.1E7"/>
        <n v="-8.6E7"/>
        <n v="-8.0E7"/>
        <n v="-7.6E7"/>
        <n v="-5.3E7"/>
        <n v="-4.8E7"/>
        <n v="-3.13E8"/>
        <n v="-3.36E8"/>
        <n v="-3.18E8"/>
        <n v="-4.35E8"/>
        <n v="-3.99E8"/>
        <n v="-4.14E8"/>
        <n v="-4.28E8"/>
        <n v="-3.7E7"/>
        <n v="-4.4E7"/>
        <n v="-9.6E7"/>
        <n v="-1.0E8"/>
        <n v="-1.08E8"/>
        <n v="-1.1E8"/>
        <n v="-4.86E8"/>
        <n v="-3.71E8"/>
        <n v="-3.76E8"/>
        <n v="-3.4E8"/>
        <n v="-3.016E8"/>
        <n v="-2.902E8"/>
        <n v="-2.883E8"/>
        <n v="-2.913E8"/>
        <n v="-3.38E8"/>
        <n v="-3.42E8"/>
        <n v="-3.58E8"/>
        <n v="-3.79E8"/>
        <n v="-2.137E8"/>
        <n v="-2.07E8"/>
        <n v="-1.961E8"/>
        <n v="-1.909E8"/>
        <n v="-1.01E8"/>
        <n v="-9.8E7"/>
        <n v="-9.9E7"/>
        <n v="-1.69E8"/>
        <n v="-2.06E8"/>
        <n v="-1.65E8"/>
        <n v="-2.17E8"/>
        <n v="-5.3011E7"/>
        <n v="-3.5184E7"/>
        <n v="-3.4578E7"/>
        <n v="-3.5761E7"/>
        <n v="-2.0442E7"/>
        <n v="-1.8947E7"/>
        <n v="-1.9465E7"/>
        <n v="-2.1187E7"/>
        <n v="-2.81E8"/>
        <n v="-2.85E8"/>
        <n v="-9.4E7"/>
        <n v="-3.02E8"/>
        <n v="-2.86E7"/>
        <n v="-2.83E7"/>
        <n v="-3.02E7"/>
        <n v="-4.4659E7"/>
        <n v="-4.3066E7"/>
        <n v="-4.2479E7"/>
        <n v="-4.8593E7"/>
        <n v="-3336000.0"/>
        <n v="-3315000.0"/>
        <n v="-2444000.0"/>
        <n v="-1853000.0"/>
        <n v="-2.01E8"/>
        <n v="-2.05E8"/>
        <n v="-1.92E8"/>
        <n v="-7.8E7"/>
        <n v="-7.9E7"/>
        <n v="-8.2E7"/>
        <n v="-1.11E8"/>
        <n v="-1.12E8"/>
        <n v="-6.65E8"/>
        <n v="-6.7E8"/>
        <n v="-6.38E8"/>
        <n v="-6.34E8"/>
        <n v="-5.9E7"/>
        <n v="-3.8E7"/>
        <n v="-3.9E7"/>
        <n v="-5.62E7"/>
        <n v="-4.81E7"/>
        <n v="-4.78E7"/>
        <n v="-2.88E7"/>
        <n v="-2.84E7"/>
        <n v="-2.68E7"/>
        <n v="-2.55E7"/>
        <n v="-1.684E9"/>
        <n v="-1.87E9"/>
        <n v="-1.894E9"/>
        <n v="-1.972E9"/>
        <n v="-2.0962E7"/>
        <n v="-2.6096E7"/>
        <n v="-2.201E7"/>
        <n v="-1.5494E7"/>
        <n v="-1.28E7"/>
        <n v="-1.06E7"/>
        <n v="-6200000.0"/>
        <n v="-1.46E7"/>
        <n v="-1.73E7"/>
        <n v="-1.35E7"/>
        <n v="-1.39E7"/>
        <n v="-1.51E7"/>
        <n v="-6.3537E7"/>
        <n v="-4.5026E7"/>
        <n v="-4.6012E7"/>
        <n v="-4.6179E7"/>
        <n v="-5.6104E7"/>
        <n v="-5.2613E7"/>
        <n v="-5.1589E7"/>
        <n v="-5.3249E7"/>
        <n v="-1.6E7"/>
        <n v="-1.62E7"/>
        <n v="-1.56E7"/>
        <n v="-6.7E7"/>
        <n v="-6.5E7"/>
        <n v="-7.4E7"/>
        <n v="-6.6E7"/>
        <n v="-6.8E7"/>
        <n v="-1.14E8"/>
        <n v="-1.16E8"/>
        <n v="-4.1E7"/>
        <n v="-4.2E7"/>
        <n v="-1.15E8"/>
        <n v="-1.24E8"/>
        <n v="-1.18E8"/>
        <n v="-1.23E8"/>
        <n v="-6000000.0"/>
        <n v="-1.1E7"/>
        <n v="-363000.0"/>
        <n v="-398000.0"/>
        <n v="-4703000.0"/>
        <n v="-5728000.0"/>
        <n v="-3291000.0"/>
        <n v="-2660000.0"/>
        <n v="-3585000.0"/>
        <n v="-4416000.0"/>
        <n v="-5.64E7"/>
        <n v="-6.47E7"/>
        <n v="-5.6E7"/>
        <n v="-5.63E7"/>
        <n v="-5.2E7"/>
        <n v="-5.5E7"/>
        <n v="-5.4E7"/>
        <n v="-6.69E8"/>
        <n v="-6.73E8"/>
        <n v="-6.79E8"/>
        <n v="-6.98E8"/>
        <n v="-8.1E7"/>
        <n v="-2.3E7"/>
        <n v="-1.06319E8"/>
        <n v="-1.07902E8"/>
        <n v="-1.11991E8"/>
        <n v="-1.10993E8"/>
        <n v="-3.2E8"/>
        <n v="-3.45E8"/>
        <n v="-4.15E8"/>
        <n v="-4.66E8"/>
        <n v="-5.7E8"/>
        <n v="-4.2E8"/>
        <n v="-1.2E7"/>
        <n v="-1.21E7"/>
        <n v="-1.5E7"/>
        <n v="-1.6342E7"/>
        <n v="-1.6639E7"/>
        <n v="-1.3234E7"/>
        <n v="-1.3809E7"/>
        <n v="-1.22E7"/>
        <n v="-1.25E7"/>
        <n v="-1.19E7"/>
        <n v="-4316000.0"/>
        <n v="-4217000.0"/>
        <n v="-4873000.0"/>
        <n v="-5325000.0"/>
        <n v="-5.76E8"/>
        <n v="-5.79E8"/>
        <n v="-5.66E8"/>
        <n v="-4.73E8"/>
        <n v="-4.5E7"/>
        <n v="-4.6E7"/>
        <n v="-2.0534E7"/>
        <n v="-2.0289E7"/>
        <n v="-1.9462E7"/>
        <n v="-2.2469E7"/>
        <n v="-4.37E8"/>
        <n v="-3.98E8"/>
        <n v="-3.48E8"/>
        <n v="-3.1E8"/>
        <n v="-7.5E7"/>
        <n v="-8.5E7"/>
        <n v="-9.0E7"/>
        <n v="-3.19E7"/>
        <n v="-2.69E7"/>
        <n v="-2.59E7"/>
        <n v="-2.53E7"/>
        <n v="-1.42E8"/>
        <n v="-1.3E8"/>
        <n v="-9600000.0"/>
        <n v="-1.3772E7"/>
        <n v="-1.0106E7"/>
        <n v="-1.5958E7"/>
        <n v="-1.7829E7"/>
        <n v="-3.55E7"/>
        <n v="-3.71E7"/>
        <n v="-4.02E7"/>
        <n v="-2.4E7"/>
        <n v="-2.5E7"/>
        <n v="-2.6E7"/>
        <n v="-1.7E8"/>
        <n v="-1.63E8"/>
        <n v="-1.77E8"/>
        <n v="-1.19E8"/>
        <n v="-1.28E8"/>
        <n v="-9900000.0"/>
        <n v="-5600000.0"/>
        <n v="-5700000.0"/>
        <n v="-5900000.0"/>
        <n v="-2.908E7"/>
        <n v="-1.619E7"/>
        <n v="-2.9719E7"/>
        <n v="-3.3147E7"/>
        <n v="-1.8867E7"/>
        <n v="-1.016E9"/>
        <n v="-1.004E9"/>
        <n v="-9.83E8"/>
        <n v="-9.65E8"/>
        <n v="-1.85E8"/>
        <n v="-1.98E8"/>
        <n v="-1.99E8"/>
        <n v="-1.64E8"/>
        <n v="-126000.0"/>
        <n v="-2168000.0"/>
        <n v="-554000.0"/>
        <n v="-1.22E8"/>
        <n v="-1.26E8"/>
        <n v="-1.34E7"/>
        <n v="-1.41E7"/>
        <n v="-1.4E7"/>
        <n v="-2.78E8"/>
        <n v="-2.91E8"/>
        <n v="-3.53E8"/>
        <n v="-1.3E7"/>
        <n v="-2.1854E7"/>
        <n v="-2.4551E7"/>
        <n v="-2.4552E7"/>
        <n v="-2.4557E7"/>
        <n v="-1.13E8"/>
        <n v="-2.2905E7"/>
        <n v="-2.436E7"/>
        <n v="-1.6361E7"/>
        <n v="-4.17E7"/>
        <n v="-4.15E7"/>
        <n v="-1.25E8"/>
        <n v="-1.4E8"/>
        <n v="-7.8E8"/>
        <n v="-4.42E8"/>
        <n v="-6.6E8"/>
        <n v="-2000000.0"/>
        <n v="-3000000.0"/>
        <n v="-1.093E9"/>
        <n v="-1.018E9"/>
        <n v="-1.231E9"/>
        <n v="-1.22E9"/>
        <n v="-1.081E8"/>
        <n v="-1.145E8"/>
        <n v="-1.261E8"/>
        <n v="-2.2E8"/>
        <n v="-2.26E8"/>
        <n v="-2.02E8"/>
        <n v="-2.0E8"/>
        <n v="-2.27E8"/>
        <n v="-3.04E8"/>
        <n v="-2.31E8"/>
        <n v="-2.49E8"/>
        <n v="-9.58E7"/>
        <n v="-8.67E7"/>
        <n v="-8.98E7"/>
        <n v="-9.57E7"/>
        <n v="-5346000.0"/>
        <n v="-4849000.0"/>
        <n v="-5032000.0"/>
        <n v="-4902000.0"/>
        <n v="-7.7E7"/>
        <n v="-1.2558E7"/>
        <n v="-1.2377E7"/>
        <n v="-1.0981E7"/>
        <n v="-1.4389E7"/>
        <n v="-1.61E8"/>
        <n v="-1.68E8"/>
        <n v="-1.81E8"/>
        <n v="-1.84E8"/>
        <n v="-1.89E8"/>
        <n v="-6.36E8"/>
        <n v="-6.57E8"/>
        <n v="-6.78E8"/>
        <n v="-7.31E8"/>
        <n v="-5.8E7"/>
        <n v="-7.23E7"/>
        <n v="-7.67E7"/>
        <n v="-1.88E7"/>
        <n v="-1.52E7"/>
        <n v="-1.66E7"/>
        <n v="-7.1451E7"/>
        <n v="-7.1947E7"/>
        <n v="-6.5637E7"/>
        <n v="-5.9092E7"/>
        <n v="-8.3E7"/>
        <n v="-3.14E8"/>
        <n v="-3.61E8"/>
        <n v="-3.65E8"/>
        <n v="-1.53E7"/>
        <n v="-1.45E7"/>
        <n v="-1.05E8"/>
        <n v="-6.4E7"/>
        <n v="-2.52E7"/>
        <n v="-2.48E7"/>
        <n v="-2.46E7"/>
        <n v="-2.44E7"/>
        <n v="7.2E7"/>
        <n v="-7.5014E7"/>
        <n v="-7.5653E7"/>
        <n v="-7.7883E7"/>
        <n v="-8.9499E7"/>
        <n v="-1.73E8"/>
        <n v="-1.71E8"/>
        <n v="-1.72E8"/>
        <n v="-3825000.0"/>
        <n v="-3873000.0"/>
        <n v="6778000.0"/>
        <n v="-4.0392E7"/>
        <n v="-4.0268E7"/>
        <n v="-4.0298E7"/>
        <n v="-3.9326E7"/>
        <n v="-3.3E7"/>
        <n v="-3.42E7"/>
        <n v="-3.81E7"/>
        <n v="-3.48E7"/>
        <n v="-5.18E8"/>
        <n v="-2.72E8"/>
        <n v="-3.06E8"/>
        <n v="-4.5877E7"/>
        <n v="-3.9422E7"/>
        <n v="-5.4479E7"/>
        <n v="-3.8605E7"/>
        <n v="-2.6433E7"/>
        <n v="-2.6661E7"/>
        <n v="-2.6823E7"/>
        <n v="-2.8234E7"/>
        <n v="-1.87E8"/>
        <n v="-1.96E8"/>
        <n v="-2.1E8"/>
        <n v="-1.88E8"/>
        <n v="-1.78E8"/>
        <n v="-5.72E8"/>
        <n v="-5.35E8"/>
        <n v="-5.22E8"/>
        <n v="-2.2507E7"/>
        <n v="-2.4048E7"/>
        <n v="-2.3059E7"/>
        <n v="-2.2841E7"/>
        <n v="-1.29E8"/>
        <n v="-1.46E8"/>
        <n v="-1.94E8"/>
        <n v="-1.97E8"/>
        <n v="-5.1E7"/>
        <n v="-1.62E8"/>
        <n v="-5.17E7"/>
        <n v="-5.38E7"/>
        <n v="-5.14E7"/>
        <n v="-5.59E7"/>
        <n v="-2.75E8"/>
        <n v="-2.48E8"/>
        <n v="-2.52E8"/>
        <n v="-2.68E8"/>
        <n v="-2500000.0"/>
        <n v="-1.58E7"/>
        <n v="-800000.0"/>
        <n v="-2.2E7"/>
        <n v="-8.78E7"/>
        <n v="-8.92E7"/>
        <n v="-8.96E7"/>
        <n v="-8.83E7"/>
        <n v="-4.3E7"/>
        <n v="-7329000.0"/>
        <n v="-5901000.0"/>
        <n v="-5993000.0"/>
        <n v="-2.24968E8"/>
        <n v="-2.10514E8"/>
        <n v="-2.12411E8"/>
        <n v="-2.12439E8"/>
        <n v="-4.7E7"/>
        <n v="-5.3121E7"/>
        <n v="-5.3242E7"/>
        <n v="-3.49E7"/>
        <n v="-3.72E7"/>
        <n v="-3.69E7"/>
        <n v="-3.74E7"/>
        <n v="-8.7231E7"/>
        <n v="-8.9681E7"/>
        <n v="-9.0912E7"/>
        <n v="-9.9736E7"/>
        <n v="-6.9063E7"/>
        <n v="-6.9543E7"/>
        <n v="-1.1941E8"/>
        <n v="-8.2975E7"/>
        <n v="-5.0971E7"/>
        <n v="-5.1649E7"/>
        <n v="-5.5609E7"/>
        <n v="-5.543E7"/>
        <n v="-1882000.0"/>
        <n v="-1685000.0"/>
        <n v="-1.1417E7"/>
        <n v="-1.0615E7"/>
        <n v="-1.5607E7"/>
        <n v="-1.5639E7"/>
        <n v="-1.4846E7"/>
        <n v="-6641000.0"/>
        <n v="-9.38E7"/>
        <n v="-9.34E7"/>
        <n v="-9.48E7"/>
        <n v="-1.45435E8"/>
        <n v="-1.37766E8"/>
        <n v="-1.35385E8"/>
        <n v="-1.34066E8"/>
        <n v="-3.86E8"/>
        <n v="-3.94E8"/>
        <n v="-4.04E8"/>
        <n v="-4.27E8"/>
        <n v="-1.02E8"/>
        <n v="-9.5E7"/>
        <n v="-4.024E7"/>
        <n v="-4.0695E7"/>
        <n v="-4.1016E7"/>
        <n v="-4.3446E7"/>
        <n v="-2.54E8"/>
        <n v="-2.58E8"/>
        <n v="-2.79E8"/>
        <n v="-2600000.0"/>
        <n v="-2400000.0"/>
        <n v="-3.1177E7"/>
        <n v="-3.2085E7"/>
        <n v="-3.7543E7"/>
        <n v="-3.6228E7"/>
        <n v="-1.86E8"/>
        <n v="-8.4E7"/>
        <n v="-2.66E8"/>
        <n v="-2.57E8"/>
        <n v="-1.76E8"/>
        <n v="-1.75E8"/>
        <n v="-3.4685E7"/>
        <n v="-2.8551E7"/>
        <n v="-3.0329E7"/>
        <n v="-3.1383E7"/>
        <n v="-3.26E7"/>
        <n v="-3.24E7"/>
        <n v="-3.43E7"/>
        <n v="-4.53E8"/>
        <n v="-4.76E8"/>
        <n v="-4.72E8"/>
        <n v="-5.07E8"/>
        <n v="-4500000.0"/>
        <n v="-200000.0"/>
        <n v="-2.77E7"/>
        <n v="-1.78E7"/>
        <n v="-4.39E7"/>
        <n v="-2.12E7"/>
        <n v="-2.14E7"/>
        <n v="-1.95E7"/>
        <n v="-2.01E7"/>
        <n v="-2.57E7"/>
        <n v="-1.59E7"/>
        <n v="-2.97E7"/>
        <n v="-1.57E7"/>
        <n v="-1.48E8"/>
        <n v="-1.45E8"/>
        <n v="-1.2E8"/>
        <n v="-6.0E7"/>
        <n v="-3.139E7"/>
        <n v="-1.0349E7"/>
        <n v="-1.8154E7"/>
        <n v="-3.0538E7"/>
        <n v="-7723000.0"/>
        <n v="-7910000.0"/>
        <n v="-8096000.0"/>
        <n v="-7932000.0"/>
        <n v="-1.09E8"/>
        <n v="-2.61E8"/>
        <n v="-2.67E8"/>
        <n v="-1.06E8"/>
        <n v="-1.006E8"/>
        <n v="-1.111E8"/>
        <n v="-2.43E8"/>
        <n v="-2.5E8"/>
        <n v="-3.27E8"/>
        <n v="-1.6107E7"/>
        <n v="-1.9062E7"/>
        <n v="-2.1495E7"/>
        <n v="-2.5788E7"/>
        <n v="-2.56E8"/>
        <n v="-2.36E8"/>
        <n v="-8.12E7"/>
        <n v="-8.25E7"/>
        <n v="-8.21E7"/>
        <n v="-2.1769E7"/>
        <n v="-2.1178E7"/>
        <n v="-2.1409E7"/>
        <n v="-2.1674E7"/>
        <n v="-4.244E7"/>
        <n v="-4.446E7"/>
        <n v="-4.4115E7"/>
        <n v="-4.3868E7"/>
        <n v="-4.61E7"/>
        <n v="-4.79E7"/>
        <n v="-4.8428E7"/>
        <n v="-4.94E7"/>
        <n v="-3.84E8"/>
        <n v="-3.83E8"/>
        <n v="-3.85E8"/>
        <n v="-3.8681E7"/>
        <n v="-4.6843E7"/>
        <n v="-5.4088E7"/>
        <n v="-5.6235E7"/>
        <n v="-6485000.0"/>
        <n v="-1.1968E7"/>
        <n v="-1.1111E7"/>
        <n v="-1.0486E7"/>
        <n v="-1.03E8"/>
        <n v="-2.16E7"/>
        <n v="-2.13E7"/>
        <n v="-2.81E7"/>
        <n v="-3.26E8"/>
        <n v="-3.39E8"/>
        <n v="-3.37E8"/>
        <n v="-1.1703E7"/>
        <n v="-7788000.0"/>
        <n v="-8227000.0"/>
        <n v="-8271000.0"/>
        <n v="-1.56E8"/>
        <n v="-1.44E8"/>
        <n v="-6.3E7"/>
        <n v="-1.8E7"/>
        <n v="-2.8E8"/>
        <n v="-3.17E8"/>
        <n v="-3.23E8"/>
        <n v="-1.1205E7"/>
        <n v="-1.0776E7"/>
        <n v="-1.0788E7"/>
        <n v="-1.0642E7"/>
        <n v="-7613000.0"/>
        <n v="-7584000.0"/>
        <n v="-7828000.0"/>
        <n v="-8110000.0"/>
        <n v="-5.54E7"/>
        <n v="-5.55E7"/>
        <n v="-5.77E7"/>
        <n v="-358000.0"/>
        <n v="-359000.0"/>
        <n v="-428000.0"/>
        <n v="-544000.0"/>
        <n v="-2.27E7"/>
        <n v="-2.31E7"/>
        <n v="-1.6E8"/>
        <n v="-1.07E8"/>
        <n v="-8.9E7"/>
        <n v="-3.2756E7"/>
        <n v="-3.4844E7"/>
        <n v="-4.26E7"/>
        <n v="-4.96E7"/>
        <n v="-4.68E7"/>
        <n v="-5.08E7"/>
        <n v="-8000000.0"/>
        <n v="-6.77E7"/>
        <n v="-7.56E7"/>
        <n v="-1.06993E8"/>
        <n v="-1.06948E8"/>
        <n v="-1.06779E8"/>
        <n v="-1.06023E8"/>
        <n v="-1.2059E7"/>
        <n v="-1.2024E7"/>
        <n v="-1.0831E7"/>
        <n v="-1.1895E7"/>
        <n v="-619000.0"/>
        <n v="-290000.0"/>
        <n v="-117000.0"/>
        <n v="-2.0011E7"/>
        <n v="-1.5464E7"/>
        <n v="-1.7313E7"/>
        <n v="-1.4043E7"/>
        <n v="-4.31E7"/>
        <n v="-4.24E7"/>
        <n v="-4.35E7"/>
        <n v="-4.51E7"/>
        <n v="-1.26E7"/>
        <n v="-1.37E7"/>
        <n v="-1.85E7"/>
        <n v="-1.91E7"/>
        <n v="-3.91E7"/>
        <n v="-3.95E7"/>
        <n v="-4.6812E7"/>
        <n v="-4.7716E7"/>
        <n v="-4.5887E7"/>
        <n v="-4.6942E7"/>
        <n v="-3.77E8"/>
        <n v="-3.81E8"/>
        <n v="-3.95E8"/>
        <n v="-3.997E7"/>
        <n v="-3.9092E7"/>
        <n v="-3.888E7"/>
        <n v="-3.9386E7"/>
        <n v="-6.13E8"/>
        <n v="-3.28E8"/>
        <n v="-4.85E7"/>
        <n v="-4.83E7"/>
        <n v="-5.27E7"/>
        <n v="-5.1695E7"/>
        <n v="-5.2236E7"/>
        <n v="-5.2551E7"/>
        <n v="-5.2115E7"/>
        <n v="-2.87E7"/>
        <n v="-2.93E7"/>
        <n v="-3.03E7"/>
        <n v="-1.54E8"/>
        <n v="-1.5E8"/>
        <n v="-1.37E8"/>
        <n v="-1.93E7"/>
        <n v="-2.09E7"/>
        <n v="-4.9E7"/>
        <n v="-2.2401E7"/>
        <n v="-6.8909E7"/>
        <n v="-7.083E7"/>
        <n v="-6.4051E7"/>
        <n v="-6.6093E7"/>
        <n v="-2.4718E7"/>
        <n v="-1.9012E7"/>
        <n v="-2.7878E7"/>
        <n v="-2.8412E7"/>
        <n v="-1.49E8"/>
        <n v="-2.14E8"/>
        <n v="-3.89E8"/>
        <n v="-3.96E8"/>
        <n v="-4.09E8"/>
        <n v="-1.31E8"/>
        <n v="-3.34E8"/>
        <n v="-3.44E8"/>
        <n v="-171000.0"/>
        <n v="-191000.0"/>
        <n v="-96000.0"/>
        <n v="-1046000.0"/>
        <n v="-1.27E8"/>
        <n v="-2.74E7"/>
        <n v="-3.4E7"/>
        <n v="-3.5E7"/>
        <n v="-3.2219E7"/>
        <n v="-3.1838E7"/>
        <n v="-4.3306E7"/>
        <n v="-4.3189E7"/>
        <n v="-3.39E7"/>
        <n v="-3.38E7"/>
        <n v="-2.965E8"/>
        <n v="-3.0E8"/>
        <n v="-3.089E8"/>
        <n v="-3.101E8"/>
        <n v="-5.0E7"/>
        <n v="-1.43E8"/>
        <n v="-4.7E8"/>
        <n v="-2.03E8"/>
        <n v="-2.28E8"/>
        <n v="-2.3E8"/>
        <n v="-2.29E8"/>
        <n v="-9471000.0"/>
        <n v="-9505000.0"/>
        <n v="-9310000.0"/>
        <n v="-9582000.0"/>
        <n v="-2.08772E8"/>
        <n v="-1.60295E8"/>
        <n v="-1.85679E8"/>
        <n v="-1.73808E8"/>
        <n v="-8.65E7"/>
        <n v="-9.33E7"/>
        <n v="-5.49E8"/>
        <n v="-6.28E8"/>
        <n v="-5.68E8"/>
        <n v="-5.85E8"/>
        <n v="-3.8867E7"/>
        <n v="-3.9672E7"/>
        <n v="-4.0952E7"/>
        <n v="-4.101E7"/>
        <n v="-5000000.0"/>
        <n v="-3508000.0"/>
        <n v="-2834000.0"/>
        <n v="-1.4894E7"/>
        <n v="-1.5241E7"/>
        <n v="-1.5898E7"/>
        <n v="-1.4854E7"/>
        <n v="-7.07E7"/>
        <n v="-6.82E7"/>
        <n v="-5.68E7"/>
        <n v="-1.04E8"/>
        <n v="-5000.0"/>
        <n v="-4000.0"/>
        <n v="-1268000.0"/>
        <n v="-3.9557E7"/>
        <n v="-3.7584E7"/>
        <n v="-3.733E7"/>
        <n v="-3.7536E7"/>
        <n v="-1.9444E8"/>
        <n v="-1.97186E8"/>
        <n v="-1.97079E8"/>
        <n v="-1.89151E8"/>
        <n v="-7.3E7"/>
        <n v="-7.57E8"/>
        <n v="-2.08E8"/>
        <n v="-9.2E7"/>
        <n v="-8.45E7"/>
        <n v="-8.46E7"/>
        <n v="-9.29E7"/>
        <n v="-9.52E7"/>
        <n v="-1.55E8"/>
        <n v="-3.2E7"/>
        <n v="-1.50422E8"/>
        <n v="-1.59205E8"/>
        <n v="-1.33028E8"/>
        <n v="-9.3378E7"/>
        <n v="-3.578E7"/>
        <n v="-4.097E7"/>
        <n v="-3.7887E7"/>
        <n v="-4.2281E7"/>
        <n v="-1.285E7"/>
        <n v="-1.3006E7"/>
        <n v="-1.2769E7"/>
        <n v="-1.1309E7"/>
        <n v="-3.7506E7"/>
        <n v="-3.8349E7"/>
        <n v="-4.1668E7"/>
        <n v="-4.1723E7"/>
        <n v="-6.08E8"/>
        <n v="4000000.0"/>
        <n v="-2.6E8"/>
        <n v="-2.65E8"/>
        <n v="-371000.0"/>
        <n v="-465000.0"/>
        <n v="-507000.0"/>
        <n v="-846000.0"/>
        <n v="-5.07E7"/>
        <n v="-8.03E7"/>
        <n v="-1.84049E8"/>
        <n v="-1.84957E8"/>
        <n v="-1.85523E8"/>
        <n v="-1.76931E8"/>
        <n v="-7.05E8"/>
        <n v="-6.94E8"/>
        <n v="-5.8E8"/>
        <n v="-6.01E8"/>
        <n v="-9400000.0"/>
        <n v="-1.04E7"/>
        <n v="-2.39E7"/>
        <n v="-2.49E7"/>
        <n v="-2.35E7"/>
        <n v="-5.935E7"/>
        <n v="-6.0258E7"/>
        <n v="-6.083E7"/>
        <n v="-6.299E7"/>
        <n v="-9200000.0"/>
        <n v="-8100000.0"/>
        <n v="-8800000.0"/>
        <n v="158000.0"/>
        <n v="49000.0"/>
        <n v="656000.0"/>
        <n v="-1.452E8"/>
        <n v="-1.382E8"/>
        <n v="-1.359E8"/>
        <n v="-1.363E8"/>
        <n v="-3800000.0"/>
        <n v="-5100000.0"/>
        <n v="-3900000.0"/>
        <n v="-2.32E8"/>
        <n v="-4.3531E7"/>
        <n v="-1.675E7"/>
        <n v="-1.4126E7"/>
        <n v="-1.1904E7"/>
        <n v="-3.25E8"/>
        <n v="-3.16E8"/>
        <n v="-3.47E8"/>
        <n v="-2.11E8"/>
        <n v="-2.09E8"/>
        <n v="-1.51E8"/>
        <n v="-1.39E8"/>
        <n v="-6.4067E7"/>
        <n v="-6.2777E7"/>
        <n v="-6.1938E7"/>
        <n v="-6.408E7"/>
        <n v="-2317000.0"/>
        <n v="-1963000.0"/>
        <n v="-2582000.0"/>
        <n v="-1361000.0"/>
        <n v="-1.83E8"/>
        <n v="-4.74E8"/>
        <n v="-1.53E8"/>
        <n v="-2.51E8"/>
        <n v="-5.42E7"/>
        <n v="-6.3638E7"/>
        <n v="-6.8412E7"/>
        <n v="-7.1281E7"/>
        <n v="-7.6856E7"/>
        <n v="-1.3178E7"/>
        <n v="-1.2925E7"/>
        <n v="-1.1518E7"/>
        <n v="-1.47E8"/>
        <n v="-2.3736E7"/>
        <n v="-2.1994E7"/>
        <n v="-1.525E7"/>
        <n v="-1.6036E7"/>
        <n v="-115000.0"/>
        <n v="-138000.0"/>
        <n v="-135000.0"/>
        <n v="-226000.0"/>
        <n v="-2.73E7"/>
        <n v="-3.05E7"/>
        <n v="-3.59E7"/>
        <n v="-3.44E7"/>
        <n v="-1.5327E7"/>
        <n v="-1.5279E7"/>
        <n v="-1.8339E7"/>
        <n v="-1.7453E7"/>
        <n v="-1.38E8"/>
        <n v="-1.7259E7"/>
        <n v="-1.3109E7"/>
        <n v="-1.2475E7"/>
        <n v="-1.1304E7"/>
        <n v="-1.36E7"/>
        <n v="-1.33E7"/>
        <n v="-3.46E8"/>
        <n v="-3.57E8"/>
        <n v="-3.67E8"/>
        <n v="-7.6156E7"/>
        <n v="-7.3674E7"/>
        <n v="-7.3075E7"/>
        <n v="-7.8764E7"/>
        <n v="-3.6148E7"/>
        <n v="-3.5962E7"/>
        <n v="-3.7094E7"/>
        <n v="-3.8301E7"/>
        <n v="-1.42E7"/>
        <n v="-1.44E7"/>
        <n v="-1.48E7"/>
        <n v="-7.81E7"/>
        <n v="-7.84E7"/>
        <n v="-7.06E7"/>
        <n v="-5360000.0"/>
        <n v="-5345000.0"/>
        <n v="-5878000.0"/>
        <n v="-5924000.0"/>
        <n v="-151000.0"/>
        <n v="-2.63E7"/>
        <n v="-2.24E7"/>
        <n v="-2.33E7"/>
        <n v="-2.26E7"/>
        <n v="-222000.0"/>
        <n v="-506000.0"/>
        <n v="-606000.0"/>
        <n v="-591000.0"/>
        <n v="-5.82E7"/>
        <n v="-6.06E7"/>
        <n v="-6.37E7"/>
        <n v="-1.8906E7"/>
        <n v="-1.9285E7"/>
        <n v="-1.938E7"/>
        <n v="-2.907E7"/>
        <n v="-4.30661E8"/>
        <n v="-3.04811E8"/>
        <n v="-2.72514E8"/>
        <n v="-2.73089E8"/>
        <n v="-1.05953E8"/>
        <n v="-1.07221E8"/>
        <n v="-1.0679E8"/>
        <n v="-1.03196E8"/>
        <n v="-4.44E7"/>
        <n v="-4.41E7"/>
        <n v="-2.59E8"/>
        <n v="-2.63E8"/>
        <n v="-7708000.0"/>
        <n v="-8.31E7"/>
        <n v="-8.35E7"/>
        <n v="-8.32E7"/>
        <n v="-8.28E7"/>
        <n v="-1.99772E8"/>
        <n v="-2.00419E8"/>
        <n v="-2.02016E8"/>
        <n v="-1.97855E8"/>
        <n v="-1.08E7"/>
        <n v="-1.32E7"/>
        <n v="-1.43E7"/>
        <n v="-4.55E8"/>
        <n v="-4.54E8"/>
        <n v="-4.82E8"/>
        <n v="-4.65E7"/>
        <n v="-4.75E7"/>
        <n v="-5.34E7"/>
        <n v="-1.134E8"/>
        <n v="-1.186E8"/>
        <n v="-1.207E8"/>
        <n v="-1.249E8"/>
        <n v="-2.1812E7"/>
        <n v="-1.0124E7"/>
        <n v="-8899000.0"/>
        <n v="-8665000.0"/>
        <n v="-757000.0"/>
        <n v="-807000.0"/>
        <n v="-739000.0"/>
        <n v="-750000.0"/>
        <n v="-1.45773E8"/>
        <n v="-1.46498E8"/>
        <n v="-1.46717E8"/>
        <n v="-1.64269E8"/>
        <n v="-8.52E8"/>
        <n v="-8.38E8"/>
        <n v="-7.98E8"/>
        <n v="-8.09E8"/>
        <n v="-113000.0"/>
        <n v="-145000.0"/>
        <n v="-5902000.0"/>
        <n v="-141000.0"/>
        <n v="-1.71E7"/>
        <n v="-1.74E7"/>
        <n v="-1.94E7"/>
        <n v="-2.02E7"/>
        <n v="-3.57E7"/>
        <n v="-3400000.0"/>
        <n v="-4100000.0"/>
        <n v="-1.6171E7"/>
        <n v="-1.6798E7"/>
        <n v="-1.8721E7"/>
        <n v="-1.6652E7"/>
        <n v="-5566000.0"/>
        <n v="-6004000.0"/>
        <n v="-6351000.0"/>
        <n v="-6237000.0"/>
        <n v="-2.41E8"/>
        <n v="-6100000.0"/>
        <n v="-6400000.0"/>
        <n v="-6700000.0"/>
        <n v="-3.1684E7"/>
        <n v="-3.7046E7"/>
        <n v="-3.872E7"/>
        <n v="-3.8056E7"/>
        <n v="-4.38E7"/>
        <n v="-4.75E8"/>
        <n v="-4.56E8"/>
        <n v="-4.5888E7"/>
        <n v="-4.8854E7"/>
        <n v="-6701000.0"/>
        <n v="-7221000.0"/>
        <n v="-8086000.0"/>
        <n v="-7208000.0"/>
        <n v="-5.93E7"/>
        <n v="-6.07E7"/>
        <n v="-6.19E7"/>
        <n v="-6.24E7"/>
        <n v="-1.69E7"/>
        <n v="-1.79E7"/>
        <n v="-1.96E7"/>
        <n v="-1.3893E7"/>
        <n v="-1.3185E7"/>
        <n v="-4.0166E7"/>
        <n v="-3.9614E7"/>
        <n v="-379000.0"/>
        <n v="-610000.0"/>
        <n v="-425000.0"/>
        <n v="-463000.0"/>
        <n v="-1383000.0"/>
        <n v="-1.3307E7"/>
        <n v="-1.4137E7"/>
        <n v="-1.5008E7"/>
        <n v="-1.4955E7"/>
        <n v="-2.82E8"/>
        <n v="-2.9E8"/>
        <n v="-2.95E8"/>
        <n v="-3.29E8"/>
        <n v="-1.67E8"/>
        <n v="-4.1E8"/>
        <n v="-3.97E8"/>
        <n v="-4.01E8"/>
        <n v="-2.1709E7"/>
        <n v="-2.2861E7"/>
        <n v="-2.1823E7"/>
        <n v="-2.5095E7"/>
        <n v="-1.10051E8"/>
        <n v="-1.10767E8"/>
        <n v="-1.14208E8"/>
        <n v="-1.15505E8"/>
        <n v="-2.3064E7"/>
        <n v="-2.2534E7"/>
        <n v="-2.2537E7"/>
        <n v="-3.15E7"/>
        <n v="-3.54E7"/>
        <n v="-3.53E7"/>
        <n v="-8.44E8"/>
        <n v="-1.101E9"/>
        <n v="-1.08E9"/>
        <n v="-1.044E9"/>
        <n v="-1.5478E7"/>
        <n v="-1.5678E7"/>
        <n v="-1.6288E7"/>
        <n v="-1.3856E7"/>
        <n v="-3.4917E7"/>
        <n v="-3.7971E7"/>
        <n v="-3.4315E7"/>
        <n v="-3.4107E7"/>
        <n v="-1.671E8"/>
        <n v="-1.444E8"/>
        <n v="-1.173E8"/>
        <n v="-5.1894E7"/>
        <n v="-5.0064E7"/>
        <n v="-5.4633E7"/>
        <n v="-5.7371E7"/>
        <n v="-4.1696E7"/>
        <n v="-3.3118E7"/>
        <n v="-3.5451E7"/>
        <n v="-3.5782E7"/>
        <n v="-3.8096E7"/>
        <n v="-3.6651E7"/>
        <n v="-3.5663E7"/>
        <n v="-3.9768E7"/>
        <n v="-4.76E7"/>
        <n v="-4.86E7"/>
        <n v="-4.56E7"/>
        <n v="-5.15E8"/>
        <n v="-5.24E8"/>
        <n v="-5.41E8"/>
        <n v="-9.7E7"/>
        <n v="-1.2027E7"/>
        <n v="-1.0946E7"/>
        <n v="-1.1058E7"/>
        <n v="-1.0915E7"/>
        <n v="-1.203E8"/>
        <n v="-1.198E8"/>
        <n v="-1.182E8"/>
        <n v="-1.223E8"/>
        <n v="-1.22341E8"/>
        <n v="-1.23142E8"/>
        <n v="-1.21173E8"/>
        <n v="-1.24851E8"/>
        <n v="-1900000.0"/>
        <n v="-2100000.0"/>
        <n v="-2.56E7"/>
        <n v="-2.82E7"/>
        <n v="-9.49E7"/>
        <n v="-1.055E8"/>
        <n v="-1.647E8"/>
        <n v="-9.84E7"/>
        <n v="-2.98E8"/>
        <n v="-2.94E8"/>
        <n v="-2.92E8"/>
        <n v="-1.50424E8"/>
        <n v="-1.52852E8"/>
        <n v="-1.49287E8"/>
        <n v="-1.45142E8"/>
        <n v="-2.12E8"/>
        <n v="-1.0276E7"/>
        <n v="-1.3578E7"/>
        <n v="-1.4228E7"/>
        <n v="-1.4226E7"/>
        <n v="-5.47E7"/>
        <n v="-5.23E7"/>
        <n v="-5.31E7"/>
      </sharedItems>
    </cacheField>
    <cacheField name="Income Tax Expense" numFmtId="0">
      <sharedItems containsSemiMixedTypes="0" containsString="0" containsNumber="1" containsInteger="1">
        <n v="3.24E8"/>
        <n v="4.15E8"/>
        <n v="3.19E8"/>
        <n v="3.16E8"/>
        <n v="3.48E7"/>
        <n v="3.31E7"/>
        <n v="2.84E7"/>
        <n v="3.19E7"/>
        <n v="3.93E8"/>
        <n v="1.59E8"/>
        <n v="2.5E8"/>
        <n v="2.3E8"/>
        <n v="5.08E8"/>
        <n v="3.94E8"/>
        <n v="3.12E8"/>
        <n v="-1.545E9"/>
        <n v="1.0318E7"/>
        <n v="1.7175E7"/>
        <n v="1.6638E7"/>
        <n v="1.8867E7"/>
        <n v="4.80382E8"/>
        <n v="5.24429E8"/>
        <n v="3.0095E8"/>
        <n v="4.6481E8"/>
        <n v="1.2E8"/>
        <n v="1.26E8"/>
        <n v="1.46E8"/>
        <n v="5.4E7"/>
        <n v="1.13E8"/>
        <n v="1.31E8"/>
        <n v="6.3E7"/>
        <n v="2.06E8"/>
        <n v="2.7E8"/>
        <n v="1.72E8"/>
        <n v="-1.053E9"/>
        <n v="5.9069E7"/>
        <n v="0.0"/>
        <n v="5.9844E7"/>
        <n v="8.2E7"/>
        <n v="8.9E7"/>
        <n v="-1.232E9"/>
        <n v="-5.9E7"/>
        <n v="8000000.0"/>
        <n v="1.61E8"/>
        <n v="2.25E8"/>
        <n v="2.68E8"/>
        <n v="3.1E8"/>
        <n v="2.65E8"/>
        <n v="5.7E7"/>
        <n v="2.4E7"/>
        <n v="6.1E7"/>
        <n v="1.253E8"/>
        <n v="1.017E8"/>
        <n v="1.219E8"/>
        <n v="1.139E8"/>
        <n v="1.3648E7"/>
        <n v="1.8009E7"/>
        <n v="1.1898E7"/>
        <n v="4158000.0"/>
        <n v="-1.1467E8"/>
        <n v="1.06985E8"/>
        <n v="2.2107E7"/>
        <n v="-1.0101E7"/>
        <n v="5.1E7"/>
        <n v="-4.2E7"/>
        <n v="-1.96E8"/>
        <n v="8.1019E7"/>
        <n v="6.9088E7"/>
        <n v="6.1245E7"/>
        <n v="5.5554E7"/>
        <n v="-2800000.0"/>
        <n v="1.74E7"/>
        <n v="1.43E7"/>
        <n v="1.24E7"/>
        <n v="-2.1E7"/>
        <n v="-1.7E7"/>
        <n v="-2.8E7"/>
        <n v="-1.0E7"/>
        <n v="2.0E7"/>
        <n v="3.62E8"/>
        <n v="6.26E8"/>
        <n v="6.86E8"/>
        <n v="3.46E9"/>
        <n v="3.353E9"/>
        <n v="3.462E9"/>
        <n v="2.112E9"/>
        <n v="7.59E8"/>
        <n v="5.16E8"/>
        <n v="6.19E8"/>
        <n v="6.32E8"/>
        <n v="8.68E8"/>
        <n v="2.156E9"/>
        <n v="5.65E8"/>
        <n v="5.69E8"/>
        <n v="7.4E7"/>
        <n v="7.1E7"/>
        <n v="5.5E7"/>
        <n v="3.1E7"/>
        <n v="2.7E7"/>
        <n v="2.1E7"/>
        <n v="-3.23E8"/>
        <n v="-6.31E8"/>
        <n v="-6.96E8"/>
        <n v="6.12E7"/>
        <n v="5.45E7"/>
        <n v="-1.74E7"/>
        <n v="-1200000.0"/>
        <n v="6.6E8"/>
        <n v="7.58E8"/>
        <n v="4.2E8"/>
        <n v="2.91E8"/>
        <n v="-3000000.0"/>
        <n v="7.98E8"/>
        <n v="-5.42E8"/>
        <n v="7.28E7"/>
        <n v="5.03E7"/>
        <n v="5.81E7"/>
        <n v="3.93E7"/>
        <n v="4.4E7"/>
        <n v="2.2E7"/>
        <n v="3.6E7"/>
        <n v="8.8E7"/>
        <n v="1.3E8"/>
        <n v="5.6E7"/>
        <n v="1.3E7"/>
        <n v="-4.4E7"/>
        <n v="2.78082E8"/>
        <n v="1.32506E8"/>
        <n v="1.49175E8"/>
        <n v="-1.298952E9"/>
        <n v="6.0076E7"/>
        <n v="5.3223E7"/>
        <n v="5.5682E7"/>
        <n v="4.3494E7"/>
        <n v="9.4E7"/>
        <n v="2.11E8"/>
        <n v="2.62E8"/>
        <n v="1.85E8"/>
        <n v="1.041E8"/>
        <n v="1.0E8"/>
        <n v="9.93E7"/>
        <n v="6.8E7"/>
        <n v="6.8967E7"/>
        <n v="5.308E7"/>
        <n v="4.8099E7"/>
        <n v="3.0784E7"/>
        <n v="3.5144E7"/>
        <n v="-2.4775E7"/>
        <n v="4.224E7"/>
        <n v="1.4517E7"/>
        <n v="4.94E8"/>
        <n v="5.52E8"/>
        <n v="5.09E8"/>
        <n v="6.0E7"/>
        <n v="2.03E8"/>
        <n v="2.34E8"/>
        <n v="9.2E7"/>
        <n v="8.7E7"/>
        <n v="1.7E8"/>
        <n v="1.5E7"/>
        <n v="2.625E9"/>
        <n v="4.381E9"/>
        <n v="4.824E9"/>
        <n v="2.228E9"/>
        <n v="2.64E8"/>
        <n v="2.15E8"/>
        <n v="1.1E8"/>
        <n v="1.12E8"/>
        <n v="2.8E7"/>
        <n v="4.8E7"/>
        <n v="-2000000.0"/>
        <n v="2.4196E7"/>
        <n v="2.7501E7"/>
        <n v="1.7222E7"/>
        <n v="3.3244E7"/>
        <n v="2.05E7"/>
        <n v="1.47E7"/>
        <n v="-1.94E7"/>
        <n v="2.17E7"/>
        <n v="5.19E7"/>
        <n v="4.46E7"/>
        <n v="4.44E7"/>
        <n v="2.64E7"/>
        <n v="7.51E8"/>
        <n v="2.122E9"/>
        <n v="-2.038E9"/>
        <n v="7.66E8"/>
        <n v="1.5904E7"/>
        <n v="6.1788E7"/>
        <n v="6.5224E7"/>
        <n v="1.8056E7"/>
        <n v="2.32E7"/>
        <n v="-2.42E7"/>
        <n v="-7.402E8"/>
        <n v="2.39E7"/>
        <n v="1.589E8"/>
        <n v="2.555E8"/>
        <n v="1.851E8"/>
        <n v="1.631E8"/>
        <n v="2.00139E8"/>
        <n v="1.62315E8"/>
        <n v="8.9809E7"/>
        <n v="1.26613E8"/>
        <n v="10000.0"/>
        <n v="-755000.0"/>
        <n v="-2178000.0"/>
        <n v="-27000.0"/>
        <n v="7.04E7"/>
        <n v="6.29E7"/>
        <n v="4.63E7"/>
        <n v="1.93E8"/>
        <n v="1.43E8"/>
        <n v="6.9E7"/>
        <n v="1.16E8"/>
        <n v="3.2E7"/>
        <n v="7000000.0"/>
        <n v="7.3E7"/>
        <n v="1.259E9"/>
        <n v="-1.182E9"/>
        <n v="1.116E9"/>
        <n v="6.49E8"/>
        <n v="1.25E8"/>
        <n v="7.6E7"/>
        <n v="2.95E8"/>
        <n v="7.9E7"/>
        <n v="9.1E7"/>
        <n v="3.9E7"/>
        <n v="-1.1E7"/>
        <n v="6000000.0"/>
        <n v="1.54E8"/>
        <n v="6.4E7"/>
        <n v="2.27E8"/>
        <n v="1.64E8"/>
        <n v="2.42661E8"/>
        <n v="3.19789E8"/>
        <n v="2.39431E8"/>
        <n v="3.69637E8"/>
        <n v="-7531000.0"/>
        <n v="-48000.0"/>
        <n v="1.0224E7"/>
        <n v="5944000.0"/>
        <n v="-4.091E8"/>
        <n v="4.42E7"/>
        <n v="1.33E7"/>
        <n v="2.408E8"/>
        <n v="6.54E8"/>
        <n v="3.18E8"/>
        <n v="4.27E8"/>
        <n v="4.64E8"/>
        <n v="2.19E8"/>
        <n v="2.41E8"/>
        <n v="2.21E8"/>
        <n v="1.48E8"/>
        <n v="-1.78E8"/>
        <n v="-1.8E7"/>
        <n v="-1.86E8"/>
        <n v="-2.23E8"/>
        <n v="4.1E8"/>
        <n v="3.4E7"/>
        <n v="4.2E7"/>
        <n v="-3.7E7"/>
        <n v="-1.6E7"/>
        <n v="9.6E7"/>
        <n v="-7.2E7"/>
        <n v="4.92E8"/>
        <n v="5.01E8"/>
        <n v="-4.24E8"/>
        <n v="3.79E8"/>
        <n v="-1.5E8"/>
        <n v="-7000000.0"/>
        <n v="-1.87E8"/>
        <n v="1.31E7"/>
        <n v="7800000.0"/>
        <n v="6.5E7"/>
        <n v="3.9463E7"/>
        <n v="3.3596E7"/>
        <n v="2.4549E7"/>
        <n v="3.2617E7"/>
        <n v="3.8764E7"/>
        <n v="4.6962E7"/>
        <n v="2.4245E7"/>
        <n v="3.4637E7"/>
        <n v="2.7365E7"/>
        <n v="1.5252E7"/>
        <n v="1.2451E7"/>
        <n v="4083000.0"/>
        <n v="-1000000.0"/>
        <n v="-7.6E7"/>
        <n v="6.2E7"/>
        <n v="1.35E8"/>
        <n v="5.3E7"/>
        <n v="1.02E8"/>
        <n v="9.7E7"/>
        <n v="1.031E9"/>
        <n v="8.69E8"/>
        <n v="4.96E8"/>
        <n v="1.096E9"/>
        <n v="4000000.0"/>
        <n v="3.2E8"/>
        <n v="-2.03E8"/>
        <n v="-4.1E8"/>
        <n v="1.30568E8"/>
        <n v="5.2304E7"/>
        <n v="7.5203E7"/>
        <n v="9.1645E7"/>
        <n v="1.2E7"/>
        <n v="-6000000.0"/>
        <n v="-1.5E7"/>
        <n v="1.04E8"/>
        <n v="2.89E8"/>
        <n v="2.61E8"/>
        <n v="3.91E7"/>
        <n v="8.53E7"/>
        <n v="2.06E7"/>
        <n v="4.75E8"/>
        <n v="1.67E8"/>
        <n v="1.87E8"/>
        <n v="7.37E7"/>
        <n v="5.57E7"/>
        <n v="3.56E7"/>
        <n v="5.35E7"/>
        <n v="1.33445E8"/>
        <n v="7.6327E7"/>
        <n v="9.5054E7"/>
        <n v="4.9062E7"/>
        <n v="9.71E7"/>
        <n v="5.63E7"/>
        <n v="5.67E7"/>
        <n v="5.69E7"/>
        <n v="8.5E7"/>
        <n v="1.17E8"/>
        <n v="3.0E7"/>
        <n v="1.39E8"/>
        <n v="2.44E8"/>
        <n v="-5.5E7"/>
        <n v="-1.2E7"/>
        <n v="6600000.0"/>
        <n v="-1.03E7"/>
        <n v="-5500000.0"/>
        <n v="1.5175E7"/>
        <n v="4.7012E7"/>
        <n v="3.4627E7"/>
        <n v="1.03164E8"/>
        <n v="1.8E7"/>
        <n v="-1.3E7"/>
        <n v="3.758E7"/>
        <n v="2367000.0"/>
        <n v="2.8237E7"/>
        <n v="3.2665E7"/>
        <n v="4.54E8"/>
        <n v="4.76E8"/>
        <n v="3.41E8"/>
        <n v="1.91E8"/>
        <n v="3.47E8"/>
        <n v="2.81E8"/>
        <n v="2.16E8"/>
        <n v="2.54E8"/>
        <n v="1.328E9"/>
        <n v="7.79E8"/>
        <n v="-3.01E8"/>
        <n v="1.65E8"/>
        <n v="3.512E7"/>
        <n v="5.8402E7"/>
        <n v="3.2173E7"/>
        <n v="-7.3227E7"/>
        <n v="3.17E8"/>
        <n v="3.38E8"/>
        <n v="3.34E8"/>
        <n v="1.42E8"/>
        <n v="5.89E7"/>
        <n v="7.03E7"/>
        <n v="2.67E7"/>
        <n v="4.22E8"/>
        <n v="3.42E8"/>
        <n v="1.236E9"/>
        <n v="4.06E8"/>
        <n v="2.67E8"/>
        <n v="2.36E8"/>
        <n v="4.1124E7"/>
        <n v="6.4271E7"/>
        <n v="4.3619E7"/>
        <n v="4.3676E7"/>
        <n v="7.28E8"/>
        <n v="7.1E8"/>
        <n v="5.07E8"/>
        <n v="6.7E8"/>
        <n v="1.155E9"/>
        <n v="2.332E9"/>
        <n v="1.003E9"/>
        <n v="8.15E8"/>
        <n v="1.83E8"/>
        <n v="1.15E8"/>
        <n v="5913000.0"/>
        <n v="-8858000.0"/>
        <n v="7057000.0"/>
        <n v="1.7771E7"/>
        <n v="1000000.0"/>
        <n v="1.09E8"/>
        <n v="2.155E8"/>
        <n v="1.775E8"/>
        <n v="1.102E8"/>
        <n v="2.6E7"/>
        <n v="3.5E7"/>
        <n v="9.94E8"/>
        <n v="8.87E8"/>
        <n v="4.41E8"/>
        <n v="1.84E8"/>
        <n v="1.6E8"/>
        <n v="1.52E8"/>
        <n v="2.76E8"/>
        <n v="2.12E8"/>
        <n v="2.29E8"/>
        <n v="2.02E8"/>
        <n v="2.22E8"/>
        <n v="2.0E9"/>
        <n v="1.119E9"/>
        <n v="9.79E8"/>
        <n v="7.39E8"/>
        <n v="9.3E7"/>
        <n v="9.8E7"/>
        <n v="1.016E8"/>
        <n v="8.07E7"/>
        <n v="8.67E7"/>
        <n v="5.98E7"/>
        <n v="9.89E8"/>
        <n v="7.32E8"/>
        <n v="-3.14E8"/>
        <n v="-6.2E7"/>
        <n v="7.8E7"/>
        <n v="-9.3E7"/>
        <n v="1.19E8"/>
        <n v="9000000.0"/>
        <n v="1.313E8"/>
        <n v="-1.35E7"/>
        <n v="9.47E7"/>
        <n v="1.766E8"/>
        <n v="3.6739E7"/>
        <n v="5.9012E7"/>
        <n v="4.653E7"/>
        <n v="3.635E7"/>
        <n v="6.7E7"/>
        <n v="2.26E8"/>
        <n v="2.3E7"/>
        <n v="2.84E8"/>
        <n v="1.78E8"/>
        <n v="-1.69E8"/>
        <n v="-1.17E8"/>
        <n v="5.97E8"/>
        <n v="4.17E8"/>
        <n v="3.48E8"/>
        <n v="2.39E8"/>
        <n v="1.084E7"/>
        <n v="3.6661E7"/>
        <n v="2.0647E7"/>
        <n v="-7018000.0"/>
        <n v="5000000.0"/>
        <n v="3.11E8"/>
        <n v="3.57E8"/>
        <n v="2.31E8"/>
        <n v="1.82E8"/>
        <n v="9.44E8"/>
        <n v="7.46E8"/>
        <n v="5.87E8"/>
        <n v="2.991E8"/>
        <n v="2.46E8"/>
        <n v="2.391E8"/>
        <n v="2.249E8"/>
        <n v="3.44E8"/>
        <n v="3.81E8"/>
        <n v="3.014E8"/>
        <n v="1.38E8"/>
        <n v="-6.3E7"/>
        <n v="3100000.0"/>
        <n v="8800000.0"/>
        <n v="-4800000.0"/>
        <n v="7.4704E7"/>
        <n v="8.1309E7"/>
        <n v="8.5211E7"/>
        <n v="7.3368E7"/>
        <n v="4.91E8"/>
        <n v="5.29E8"/>
        <n v="3.08E8"/>
        <n v="3.3E8"/>
        <n v="1.24E8"/>
        <n v="-3.38E8"/>
        <n v="-3.53E8"/>
        <n v="2.43E7"/>
        <n v="1.25E7"/>
        <n v="-2.4E7"/>
        <n v="4.3E7"/>
        <n v="-2.48E8"/>
        <n v="-9.0E7"/>
        <n v="1.38E7"/>
        <n v="-1.91E7"/>
        <n v="-2.739E8"/>
        <n v="2900000.0"/>
        <n v="-2.02E8"/>
        <n v="-3.04E8"/>
        <n v="-6.81E8"/>
        <n v="4.7582E7"/>
        <n v="7547000.0"/>
        <n v="3322000.0"/>
        <n v="1.6053E7"/>
        <n v="5.24E8"/>
        <n v="4.86E8"/>
        <n v="1.88E8"/>
        <n v="1.06E8"/>
        <n v="1.56E8"/>
        <n v="2.17538E8"/>
        <n v="2.15849E8"/>
        <n v="2.28411E8"/>
        <n v="2.73514E8"/>
        <n v="1.90709E8"/>
        <n v="1.89213E8"/>
        <n v="1.58572E8"/>
        <n v="2.157E8"/>
        <n v="1.124E8"/>
        <n v="1.446E8"/>
        <n v="9.73E7"/>
        <n v="7.84E7"/>
        <n v="-4.7E7"/>
        <n v="-1.1E8"/>
        <n v="2.8474E7"/>
        <n v="3.1877E7"/>
        <n v="3.7668E7"/>
        <n v="2.4644E7"/>
        <n v="6.3763E7"/>
        <n v="5.8836E7"/>
        <n v="5.6481E7"/>
        <n v="3.8302E7"/>
        <n v="5.62E8"/>
        <n v="4.9E7"/>
        <n v="8.4E7"/>
        <n v="-1.62E8"/>
        <n v="1.05E8"/>
        <n v="5184000.0"/>
        <n v="-3946000.0"/>
        <n v="-956000.0"/>
        <n v="-150000.0"/>
        <n v="1.51E8"/>
        <n v="-1.23E8"/>
        <n v="1.1E7"/>
        <n v="8.75E8"/>
        <n v="-6.0E7"/>
        <n v="3.7E7"/>
        <n v="-9000000.0"/>
        <n v="2.5E7"/>
        <n v="1.14E8"/>
        <n v="7.7E7"/>
        <n v="1.07E8"/>
        <n v="3.28E8"/>
        <n v="1.53E8"/>
        <n v="8.61E7"/>
        <n v="6.61E7"/>
        <n v="7.31E7"/>
        <n v="4.24E7"/>
        <n v="-3.6E7"/>
        <n v="5.0E7"/>
        <n v="-2.75E8"/>
        <n v="5.11E7"/>
        <n v="4.66E7"/>
        <n v="-4.6E7"/>
        <n v="1.211E8"/>
        <n v="3.523E8"/>
        <n v="2.288E8"/>
        <n v="2.317E8"/>
        <n v="1.69E8"/>
        <n v="1.11E8"/>
        <n v="-3.3364E7"/>
        <n v="-1639000.0"/>
        <n v="5483000.0"/>
        <n v="-6561000.0"/>
        <n v="-1.8416E7"/>
        <n v="6.5942E7"/>
        <n v="-2.88872E8"/>
        <n v="1.49444E8"/>
        <n v="2.17E8"/>
        <n v="2.04E8"/>
        <n v="9.0294E7"/>
        <n v="-1.0088E7"/>
        <n v="6.56E7"/>
        <n v="7.54E7"/>
        <n v="-1.8527E7"/>
        <n v="3.2628E7"/>
        <n v="4.1304E7"/>
        <n v="2.9903E7"/>
        <n v="242000.0"/>
        <n v="153000.0"/>
        <n v="350000.0"/>
        <n v="262000.0"/>
        <n v="1.22E8"/>
        <n v="-1.25E7"/>
        <n v="1.3962E7"/>
        <n v="4769000.0"/>
        <n v="-1368000.0"/>
        <n v="8.0199E7"/>
        <n v="3.1233E7"/>
        <n v="5.5794E7"/>
        <n v="2.9451E7"/>
        <n v="1.96E7"/>
        <n v="8400000.0"/>
        <n v="8.6389E7"/>
        <n v="1.1398E8"/>
        <n v="7.0565E7"/>
        <n v="1.08242E8"/>
        <n v="-1.9E7"/>
        <n v="2.32E8"/>
        <n v="-1.04E8"/>
        <n v="-2.13E8"/>
        <n v="1.02511E8"/>
        <n v="8.4382E7"/>
        <n v="6.271E7"/>
        <n v="6.6794E7"/>
        <n v="5421000.0"/>
        <n v="4137000.0"/>
        <n v="3797000.0"/>
        <n v="4657000.0"/>
        <n v="1.526E9"/>
        <n v="7.96E8"/>
        <n v="-6.01E9"/>
        <n v="3.37E8"/>
        <n v="8883000.0"/>
        <n v="2.9387E7"/>
        <n v="1.986E7"/>
        <n v="1.789E7"/>
        <n v="2.119E9"/>
        <n v="2.006E9"/>
        <n v="1.836E9"/>
        <n v="2.87E8"/>
        <n v="7.55E7"/>
        <n v="6.73E7"/>
        <n v="7.45E8"/>
        <n v="1.57E8"/>
        <n v="1.8E8"/>
        <n v="3.61E8"/>
        <n v="3.02E8"/>
        <n v="-9.7E7"/>
        <n v="2000000.0"/>
        <n v="1.21E8"/>
        <n v="1.89E8"/>
        <n v="7.8459E7"/>
        <n v="9.4012E7"/>
        <n v="8.3695E7"/>
        <n v="7.1378E7"/>
        <n v="6.6E7"/>
        <n v="2.28E8"/>
        <n v="6.6272E7"/>
        <n v="5.1441E7"/>
        <n v="5.3337E7"/>
        <n v="4.6593E7"/>
        <n v="3.34E7"/>
        <n v="3.22E7"/>
        <n v="6.86E7"/>
        <n v="1.84E7"/>
        <n v="6.8E8"/>
        <n v="-1.019E9"/>
        <n v="3.66E8"/>
        <n v="7500000.0"/>
        <n v="1.22E7"/>
        <n v="2.55E7"/>
        <n v="-3.58E7"/>
        <n v="5.78E7"/>
        <n v="4.59E7"/>
        <n v="4.71E7"/>
        <n v="1.96E8"/>
        <n v="8.38E7"/>
        <n v="1.281E8"/>
        <n v="1.425E8"/>
        <n v="6.03E8"/>
        <n v="4.43E8"/>
        <n v="6.11E8"/>
        <n v="2.97E8"/>
        <n v="1.01E8"/>
        <n v="-1.57E8"/>
        <n v="5.5062E7"/>
        <n v="3.0485E7"/>
        <n v="5.7918E7"/>
        <n v="2.33E7"/>
        <n v="1.07951E8"/>
        <n v="5.0653E7"/>
        <n v="3.6548E7"/>
        <n v="-2797000.0"/>
        <n v="3.5368E7"/>
        <n v="3.9006E7"/>
        <n v="3.205E7"/>
        <n v="1.8473E7"/>
        <n v="1.44E8"/>
        <n v="1.37E8"/>
        <n v="-4.66E8"/>
        <n v="1.41E8"/>
        <n v="1.63E8"/>
        <n v="-5.01E8"/>
        <n v="1.069E8"/>
        <n v="1.62E8"/>
        <n v="1.894E8"/>
        <n v="1.708E8"/>
        <n v="9.71E8"/>
        <n v="1.177E9"/>
        <n v="6.42E8"/>
        <n v="7.3111E7"/>
        <n v="6.8149E7"/>
        <n v="5.3914E7"/>
        <n v="6.4747E7"/>
        <n v="3.0E8"/>
        <n v="5.42E8"/>
        <n v="4.72E8"/>
        <n v="6.0808E7"/>
        <n v="2.0675E7"/>
        <n v="1.798E7"/>
        <n v="4.2834E7"/>
        <n v="4.5625E7"/>
        <n v="4.0277E7"/>
        <n v="4.5744E7"/>
        <n v="4.2593E7"/>
        <n v="1.354E9"/>
        <n v="1.501E9"/>
        <n v="1.035E9"/>
        <n v="9.32E8"/>
        <n v="5.2E7"/>
        <n v="2.5236E7"/>
        <n v="1.4697E7"/>
        <n v="-1.6197E8"/>
        <n v="2.2116E7"/>
        <n v="3.2308E7"/>
        <n v="7.9215E7"/>
        <n v="4.53E8"/>
        <n v="3.78E8"/>
        <n v="2.09E8"/>
        <n v="-763000.0"/>
        <n v="8000.0"/>
        <n v="-2631000.0"/>
        <n v="2.4174E7"/>
        <n v="5.6685E7"/>
        <n v="2.9409E7"/>
        <n v="2.9005E7"/>
        <n v="-950000.0"/>
        <n v="1.23E8"/>
        <n v="7.2E7"/>
        <n v="1.4E7"/>
        <n v="2.9E7"/>
        <n v="-3.2E7"/>
        <n v="-3.5E7"/>
        <n v="-1.24E8"/>
        <n v="-3.3E7"/>
        <n v="6.94E7"/>
        <n v="1.611E8"/>
        <n v="1.79E8"/>
        <n v="1.235E8"/>
        <n v="1.511E9"/>
        <n v="1.303E9"/>
        <n v="8.99E8"/>
        <n v="1.091E9"/>
        <n v="4.34E8"/>
        <n v="4.13E8"/>
        <n v="3.31E8"/>
        <n v="3.67E8"/>
        <n v="2.7164E7"/>
        <n v="6.4699E7"/>
        <n v="5.4687E7"/>
        <n v="4.4207E7"/>
        <n v="-6.4E7"/>
        <n v="-7.3E7"/>
        <n v="-4.8E7"/>
        <n v="2.18E8"/>
        <n v="1.08E8"/>
        <n v="2.33E8"/>
        <n v="4.5E8"/>
        <n v="7.83E8"/>
        <n v="5.9E7"/>
        <n v="-5.1E7"/>
        <n v="1.28E8"/>
        <n v="2.7697E7"/>
        <n v="3.2947E7"/>
        <n v="2.8803E7"/>
        <n v="1.7427E7"/>
        <n v="4.9125E7"/>
        <n v="3.5801E7"/>
        <n v="2478000.0"/>
        <n v="1.7633E7"/>
        <n v="5.76E7"/>
        <n v="3.03E7"/>
        <n v="-3.56E7"/>
        <n v="3.99E7"/>
        <n v="1.94E8"/>
        <n v="1.18E8"/>
        <n v="2.2177E7"/>
        <n v="1.5787E7"/>
        <n v="1.8252E7"/>
        <n v="1.1695E7"/>
        <n v="1.06E7"/>
        <n v="-4.22E7"/>
        <n v="1.82E7"/>
        <n v="6.84E8"/>
        <n v="5.45E8"/>
        <n v="1.631E9"/>
        <n v="7.65E8"/>
        <n v="6.79E8"/>
        <n v="-1.4E7"/>
        <n v="1.2734E7"/>
        <n v="1.9269E7"/>
        <n v="9.9E7"/>
        <n v="2.38E7"/>
        <n v="-8.63E7"/>
        <n v="4.57E8"/>
        <n v="4.1E7"/>
        <n v="1.36E7"/>
        <n v="7.29E7"/>
        <n v="3.84E7"/>
        <n v="1.542E8"/>
        <n v="1.065E8"/>
        <n v="6.89E7"/>
        <n v="9.19E7"/>
        <n v="1.592E7"/>
        <n v="6992000.0"/>
        <n v="1.1148E7"/>
        <n v="1.1294E7"/>
        <n v="1.464E7"/>
        <n v="-3695000.0"/>
        <n v="1.3934E7"/>
        <n v="9683000.0"/>
        <n v="5.7325E7"/>
        <n v="4.9022E7"/>
        <n v="4.334E7"/>
        <n v="3.8112E7"/>
        <n v="1.8821E7"/>
        <n v="1.9528E7"/>
        <n v="2.1585E7"/>
        <n v="2.6323E7"/>
        <n v="1.09186E8"/>
        <n v="-2.0772E7"/>
        <n v="8.7023E7"/>
        <n v="-1.9721E7"/>
        <n v="5.13E7"/>
        <n v="7.27E7"/>
        <n v="3.84E8"/>
        <n v="1.232E9"/>
        <n v="-9.1E7"/>
        <n v="8.47E8"/>
        <n v="3.149E9"/>
        <n v="3.397E9"/>
        <n v="2.929E9"/>
        <n v="2.218E9"/>
        <n v="1.28E7"/>
        <n v="-6700000.0"/>
        <n v="-3.38E7"/>
        <n v="-8.16E7"/>
        <n v="5.85E7"/>
        <n v="6.96E7"/>
        <n v="4.85E7"/>
        <n v="1.47E8"/>
        <n v="1.66E8"/>
        <n v="1.99E8"/>
        <n v="1275000.0"/>
        <n v="1308000.0"/>
        <n v="496000.0"/>
        <n v="388000.0"/>
        <n v="3.51E8"/>
        <n v="1.77E8"/>
        <n v="1.4E8"/>
        <n v="7.5785E7"/>
        <n v="7.3233E7"/>
        <n v="7.0419E7"/>
        <n v="6.3664E7"/>
        <n v="1.36E8"/>
        <n v="2.52E8"/>
        <n v="-3.4E7"/>
        <n v="2.517E8"/>
        <n v="3.041E8"/>
        <n v="2.434E8"/>
        <n v="6.54E7"/>
        <n v="1.64104E8"/>
        <n v="8.8867E7"/>
        <n v="1.10554E8"/>
        <n v="9.8821E7"/>
        <n v="1.63E7"/>
        <n v="-5.4E7"/>
        <n v="2.18E7"/>
        <n v="2.77E7"/>
        <n v="8500000.0"/>
        <n v="2.60113E8"/>
        <n v="3.10105E8"/>
        <n v="2.73737E8"/>
        <n v="1.8969E8"/>
        <n v="2.53E8"/>
        <n v="2285000.0"/>
        <n v="6389000.0"/>
        <n v="2.0542E7"/>
        <n v="-1.6904E7"/>
        <n v="9.2969E7"/>
        <n v="6.8708E7"/>
        <n v="7.851E7"/>
        <n v="4.1869E7"/>
        <n v="3.55E8"/>
        <n v="3.74E8"/>
        <n v="3.95E8"/>
        <n v="3.03E8"/>
        <n v="9.76E8"/>
        <n v="7.13E8"/>
        <n v="1.68E8"/>
        <n v="8.1E7"/>
        <n v="4.52E8"/>
        <n v="5.06E8"/>
        <n v="7.0E7"/>
        <n v="1.47559E8"/>
        <n v="1.453E8"/>
        <n v="1.49382E8"/>
        <n v="1.14746E8"/>
        <n v="1.0E7"/>
        <n v="-1.93E8"/>
        <n v="-4.36E8"/>
        <n v="1.8765E7"/>
        <n v="2.1344E7"/>
        <n v="1.7358E7"/>
        <n v="2.0189E7"/>
        <n v="2.07E8"/>
        <n v="6.23E7"/>
        <n v="1.59E7"/>
        <n v="2.52E7"/>
        <n v="8.15E7"/>
        <n v="4.12E8"/>
        <n v="3.83E8"/>
        <n v="4.02E8"/>
        <n v="3.732E7"/>
        <n v="-1.7747E7"/>
        <n v="2.5617E7"/>
        <n v="2.3568E7"/>
        <n v="3.15E7"/>
        <n v="4.54E7"/>
        <n v="5.86E7"/>
        <n v="5.75E7"/>
        <n v="1.567E8"/>
        <n v="4.155E8"/>
        <n v="4.528E8"/>
        <n v="4.545E8"/>
        <n v="-1.189E9"/>
        <n v="1.5E8"/>
        <n v="2.0E8"/>
        <n v="5.03E8"/>
        <n v="4.83E8"/>
        <n v="1.075E9"/>
        <n v="2.14E8"/>
        <n v="3.5751E7"/>
        <n v="5.2885E7"/>
        <n v="4.4042E7"/>
        <n v="2.8693E7"/>
        <n v="3.4826E7"/>
        <n v="-9.4698E7"/>
        <n v="-1.06904E8"/>
        <n v="-7.6734E7"/>
        <n v="1.52E7"/>
        <n v="2.947E9"/>
        <n v="1.779E9"/>
        <n v="2.874E9"/>
        <n v="2.231E9"/>
        <n v="2045000.0"/>
        <n v="999000.0"/>
        <n v="795000.0"/>
        <n v="665000.0"/>
        <n v="2.83E8"/>
        <n v="1473000.0"/>
        <n v="864000.0"/>
        <n v="6.4245E7"/>
        <n v="6.769E7"/>
        <n v="2.518E7"/>
        <n v="4.3163E7"/>
        <n v="1.323E8"/>
        <n v="4.43E7"/>
        <n v="3.66E7"/>
        <n v="3.98E8"/>
        <n v="3.91E8"/>
        <n v="8490000.0"/>
        <n v="3260000.0"/>
        <n v="1555000.0"/>
        <n v="6907000.0"/>
        <n v="1.23085E8"/>
        <n v="9.8193E7"/>
        <n v="-7.094E7"/>
        <n v="1.06379E8"/>
        <n v="1.81E8"/>
        <n v="8.6E7"/>
        <n v="1.32E8"/>
        <n v="1.15E9"/>
        <n v="1.054E9"/>
        <n v="1.176E9"/>
        <n v="1.018E9"/>
        <n v="4.6E7"/>
        <n v="4.5E7"/>
        <n v="3.0272E7"/>
        <n v="1.9209E7"/>
        <n v="3.895E7"/>
        <n v="6685000.0"/>
        <n v="3.8E7"/>
        <n v="3.27787E8"/>
        <n v="-3.5739E7"/>
        <n v="7.1484E7"/>
        <n v="3.15406E8"/>
        <n v="-2.6E7"/>
        <n v="2.35E8"/>
        <n v="2.58E8"/>
        <n v="3.05E8"/>
        <n v="-9.2E7"/>
        <n v="-1.4E8"/>
        <n v="1.29E8"/>
        <n v="2.05E8"/>
        <n v="1.97E8"/>
        <n v="1.32E7"/>
        <n v="6.26E7"/>
        <n v="5.68E7"/>
        <n v="-6.49E7"/>
        <n v="1.55E8"/>
        <n v="1.184E8"/>
        <n v="1.208E8"/>
        <n v="1.325E8"/>
        <n v="9.54E7"/>
        <n v="8.21E8"/>
        <n v="-2.5E7"/>
        <n v="8.0E7"/>
        <n v="1728000.0"/>
        <n v="3.1524E7"/>
        <n v="-3761000.0"/>
        <n v="-9123000.0"/>
        <n v="-8.5E7"/>
        <n v="4.54289E8"/>
        <n v="3.10732E8"/>
        <n v="-2.081E8"/>
        <n v="6.7788E7"/>
        <n v="9.617E7"/>
        <n v="6.3244E7"/>
        <n v="8.0366E7"/>
        <n v="6.4991E7"/>
        <n v="4.0E7"/>
        <n v="-5.7E7"/>
        <n v="1.54218E8"/>
        <n v="1.06984E8"/>
        <n v="1.59154E8"/>
        <n v="1.68743E8"/>
        <n v="1.6E7"/>
        <n v="-2.76E8"/>
        <n v="-4.03E8"/>
        <n v="9.6317E7"/>
        <n v="9.4812E7"/>
        <n v="6.9949E7"/>
        <n v="6.3491E7"/>
        <n v="1.232E8"/>
        <n v="1.119E8"/>
        <n v="1.415E8"/>
        <n v="1.21899E8"/>
        <n v="1.10069E8"/>
        <n v="1.22132E8"/>
        <n v="9.5207E7"/>
        <n v="2.24E8"/>
        <n v="-1.745E9"/>
        <n v="5.3E8"/>
        <n v="1.056E8"/>
        <n v="1.441E8"/>
        <n v="1.372E8"/>
        <n v="8.32E7"/>
        <n v="6.74E7"/>
        <n v="5.31E7"/>
        <n v="4.18E7"/>
        <n v="1.20282E8"/>
        <n v="1.51884E8"/>
        <n v="1.25619E8"/>
        <n v="1.29015E8"/>
        <n v="1.103E8"/>
        <n v="8.29E7"/>
        <n v="1.121E8"/>
        <n v="7.72E7"/>
        <n v="1.317E7"/>
        <n v="-5042000.0"/>
        <n v="3.0559E7"/>
        <n v="1.2234E7"/>
        <n v="-2.25E8"/>
        <n v="2.92E8"/>
        <n v="3.64E7"/>
        <n v="7100000.0"/>
        <n v="2.21E7"/>
        <n v="2.51E7"/>
        <n v="1.09E7"/>
        <n v="2.97E7"/>
        <n v="4.49E7"/>
        <n v="3.77E7"/>
        <n v="4.52E7"/>
        <n v="8.02E8"/>
        <n v="4.51E8"/>
        <n v="4.98E8"/>
        <n v="3.3883E7"/>
        <n v="8.0089E7"/>
        <n v="1.01139E8"/>
        <n v="9.2657E7"/>
        <n v="-3.31E8"/>
        <n v="1.043E9"/>
        <n v="8.05E8"/>
        <n v="-1.7E8"/>
        <n v="7.35E8"/>
        <n v="6.46E8"/>
        <n v="6.97E8"/>
        <n v="6.13E8"/>
        <n v="-4.0E7"/>
        <n v="-1.32E8"/>
        <n v="-1.97E8"/>
        <n v="7.1863E7"/>
        <n v="4.656E7"/>
        <n v="-4350000.0"/>
        <n v="-1.9913E7"/>
        <n v="-4.3E7"/>
        <n v="3.23E8"/>
        <n v="3.71E8"/>
        <n v="2.98E8"/>
        <n v="5.0386E7"/>
        <n v="7.6985E7"/>
        <n v="2.7869E7"/>
        <n v="1.2163E7"/>
        <n v="3.45E8"/>
        <n v="6.38E7"/>
        <n v="9.76E7"/>
        <n v="1.001E8"/>
        <n v="9.09E8"/>
        <n v="6.56E8"/>
        <n v="6.28E8"/>
        <n v="9.9E8"/>
        <n v="2.091E8"/>
        <n v="3.879E8"/>
        <n v="4.219E8"/>
        <n v="5.9435E7"/>
        <n v="4.9195E7"/>
        <n v="2.5717E7"/>
        <n v="4.088E7"/>
        <n v="2.59E8"/>
        <n v="6.09E8"/>
        <n v="6.36E8"/>
        <n v="-8.8E7"/>
        <n v="-1.23421E8"/>
        <n v="7266000.0"/>
        <n v="-2.2905E7"/>
        <n v="5.3892E7"/>
        <n v="-6.82E8"/>
        <n v="1.44853E8"/>
        <n v="1.36074E8"/>
        <n v="8.9945E7"/>
        <n v="8.5639E7"/>
        <n v="7.09E7"/>
        <n v="6.83E7"/>
        <n v="4.99E7"/>
        <n v="1.91E7"/>
        <n v="3.2598E7"/>
        <n v="1.2988E7"/>
        <n v="-1.1951E7"/>
        <n v="2.2481E7"/>
        <n v="4.87E8"/>
        <n v="1.49E8"/>
        <n v="6.1581E7"/>
        <n v="4.0951E7"/>
        <n v="1.3724E7"/>
        <n v="-239000.0"/>
        <n v="4.48E7"/>
        <n v="4.53E7"/>
        <n v="3.88E7"/>
        <n v="3000000.0"/>
        <n v="6079000.0"/>
        <n v="9225000.0"/>
        <n v="6225000.0"/>
        <n v="4500000.0"/>
        <n v="-355000.0"/>
        <n v="1.844E8"/>
        <n v="6.539E8"/>
        <n v="1.378E8"/>
        <n v="1.199E8"/>
        <n v="1.037E8"/>
        <n v="5.5175E7"/>
        <n v="4.4111E7"/>
        <n v="2.96486E8"/>
        <n v="3.1078E7"/>
        <n v="5.6787E7"/>
        <n v="5.4649E7"/>
        <n v="3.9508E7"/>
        <n v="3.5169E7"/>
        <n v="-7.03E7"/>
        <n v="4.45E7"/>
        <n v="9.74E7"/>
        <n v="3.3219E7"/>
        <n v="3.5085E7"/>
        <n v="2.7209E7"/>
        <n v="2.4279E7"/>
        <n v="7.79E7"/>
        <n v="6.17E7"/>
        <n v="1.6335E8"/>
        <n v="1.47103E8"/>
        <n v="1.44871E8"/>
        <n v="5296000.0"/>
        <n v="2.13E8"/>
        <n v="2.48E8"/>
        <n v="1.58E8"/>
        <n v="-1.0834E7"/>
        <n v="4.725E7"/>
        <n v="-2.0922E7"/>
        <n v="3.4347E7"/>
        <n v="4.58E7"/>
        <n v="5.46E7"/>
        <n v="4.74E7"/>
        <n v="-3.42E8"/>
        <n v="1.7E7"/>
        <n v="-3288000.0"/>
        <n v="1.093E8"/>
        <n v="1.706E8"/>
        <n v="9.94E7"/>
        <n v="9.69E7"/>
        <n v="6.7262E7"/>
        <n v="4.7003E7"/>
        <n v="-5898000.0"/>
        <n v="-1572000.0"/>
        <n v="-1.01E7"/>
        <n v="-1600000.0"/>
        <n v="5.05E7"/>
        <n v="6.16E7"/>
        <n v="6.09E7"/>
        <n v="5.91E7"/>
        <n v="5.82E7"/>
        <n v="3.72E8"/>
        <n v="1.9E8"/>
        <n v="-5.0E7"/>
        <n v="-4.23E8"/>
        <n v="1.195E8"/>
        <n v="2.571E8"/>
        <n v="2.305E8"/>
        <n v="1.861E8"/>
        <n v="4.97E7"/>
        <n v="1.75E8"/>
        <n v="-7075000.0"/>
        <n v="4.9369E7"/>
        <n v="2.4842E7"/>
        <n v="2.7778E7"/>
        <n v="1.03E8"/>
        <n v="1.87315E8"/>
        <n v="1.48096E8"/>
        <n v="1.62265E8"/>
        <n v="8.7869E7"/>
        <n v="3.99E8"/>
        <n v="2.9E8"/>
        <n v="1.4945E7"/>
        <n v="2.1193E7"/>
        <n v="1.5076E7"/>
        <n v="-4989000.0"/>
        <n v="1.3925E7"/>
        <n v="1.3831E7"/>
        <n v="4.1838E7"/>
        <n v="-1.17826E8"/>
        <n v="2.77E8"/>
        <n v="4.07E8"/>
        <n v="2.593E8"/>
        <n v="2.164E8"/>
        <n v="2.219E8"/>
        <n v="9677000.0"/>
        <n v="1.9188E7"/>
        <n v="3.4779E7"/>
        <n v="3.4198E7"/>
        <n v="3700000.0"/>
        <n v="6.33E7"/>
        <n v="-4.63E7"/>
        <n v="5.53E8"/>
        <n v="5.12E8"/>
        <n v="3.5E8"/>
        <n v="2.74E7"/>
        <n v="1.66E7"/>
        <n v="2.58E7"/>
        <n v="1.6412E7"/>
        <n v="1.2428E7"/>
        <n v="-40000.0"/>
        <n v="-951000.0"/>
        <n v="5.5707E7"/>
        <n v="1.8481E7"/>
        <n v="2.6594E7"/>
        <n v="4.1013E7"/>
        <n v="8.3E7"/>
        <n v="1.86E8"/>
        <n v="1.9E7"/>
        <n v="-5.218E8"/>
        <n v="1.89E7"/>
        <n v="-1.9616E9"/>
        <n v="1.17186E8"/>
        <n v="1.17323E8"/>
        <n v="-2.793E7"/>
        <n v="1.1525E8"/>
        <n v="1.159E8"/>
        <n v="5.97E7"/>
        <n v="-4.809E8"/>
        <n v="3.81E7"/>
        <n v="3.06E8"/>
        <n v="4.16E8"/>
        <n v="1.87416E8"/>
        <n v="1.82615E8"/>
        <n v="1.49336E8"/>
        <n v="1.22201E8"/>
        <n v="1.0916E8"/>
        <n v="4.1961E7"/>
        <n v="4.0488E7"/>
        <n v="5.4359E7"/>
        <n v="1.228E8"/>
        <n v="4.84E7"/>
        <n v="7.24E7"/>
        <n v="8.99E7"/>
        <n v="2.35E7"/>
        <n v="2.28E7"/>
        <n v="-5.24E7"/>
        <n v="1.16E7"/>
        <n v="2.55E8"/>
        <n v="1.5651E7"/>
        <n v="-1.8001E7"/>
        <n v="1903000.0"/>
        <n v="1024000.0"/>
        <n v="1320000.0"/>
        <n v="-5682000.0"/>
        <n v="1.0652E7"/>
        <n v="-1.2081E7"/>
        <n v="5.51E8"/>
        <n v="6.07E8"/>
        <n v="8.0989E7"/>
        <n v="7.4677E7"/>
        <n v="5.2315E7"/>
        <n v="2.5096E7"/>
        <n v="1.0027E7"/>
        <n v="9881000.0"/>
        <n v="3.4691E7"/>
        <n v="-3714000.0"/>
        <n v="5.18E8"/>
        <n v="-1.3E8"/>
        <n v="-3.94E8"/>
        <n v="-4.76E8"/>
        <n v="-4.91E8"/>
        <n v="7.6E8"/>
        <n v="1.412E9"/>
        <n v="-9.41E8"/>
        <n v="5.68E8"/>
        <n v="9.0E7"/>
        <n v="1.196E9"/>
        <n v="1.364E9"/>
        <n v="7.64E8"/>
        <n v="1.0E9"/>
        <n v="1.01522E8"/>
        <n v="6.3807E7"/>
        <n v="9.4644E7"/>
        <n v="7.9172E7"/>
        <n v="-1.48E8"/>
        <n v="-2.89E8"/>
        <n v="-3.37E8"/>
        <n v="3641000.0"/>
        <n v="2153000.0"/>
        <n v="-679000.0"/>
        <n v="-3195000.0"/>
        <n v="4.0102E7"/>
        <n v="3.7963E7"/>
        <n v="2.5582E7"/>
        <n v="1.3908E7"/>
        <n v="4.87E7"/>
        <n v="3.98E7"/>
        <n v="5.42E7"/>
        <n v="1.875E9"/>
        <n v="1.7E9"/>
        <n v="1.535E9"/>
        <n v="1.347E9"/>
        <n v="-1.11179E8"/>
        <n v="1.67822E8"/>
        <n v="2.84433E8"/>
        <n v="7.8437E7"/>
        <n v="2.5178E7"/>
        <n v="2.7306E7"/>
        <n v="5.9048E7"/>
        <n v="5.0415E7"/>
        <n v="6.01E7"/>
        <n v="5.963E8"/>
        <n v="-9.77E7"/>
        <n v="5.59E7"/>
        <n v="1.814E9"/>
        <n v="6.02E8"/>
        <n v="6.22E8"/>
        <n v="9.18E8"/>
        <n v="2841000.0"/>
        <n v="1984000.0"/>
        <n v="-1801000.0"/>
        <n v="2.3781E7"/>
        <n v="5.7283E7"/>
        <n v="6.0638E7"/>
        <n v="2.5273E7"/>
        <n v="5.6984E7"/>
        <n v="6.2262E7"/>
        <n v="6.4352E7"/>
        <n v="8.6917E7"/>
        <n v="5.4048E7"/>
        <n v="4.35E7"/>
        <n v="4.69E7"/>
        <n v="2.85E7"/>
        <n v="-2.07E8"/>
        <n v="2.08E8"/>
        <n v="1.559E9"/>
        <n v="1.033E9"/>
        <n v="1.415E9"/>
        <n v="1.914E9"/>
        <n v="3.0122E7"/>
        <n v="2.5657E7"/>
        <n v="3.894E7"/>
        <n v="2.3668E7"/>
        <n v="5.41E7"/>
        <n v="7.49E7"/>
        <n v="3.72E7"/>
        <n v="1.445E9"/>
        <n v="9.01E8"/>
        <n v="6.45E8"/>
        <n v="-2221000.0"/>
        <n v="3943000.0"/>
        <n v="290000.0"/>
        <n v="2003000.0"/>
        <n v="3.23E7"/>
        <n v="2.87E7"/>
        <n v="2.04E7"/>
        <n v="2.11E7"/>
        <n v="3.76E7"/>
        <n v="2.19E7"/>
        <n v="3.24E7"/>
        <n v="3.05E7"/>
        <n v="1.92E7"/>
        <n v="7.5E7"/>
        <n v="697000.0"/>
        <n v="493000.0"/>
        <n v="568000.0"/>
        <n v="4.07365E8"/>
        <n v="-3.8E7"/>
        <n v="-2.2E7"/>
        <n v="-3.0E7"/>
        <n v="5022000.0"/>
        <n v="7653000.0"/>
        <n v="5162000.0"/>
        <n v="830000.0"/>
        <n v="3.3E7"/>
        <n v="3.14E7"/>
        <n v="2.29E7"/>
        <n v="-1.382E8"/>
        <n v="9700000.0"/>
      </sharedItems>
    </cacheField>
    <cacheField name="Total Revenue" numFmtId="0">
      <sharedItems containsSemiMixedTypes="0" containsString="0" containsNumber="1" containsInteger="1">
        <n v="8.942E9"/>
        <n v="8.95E9"/>
        <n v="8.851E9"/>
        <n v="8.583E9"/>
        <n v="9.146E8"/>
        <n v="8.598E8"/>
        <n v="7.69E8"/>
        <n v="8.345E8"/>
        <n v="1.0928E10"/>
        <n v="1.0223E10"/>
        <n v="1.0456E10"/>
        <n v="1.0701E10"/>
        <n v="1.4342E10"/>
        <n v="1.3959E10"/>
        <n v="1.301E10"/>
        <n v="1.3858E10"/>
        <n v="2.48142E8"/>
        <n v="2.52585E8"/>
        <n v="2.41245E8"/>
        <n v="2.31663E8"/>
        <n v="1.3419284E10"/>
        <n v="1.3263795E10"/>
        <n v="1.2088125E10"/>
        <n v="1.1762185E10"/>
        <n v="2.07E9"/>
        <n v="2.296E9"/>
        <n v="2.275E9"/>
        <n v="2.412E9"/>
        <n v="2.034E10"/>
        <n v="2.2926E10"/>
        <n v="1.8893E10"/>
        <n v="1.7978E10"/>
        <n v="3.935E9"/>
        <n v="3.835E9"/>
        <n v="3.905E9"/>
        <n v="3.424E9"/>
        <n v="2.649415E9"/>
        <n v="3.33037E9"/>
        <n v="2.9898925E9"/>
        <n v="4.313E9"/>
        <n v="3.85E9"/>
        <n v="3.445E9"/>
        <n v="3.244E9"/>
        <n v="3.036E9"/>
        <n v="2.7E9"/>
        <n v="2.635E9"/>
        <n v="2.56E9"/>
        <n v="5.237E9"/>
        <n v="5.564E9"/>
        <n v="5.869E9"/>
        <n v="5.913E9"/>
        <n v="1.586E9"/>
        <n v="1.525E9"/>
        <n v="1.548E9"/>
        <n v="1.483E9"/>
        <n v="2.8411E9"/>
        <n v="2.6047E9"/>
        <n v="2.502E9"/>
        <n v="2.3752E9"/>
        <n v="8.60333E8"/>
        <n v="8.52824E8"/>
        <n v="8.42708E8"/>
        <n v="8.46287E8"/>
        <n v="8.30566E8"/>
        <n v="7.73896E8"/>
        <n v="8.29291E8"/>
        <n v="8.79147E8"/>
        <n v="1.953E9"/>
        <n v="1.527E9"/>
        <n v="7.97E8"/>
        <n v="8.08E8"/>
        <n v="5.5085E8"/>
        <n v="5.12228E8"/>
        <n v="4.83386E8"/>
        <n v="4.67313E8"/>
        <n v="1.015906E9"/>
        <n v="1.010808E9"/>
        <n v="8.94771E8"/>
        <n v="8.3452E8"/>
        <n v="7.17E8"/>
        <n v="7.469E8"/>
        <n v="6.943E8"/>
        <n v="7.273E8"/>
        <n v="1.024E9"/>
        <n v="8.17E8"/>
        <n v="9.01E8"/>
        <n v="1.248E10"/>
        <n v="1.2646E10"/>
        <n v="1.2451E10"/>
        <n v="1.2018E10"/>
        <n v="6.188E10"/>
        <n v="5.5314E10"/>
        <n v="5.6898E10"/>
        <n v="4.6173E10"/>
        <n v="5.614E9"/>
        <n v="4.88E9"/>
        <n v="5.055E9"/>
        <n v="5.678E9"/>
        <n v="1.1308E11"/>
        <n v="1.08518E11"/>
        <n v="1.25555E11"/>
        <n v="9.6145E10"/>
        <n v="3.454E9"/>
        <n v="3.207E9"/>
        <n v="3.103E9"/>
        <n v="3.097E9"/>
        <n v="1.41E9"/>
        <n v="1.496E9"/>
        <n v="1.272E9"/>
        <n v="1.557E9"/>
        <n v="7.478E9"/>
        <n v="4.008E9"/>
        <n v="4.028E9"/>
        <n v="3.173E9"/>
        <n v="3.8265E9"/>
        <n v="4.2811E9"/>
        <n v="3.6106E9"/>
        <n v="4.0664E9"/>
        <n v="1.0849E10"/>
        <n v="9.739E9"/>
        <n v="9.462E9"/>
        <n v="8.086E9"/>
        <n v="1.0533E10"/>
        <n v="1.4509E10"/>
        <n v="9.332E9"/>
        <n v="9.965E9"/>
        <n v="2.2989E9"/>
        <n v="2.1585E9"/>
        <n v="2.1225E9"/>
        <n v="2.0129E9"/>
        <n v="9.99E8"/>
        <n v="8.88E8"/>
        <n v="9.23E8"/>
        <n v="1.079E9"/>
        <n v="3.42E9"/>
        <n v="3.355E9"/>
        <n v="3.189E9"/>
        <n v="3.013E9"/>
        <n v="5.3405695E10"/>
        <n v="4.9154171E10"/>
        <n v="5.2516556E10"/>
        <n v="4.9244768E10"/>
        <n v="1.386346E9"/>
        <n v="1.215742E9"/>
        <n v="1.198947E9"/>
        <n v="1.126942E9"/>
        <n v="6.526E9"/>
        <n v="5.901E9"/>
        <n v="6.634E9"/>
        <n v="6.423E9"/>
        <n v="2.3771E9"/>
        <n v="2.426E9"/>
        <n v="2.3234E9"/>
        <n v="1.9875E9"/>
        <n v="1.758853E9"/>
        <n v="1.661407E9"/>
        <n v="1.558458E9"/>
        <n v="1.526295E9"/>
        <n v="4.46654E8"/>
        <n v="3.63226E8"/>
        <n v="6.23686E8"/>
        <n v="3.66965E8"/>
        <n v="3.5822E10"/>
        <n v="3.3851E10"/>
        <n v="3.2385E10"/>
        <n v="3.1825E10"/>
        <n v="2.886E9"/>
        <n v="3.525E9"/>
        <n v="2.965E9"/>
        <n v="2.385E9"/>
        <n v="1.83E9"/>
        <n v="1.932E9"/>
        <n v="1.136E9"/>
        <n v="1.129E9"/>
        <n v="8.1434E10"/>
        <n v="8.9584E10"/>
        <n v="1.11439E11"/>
        <n v="6.4698E10"/>
        <n v="6.196E9"/>
        <n v="5.582E9"/>
        <n v="5.162E9"/>
        <n v="4.688E9"/>
        <n v="3.807E9"/>
        <n v="4.023E9"/>
        <n v="4.212E9"/>
        <n v="3.668E9"/>
        <n v="7.07319E8"/>
        <n v="6.67562E8"/>
        <n v="6.48482E8"/>
        <n v="6.05431E8"/>
        <n v="1.8781E9"/>
        <n v="2.1114E9"/>
        <n v="1.6513E9"/>
        <n v="1.7857E9"/>
        <n v="2.5423E9"/>
        <n v="2.4326E9"/>
        <n v="2.5551E9"/>
        <n v="2.5025E9"/>
        <n v="4.4045E10"/>
        <n v="4.3939E10"/>
        <n v="4.5691E10"/>
        <n v="4.234E10"/>
        <n v="6.05553E8"/>
        <n v="1.319073E9"/>
        <n v="9.1448E8"/>
        <n v="4.74914E8"/>
        <n v="1.0597E9"/>
        <n v="9.893E8"/>
        <n v="1.0392E9"/>
        <n v="9.524E8"/>
        <n v="3.737E9"/>
        <n v="4.102E9"/>
        <n v="3.6957E9"/>
        <n v="3.4707E9"/>
        <n v="4.913484E9"/>
        <n v="3.651023E9"/>
        <n v="2.910818E9"/>
        <n v="3.154261E9"/>
        <n v="5.61743E8"/>
        <n v="5.51196E8"/>
        <n v="5.4871E8"/>
        <n v="5.73015E8"/>
        <n v="2.102E9"/>
        <n v="2.0513E9"/>
        <n v="1.9909E9"/>
        <n v="1.7291E9"/>
        <n v="5.093E9"/>
        <n v="5.142E9"/>
        <n v="4.782E9"/>
        <n v="5.495E9"/>
        <n v="3.459E9"/>
        <n v="3.125E9"/>
        <n v="3.102E9"/>
        <n v="3.093E9"/>
        <n v="2.339E10"/>
        <n v="2.3087E10"/>
        <n v="2.4681E10"/>
        <n v="2.0046E10"/>
        <n v="3.318E9"/>
        <n v="3.024E9"/>
        <n v="4.818E9"/>
        <n v="3.055E9"/>
        <n v="3.098E9"/>
        <n v="2.946E9"/>
        <n v="3.181E9"/>
        <n v="2.972E9"/>
        <n v="4.89E9"/>
        <n v="4.907E9"/>
        <n v="5.315E9"/>
        <n v="4.784E9"/>
        <n v="1.1849E10"/>
        <n v="1.1637E10"/>
        <n v="1.6937E10"/>
        <n v="1.1853E10"/>
        <n v="7.15931E8"/>
        <n v="7.26796E8"/>
        <n v="7.89839E8"/>
        <n v="6.47263E8"/>
        <n v="2.59028E8"/>
        <n v="2.43552E8"/>
        <n v="2.24253E8"/>
        <n v="2.04199E8"/>
        <n v="2.775E9"/>
        <n v="2.694E9"/>
        <n v="2.8526E9"/>
        <n v="3.3761E9"/>
        <n v="4.82E9"/>
        <n v="4.398E9"/>
        <n v="4.478E9"/>
        <n v="4.369E9"/>
        <n v="4.08E9"/>
        <n v="4.046E9"/>
        <n v="4.004E9"/>
        <n v="3.828E9"/>
        <n v="1.5278E10"/>
        <n v="1.6998E10"/>
        <n v="1.5217E10"/>
        <n v="1.5304E10"/>
        <n v="2.16E9"/>
        <n v="1.141E9"/>
        <n v="1.238E9"/>
        <n v="2.64E9"/>
        <n v="3.758E9"/>
        <n v="4.009E9"/>
        <n v="3.926E9"/>
        <n v="2.534E9"/>
        <n v="7.09015E8"/>
        <n v="7.0655E8"/>
        <n v="6.50769E8"/>
        <n v="6.85951E8"/>
        <n v="3.077E9"/>
        <n v="2.752E9"/>
        <n v="2.709E9"/>
        <n v="2.659E9"/>
        <n v="1.1703E10"/>
        <n v="1.1073E10"/>
        <n v="1.1068E10"/>
        <n v="1.054E10"/>
        <n v="6.778E9"/>
        <n v="6.61E9"/>
        <n v="6.655E9"/>
        <n v="6.467E9"/>
        <n v="1.3898E9"/>
        <n v="1.0549E9"/>
        <n v="1.0174E9"/>
        <n v="1.3619E9"/>
        <n v="8.15026E8"/>
        <n v="6.44508E8"/>
        <n v="6.71396E8"/>
        <n v="5.98157E8"/>
        <n v="4.803869E9"/>
        <n v="4.549452E9"/>
        <n v="4.2248E9"/>
        <n v="3.627846E9"/>
        <n v="7.28285E8"/>
        <n v="7.36028E8"/>
        <n v="7.59909E8"/>
        <n v="6.66607E8"/>
        <n v="1.792E9"/>
        <n v="1.489E9"/>
        <n v="1.377E9"/>
        <n v="1.984E9"/>
        <n v="2.279E9"/>
        <n v="2.34E9"/>
        <n v="2.108E9"/>
        <n v="8.534E9"/>
        <n v="7.936E9"/>
        <n v="7.073E9"/>
        <n v="7.05E9"/>
        <n v="4.2586E10"/>
        <n v="3.9275E10"/>
        <n v="4.1541E10"/>
        <n v="3.9065E10"/>
        <n v="8.007899E9"/>
        <n v="5.455157E9"/>
        <n v="5.473444E9"/>
        <n v="5.652266E9"/>
        <n v="4.9E7"/>
        <n v="2.6E7"/>
        <n v="3.3E7"/>
        <n v="3.1E7"/>
        <n v="5.44E9"/>
        <n v="4.699E9"/>
        <n v="4.594E9"/>
        <n v="5.002E9"/>
        <n v="1.1882E9"/>
        <n v="1.0533E9"/>
        <n v="9.108E8"/>
        <n v="8.457E8"/>
        <n v="1.1887E10"/>
        <n v="1.1235E10"/>
        <n v="9.881E9"/>
        <n v="9.997E9"/>
        <n v="8.008E8"/>
        <n v="1.0108E9"/>
        <n v="8.442E8"/>
        <n v="7.927E8"/>
        <n v="6.458613E9"/>
        <n v="5.938879E9"/>
        <n v="6.910501E9"/>
        <n v="5.645142E9"/>
        <n v="5.1464E9"/>
        <n v="4.8375E9"/>
        <n v="4.9562E9"/>
        <n v="4.7564E9"/>
        <n v="2.198E9"/>
        <n v="1.798E9"/>
        <n v="1.591E9"/>
        <n v="1.411E9"/>
        <n v="3.04E10"/>
        <n v="2.8963E10"/>
        <n v="2.8217E10"/>
        <n v="2.655E10"/>
        <n v="1.742E9"/>
        <n v="2.547E9"/>
        <n v="2.054E9"/>
        <n v="1.622E9"/>
        <n v="2.504E8"/>
        <n v="2.345E8"/>
        <n v="2.228E8"/>
        <n v="2.044E8"/>
        <n v="1.456755E9"/>
        <n v="1.387778E9"/>
        <n v="1.395025E9"/>
        <n v="1.368673E9"/>
        <n v="1.588E9"/>
        <n v="1.048E9"/>
        <n v="1.102E9"/>
        <n v="8.47E8"/>
        <n v="9.14607E8"/>
        <n v="8.24566E8"/>
        <n v="7.9099E8"/>
        <n v="7.433E8"/>
        <n v="4.527E9"/>
        <n v="4.715E9"/>
        <n v="4.176E9"/>
        <n v="2.448E9"/>
        <n v="1.3146E10"/>
        <n v="1.2802E10"/>
        <n v="1.2522E10"/>
        <n v="1.2624E10"/>
        <n v="3.6117E10"/>
        <n v="3.1076E10"/>
        <n v="2.4843E10"/>
        <n v="2.3997E10"/>
        <n v="1.952315E9"/>
        <n v="1.892538E9"/>
        <n v="1.741575E9"/>
        <n v="1.60771E9"/>
        <n v="9.679E9"/>
        <n v="9.975E9"/>
        <n v="9.898E9"/>
        <n v="9.488E9"/>
        <n v="1.3114E9"/>
        <n v="1.2711E9"/>
        <n v="1.2389E9"/>
        <n v="1.2953E9"/>
        <n v="4.319E10"/>
        <n v="4.0972E10"/>
        <n v="4.1879E10"/>
        <n v="4.0987E10"/>
        <n v="2.227E9"/>
        <n v="2.714E9"/>
        <n v="1.89695E9"/>
        <n v="1.835662E9"/>
        <n v="1.777056E9"/>
        <n v="1.757048E9"/>
        <n v="1.2803E10"/>
        <n v="1.196E10"/>
        <n v="1.1929E10"/>
        <n v="1.2154E10"/>
        <n v="1.8596E10"/>
        <n v="2.0817E10"/>
        <n v="1.654E10"/>
        <n v="1.5509E10"/>
        <n v="1.822E9"/>
        <n v="1.799E9"/>
        <n v="1.583E9"/>
        <n v="1.363E9"/>
        <n v="8.12111E8"/>
        <n v="7.75766E8"/>
        <n v="8.09656E8"/>
        <n v="7.6717E8"/>
        <n v="1.802E9"/>
        <n v="1.781E9"/>
        <n v="1.842E9"/>
        <n v="1.916E9"/>
        <n v="1.1768E9"/>
        <n v="1.2508E9"/>
        <n v="1.0953E9"/>
        <n v="1.0773E9"/>
        <n v="1.725E9"/>
        <n v="1.558E9"/>
        <n v="2.013E9"/>
        <n v="1.0129E10"/>
        <n v="9.02E9"/>
        <n v="8.611E9"/>
        <n v="8.652E9"/>
        <n v="4.585E9"/>
        <n v="4.401E9"/>
        <n v="4.184E9"/>
        <n v="4.243E9"/>
        <n v="4.26E9"/>
        <n v="4.344E9"/>
        <n v="4.324E9"/>
        <n v="4.153E9"/>
        <n v="2.8546E10"/>
        <n v="2.7205E10"/>
        <n v="2.7708E10"/>
        <n v="2.5532E10"/>
        <n v="8.84E8"/>
        <n v="8.95E8"/>
        <n v="7.51E8"/>
        <n v="7.05E8"/>
        <n v="2.7711E9"/>
        <n v="2.9952E9"/>
        <n v="2.6789E9"/>
        <n v="3.2879E9"/>
        <n v="9.695E9"/>
        <n v="9.948E9"/>
        <n v="5.577E9"/>
        <n v="4.421E9"/>
        <n v="3.677E9"/>
        <n v="2.96E9"/>
        <n v="3.333E9"/>
        <n v="2.719E9"/>
        <n v="2.3711E9"/>
        <n v="2.0265E9"/>
        <n v="2.4381E9"/>
        <n v="7.3391E8"/>
        <n v="6.17031E8"/>
        <n v="5.9294E8"/>
        <n v="5.25659E8"/>
        <n v="3.501E9"/>
        <n v="3.29E9"/>
        <n v="3.35E9"/>
        <n v="3.001E9"/>
        <n v="5.627E9"/>
        <n v="4.178E9"/>
        <n v="1.863E9"/>
        <n v="6.2675E10"/>
        <n v="4.5277E10"/>
        <n v="4.4769E10"/>
        <n v="4.3208E10"/>
        <n v="4.11788E8"/>
        <n v="4.72918E8"/>
        <n v="4.13157E8"/>
        <n v="3.33294E8"/>
        <n v="1.485E9"/>
        <n v="1.493E9"/>
        <n v="1.486E9"/>
        <n v="3.292E9"/>
        <n v="2.99E9"/>
        <n v="2.813E9"/>
        <n v="2.825E9"/>
        <n v="6.111E9"/>
        <n v="6.092E9"/>
        <n v="5.83E9"/>
        <n v="5.118E9"/>
        <n v="7.2327E10"/>
        <n v="6.88E10"/>
        <n v="6.9306E10"/>
        <n v="6.6852E10"/>
        <n v="7.2846E9"/>
        <n v="6.4469E9"/>
        <n v="5.9334E9"/>
        <n v="6.4003E9"/>
        <n v="7.218E9"/>
        <n v="6.858E9"/>
        <n v="6.7603E9"/>
        <n v="5.8832E9"/>
        <n v="2.2792E9"/>
        <n v="1.733E9"/>
        <n v="1.6565E9"/>
        <n v="1.5274E9"/>
        <n v="2.938319E9"/>
        <n v="2.91651E9"/>
        <n v="2.820001E9"/>
        <n v="2.905322E9"/>
        <n v="1.15E10"/>
        <n v="1.2085E10"/>
        <n v="9.112E9"/>
        <n v="9.713E9"/>
        <n v="9.154E9"/>
        <n v="7.126E9"/>
        <n v="4.15E9"/>
        <n v="3.973E9"/>
        <n v="1.027E9"/>
        <n v="1.0823E9"/>
        <n v="8.948E8"/>
        <n v="4.906E8"/>
        <n v="2.977E9"/>
        <n v="2.461E9"/>
        <n v="1.35E9"/>
        <n v="1.112E9"/>
        <n v="5.951E8"/>
        <n v="5.05E8"/>
        <n v="5.689E8"/>
        <n v="5.009E8"/>
        <n v="1.123E9"/>
        <n v="7.29E8"/>
        <n v="6.83E8"/>
        <n v="4.04E8"/>
        <n v="1.145331E9"/>
        <n v="1.06736E9"/>
        <n v="1.093664E9"/>
        <n v="1.022612E9"/>
        <n v="3.444E9"/>
        <n v="3.16E9"/>
        <n v="2.293E9"/>
        <n v="1.964E9"/>
        <n v="2.792E9"/>
        <n v="2.561E9"/>
        <n v="2.541E9"/>
        <n v="4.48696E9"/>
        <n v="4.497853E9"/>
        <n v="4.557365E9"/>
        <n v="4.531591E9"/>
        <n v="8.400964E9"/>
        <n v="8.414524E9"/>
        <n v="8.199625E9"/>
        <n v="8.684241E9"/>
        <n v="6.4797E9"/>
        <n v="6.7679E9"/>
        <n v="6.177E9"/>
        <n v="6.2776E9"/>
        <n v="3.038E9"/>
        <n v="3.87E9"/>
        <n v="3.521E9"/>
        <n v="3.607E9"/>
        <n v="1.032472E9"/>
        <n v="9.83698E8"/>
        <n v="1.356567E9"/>
        <n v="9.67719E8"/>
        <n v="2.018269E9"/>
        <n v="2.031676E9"/>
        <n v="1.867901E9"/>
        <n v="1.78039E9"/>
        <n v="1.3885E10"/>
        <n v="1.1882E10"/>
        <n v="1.0706E10"/>
        <n v="9.712E9"/>
        <n v="3.229E9"/>
        <n v="3.778E9"/>
        <n v="3.288E9"/>
        <n v="3.284E9"/>
        <n v="5.758E9"/>
        <n v="6.15E9"/>
        <n v="5.777E9"/>
        <n v="6.721E9"/>
        <n v="2.9266E8"/>
        <n v="2.69241E8"/>
        <n v="2.64956E8"/>
        <n v="2.41241E8"/>
        <n v="4.135E9"/>
        <n v="3.976E9"/>
        <n v="5.252E9"/>
        <n v="5.096E9"/>
        <n v="4.141E9"/>
        <n v="4.385E9"/>
        <n v="4.288E9"/>
        <n v="4.554E9"/>
        <n v="2.653E9"/>
        <n v="2.409E9"/>
        <n v="2.186E9"/>
        <n v="2.122E9"/>
        <n v="5.215E9"/>
        <n v="4.692E9"/>
        <n v="4.687E9"/>
        <n v="4.526E9"/>
        <n v="2.668E9"/>
        <n v="2.638E9"/>
        <n v="2.868E9"/>
        <n v="2.606E9"/>
        <n v="3.1627E9"/>
        <n v="2.885E9"/>
        <n v="3.0653E9"/>
        <n v="3.0186E9"/>
        <n v="3.315E9"/>
        <n v="3.157E9"/>
        <n v="4.644E9"/>
        <n v="1.376E9"/>
        <n v="1.2166E9"/>
        <n v="1.1917E9"/>
        <n v="1.1409E9"/>
        <n v="1.551E9"/>
        <n v="1.346E9"/>
        <n v="1.673E9"/>
        <n v="1.151E9"/>
        <n v="6.8056E9"/>
        <n v="7.44E9"/>
        <n v="5.7406E9"/>
        <n v="5.4994E9"/>
        <n v="4.697E9"/>
        <n v="4.431E9"/>
        <n v="4.161E9"/>
        <n v="4.558E9"/>
        <n v="3.01754E8"/>
        <n v="2.64839E8"/>
        <n v="1.78503E8"/>
        <n v="1.25538E8"/>
        <n v="2.82207E9"/>
        <n v="2.844838E9"/>
        <n v="2.370102E9"/>
        <n v="2.903568E9"/>
        <n v="4.515E9"/>
        <n v="4.067E9"/>
        <n v="2.901794E9"/>
        <n v="2.320438E9"/>
        <n v="1.2348E9"/>
        <n v="1.213E9"/>
        <n v="1.1184E9"/>
        <n v="1.0683E9"/>
        <n v="1.657919E9"/>
        <n v="1.596064E9"/>
        <n v="1.571905E9"/>
        <n v="1.517293E9"/>
        <n v="5.98059E8"/>
        <n v="5.97602E8"/>
        <n v="6.13435E8"/>
        <n v="6.22433E8"/>
        <n v="3.69226E8"/>
        <n v="3.72136E8"/>
        <n v="3.69733E8"/>
        <n v="3.85771E8"/>
        <n v="3.936E9"/>
        <n v="3.864E9"/>
        <n v="4.853E9"/>
        <n v="3.562E9"/>
        <n v="5.289E8"/>
        <n v="5.50646E8"/>
        <n v="6.17355E8"/>
        <n v="4.51478E8"/>
        <n v="3.07669E9"/>
        <n v="2.691973E9"/>
        <n v="2.806599E9"/>
        <n v="2.548784E9"/>
        <n v="1.2362E9"/>
        <n v="1.6119E9"/>
        <n v="1.0944E9"/>
        <n v="1.5176E9"/>
        <n v="2.122538E9"/>
        <n v="2.82584E9"/>
        <n v="2.233933E9"/>
        <n v="2.343642E9"/>
        <n v="9.89E9"/>
        <n v="8.114E9"/>
        <n v="8.853E9"/>
        <n v="7.325E9"/>
        <n v="1.246E9"/>
        <n v="9.2E8"/>
        <n v="1.504E9"/>
        <n v="5.66E8"/>
        <n v="3.35754E9"/>
        <n v="3.169188E9"/>
        <n v="2.464797E9"/>
        <n v="2.580632E9"/>
        <n v="3.93203E8"/>
        <n v="3.65813E8"/>
        <n v="3.60159E8"/>
        <n v="3.48629E8"/>
        <n v="6.6306E10"/>
        <n v="5.7674E10"/>
        <n v="4.6203E10"/>
        <n v="4.5696E10"/>
        <n v="6.45287E8"/>
        <n v="6.24617E8"/>
        <n v="6.14816E8"/>
        <n v="5.83252E8"/>
        <n v="2.9077E10"/>
        <n v="2.6171E10"/>
        <n v="2.8072E10"/>
        <n v="2.147E10"/>
        <n v="1.5077E9"/>
        <n v="1.417E9"/>
        <n v="1.358E9"/>
        <n v="1.4133E9"/>
        <n v="2.31748E8"/>
        <n v="2.16823E8"/>
        <n v="2.18108E8"/>
        <n v="2.06576E8"/>
        <n v="2.2565E10"/>
        <n v="2.151E10"/>
        <n v="2.0563E10"/>
        <n v="1.9321E10"/>
        <n v="3.475E9"/>
        <n v="3.223E9"/>
        <n v="3.316E9"/>
        <n v="3.197E9"/>
        <n v="2.066E9"/>
        <n v="2.125E9"/>
        <n v="1.991E9"/>
        <n v="1.918E9"/>
        <n v="1.21433E9"/>
        <n v="1.149241E9"/>
        <n v="1.045299E9"/>
        <n v="9.72725E8"/>
        <n v="2.726E9"/>
        <n v="2.354E9"/>
        <n v="3.022E9"/>
        <n v="2.522E9"/>
        <n v="4.051E9"/>
        <n v="3.755E9"/>
        <n v="3.832E9"/>
        <n v="3.786E9"/>
        <n v="6.67381E8"/>
        <n v="6.08623E8"/>
        <n v="6.17333E8"/>
        <n v="5.85283E8"/>
        <n v="1.242E9"/>
        <n v="1.1956E9"/>
        <n v="1.1522E9"/>
        <n v="1.0846E9"/>
        <n v="2.6752E10"/>
        <n v="3.6228E10"/>
        <n v="3.5952E10"/>
        <n v="3.7501E10"/>
        <n v="8.011E8"/>
        <n v="7.103E8"/>
        <n v="7.48E8"/>
        <n v="6.511E8"/>
        <n v="1.3197E9"/>
        <n v="1.2592E9"/>
        <n v="-5.526E8"/>
        <n v="1.9023E9"/>
        <n v="1.9361E9"/>
        <n v="1.771E9"/>
        <n v="1.6597E9"/>
        <n v="1.6521E9"/>
        <n v="2.89E9"/>
        <n v="3.215E9"/>
        <n v="4.087E9"/>
        <n v="2.717E9"/>
        <n v="2.1729E9"/>
        <n v="2.0765E9"/>
        <n v="1.9951E9"/>
        <n v="1.6274E9"/>
        <n v="5.748E9"/>
        <n v="4.85E9"/>
        <n v="4.495E9"/>
        <n v="3.851E9"/>
        <n v="4.211E9"/>
        <n v="3.991E9"/>
        <n v="4.424E9"/>
        <n v="3.994E9"/>
        <n v="1.326905E9"/>
        <n v="1.072327E9"/>
        <n v="1.351405E9"/>
        <n v="1.109194E9"/>
        <n v="1.167319E9"/>
        <n v="1.104038E9"/>
        <n v="1.112759E9"/>
        <n v="9.94618E8"/>
        <n v="8.07434E8"/>
        <n v="7.61082E8"/>
        <n v="7.01355E8"/>
        <n v="5.46848E8"/>
        <n v="9.22E9"/>
        <n v="9.389E9"/>
        <n v="1.0481E10"/>
        <n v="9.431E9"/>
        <n v="1.8279E10"/>
        <n v="1.7118E10"/>
        <n v="2.1929E10"/>
        <n v="1.9417E10"/>
        <n v="4.5236E9"/>
        <n v="4.52E9"/>
        <n v="4.7194E9"/>
        <n v="4.364E9"/>
        <n v="3.4167E10"/>
        <n v="3.2474E10"/>
        <n v="3.7518E10"/>
        <n v="3.548E10"/>
        <n v="4.783738E9"/>
        <n v="4.464714E9"/>
        <n v="4.251594E9"/>
        <n v="4.370086E9"/>
        <n v="6.217E9"/>
        <n v="7.421E9"/>
        <n v="6.577E9"/>
        <n v="2.137437E9"/>
        <n v="1.990007E9"/>
        <n v="1.930193E9"/>
        <n v="1.917815E9"/>
        <n v="1.271111E9"/>
        <n v="1.26656E9"/>
        <n v="1.228941E9"/>
        <n v="1.195042E9"/>
        <n v="1.548E10"/>
        <n v="1.7774E10"/>
        <n v="1.1448E10"/>
        <n v="1.0503E10"/>
        <n v="3.707E9"/>
        <n v="3.451E9"/>
        <n v="3.237E9"/>
        <n v="2.975E9"/>
        <n v="1.751311E9"/>
        <n v="1.508029E9"/>
        <n v="1.800843E9"/>
        <n v="1.808266E9"/>
        <n v="1.3222E9"/>
        <n v="1.1148E9"/>
        <n v="1.722971E9"/>
        <n v="1.776623E9"/>
        <n v="1.4435E10"/>
        <n v="1.3977E10"/>
        <n v="1.4293E10"/>
        <n v="1.3311E10"/>
        <n v="4.76238E8"/>
        <n v="4.55276E8"/>
        <n v="4.31697E8"/>
        <n v="5.97739E8"/>
        <n v="2.924961E9"/>
        <n v="3.165725E9"/>
        <n v="2.840146E9"/>
        <n v="1.684399E9"/>
        <n v="1.535E9"/>
        <n v="1.861E9"/>
        <n v="1.289E9"/>
        <n v="1.125E9"/>
        <n v="6.897E9"/>
        <n v="6.7E9"/>
        <n v="6.833E9"/>
        <n v="7.208E9"/>
        <n v="3.53E8"/>
        <n v="3.84E8"/>
        <n v="3.85E8"/>
        <n v="1.76E8"/>
        <n v="1.1683E9"/>
        <n v="1.5376E9"/>
        <n v="1.6098E9"/>
        <n v="1.3469E9"/>
        <n v="4.1118E10"/>
        <n v="3.75E10"/>
        <n v="3.2261E10"/>
        <n v="3.3536E10"/>
        <n v="8.808E9"/>
        <n v="8.454E9"/>
        <n v="8.9E9"/>
        <n v="7.797E9"/>
        <n v="2.86367E9"/>
        <n v="2.606621E9"/>
        <n v="2.461147E9"/>
        <n v="2.420105E9"/>
        <n v="4.08E8"/>
        <n v="2.63E8"/>
        <n v="1.93E8"/>
        <n v="7.8E7"/>
        <n v="0.0"/>
        <n v="1.134E9"/>
        <n v="1.253E9"/>
        <n v="1.5289E10"/>
        <n v="1.5877E10"/>
        <n v="1.5646E10"/>
        <n v="1.5258E10"/>
        <n v="2.0668E10"/>
        <n v="1.9062E10"/>
        <n v="2.0075E10"/>
        <n v="1.9083E10"/>
        <n v="1.074E9"/>
        <n v="1.42E9"/>
        <n v="1.13E9"/>
        <n v="1.069E9"/>
        <n v="2.231E9"/>
        <n v="2.278E9"/>
        <n v="2.757E9"/>
        <n v="2.314E9"/>
        <n v="1.8745E10"/>
        <n v="1.7729E10"/>
        <n v="2.0368E10"/>
        <n v="1.7561E10"/>
        <n v="6.85947E8"/>
        <n v="6.52036E8"/>
        <n v="6.14822E8"/>
        <n v="5.81113E8"/>
        <n v="8.26142E8"/>
        <n v="7.77707E8"/>
        <n v="7.20938E8"/>
        <n v="7.21789E8"/>
        <n v="1.1814E9"/>
        <n v="1.1199E9"/>
        <n v="1.1072E9"/>
        <n v="1.0732E9"/>
        <n v="3.544E9"/>
        <n v="3.307E9"/>
        <n v="2.564E9"/>
        <n v="1.093E9"/>
        <n v="9.53E8"/>
        <n v="7.94E8"/>
        <n v="6.33E8"/>
        <n v="7.05709E8"/>
        <n v="6.04718E8"/>
        <n v="7.89509E8"/>
        <n v="6.20643E8"/>
        <n v="1.2791E9"/>
        <n v="1.1295E9"/>
        <n v="1.5107E9"/>
        <n v="1.3352E9"/>
        <n v="1.9631E10"/>
        <n v="1.9673E10"/>
        <n v="1.9978E10"/>
        <n v="1.8333E10"/>
        <n v="1.707E9"/>
        <n v="1.797E9"/>
        <n v="1.671E9"/>
        <n v="3.089E9"/>
        <n v="2.465E9"/>
        <n v="1.270073E9"/>
        <n v="1.268076E9"/>
        <n v="5.616E9"/>
        <n v="5.363E9"/>
        <n v="5.239E9"/>
        <n v="5.123E9"/>
        <n v="2.2696E9"/>
        <n v="2.0277E9"/>
        <n v="2.2844E9"/>
        <n v="1.9546E9"/>
        <n v="4.173E9"/>
        <n v="1.576E9"/>
        <n v="1.323E9"/>
        <n v="1.816E9"/>
        <n v="1.2921E9"/>
        <n v="1.3291E9"/>
        <n v="1.0777E9"/>
        <n v="8.521E8"/>
        <n v="1.7214E9"/>
        <n v="1.6301E9"/>
        <n v="1.4976E9"/>
        <n v="3.3663E8"/>
        <n v="3.18441E8"/>
        <n v="2.96411E8"/>
        <n v="2.49242E8"/>
        <n v="3.438E9"/>
        <n v="3.409E9"/>
        <n v="3.298E9"/>
        <n v="2.786E9"/>
        <n v="1.08204E9"/>
        <n v="1.059653E9"/>
        <n v="1.036647E9"/>
        <n v="9.82239E8"/>
        <n v="2.90837E9"/>
        <n v="2.618149E9"/>
        <n v="2.737652E9"/>
        <n v="2.472523E9"/>
        <n v="4.50287E8"/>
        <n v="4.33776E8"/>
        <n v="4.22361E8"/>
        <n v="4.518E8"/>
        <n v="3.576436E9"/>
        <n v="3.547873E9"/>
        <n v="3.381836E9"/>
        <n v="3.519689E9"/>
        <n v="1.858E9"/>
        <n v="1.9202E9"/>
        <n v="2.0767E9"/>
        <n v="2.034E9"/>
        <n v="2.3312E10"/>
        <n v="2.2321E10"/>
        <n v="2.2475E10"/>
        <n v="2.1082E10"/>
        <n v="6.341E9"/>
        <n v="5.594E9"/>
        <n v="5.341E9"/>
        <n v="5.954E9"/>
        <n v="3.2764E10"/>
        <n v="3.6422E10"/>
        <n v="3.1113E10"/>
        <n v="2.8536E10"/>
        <n v="1.1723E9"/>
        <n v="1.0744E9"/>
        <n v="1.2226E9"/>
        <n v="1.1382E9"/>
        <n v="7.495E8"/>
        <n v="7.06E8"/>
        <n v="6.934E8"/>
        <n v="6.596E8"/>
        <n v="3.584E9"/>
        <n v="3.464E9"/>
        <n v="3.429E9"/>
        <n v="3.465E9"/>
        <n v="1.989E9"/>
        <n v="1.836E9"/>
        <n v="1.817E9"/>
        <n v="1.521E9"/>
        <n v="1.221E9"/>
        <n v="1.18E9"/>
        <n v="1.22E9"/>
        <n v="1.011E9"/>
        <n v="4.743E9"/>
        <n v="4.836E9"/>
        <n v="4.683E9"/>
        <n v="4.612E9"/>
        <n v="2.89016E8"/>
        <n v="2.82308E8"/>
        <n v="2.69441E8"/>
        <n v="2.59792E8"/>
        <n v="5.211E9"/>
        <n v="3.115E9"/>
        <n v="2.919E9"/>
        <n v="1.925471E9"/>
        <n v="1.803773E9"/>
        <n v="1.65087E9"/>
        <n v="1.53862E9"/>
        <n v="6.615E9"/>
        <n v="6.394E9"/>
        <n v="6.939E9"/>
        <n v="6.441E9"/>
        <n v="4.1298E10"/>
        <n v="3.0737E10"/>
        <n v="2.9723E10"/>
        <n v="3.0489E10"/>
        <n v="4.668E9"/>
        <n v="4.567E9"/>
        <n v="4.66E9"/>
        <n v="4.463E9"/>
        <n v="4.1615E9"/>
        <n v="4.4898E9"/>
        <n v="3.8961E9"/>
        <n v="2.7688E9"/>
        <n v="4.145179E9"/>
        <n v="3.847654E9"/>
        <n v="3.456237E9"/>
        <n v="3.17708E9"/>
        <n v="1.0075E9"/>
        <n v="8.958E8"/>
        <n v="8.961E8"/>
        <n v="8.715E8"/>
        <n v="1.196E9"/>
        <n v="1.146E9"/>
        <n v="5.86E8"/>
        <n v="9.8E7"/>
        <n v="1.1509E9"/>
        <n v="1.182E9"/>
        <n v="1.2076E9"/>
        <n v="8.451E8"/>
        <n v="3.448E9"/>
        <n v="3.252E9"/>
        <n v="3.242E9"/>
        <n v="6.430245E9"/>
        <n v="5.325468E9"/>
        <n v="6.82589E9"/>
        <n v="5.870254E9"/>
        <n v="4.851E9"/>
        <n v="4.534E9"/>
        <n v="4.136E9"/>
        <n v="5.361E9"/>
        <n v="7.584E9"/>
        <n v="7.243E9"/>
        <n v="7.272E9"/>
        <n v="6.855E9"/>
        <n v="5.75946E8"/>
        <n v="2.90609E8"/>
        <n v="2.37383E8"/>
        <n v="1.84018E8"/>
        <n v="3.170786E9"/>
        <n v="2.953888E9"/>
        <n v="3.047684E9"/>
        <n v="2.626323E9"/>
        <n v="1.7029E10"/>
        <n v="1.6258E10"/>
        <n v="1.7032E10"/>
        <n v="1.6495E10"/>
        <n v="4.003E9"/>
        <n v="3.622E9"/>
        <n v="3.675E9"/>
        <n v="2.757E10"/>
        <n v="2.4422E10"/>
        <n v="2.0311E10"/>
        <n v="2.2309E10"/>
        <n v="4.924E9"/>
        <n v="5.029E9"/>
        <n v="5.125E9"/>
        <n v="5.167E9"/>
        <n v="1.27E10"/>
        <n v="1.1561E10"/>
        <n v="9.082E9"/>
        <n v="7.937E9"/>
        <n v="1.470973E9"/>
        <n v="1.511993E9"/>
        <n v="1.46553E9"/>
        <n v="1.313656E9"/>
        <n v="1.259E9"/>
        <n v="8.31E8"/>
        <n v="7.64E8"/>
        <n v="2.9734E10"/>
        <n v="2.2788E10"/>
        <n v="1.802E10"/>
        <n v="1.743E10"/>
        <n v="1.76334E8"/>
        <n v="1.95464E8"/>
        <n v="1.71346E8"/>
        <n v="1.64006E8"/>
        <n v="5.36E8"/>
        <n v="5.08E8"/>
        <n v="4.65E8"/>
        <n v="2.62E8"/>
        <n v="5.083E9"/>
        <n v="4.416E9"/>
        <n v="3.968E9"/>
        <n v="4.189E9"/>
        <n v="9.219E8"/>
        <n v="1.1109E9"/>
        <n v="1.2407E9"/>
        <n v="1.97E9"/>
        <n v="1.86E9"/>
        <n v="1.983E9"/>
        <n v="1.764E9"/>
        <n v="4.528E9"/>
        <n v="4.155E9"/>
        <n v="4.12E9"/>
        <n v="3.837E9"/>
        <n v="7.0776E8"/>
        <n v="6.67612E8"/>
        <n v="6.51407E8"/>
        <n v="6.3977E8"/>
        <n v="1.5494E9"/>
        <n v="1.5567E9"/>
        <n v="1.4815E9"/>
        <n v="1.5579E9"/>
        <n v="5.8879E9"/>
        <n v="5.1246E9"/>
        <n v="5.3138E9"/>
        <n v="5.4181E9"/>
        <n v="5.9142E10"/>
        <n v="6.2599E10"/>
        <n v="6.0808E10"/>
        <n v="5.5679E10"/>
        <n v="7.987E9"/>
        <n v="8.188E9"/>
        <n v="7.775E9"/>
        <n v="7.647E9"/>
        <n v="1.1402E10"/>
        <n v="1.208E10"/>
        <n v="1.2515E10"/>
        <n v="1.2551E10"/>
        <n v="1.8524E10"/>
        <n v="1.5562E10"/>
        <n v="1.9418E10"/>
        <n v="1.6015E10"/>
        <n v="8.0439E8"/>
        <n v="9.37985E8"/>
        <n v="8.07357E8"/>
        <n v="6.90673E8"/>
        <n v="2.192829E9"/>
        <n v="1.589686E9"/>
        <n v="1.395287E9"/>
        <n v="1.093603E9"/>
        <n v="1.5694E9"/>
        <n v="1.4671E9"/>
        <n v="1.3521E9"/>
        <n v="1.3095E9"/>
        <n v="6.236E9"/>
        <n v="5.773E9"/>
        <n v="6.056E9"/>
        <n v="5.438E9"/>
        <n v="4.6152E10"/>
        <n v="4.1706E10"/>
        <n v="4.3076E10"/>
        <n v="3.7154E10"/>
        <n v="4.36927E8"/>
        <n v="4.25005E8"/>
        <n v="4.23661E8"/>
        <n v="4.23199E8"/>
        <n v="4.354E9"/>
        <n v="1.937E9"/>
        <n v="5.70745E8"/>
        <n v="1.5791E8"/>
        <n v="2.953833E9"/>
        <n v="2.669026E9"/>
        <n v="2.641764E9"/>
        <n v="2.57487E9"/>
        <n v="2.9394E9"/>
        <n v="1.8984E9"/>
        <n v="2.2943E9"/>
        <n v="2.7535E9"/>
        <n v="6.642E9"/>
        <n v="7.238E9"/>
        <n v="7.298E9"/>
        <n v="6.665E9"/>
        <n v="2.93317E8"/>
        <n v="2.54455E8"/>
        <n v="2.33043E8"/>
        <n v="2.59422E8"/>
        <n v="1.461934E9"/>
        <n v="1.243816E9"/>
        <n v="1.196283E9"/>
        <n v="1.246362E9"/>
        <n v="1.553E9"/>
        <n v="1.6E9"/>
        <n v="1.29E9"/>
        <n v="1.356E9"/>
        <n v="1.4753E10"/>
        <n v="1.4759E10"/>
        <n v="1.5719E10"/>
        <n v="1.364E10"/>
        <n v="1.971E9"/>
        <n v="1.773E9"/>
        <n v="2.273E9"/>
        <n v="1.868E9"/>
        <n v="4.9818E8"/>
        <n v="4.78423E8"/>
        <n v="4.43661E8"/>
        <n v="4.25333E8"/>
        <n v="1.412E9"/>
        <n v="1.652E9"/>
        <n v="1.462E9"/>
        <n v="1.414E9"/>
        <n v="1.555E9"/>
        <n v="1.47E9"/>
        <n v="1.416E9"/>
        <n v="1.303E9"/>
        <n v="7.163282E9"/>
        <n v="6.644442E9"/>
        <n v="6.435637E9"/>
        <n v="6.148286E9"/>
        <n v="2.288E9"/>
        <n v="2.689E9"/>
        <n v="2.699E9"/>
        <n v="3.065E9"/>
        <n v="2.872E9"/>
        <n v="3.381E9"/>
        <n v="3.17E9"/>
        <n v="2.492E9"/>
        <n v="2.335E9"/>
        <n v="2.414E9"/>
        <n v="2.117E9"/>
        <n v="3.927E9"/>
        <n v="3.726E9"/>
        <n v="4.395E9"/>
        <n v="4.785E9"/>
        <n v="8.61E8"/>
        <n v="8.63E8"/>
        <n v="1.672E9"/>
        <n v="1.563E9"/>
        <n v="1.0357E10"/>
        <n v="1.1243E10"/>
        <n v="1.0594E10"/>
        <n v="6.313E9"/>
        <n v="9.86E8"/>
        <n v="1.5456E9"/>
        <n v="1.211E9"/>
        <n v="9.025E8"/>
        <n v="2.639E9"/>
        <n v="2.573E9"/>
        <n v="2.506E9"/>
        <n v="2.085E9"/>
        <n v="1.6073E9"/>
        <n v="1.6134E9"/>
        <n v="1.5244E9"/>
        <n v="1.4846E9"/>
        <n v="9.151E9"/>
        <n v="9.157E9"/>
        <n v="1.0212E10"/>
        <n v="9.083E9"/>
        <n v="6.86E8"/>
        <n v="6.72E8"/>
        <n v="6.39E8"/>
        <n v="6.26E8"/>
        <n v="3100000.0"/>
        <n v="9579000.0"/>
        <n v="6518000.0"/>
        <n v="1.6929E7"/>
        <n v="8.091E9"/>
        <n v="2.027E9"/>
        <n v="2.809E9"/>
        <n v="2.238E9"/>
        <n v="8.789164E9"/>
        <n v="7.01714E9"/>
        <n v="5.260055E9"/>
        <n v="4.92796E9"/>
        <n v="6.507E9"/>
        <n v="5.661E9"/>
        <n v="5.003E9"/>
        <n v="4.726E9"/>
        <n v="2.287439E9"/>
        <n v="2.045064E9"/>
        <n v="2.353606E9"/>
        <n v="1.994222E9"/>
        <n v="2.596E9"/>
        <n v="2.567E9"/>
        <n v="2.507E9"/>
        <n v="2.267E9"/>
        <n v="3.090899E9"/>
        <n v="2.828773E9"/>
        <n v="3.207638E9"/>
        <n v="3.091595E9"/>
        <n v="5.958E9"/>
        <n v="5.293E9"/>
        <n v="4.16E9"/>
        <n v="4.108E9"/>
        <n v="1.400046E9"/>
        <n v="1.319409E9"/>
        <n v="1.126515E9"/>
        <n v="1.073389E9"/>
        <n v="3.435E9"/>
        <n v="3.5716E9"/>
        <n v="3.4269E9"/>
        <n v="3.757E9"/>
        <n v="4.536175E9"/>
        <n v="3.388964E9"/>
        <n v="3.194679E9"/>
        <n v="2.570577E9"/>
        <n v="9.728E9"/>
        <n v="1.1227E10"/>
        <n v="1.0085E10"/>
        <n v="9.8E9"/>
        <n v="1.595E9"/>
        <n v="1.506E9"/>
        <n v="1.526E9"/>
        <n v="1.78E9"/>
        <n v="3.62E9"/>
        <n v="3.701E9"/>
        <n v="3.408E9"/>
        <n v="3.493E9"/>
        <n v="5.1468E9"/>
        <n v="5.8439E9"/>
        <n v="5.8455E9"/>
        <n v="5.5686E9"/>
        <n v="2.0001E9"/>
        <n v="1.8799E9"/>
        <n v="1.8072E9"/>
        <n v="1.7142E9"/>
        <n v="3.762809E9"/>
        <n v="3.958869E9"/>
        <n v="3.746326E9"/>
        <n v="3.411905E9"/>
        <n v="1.0829E9"/>
        <n v="1.0292E9"/>
        <n v="1.1117E9"/>
        <n v="9.837E8"/>
        <n v="2.56194E8"/>
        <n v="2.42146E8"/>
        <n v="2.72198E8"/>
        <n v="2.20947E8"/>
        <n v="6.182E9"/>
        <n v="6.238E9"/>
        <n v="6.033E9"/>
        <n v="6.116E9"/>
        <n v="1.5118E9"/>
        <n v="1.5458E9"/>
        <n v="1.2749E9"/>
        <n v="1.0274E9"/>
        <n v="9.692E8"/>
        <n v="9.411E8"/>
        <n v="8.659E8"/>
        <n v="7.96E8"/>
        <n v="4.586E8"/>
        <n v="5.187E8"/>
        <n v="4.959E8"/>
        <n v="5.454E8"/>
        <n v="2.0189E10"/>
        <n v="1.9217E10"/>
        <n v="1.482E10"/>
        <n v="2.2455E10"/>
        <n v="1.166684E9"/>
        <n v="1.228471E9"/>
        <n v="1.307689E9"/>
        <n v="1.354606E9"/>
        <n v="2.4094E10"/>
        <n v="1.8977E10"/>
        <n v="1.4582E10"/>
        <n v="1.1684E10"/>
        <n v="8.122E9"/>
        <n v="7.594E9"/>
        <n v="7.585E9"/>
        <n v="7.444E9"/>
        <n v="3.0246E10"/>
        <n v="2.7035E10"/>
        <n v="2.1642E10"/>
        <n v="1.6412E10"/>
        <n v="1.308254E9"/>
        <n v="1.000249E9"/>
        <n v="6.96475E8"/>
        <n v="7.40961E8"/>
        <n v="4.961E9"/>
        <n v="4.269E9"/>
        <n v="3.064E9"/>
        <n v="2.016E9"/>
        <n v="5.4E9"/>
        <n v="4.365E9"/>
        <n v="4.771E9"/>
        <n v="4.462E9"/>
        <n v="1.411448E9"/>
        <n v="1.787833E9"/>
        <n v="1.060745E9"/>
        <n v="8.39261E8"/>
        <n v="4.372E9"/>
        <n v="4.359E9"/>
        <n v="3.881E9"/>
        <n v="1.512E9"/>
        <n v="1.288E9"/>
        <n v="1.498E9"/>
        <n v="1.929E9"/>
        <n v="3.4237E9"/>
        <n v="3.5394E9"/>
        <n v="3.2085E9"/>
        <n v="3.7651E9"/>
        <n v="2.0338E10"/>
        <n v="1.8946E10"/>
        <n v="1.8109E10"/>
        <n v="1.9745E10"/>
        <n v="1.18526E10"/>
        <n v="1.18992E10"/>
        <n v="1.14396E10"/>
        <n v="1.14103E10"/>
        <n v="1.274867E9"/>
        <n v="1.223261E9"/>
        <n v="1.215365E9"/>
        <n v="1.192123E9"/>
        <n v="2.1641E10"/>
        <n v="1.5857E10"/>
        <n v="1.6949E10"/>
        <n v="1.6048E10"/>
        <n v="4.80656E8"/>
        <n v="4.35668E8"/>
        <n v="4.61785E8"/>
        <n v="4.2905E8"/>
        <n v="1.903E9"/>
        <n v="1.874E9"/>
        <n v="2.889E9"/>
        <n v="2.402E9"/>
        <n v="9.27791E8"/>
        <n v="8.58381E8"/>
        <n v="7.86718E8"/>
        <n v="7.65378E8"/>
        <n v="3.47905E9"/>
        <n v="3.359484E9"/>
        <n v="2.729791E9"/>
        <n v="3.192364E9"/>
        <n v="2.3132E9"/>
        <n v="2.0793E9"/>
        <n v="2.0898E9"/>
        <n v="2.1181E9"/>
        <n v="1.255248E9"/>
        <n v="1.110351E9"/>
        <n v="1.07273E9"/>
        <n v="1.094834E9"/>
        <n v="9.336E9"/>
        <n v="8.06E9"/>
        <n v="7.935E9"/>
        <n v="8.235E9"/>
        <n v="3.353278E9"/>
        <n v="2.999816E9"/>
        <n v="2.703581E9"/>
        <n v="2.912185E9"/>
        <n v="2.774E9"/>
        <n v="2.55E9"/>
        <n v="2.72E9"/>
        <n v="3.002E9"/>
        <n v="1.5041E9"/>
        <n v="1.3763E9"/>
        <n v="1.287E9"/>
        <n v="1.4328E9"/>
        <n v="2.69E9"/>
        <n v="2.499E9"/>
        <n v="2.408E9"/>
        <n v="2.234E9"/>
        <n v="1.6213E10"/>
        <n v="1.588E10"/>
        <n v="1.5251E10"/>
        <n v="1.6419E10"/>
        <n v="4.91875E8"/>
        <n v="4.64282E8"/>
        <n v="4.42804E8"/>
        <n v="4.18076E8"/>
        <n v="3.21618E8"/>
        <n v="2.87594E8"/>
        <n v="2.86369E8"/>
        <n v="2.67858E8"/>
        <n v="3.4528E9"/>
        <n v="5.1385E9"/>
        <n v="2.5287E9"/>
        <n v="2.2362E9"/>
        <n v="1.767E9"/>
        <n v="1.919E9"/>
        <n v="1.75E9"/>
        <n v="1.722E9"/>
        <n v="2.9339E9"/>
        <n v="2.8128E9"/>
        <n v="2.5964E9"/>
        <n v="2.5732E9"/>
        <n v="9.04015E8"/>
        <n v="8.76103E8"/>
        <n v="7.68767E8"/>
        <n v="8.00011E8"/>
        <n v="1.712566E9"/>
        <n v="1.580581E9"/>
        <n v="1.39838E9"/>
        <n v="1.304086E9"/>
        <n v="1.8078E9"/>
        <n v="1.8482E9"/>
        <n v="1.7761E9"/>
        <n v="1.5653E9"/>
        <n v="6.50199E8"/>
        <n v="6.38204E8"/>
        <n v="5.35554E8"/>
        <n v="5.36292E8"/>
        <n v="1.4628E9"/>
        <n v="1.5286E9"/>
        <n v="1.5053E9"/>
        <n v="4.804974E9"/>
        <n v="4.51608E9"/>
        <n v="4.249671E9"/>
        <n v="3.754509E9"/>
        <n v="4.56958E8"/>
        <n v="5.0914E7"/>
        <n v="4.2014E7"/>
        <n v="3.4138E7"/>
        <n v="2.087E9"/>
        <n v="2.106E9"/>
        <n v="1.867E9"/>
        <n v="6.34E9"/>
        <n v="5.963E9"/>
        <n v="5.817E9"/>
        <n v="5.419E9"/>
        <n v="5.89305E8"/>
        <n v="5.75528E8"/>
        <n v="5.48739E8"/>
        <n v="5.35907E8"/>
        <n v="5.847E9"/>
        <n v="5.634E9"/>
        <n v="5.223E9"/>
        <n v="5.532E9"/>
        <n v="2.731E9"/>
        <n v="2.623E9"/>
        <n v="1.4067E9"/>
        <n v="1.3285E9"/>
        <n v="1.2671E9"/>
        <n v="1.3409E9"/>
        <n v="2.741E9"/>
        <n v="3.259E9"/>
        <n v="3.171E9"/>
        <n v="1.409E9"/>
        <n v="1.36E9"/>
        <n v="1.25033E9"/>
        <n v="5.1467E9"/>
        <n v="5.3798E9"/>
        <n v="4.656E9"/>
        <n v="4.4888E9"/>
        <n v="1.296554E9"/>
        <n v="1.254146E9"/>
        <n v="1.239951E9"/>
        <n v="1.132568E9"/>
        <n v="1.3109E9"/>
        <n v="1.1164E9"/>
        <n v="1.1718E9"/>
        <n v="1.51E9"/>
        <n v="1.1132E9"/>
        <n v="1.1678E9"/>
        <n v="5.198E9"/>
        <n v="5.91E9"/>
        <n v="5.117E9"/>
        <n v="4.679E9"/>
        <n v="2.052E9"/>
        <n v="4.3009E9"/>
        <n v="4.1971E9"/>
        <n v="4.4076E9"/>
        <n v="3.8502E9"/>
        <n v="7.4965E9"/>
        <n v="6.668E9"/>
        <n v="6.7494E9"/>
        <n v="6.2031E9"/>
        <n v="3.049E9"/>
        <n v="2.959E9"/>
        <n v="2.917E9"/>
        <n v="2.784E9"/>
        <n v="9.68422E8"/>
        <n v="8.73531E8"/>
        <n v="8.08924E8"/>
        <n v="7.56132E8"/>
        <n v="4.294E9"/>
        <n v="3.953E9"/>
        <n v="4.262E9"/>
        <n v="1.38508E9"/>
        <n v="1.251696E9"/>
        <n v="1.097323E9"/>
        <n v="8.15294E8"/>
        <n v="2.589E9"/>
        <n v="2.247E9"/>
        <n v="1.944E9"/>
        <n v="1.479E9"/>
        <n v="1.05713E9"/>
        <n v="1.024323E9"/>
        <n v="9.70321E8"/>
        <n v="1.025439E9"/>
        <n v="1.1824589E10"/>
        <n v="1.1558982E10"/>
        <n v="1.1777379E10"/>
        <n v="8.866564E9"/>
        <n v="1.995E10"/>
        <n v="1.9759E10"/>
        <n v="2.0341E10"/>
        <n v="1.9272E10"/>
        <n v="1.9293E9"/>
        <n v="1.8268E9"/>
        <n v="1.7329E9"/>
        <n v="1.5958E9"/>
        <n v="8.58198E8"/>
        <n v="8.13346E8"/>
        <n v="8.39431E8"/>
        <n v="8.60889E8"/>
        <n v="1.6154E9"/>
        <n v="1.2733E9"/>
        <n v="1.6854E9"/>
        <n v="1.1722E9"/>
        <n v="2.516E10"/>
        <n v="2.4197E10"/>
        <n v="2.8339E10"/>
        <n v="2.2632E10"/>
        <n v="3.845E9"/>
        <n v="3.738E9"/>
        <n v="3.522E9"/>
        <n v="3.261E9"/>
        <n v="1.121E9"/>
        <n v="8.057E8"/>
        <n v="8.093E8"/>
        <n v="7.49E8"/>
        <n v="7.13473E8"/>
        <n v="6.33925E8"/>
        <n v="7.11179E8"/>
        <n v="6.28301E8"/>
        <n v="1.085728E9"/>
        <n v="7.81606E8"/>
        <n v="7.58969E8"/>
        <n v="8.19484E8"/>
        <n v="1.0389E10"/>
        <n v="1.0744E10"/>
        <n v="8.771E9"/>
        <n v="6.036E9"/>
        <n v="4.58E9"/>
        <n v="4.289E9"/>
        <n v="4.076E9"/>
        <n v="3.817E9"/>
        <n v="3.191E9"/>
        <n v="2.879E9"/>
        <n v="3.667E9"/>
        <n v="2.735E9"/>
        <n v="7.634E8"/>
        <n v="7.195E8"/>
        <n v="6.805E8"/>
        <n v="6.816E8"/>
        <n v="5.579E9"/>
        <n v="5.289E9"/>
        <n v="5.318E9"/>
        <n v="1.989422E9"/>
        <n v="2.295948E9"/>
        <n v="2.185244E9"/>
        <n v="2.219829E9"/>
        <n v="2.8007E9"/>
        <n v="2.2971E9"/>
        <n v="2.4574E9"/>
        <n v="2.3815E9"/>
        <n v="8.687E9"/>
        <n v="8.313E9"/>
        <n v="8.397E9"/>
        <n v="8.275E9"/>
        <n v="1.5613E10"/>
        <n v="1.6249E10"/>
        <n v="1.4707E10"/>
        <n v="1.1779E10"/>
        <n v="9.273E9"/>
        <n v="9.906E9"/>
        <n v="1.055E10"/>
        <n v="8.521E9"/>
        <n v="1.0086661E10"/>
        <n v="1.094321E10"/>
        <n v="1.0117289E10"/>
        <n v="6.667575E9"/>
        <n v="3.601559E9"/>
        <n v="2.792336E9"/>
        <n v="2.878265E9"/>
        <n v="2.606572E9"/>
        <n v="3.8297E9"/>
        <n v="3.0176E9"/>
        <n v="3.1791E9"/>
        <n v="3.4955E9"/>
        <n v="1.218E9"/>
        <n v="1.194E9"/>
        <n v="1.108E9"/>
        <n v="1.173E9"/>
        <n v="9.452E8"/>
        <n v="8.865E8"/>
        <n v="8.297E8"/>
        <n v="7.921E8"/>
        <n v="6.084E9"/>
        <n v="5.434E9"/>
        <n v="5.474E9"/>
        <n v="5.151E9"/>
        <n v="1.190427E9"/>
        <n v="1.036018E9"/>
        <n v="1.289041E9"/>
        <n v="9.36233E8"/>
        <n v="2.94802E8"/>
        <n v="2.83285E8"/>
        <n v="2.85746E8"/>
        <n v="2.71091E8"/>
        <n v="1.2478E10"/>
        <n v="1.13E10"/>
        <n v="1.046E10"/>
        <n v="1.146E10"/>
        <n v="5.907E9"/>
        <n v="6.237E9"/>
        <n v="5.238E9"/>
        <n v="5.259E9"/>
        <n v="1.967207E9"/>
        <n v="1.938519E9"/>
        <n v="2.198701E9"/>
        <n v="1.552033E9"/>
        <n v="1.351534E9"/>
        <n v="1.257195E9"/>
        <n v="1.403766E9"/>
        <n v="1.433021E9"/>
        <n v="5.504E9"/>
        <n v="5.001E9"/>
        <n v="5.141E9"/>
        <n v="4.919E9"/>
        <n v="5.471E9"/>
        <n v="3.221E9"/>
        <n v="3.412E9"/>
        <n v="2.489E9"/>
        <n v="2.3424E10"/>
        <n v="2.2908E10"/>
        <n v="2.4896E10"/>
        <n v="2.1238E10"/>
        <n v="2.287E9"/>
        <n v="2.057E9"/>
        <n v="2.187E9"/>
        <n v="7.1321E10"/>
        <n v="7.0196E10"/>
        <n v="6.5467E10"/>
        <n v="6.5115E10"/>
        <n v="3.19788E9"/>
        <n v="3.012987E9"/>
        <n v="3.086935E9"/>
        <n v="2.912541E9"/>
        <n v="2.6326E10"/>
        <n v="1.9686E10"/>
        <n v="1.5298E10"/>
        <n v="1.447E10"/>
        <n v="9.23376E8"/>
        <n v="9.097E8"/>
        <n v="9.38226E8"/>
        <n v="9.19233E8"/>
        <n v="3.29405E8"/>
        <n v="3.23621E8"/>
        <n v="3.20284E8"/>
        <n v="3.17879E8"/>
        <n v="7.475E8"/>
        <n v="7.261E8"/>
        <n v="7.134E8"/>
        <n v="7.027E8"/>
        <n v="3.3764E10"/>
        <n v="3.2867E10"/>
        <n v="3.4692E10"/>
        <n v="3.1543E10"/>
        <n v="1.79337E9"/>
        <n v="1.724305E9"/>
        <n v="1.62782E9"/>
        <n v="1.538271E9"/>
        <n v="2.194557E9"/>
        <n v="2.582672E9"/>
        <n v="2.971541E9"/>
        <n v="2.608324E9"/>
        <n v="7.412E9"/>
        <n v="6.225E9"/>
        <n v="6.275E9"/>
        <n v="4.5778E9"/>
        <n v="4.4303E9"/>
        <n v="3.6235E9"/>
        <n v="2.9721E9"/>
        <n v="6.13E9"/>
        <n v="5.729E9"/>
        <n v="5.687E9"/>
        <n v="5.101E9"/>
        <n v="4.10367E8"/>
        <n v="4.0905E8"/>
        <n v="4.00998E8"/>
        <n v="3.90076E8"/>
        <n v="1.361047E9"/>
        <n v="1.068344E9"/>
        <n v="1.175119E9"/>
        <n v="1.30989E9"/>
        <n v="2.296086E9"/>
        <n v="2.156869E9"/>
        <n v="2.312471E9"/>
        <n v="2.039819E9"/>
        <n v="3.084E9"/>
        <n v="2.941E9"/>
        <n v="3.018E9"/>
        <n v="1.8302E9"/>
        <n v="2.0237E9"/>
        <n v="1.8651E9"/>
        <n v="1.7374E9"/>
        <n v="3.2779E10"/>
        <n v="3.1438E10"/>
        <n v="3.4746E10"/>
        <n v="3.4631E10"/>
        <n v="1.41048E11"/>
        <n v="1.3831E11"/>
        <n v="1.52079E11"/>
        <n v="1.34708E11"/>
        <n v="4.476E9"/>
        <n v="4.112E9"/>
        <n v="3.861E9"/>
        <n v="6.81647E8"/>
        <n v="6.08545E8"/>
        <n v="7.86658E8"/>
        <n v="5.93784E8"/>
        <n v="1.6762E9"/>
        <n v="2.6914E9"/>
        <n v="1.9334E9"/>
        <n v="1.651E9"/>
        <n v="2.1493E10"/>
        <n v="1.958E10"/>
        <n v="1.8175E10"/>
        <n v="1.81E10"/>
        <n v="1.140992E9"/>
        <n v="1.052062E9"/>
        <n v="1.122016E9"/>
        <n v="1.036874E9"/>
        <n v="7.236E8"/>
        <n v="6.707E8"/>
        <n v="5.802E8"/>
        <n v="5.48E8"/>
        <n v="4.137E9"/>
        <n v="3.943E9"/>
        <n v="3.922E9"/>
        <n v="4.287E9"/>
        <n v="1.2897E9"/>
        <n v="1.21E9"/>
        <n v="1.2718E9"/>
        <n v="1.2585E9"/>
        <n v="4.4378E9"/>
        <n v="4.4015E9"/>
        <n v="4.4715E9"/>
        <n v="4.2363E9"/>
        <n v="3.144E9"/>
        <n v="2.063E9"/>
        <n v="2.11E9"/>
        <n v="5.324E9"/>
        <n v="5.358E9"/>
        <n v="5.798E9"/>
        <n v="5.291E9"/>
        <n v="2.283E9"/>
        <n v="2.612E9"/>
        <n v="2.092E9"/>
        <n v="1.933E9"/>
        <n v="2.59E9"/>
        <n v="2.764E9"/>
        <n v="2.009E9"/>
        <n v="2.113E9"/>
        <n v="9.90113E8"/>
        <n v="7.36682E8"/>
        <n v="6.85995E8"/>
        <n v="3.70452E8"/>
        <n v="3.467E9"/>
        <n v="3.068E9"/>
        <n v="3.541E9"/>
        <n v="2.947E9"/>
        <n v="8.78606E8"/>
        <n v="8.50987E8"/>
        <n v="8.03404E8"/>
        <n v="7.66535E8"/>
        <n v="1.351E9"/>
        <n v="1.256E9"/>
        <n v="1.373E9"/>
        <n v="1.602E9"/>
        <n v="1.743E9"/>
        <n v="1.448E9"/>
        <n v="1.347E9"/>
        <n v="1.308E9"/>
        <n v="1.132E9"/>
        <n v="2.0269E9"/>
        <n v="1.8474E9"/>
        <n v="2.0853E9"/>
        <n v="8.83E8"/>
        <n v="8.37E8"/>
        <n v="7.78E8"/>
        <n v="6.67E8"/>
        <n v="1.948E9"/>
        <n v="1.871E9"/>
        <n v="1.807E9"/>
        <n v="1.786E9"/>
      </sharedItems>
    </cacheField>
    <cacheField name="Total Operating Expenses" numFmtId="0">
      <sharedItems containsSemiMixedTypes="0" containsString="0" containsNumber="1" containsInteger="1">
        <n v="7.074E9"/>
        <n v="6.899E9"/>
        <n v="6.764E9"/>
        <n v="6.6E9"/>
        <n v="7.486E8"/>
        <n v="7.082E8"/>
        <n v="6.469E8"/>
        <n v="6.951E8"/>
        <n v="8.314E9"/>
        <n v="8.253E9"/>
        <n v="8.279E9"/>
        <n v="8.17E9"/>
        <n v="9.445E9"/>
        <n v="9.263E9"/>
        <n v="8.664E9"/>
        <n v="8.33E9"/>
        <n v="1.87706E8"/>
        <n v="1.85509E8"/>
        <n v="1.79051E8"/>
        <n v="1.59413E8"/>
        <n v="1.1460595E10"/>
        <n v="1.1145139E10"/>
        <n v="1.043461E10"/>
        <n v="9.871516E9"/>
        <n v="1.243E9"/>
        <n v="1.324E9"/>
        <n v="1.45E9"/>
        <n v="1.762E9"/>
        <n v="1.9733E10"/>
        <n v="2.2284E10"/>
        <n v="1.805E10"/>
        <n v="1.7363E10"/>
        <n v="2.494E9"/>
        <n v="2.429E9"/>
        <n v="2.451E9"/>
        <n v="2.209E9"/>
        <n v="2.392792E9"/>
        <n v="0.0"/>
        <n v="3.043279E9"/>
        <n v="3.357E9"/>
        <n v="3.009E9"/>
        <n v="2.768E9"/>
        <n v="2.674E9"/>
        <n v="2.315E9"/>
        <n v="2.017E9"/>
        <n v="1.883E9"/>
        <n v="4.067E9"/>
        <n v="4.129E9"/>
        <n v="4.204E9"/>
        <n v="4.635E9"/>
        <n v="1.237E9"/>
        <n v="1.211E9"/>
        <n v="1.139E9"/>
        <n v="2.2244E9"/>
        <n v="2.0063E9"/>
        <n v="1.9462E9"/>
        <n v="1.8127E9"/>
        <n v="6.53187E8"/>
        <n v="6.55364E8"/>
        <n v="6.53164E8"/>
        <n v="6.80708E8"/>
        <n v="6.90281E8"/>
        <n v="6.52848E8"/>
        <n v="6.65829E8"/>
        <n v="7.4281E8"/>
        <n v="1.696E9"/>
        <n v="1.563E9"/>
        <n v="1.37E9"/>
        <n v="1.257E9"/>
        <n v="4.14768E8"/>
        <n v="3.71887E8"/>
        <n v="3.52797E8"/>
        <n v="3.47207E8"/>
        <n v="7.54746E8"/>
        <n v="7.41906E8"/>
        <n v="6.69325E8"/>
        <n v="6.21336E8"/>
        <n v="5.765E8"/>
        <n v="5.995E8"/>
        <n v="5.611E8"/>
        <n v="5.632E8"/>
        <n v="7.35E8"/>
        <n v="6.41E8"/>
        <n v="7.03E8"/>
        <n v="7.29E8"/>
        <n v="1.2162E10"/>
        <n v="1.0658E10"/>
        <n v="9.26E9"/>
        <n v="8.589E9"/>
        <n v="4.2519E10"/>
        <n v="3.8877E10"/>
        <n v="4.1247E10"/>
        <n v="3.496E10"/>
        <n v="2.374E9"/>
        <n v="2.074E9"/>
        <n v="2.323E9"/>
        <n v="2.48E9"/>
        <n v="1.05378E11"/>
        <n v="9.9653E10"/>
        <n v="1.18682E11"/>
        <n v="8.9951E10"/>
        <n v="2.998E9"/>
        <n v="2.857E9"/>
        <n v="2.776E9"/>
        <n v="2.792E9"/>
        <n v="1.09E9"/>
        <n v="1.146E9"/>
        <n v="1.03E9"/>
        <n v="1.031E9"/>
        <n v="8.407E9"/>
        <n v="7.159E9"/>
        <n v="6.094E9"/>
        <n v="6.889E9"/>
        <n v="2.9869E9"/>
        <n v="3.4412E9"/>
        <n v="3.0106E9"/>
        <n v="3.0935E9"/>
        <n v="8.148E9"/>
        <n v="7.118E9"/>
        <n v="7.467E9"/>
        <n v="6.726E9"/>
        <n v="9.963E9"/>
        <n v="9.325E9"/>
        <n v="9.895E9"/>
        <n v="9.352E9"/>
        <n v="1.4114E9"/>
        <n v="1.2826E9"/>
        <n v="1.2627E9"/>
        <n v="1.2102E9"/>
        <n v="6.5E8"/>
        <n v="6.39E8"/>
        <n v="6.48E8"/>
        <n v="6.34E8"/>
        <n v="2.523E9"/>
        <n v="2.656E9"/>
        <n v="2.834E9"/>
        <n v="2.979E9"/>
        <n v="5.2558004E10"/>
        <n v="4.8451668E10"/>
        <n v="5.1898947E10"/>
        <n v="4.8666816E10"/>
        <n v="1.069735E9"/>
        <n v="9.27832E8"/>
        <n v="9.05812E8"/>
        <n v="8.61187E8"/>
        <n v="4.193E9"/>
        <n v="3.772E9"/>
        <n v="4.599E9"/>
        <n v="3.97E9"/>
        <n v="1.9123E9"/>
        <n v="1.933E9"/>
        <n v="1.8476E9"/>
        <n v="1.6301E9"/>
        <n v="1.139845E9"/>
        <n v="1.118406E9"/>
        <n v="1.07896E9"/>
        <n v="1.037676E9"/>
        <n v="3.2856E8"/>
        <n v="3.11234E8"/>
        <n v="3.61974E8"/>
        <n v="2.75331E8"/>
        <n v="3.3625E10"/>
        <n v="3.1288E10"/>
        <n v="3.0017E10"/>
        <n v="3.102E10"/>
        <n v="2.168E9"/>
        <n v="2.239E9"/>
        <n v="2.22E9"/>
        <n v="1.897E9"/>
        <n v="1.32E9"/>
        <n v="1.187E9"/>
        <n v="5.246E9"/>
        <n v="9.5E8"/>
        <n v="5.7308E10"/>
        <n v="6.2081E10"/>
        <n v="7.7905E10"/>
        <n v="4.9923E10"/>
        <n v="4.178E9"/>
        <n v="3.831E9"/>
        <n v="3.691E9"/>
        <n v="3.379E9"/>
        <n v="3.517E9"/>
        <n v="3.593E9"/>
        <n v="3.746E9"/>
        <n v="3.292E9"/>
        <n v="4.87954E8"/>
        <n v="4.6127E8"/>
        <n v="4.59144E8"/>
        <n v="4.17036E8"/>
        <n v="1.574E9"/>
        <n v="1.642E9"/>
        <n v="1.3843E9"/>
        <n v="1.5029E9"/>
        <n v="2.2769E9"/>
        <n v="2.2111E9"/>
        <n v="2.3256E9"/>
        <n v="2.3372E9"/>
        <n v="3.525E10"/>
        <n v="3.2193E10"/>
        <n v="4.2755E10"/>
        <n v="3.5117E10"/>
        <n v="4.82296E8"/>
        <n v="9.38521E8"/>
        <n v="6.16893E8"/>
        <n v="3.72203E8"/>
        <n v="9.068E8"/>
        <n v="8.436E8"/>
        <n v="8.447E8"/>
        <n v="7.799E8"/>
        <n v="3.0558E9"/>
        <n v="3.0256E9"/>
        <n v="2.8667E9"/>
        <n v="2.7019E9"/>
        <n v="3.872454E9"/>
        <n v="2.847518E9"/>
        <n v="2.389151E9"/>
        <n v="2.539036E9"/>
        <n v="4.17635E8"/>
        <n v="4.10606E8"/>
        <n v="3.99763E8"/>
        <n v="4.02743E8"/>
        <n v="1.8327E9"/>
        <n v="1.7666E9"/>
        <n v="1.7108E9"/>
        <n v="1.5032E9"/>
        <n v="4.69E9"/>
        <n v="4.862E9"/>
        <n v="4.521E9"/>
        <n v="5.032E9"/>
        <n v="3.098E9"/>
        <n v="2.818E9"/>
        <n v="2.779E9"/>
        <n v="2.711E9"/>
        <n v="1.444E10"/>
        <n v="1.5045E10"/>
        <n v="1.5515E10"/>
        <n v="1.3927E10"/>
        <n v="2.719E9"/>
        <n v="2.452E9"/>
        <n v="3.48E9"/>
        <n v="2.504E9"/>
        <n v="2.635E9"/>
        <n v="2.524E9"/>
        <n v="2.459E9"/>
        <n v="4.311E9"/>
        <n v="4.085E9"/>
        <n v="3.984E9"/>
        <n v="3.787E9"/>
        <n v="1.1048E10"/>
        <n v="1.0916E10"/>
        <n v="1.5775E10"/>
        <n v="1.1145E10"/>
        <n v="5.99949E8"/>
        <n v="5.50834E8"/>
        <n v="6.13997E8"/>
        <n v="5.38763E8"/>
        <n v="1.87931E8"/>
        <n v="1.73195E8"/>
        <n v="1.68814E8"/>
        <n v="1.55257E8"/>
        <n v="2.271E9"/>
        <n v="1.7539E9"/>
        <n v="3.1488E9"/>
        <n v="2.2994E9"/>
        <n v="2.888E9"/>
        <n v="2.85E9"/>
        <n v="2.63E9"/>
        <n v="2.612E9"/>
        <n v="2.899E9"/>
        <n v="2.758E9"/>
        <n v="2.827E9"/>
        <n v="1.4785E10"/>
        <n v="1.543E10"/>
        <n v="1.4589E10"/>
        <n v="2.1693E10"/>
        <n v="2.215E9"/>
        <n v="1.444E9"/>
        <n v="1.317E9"/>
        <n v="1.711E9"/>
        <n v="3.345E9"/>
        <n v="3.554E9"/>
        <n v="3.503E9"/>
        <n v="4.63193E8"/>
        <n v="4.75495E8"/>
        <n v="4.56715E8"/>
        <n v="4.5605E8"/>
        <n v="2.556E9"/>
        <n v="2.386E9"/>
        <n v="2.075E9"/>
        <n v="2.377E9"/>
        <n v="9.037E9"/>
        <n v="8.829E9"/>
        <n v="9.82E9"/>
        <n v="8.501E9"/>
        <n v="4.625E9"/>
        <n v="4.609E9"/>
        <n v="4.732E9"/>
        <n v="5.008E9"/>
        <n v="1.1505E9"/>
        <n v="9.755E8"/>
        <n v="9.388E8"/>
        <n v="1.0631E9"/>
        <n v="5.6081E8"/>
        <n v="5.05113E8"/>
        <n v="4.87876E8"/>
        <n v="4.54992E8"/>
        <n v="4.58054E9"/>
        <n v="4.34265E9"/>
        <n v="4.056561E9"/>
        <n v="3.439059E9"/>
        <n v="5.43316E8"/>
        <n v="5.32368E8"/>
        <n v="5.64386E8"/>
        <n v="4.97322E8"/>
        <n v="1.84E9"/>
        <n v="1.556E9"/>
        <n v="1.387E9"/>
        <n v="1.422E9"/>
        <n v="1.697E9"/>
        <n v="1.856E9"/>
        <n v="1.873E9"/>
        <n v="1.922E9"/>
        <n v="3.921E9"/>
        <n v="3.699E9"/>
        <n v="3.672E9"/>
        <n v="3.485E9"/>
        <n v="4.2149E10"/>
        <n v="3.8694E10"/>
        <n v="4.1028E10"/>
        <n v="3.8605E10"/>
        <n v="7.445618E9"/>
        <n v="5.181622E9"/>
        <n v="5.144366E9"/>
        <n v="5.243136E9"/>
        <n v="1.616E9"/>
        <n v="1.549E9"/>
        <n v="1.588E9"/>
        <n v="1.452E9"/>
        <n v="4.701E9"/>
        <n v="4.13E9"/>
        <n v="4.331E9"/>
        <n v="4.181E9"/>
        <n v="9.351E8"/>
        <n v="8.597E8"/>
        <n v="7.774E8"/>
        <n v="7.608E8"/>
        <n v="9.887E9"/>
        <n v="1.0035E10"/>
        <n v="8.771E9"/>
        <n v="9.085E9"/>
        <n v="6.09E8"/>
        <n v="8.028E8"/>
        <n v="6.806E8"/>
        <n v="6.405E8"/>
        <n v="6.09306E9"/>
        <n v="5.669951E9"/>
        <n v="6.343613E9"/>
        <n v="5.431131E9"/>
        <n v="4.7765E9"/>
        <n v="4.5141E9"/>
        <n v="4.624E9"/>
        <n v="4.4301E9"/>
        <n v="1.587E9"/>
        <n v="1.438E9"/>
        <n v="1.442E9"/>
        <n v="2.9698E10"/>
        <n v="2.7989E10"/>
        <n v="2.6958E10"/>
        <n v="2.6276E10"/>
        <n v="2.092E9"/>
        <n v="1.772E9"/>
        <n v="2.648E8"/>
        <n v="2.278E8"/>
        <n v="2.174E8"/>
        <n v="2.036E8"/>
        <n v="1.237195E9"/>
        <n v="1.14972E9"/>
        <n v="1.173206E9"/>
        <n v="1.173722E9"/>
        <n v="8.12E8"/>
        <n v="9.73E8"/>
        <n v="8.01E8"/>
        <n v="7.59919E8"/>
        <n v="6.92457E8"/>
        <n v="6.62102E8"/>
        <n v="6.09927E8"/>
        <n v="2.667E9"/>
        <n v="2.64E9"/>
        <n v="2.277E9"/>
        <n v="1.559E9"/>
        <n v="1.0243E10"/>
        <n v="1.0063E10"/>
        <n v="1.0134E10"/>
        <n v="1.0099E10"/>
        <n v="3.2986E10"/>
        <n v="2.9693E10"/>
        <n v="2.2349E10"/>
        <n v="2.4325E10"/>
        <n v="1.707977E9"/>
        <n v="1.642747E9"/>
        <n v="1.574465E9"/>
        <n v="1.476561E9"/>
        <n v="7.749E9"/>
        <n v="7.712E9"/>
        <n v="7.604E9"/>
        <n v="1.051E9"/>
        <n v="1.0104E9"/>
        <n v="9.553E8"/>
        <n v="1.1267E9"/>
        <n v="4.0988E10"/>
        <n v="3.9035E10"/>
        <n v="4.0111E10"/>
        <n v="3.8753E10"/>
        <n v="1.446E9"/>
        <n v="1.364E9"/>
        <n v="1.6E9"/>
        <n v="1.555E9"/>
        <n v="1.502849E9"/>
        <n v="1.474102E9"/>
        <n v="1.450588E9"/>
        <n v="1.404176E9"/>
        <n v="9.296E9"/>
        <n v="8.503E9"/>
        <n v="8.753E9"/>
        <n v="8.772E9"/>
        <n v="1.1248E10"/>
        <n v="1.0508E10"/>
        <n v="1.1542E10"/>
        <n v="1.1433E10"/>
        <n v="9.91E8"/>
        <n v="1.018E9"/>
        <n v="1.012E9"/>
        <n v="9.88E8"/>
        <n v="7.27134E8"/>
        <n v="6.67933E8"/>
        <n v="6.74371E8"/>
        <n v="6.38865E8"/>
        <n v="1.701E9"/>
        <n v="1.486E9"/>
        <n v="5.021E8"/>
        <n v="5.257E8"/>
        <n v="5.443E8"/>
        <n v="5.523E8"/>
        <n v="1.425E9"/>
        <n v="1.266E9"/>
        <n v="1.545E9"/>
        <n v="1.418E9"/>
        <n v="6.731E9"/>
        <n v="6.114E9"/>
        <n v="6.166E9"/>
        <n v="5.938E9"/>
        <n v="3.889E9"/>
        <n v="3.732E9"/>
        <n v="3.687E9"/>
        <n v="3.568E9"/>
        <n v="3.282E9"/>
        <n v="3.358E9"/>
        <n v="3.399E9"/>
        <n v="3.15E9"/>
        <n v="2.3039E10"/>
        <n v="2.2166E10"/>
        <n v="2.379E10"/>
        <n v="2.1456E10"/>
        <n v="4.56E8"/>
        <n v="4.39E8"/>
        <n v="4.59E8"/>
        <n v="4.33E8"/>
        <n v="2.2828E9"/>
        <n v="2.4296E9"/>
        <n v="2.1286E9"/>
        <n v="2.7639E9"/>
        <n v="6.902E9"/>
        <n v="8.465E9"/>
        <n v="6.625E9"/>
        <n v="4.696E9"/>
        <n v="2.378E9"/>
        <n v="2.567E9"/>
        <n v="2.334E9"/>
        <n v="1.6328E9"/>
        <n v="1.282E9"/>
        <n v="1.3629E9"/>
        <n v="1.5732E9"/>
        <n v="4.05799E8"/>
        <n v="3.5881E8"/>
        <n v="3.44346E8"/>
        <n v="3.19944E8"/>
        <n v="2.905E9"/>
        <n v="2.76E9"/>
        <n v="2.794E9"/>
        <n v="2.569E9"/>
        <n v="4.153E9"/>
        <n v="3.229E9"/>
        <n v="2.247E9"/>
        <n v="6.04E10"/>
        <n v="4.3614E10"/>
        <n v="4.3429E10"/>
        <n v="4.1778E10"/>
        <n v="3.517E8"/>
        <n v="2.95151E8"/>
        <n v="2.49913E8"/>
        <n v="3.40858E8"/>
        <n v="1.071E9"/>
        <n v="1.034E9"/>
        <n v="1.088E9"/>
        <n v="1.047E9"/>
        <n v="1.899E9"/>
        <n v="1.649E9"/>
        <n v="1.589E9"/>
        <n v="5.536E9"/>
        <n v="5.421E9"/>
        <n v="5.29E9"/>
        <n v="4.515E9"/>
        <n v="6.8249E10"/>
        <n v="6.5479E10"/>
        <n v="6.6894E10"/>
        <n v="6.375E10"/>
        <n v="5.8541E9"/>
        <n v="5.2623E9"/>
        <n v="4.9064E9"/>
        <n v="5.3379E9"/>
        <n v="5.202E9"/>
        <n v="4.811E9"/>
        <n v="5.117E9"/>
        <n v="4.375E9"/>
        <n v="1.99E9"/>
        <n v="1.5819E9"/>
        <n v="1.5358E9"/>
        <n v="1.4305E9"/>
        <n v="2.472146E9"/>
        <n v="2.433057E9"/>
        <n v="2.385457E9"/>
        <n v="2.522886E9"/>
        <n v="9.297E9"/>
        <n v="9.525E9"/>
        <n v="7.325E9"/>
        <n v="8.173E9"/>
        <n v="8.625E9"/>
        <n v="7.692E9"/>
        <n v="6.671E9"/>
        <n v="8.27E9"/>
        <n v="8.7E8"/>
        <n v="8.535E8"/>
        <n v="7.795E8"/>
        <n v="5.927E8"/>
        <n v="2.657E9"/>
        <n v="2.259E9"/>
        <n v="-1.469E9"/>
        <n v="1.207E9"/>
        <n v="4.941E8"/>
        <n v="4.591E8"/>
        <n v="4.649E8"/>
        <n v="4.068E8"/>
        <n v="7.68E8"/>
        <n v="6.81E8"/>
        <n v="5.92E8"/>
        <n v="8.9E8"/>
        <n v="9.00485E8"/>
        <n v="8.97872E8"/>
        <n v="8.83056E8"/>
        <n v="8.5883E8"/>
        <n v="1.13E9"/>
        <n v="1.081E9"/>
        <n v="1.182E9"/>
        <n v="1.005E9"/>
        <n v="2.25E9"/>
        <n v="1.976E9"/>
        <n v="1.773E9"/>
        <n v="3.580222E9"/>
        <n v="3.633277E9"/>
        <n v="3.567726E9"/>
        <n v="3.720343E9"/>
        <n v="7.492114E9"/>
        <n v="7.5396E9"/>
        <n v="7.426495E9"/>
        <n v="7.641614E9"/>
        <n v="5.9598E9"/>
        <n v="6.0498E9"/>
        <n v="5.6652E9"/>
        <n v="5.7691E9"/>
        <n v="2.252E9"/>
        <n v="2.613E9"/>
        <n v="2.771E9"/>
        <n v="8.4157E8"/>
        <n v="7.9716E8"/>
        <n v="1.112523E9"/>
        <n v="8.05538E8"/>
        <n v="1.670135E9"/>
        <n v="1.676797E9"/>
        <n v="1.5476E9"/>
        <n v="1.514844E9"/>
        <n v="1.132E10"/>
        <n v="1.0648E10"/>
        <n v="9.859E9"/>
        <n v="9.01E9"/>
        <n v="2.841E9"/>
        <n v="3.246E9"/>
        <n v="2.835E9"/>
        <n v="2.687E9"/>
        <n v="4.46E9"/>
        <n v="4.7E9"/>
        <n v="4.755E9"/>
        <n v="4.842E9"/>
        <n v="2.20656E8"/>
        <n v="1.86188E8"/>
        <n v="1.87727E8"/>
        <n v="1.68516E8"/>
        <n v="3.416E9"/>
        <n v="3.279E9"/>
        <n v="4.794E9"/>
        <n v="4.64E9"/>
        <n v="3.954E9"/>
        <n v="4.679E9"/>
        <n v="4.126E9"/>
        <n v="4.427E9"/>
        <n v="2.2E9"/>
        <n v="2.013E9"/>
        <n v="2.099E9"/>
        <n v="1.805E9"/>
        <n v="4.559E9"/>
        <n v="4.112E9"/>
        <n v="4.091E9"/>
        <n v="3.943E9"/>
        <n v="1.936E9"/>
        <n v="2.191E9"/>
        <n v="1.927E9"/>
        <n v="2.6765E9"/>
        <n v="2.5383E9"/>
        <n v="2.5723E9"/>
        <n v="2.5476E9"/>
        <n v="2.643E9"/>
        <n v="2.475E9"/>
        <n v="2.369E9"/>
        <n v="3.613E9"/>
        <n v="9.341E8"/>
        <n v="8.312E8"/>
        <n v="8.309E8"/>
        <n v="7.837E8"/>
        <n v="1.206E9"/>
        <n v="1.162E9"/>
        <n v="1.002E9"/>
        <n v="5.066E9"/>
        <n v="5.0544E9"/>
        <n v="4.2469E9"/>
        <n v="4.0249E9"/>
        <n v="3.856E9"/>
        <n v="3.648E9"/>
        <n v="3.632E9"/>
        <n v="2.37268E8"/>
        <n v="1.85725E8"/>
        <n v="1.26744E8"/>
        <n v="1.14684E8"/>
        <n v="2.457461E9"/>
        <n v="2.365307E9"/>
        <n v="1.971373E9"/>
        <n v="2.197432E9"/>
        <n v="3.394E9"/>
        <n v="3.128E9"/>
        <n v="2.048968E9"/>
        <n v="2.252176E9"/>
        <n v="9.288E8"/>
        <n v="9.064E8"/>
        <n v="9.268E8"/>
        <n v="8.659E8"/>
        <n v="1.372735E9"/>
        <n v="1.2955E9"/>
        <n v="1.310934E9"/>
        <n v="1.220056E9"/>
        <n v="4.44953E8"/>
        <n v="4.61999E8"/>
        <n v="4.36418E8"/>
        <n v="4.39998E8"/>
        <n v="2.57597E8"/>
        <n v="2.5784E8"/>
        <n v="2.69933E8"/>
        <n v="2.64528E8"/>
        <n v="3.589E9"/>
        <n v="2.985E9"/>
        <n v="3.681E9"/>
        <n v="2.851E9"/>
        <n v="4.29851E8"/>
        <n v="4.00009E8"/>
        <n v="4.55917E8"/>
        <n v="3.32917E8"/>
        <n v="2.300902E9"/>
        <n v="2.355039E9"/>
        <n v="2.627157E9"/>
        <n v="2.331035E9"/>
        <n v="9.409E8"/>
        <n v="1.3019E9"/>
        <n v="9.453E8"/>
        <n v="9.809E8"/>
        <n v="1.648833E9"/>
        <n v="2.220172E9"/>
        <n v="1.766605E9"/>
        <n v="1.769512E9"/>
        <n v="9.388E9"/>
        <n v="7.27E9"/>
        <n v="7.179E9"/>
        <n v="6.758E9"/>
        <n v="1.343E9"/>
        <n v="1.484E9"/>
        <n v="2.972025E9"/>
        <n v="2.887377E9"/>
        <n v="2.212852E9"/>
        <n v="2.333006E9"/>
        <n v="1.81801E8"/>
        <n v="1.81667E8"/>
        <n v="1.75816E8"/>
        <n v="1.79817E8"/>
        <n v="6.1171E10"/>
        <n v="5.4647E10"/>
        <n v="4.7379E10"/>
        <n v="4.6292E10"/>
        <n v="5.51061E8"/>
        <n v="5.04169E8"/>
        <n v="5.16203E8"/>
        <n v="4.95631E8"/>
        <n v="1.671E10"/>
        <n v="1.4793E10"/>
        <n v="1.5297E10"/>
        <n v="1.343E10"/>
        <n v="1.1899E9"/>
        <n v="1.1367E9"/>
        <n v="1.0939E9"/>
        <n v="1.1242E9"/>
        <n v="1.52762E8"/>
        <n v="1.5279E8"/>
        <n v="1.54149E8"/>
        <n v="1.47291E8"/>
        <n v="1.9232E10"/>
        <n v="2.0293E10"/>
        <n v="1.8948E10"/>
        <n v="1.753E10"/>
        <n v="3.112E9"/>
        <n v="3.115E9"/>
        <n v="1.151E9"/>
        <n v="1.215E9"/>
        <n v="1.234E9"/>
        <n v="1.16E9"/>
        <n v="7.44142E8"/>
        <n v="7.03771E8"/>
        <n v="6.27594E8"/>
        <n v="5.97207E8"/>
        <n v="2.159E9"/>
        <n v="1.665E9"/>
        <n v="2.301E9"/>
        <n v="2.007E9"/>
        <n v="3.407E9"/>
        <n v="3.274E9"/>
        <n v="3.233E9"/>
        <n v="3.241E9"/>
        <n v="3.69769E8"/>
        <n v="3.42658E8"/>
        <n v="3.231E8"/>
        <n v="3.20751E8"/>
        <n v="9.429E8"/>
        <n v="9.313E8"/>
        <n v="9.036E8"/>
        <n v="8.633E8"/>
        <n v="2.5744E10"/>
        <n v="3.3102E10"/>
        <n v="3.8221E10"/>
        <n v="3.4493E10"/>
        <n v="6.548E8"/>
        <n v="5.898E8"/>
        <n v="5.798E8"/>
        <n v="5.253E8"/>
        <n v="1.1091E9"/>
        <n v="1.0624E9"/>
        <n v="-4.825E8"/>
        <n v="1.5927E9"/>
        <n v="1.6409E9"/>
        <n v="1.5117E9"/>
        <n v="1.4157E9"/>
        <n v="1.4098E9"/>
        <n v="2.262E9"/>
        <n v="2.4E9"/>
        <n v="3.858E9"/>
        <n v="1.624E9"/>
        <n v="1.6518E9"/>
        <n v="1.5631E9"/>
        <n v="1.5082E9"/>
        <n v="1.2176E9"/>
        <n v="3.615E9"/>
        <n v="3.318E9"/>
        <n v="3.16E9"/>
        <n v="2.935E9"/>
        <n v="3.786E9"/>
        <n v="3.69E9"/>
        <n v="4.34E9"/>
        <n v="3.823E9"/>
        <n v="9.55733E8"/>
        <n v="8.22668E8"/>
        <n v="9.80138E8"/>
        <n v="7.92093E8"/>
        <n v="8.91303E8"/>
        <n v="8.71486E8"/>
        <n v="9.31184E8"/>
        <n v="9.06446E8"/>
        <n v="6.1831E8"/>
        <n v="5.90328E8"/>
        <n v="5.45718E8"/>
        <n v="4.50977E8"/>
        <n v="8.18E9"/>
        <n v="8.394E9"/>
        <n v="9.245E9"/>
        <n v="8.316E9"/>
        <n v="1.8292E10"/>
        <n v="1.6616E10"/>
        <n v="2.0695E10"/>
        <n v="1.9372E10"/>
        <n v="3.7298E9"/>
        <n v="3.6483E9"/>
        <n v="3.769E9"/>
        <n v="3.476E9"/>
        <n v="3.0643E10"/>
        <n v="2.866E10"/>
        <n v="3.4592E10"/>
        <n v="3.0612E10"/>
        <n v="4.437303E9"/>
        <n v="4.18807E9"/>
        <n v="3.994482E9"/>
        <n v="4.050601E9"/>
        <n v="3.875E9"/>
        <n v="3.46E9"/>
        <n v="3.505E9"/>
        <n v="3.405E9"/>
        <n v="1.696579E9"/>
        <n v="1.622948E9"/>
        <n v="1.622111E9"/>
        <n v="1.561696E9"/>
        <n v="1.004099E9"/>
        <n v="1.02176E9"/>
        <n v="9.57548E8"/>
        <n v="9.4183E8"/>
        <n v="8.414E9"/>
        <n v="9.363E9"/>
        <n v="5.887E9"/>
        <n v="5.948E9"/>
        <n v="3.273E9"/>
        <n v="3.081E9"/>
        <n v="2.975E9"/>
        <n v="1.525382E9"/>
        <n v="1.307875E9"/>
        <n v="1.593893E9"/>
        <n v="1.590272E9"/>
        <n v="1.1438E9"/>
        <n v="9.675E8"/>
        <n v="1.488288E9"/>
        <n v="1.434116E9"/>
        <n v="1.195E10"/>
        <n v="1.1643E10"/>
        <n v="1.1903E10"/>
        <n v="1.117E10"/>
        <n v="3.87298E8"/>
        <n v="3.6639E8"/>
        <n v="3.58319E8"/>
        <n v="5.15169E8"/>
        <n v="2.692102E9"/>
        <n v="3.001345E9"/>
        <n v="2.645483E9"/>
        <n v="1.675898E9"/>
        <n v="1.281E9"/>
        <n v="1.284E9"/>
        <n v="1.157E9"/>
        <n v="6.298E9"/>
        <n v="6.187E9"/>
        <n v="6.281E9"/>
        <n v="6.706E9"/>
        <n v="3.33E8"/>
        <n v="2.82E8"/>
        <n v="3.68E8"/>
        <n v="4.28E8"/>
        <n v="8.061E8"/>
        <n v="7.516E8"/>
        <n v="7.173E8"/>
        <n v="6.968E8"/>
        <n v="3.4455E10"/>
        <n v="3.1641E10"/>
        <n v="2.7713E10"/>
        <n v="2.8271E10"/>
        <n v="6.883E9"/>
        <n v="6.618E9"/>
        <n v="7.017E9"/>
        <n v="6.235E9"/>
        <n v="2.624244E9"/>
        <n v="2.32428E9"/>
        <n v="2.192357E9"/>
        <n v="2.073137E9"/>
        <n v="5.67E8"/>
        <n v="5.17E8"/>
        <n v="4.73E8"/>
        <n v="9.6E8"/>
        <n v="1.04E9"/>
        <n v="1.075E9"/>
        <n v="1.3828E10"/>
        <n v="1.4424E10"/>
        <n v="1.4158E10"/>
        <n v="1.4252E10"/>
        <n v="1.9445E10"/>
        <n v="1.9377E10"/>
        <n v="1.8283E10"/>
        <n v="1.6648E10"/>
        <n v="7.87E8"/>
        <n v="7.47E8"/>
        <n v="7.44E8"/>
        <n v="6.95E8"/>
        <n v="2.069E9"/>
        <n v="2.096E9"/>
        <n v="2.435E9"/>
        <n v="1.6642E10"/>
        <n v="1.6308E10"/>
        <n v="1.6756E10"/>
        <n v="1.5441E10"/>
        <n v="5.24555E8"/>
        <n v="4.92545E8"/>
        <n v="4.69589E8"/>
        <n v="4.46471E8"/>
        <n v="5.66889E8"/>
        <n v="5.30085E8"/>
        <n v="5.35843E8"/>
        <n v="5.49933E8"/>
        <n v="8.648E8"/>
        <n v="8.724E8"/>
        <n v="8.468E8"/>
        <n v="7.912E8"/>
        <n v="2.633E9"/>
        <n v="2.588E9"/>
        <n v="2.515E9"/>
        <n v="2.112E9"/>
        <n v="9.0E8"/>
        <n v="8.22E8"/>
        <n v="6.57E8"/>
        <n v="5.37E8"/>
        <n v="5.60241E8"/>
        <n v="5.00744E8"/>
        <n v="6.21925E8"/>
        <n v="6.08445E8"/>
        <n v="1.1126E9"/>
        <n v="1.0148E9"/>
        <n v="1.3437E9"/>
        <n v="1.2122E9"/>
        <n v="1.3739E10"/>
        <n v="1.377E10"/>
        <n v="1.4042E10"/>
        <n v="1.3299E10"/>
        <n v="8.98E8"/>
        <n v="8.87E8"/>
        <n v="8.71E8"/>
        <n v="7.08E8"/>
        <n v="2.733E9"/>
        <n v="2.133E9"/>
        <n v="1.12101E9"/>
        <n v="1.069382E9"/>
        <n v="5.092E9"/>
        <n v="4.914E9"/>
        <n v="4.835E9"/>
        <n v="4.631E9"/>
        <n v="1.8841E9"/>
        <n v="1.782E9"/>
        <n v="1.8061E9"/>
        <n v="1.6579E9"/>
        <n v="1.575E9"/>
        <n v="1.114E9"/>
        <n v="1.333E9"/>
        <n v="8.753E8"/>
        <n v="9.145E8"/>
        <n v="8.073E8"/>
        <n v="7.715E8"/>
        <n v="1.302E9"/>
        <n v="1.2674E9"/>
        <n v="1.2393E9"/>
        <n v="1.1556E9"/>
        <n v="2.66203E8"/>
        <n v="2.43729E8"/>
        <n v="2.35271E8"/>
        <n v="2.24011E8"/>
        <n v="3.148E9"/>
        <n v="3.058E9"/>
        <n v="2.98E9"/>
        <n v="2.579E9"/>
        <n v="8.76274E8"/>
        <n v="8.54046E8"/>
        <n v="8.23852E8"/>
        <n v="8.03205E8"/>
        <n v="2.666824E9"/>
        <n v="2.410497E9"/>
        <n v="2.53816E9"/>
        <n v="2.29702E9"/>
        <n v="3.53991E8"/>
        <n v="3.42573E8"/>
        <n v="3.28729E8"/>
        <n v="3.34212E8"/>
        <n v="3.324212E9"/>
        <n v="3.30161E9"/>
        <n v="3.136195E9"/>
        <n v="3.195616E9"/>
        <n v="1.5975E9"/>
        <n v="1.659E9"/>
        <n v="1.6987E9"/>
        <n v="1.6584E9"/>
        <n v="1.69E10"/>
        <n v="1.5477E10"/>
        <n v="1.8529E10"/>
        <n v="1.5116E10"/>
        <n v="5.296E9"/>
        <n v="4.925E9"/>
        <n v="4.911E9"/>
        <n v="5.072E9"/>
        <n v="1.7482E10"/>
        <n v="1.8697E10"/>
        <n v="1.5772E10"/>
        <n v="1.6351E10"/>
        <n v="1.065E9"/>
        <n v="1.0273E9"/>
        <n v="1.0468E9"/>
        <n v="1.0119E9"/>
        <n v="4.604E8"/>
        <n v="4.337E8"/>
        <n v="4.165E8"/>
        <n v="3.856E8"/>
        <n v="3.024E9"/>
        <n v="3.025E9"/>
        <n v="3.018E9"/>
        <n v="2.927E9"/>
        <n v="1.062E9"/>
        <n v="1.056E9"/>
        <n v="1.074E9"/>
        <n v="1.017E9"/>
        <n v="9.97E8"/>
        <n v="9.61E8"/>
        <n v="9.42E8"/>
        <n v="8.11E8"/>
        <n v="3.93E9"/>
        <n v="4.021E9"/>
        <n v="3.9E9"/>
        <n v="3.612E9"/>
        <n v="1.86811E8"/>
        <n v="1.87845E8"/>
        <n v="1.78111E8"/>
        <n v="1.86513E8"/>
        <n v="3.329E9"/>
        <n v="2.19E9"/>
        <n v="2.089E9"/>
        <n v="1.837E9"/>
        <n v="1.20753E9"/>
        <n v="1.131626E9"/>
        <n v="1.080706E9"/>
        <n v="1.012231E9"/>
        <n v="5.189E9"/>
        <n v="5.005E9"/>
        <n v="5.159E9"/>
        <n v="4.939E9"/>
        <n v="4.0388E10"/>
        <n v="3.0733E10"/>
        <n v="2.8865E10"/>
        <n v="2.9607E10"/>
        <n v="4.008E9"/>
        <n v="3.882E9"/>
        <n v="3.974E9"/>
        <n v="3.843E9"/>
        <n v="3.0437E9"/>
        <n v="3.0872E9"/>
        <n v="2.8121E9"/>
        <n v="2.4521E9"/>
        <n v="2.829252E9"/>
        <n v="2.652346E9"/>
        <n v="2.446513E9"/>
        <n v="2.216016E9"/>
        <n v="9.079E8"/>
        <n v="7.942E8"/>
        <n v="7.515E8"/>
        <n v="7.158E8"/>
        <n v="1.289E9"/>
        <n v="1.345E9"/>
        <n v="1.138E9"/>
        <n v="1.015E9"/>
        <n v="1.0252E9"/>
        <n v="1.0434E9"/>
        <n v="1.0617E9"/>
        <n v="8.122E8"/>
        <n v="3.173E9"/>
        <n v="3.007E9"/>
        <n v="2.95E9"/>
        <n v="2.976E9"/>
        <n v="5.394254E9"/>
        <n v="4.449005E9"/>
        <n v="5.668991E9"/>
        <n v="5.001089E9"/>
        <n v="3.993E9"/>
        <n v="4.194E9"/>
        <n v="3.938E9"/>
        <n v="4.815E9"/>
        <n v="6.192E9"/>
        <n v="5.993E9"/>
        <n v="6.066E9"/>
        <n v="5.8E9"/>
        <n v="7.03259E8"/>
        <n v="5.93643E8"/>
        <n v="6.41873E8"/>
        <n v="6.88251E8"/>
        <n v="2.800957E9"/>
        <n v="2.671173E9"/>
        <n v="2.734922E9"/>
        <n v="2.415494E9"/>
        <n v="1.4775E10"/>
        <n v="1.3929E10"/>
        <n v="1.4774E10"/>
        <n v="1.4294E10"/>
        <n v="2.891E9"/>
        <n v="3.09E9"/>
        <n v="3.044E9"/>
        <n v="3.135E9"/>
        <n v="2.3333E10"/>
        <n v="2.1177E10"/>
        <n v="1.7542E10"/>
        <n v="2.0134E10"/>
        <n v="3.881E9"/>
        <n v="4.018E9"/>
        <n v="4.139E9"/>
        <n v="4.281E9"/>
        <n v="1.0466E10"/>
        <n v="9.048E9"/>
        <n v="8.009E9"/>
        <n v="7.044E9"/>
        <n v="8.40839E8"/>
        <n v="9.02518E8"/>
        <n v="8.26675E8"/>
        <n v="8.10739E8"/>
        <n v="1.205E9"/>
        <n v="1.093E9"/>
        <n v="1.046E9"/>
        <n v="1.003E9"/>
        <n v="2.8918E10"/>
        <n v="2.2665E10"/>
        <n v="1.764E10"/>
        <n v="1.783E10"/>
        <n v="8.9157E7"/>
        <n v="9.1985E7"/>
        <n v="7.8529E7"/>
        <n v="7.6203E7"/>
        <n v="4.51E8"/>
        <n v="3.63E8"/>
        <n v="2.12E8"/>
        <n v="3.95E8"/>
        <n v="3.631E9"/>
        <n v="3.656E9"/>
        <n v="3.368E9"/>
        <n v="9.851E8"/>
        <n v="8.152E8"/>
        <n v="8.716E8"/>
        <n v="9.067E8"/>
        <n v="1.551E9"/>
        <n v="1.568E9"/>
        <n v="1.433E9"/>
        <n v="2.12E9"/>
        <n v="1.958E9"/>
        <n v="2.009E9"/>
        <n v="1.732E9"/>
        <n v="4.94346E8"/>
        <n v="4.74354E8"/>
        <n v="4.38825E8"/>
        <n v="4.39603E8"/>
        <n v="1.2756E9"/>
        <n v="1.2973E9"/>
        <n v="1.2172E9"/>
        <n v="1.2648E9"/>
        <n v="3.3239E9"/>
        <n v="3.0161E9"/>
        <n v="3.2978E9"/>
        <n v="3.0169E9"/>
        <n v="5.825E10"/>
        <n v="6.1739E10"/>
        <n v="6.0045E10"/>
        <n v="5.5076E10"/>
        <n v="6.322E9"/>
        <n v="6.208E9"/>
        <n v="6.123E9"/>
        <n v="6.513E9"/>
        <n v="7.784E9"/>
        <n v="8.246E9"/>
        <n v="9.211E9"/>
        <n v="8.091E9"/>
        <n v="1.381E10"/>
        <n v="1.5043E10"/>
        <n v="1.9025E10"/>
        <n v="1.4863E10"/>
        <n v="6.05065E8"/>
        <n v="6.56672E8"/>
        <n v="5.88399E8"/>
        <n v="5.24967E8"/>
        <n v="2.041313E9"/>
        <n v="1.784726E9"/>
        <n v="1.729636E9"/>
        <n v="1.605304E9"/>
        <n v="1.1895E9"/>
        <n v="1.1654E9"/>
        <n v="1.1025E9"/>
        <n v="1.0793E9"/>
        <n v="5.573E9"/>
        <n v="4.907E9"/>
        <n v="4.852E9"/>
        <n v="4.546E9"/>
        <n v="2.7057E10"/>
        <n v="2.4658E10"/>
        <n v="2.5179E10"/>
        <n v="2.1278E10"/>
        <n v="3.27451E8"/>
        <n v="3.19889E8"/>
        <n v="3.14512E8"/>
        <n v="3.21544E8"/>
        <n v="1.292E9"/>
        <n v="6.71E8"/>
        <n v="8.45783E8"/>
        <n v="3.93027E8"/>
        <n v="2.542629E9"/>
        <n v="2.340327E9"/>
        <n v="2.332912E9"/>
        <n v="2.285652E9"/>
        <n v="2.3366E9"/>
        <n v="1.6973E9"/>
        <n v="2.0398E9"/>
        <n v="2.1779E9"/>
        <n v="5.568E9"/>
        <n v="5.825E9"/>
        <n v="6.076E9"/>
        <n v="5.369E9"/>
        <n v="2.31093E8"/>
        <n v="2.06741E8"/>
        <n v="1.91541E8"/>
        <n v="1.97602E8"/>
        <n v="9.35959E8"/>
        <n v="8.2967E8"/>
        <n v="7.93982E8"/>
        <n v="7.87761E8"/>
        <n v="7.46E8"/>
        <n v="7.45E8"/>
        <n v="8.0E8"/>
        <n v="6.92E8"/>
        <n v="8.845E9"/>
        <n v="9.337E9"/>
        <n v="9.485E9"/>
        <n v="8.068E9"/>
        <n v="1.497E9"/>
        <n v="1.681E9"/>
        <n v="1.478E9"/>
        <n v="2.24634E8"/>
        <n v="2.24048E8"/>
        <n v="2.1099E8"/>
        <n v="1.97713E8"/>
        <n v="9.96E8"/>
        <n v="1.225E9"/>
        <n v="1.103E9"/>
        <n v="1.068E9"/>
        <n v="1.254E9"/>
        <n v="1.209E9"/>
        <n v="1.189E9"/>
        <n v="1.154E9"/>
        <n v="5.203426E9"/>
        <n v="5.6902E9"/>
        <n v="5.120774E9"/>
        <n v="4.790358E9"/>
        <n v="2.397E9"/>
        <n v="2.09E9"/>
        <n v="2.441E9"/>
        <n v="2.33E9"/>
        <n v="2.053E9"/>
        <n v="1.967E9"/>
        <n v="2.127E9"/>
        <n v="2.453E9"/>
        <n v="2.207E9"/>
        <n v="2.081E9"/>
        <n v="2.011E9"/>
        <n v="3.346E9"/>
        <n v="3.295E9"/>
        <n v="3.716E9"/>
        <n v="6.36E8"/>
        <n v="6.1E8"/>
        <n v="1.381E9"/>
        <n v="1.331E9"/>
        <n v="8.65E9"/>
        <n v="9.526E9"/>
        <n v="8.688E9"/>
        <n v="7.151E9"/>
        <n v="8.353E8"/>
        <n v="1.0912E9"/>
        <n v="9.691E8"/>
        <n v="7.498E8"/>
        <n v="1.599E9"/>
        <n v="1.566E9"/>
        <n v="1.643E9"/>
        <n v="1.1208E9"/>
        <n v="1.1175E9"/>
        <n v="1.0985E9"/>
        <n v="1.0947E9"/>
        <n v="7.74E9"/>
        <n v="7.948E9"/>
        <n v="9.803E9"/>
        <n v="7.796E9"/>
        <n v="3.92E8"/>
        <n v="3.87E8"/>
        <n v="3.58E8"/>
        <n v="3.57E8"/>
        <n v="5.74464E8"/>
        <n v="5.56561E8"/>
        <n v="5.24301E8"/>
        <n v="6.1234E8"/>
        <n v="8.122E9"/>
        <n v="1.98E9"/>
        <n v="2.387E9"/>
        <n v="1.754E9"/>
        <n v="6.702731E9"/>
        <n v="5.685827E9"/>
        <n v="4.722646E9"/>
        <n v="4.574878E9"/>
        <n v="4.063E9"/>
        <n v="3.705E9"/>
        <n v="3.495E9"/>
        <n v="3.328E9"/>
        <n v="1.864324E9"/>
        <n v="1.720052E9"/>
        <n v="1.962367E9"/>
        <n v="1.666256E9"/>
        <n v="2.022E9"/>
        <n v="2.214E9"/>
        <n v="2.399794E9"/>
        <n v="2.291101E9"/>
        <n v="2.482625E9"/>
        <n v="2.355105E9"/>
        <n v="5.386E9"/>
        <n v="5.248E9"/>
        <n v="4.512E9"/>
        <n v="4.492E9"/>
        <n v="1.016636E9"/>
        <n v="9.53365E8"/>
        <n v="8.56858E8"/>
        <n v="8.19087E8"/>
        <n v="2.8934E9"/>
        <n v="3.0537E9"/>
        <n v="2.9615E9"/>
        <n v="3.2852E9"/>
        <n v="3.874648E9"/>
        <n v="2.784941E9"/>
        <n v="2.535169E9"/>
        <n v="2.03413E9"/>
        <n v="6.258E9"/>
        <n v="6.59E9"/>
        <n v="6.138E9"/>
        <n v="6.12E9"/>
        <n v="7.95E8"/>
        <n v="3.075E9"/>
        <n v="3.131E9"/>
        <n v="2.876E9"/>
        <n v="4.6568E9"/>
        <n v="5.2101E9"/>
        <n v="5.2362E9"/>
        <n v="5.0482E9"/>
        <n v="1.629E9"/>
        <n v="1.5724E9"/>
        <n v="1.5463E9"/>
        <n v="1.5109E9"/>
        <n v="3.10253E9"/>
        <n v="3.248898E9"/>
        <n v="3.104541E9"/>
        <n v="2.867729E9"/>
        <n v="6.4E8"/>
        <n v="6.754E8"/>
        <n v="6.431E8"/>
        <n v="6.294E8"/>
        <n v="2.12889E8"/>
        <n v="1.95056E8"/>
        <n v="1.77652E8"/>
        <n v="1.847E8"/>
        <n v="5.139E9"/>
        <n v="5.11E9"/>
        <n v="4.933E9"/>
        <n v="5.109E9"/>
        <n v="1.2589E9"/>
        <n v="1.1644E9"/>
        <n v="1.0583E9"/>
        <n v="8.992E8"/>
        <n v="7.979E8"/>
        <n v="7.732E8"/>
        <n v="7.077E8"/>
        <n v="6.729E8"/>
        <n v="2.737E8"/>
        <n v="2.774E8"/>
        <n v="2.743E8"/>
        <n v="2.336E8"/>
        <n v="1.6849E10"/>
        <n v="1.5925E10"/>
        <n v="1.252E10"/>
        <n v="1.9599E10"/>
        <n v="8.80128E8"/>
        <n v="8.73983E8"/>
        <n v="8.17548E8"/>
        <n v="8.57361E8"/>
        <n v="1.5251E10"/>
        <n v="1.2746E10"/>
        <n v="9.44E9"/>
        <n v="1.0052E10"/>
        <n v="4.651E9"/>
        <n v="4.413E9"/>
        <n v="4.121E9"/>
        <n v="4.49E9"/>
        <n v="2.956E10"/>
        <n v="2.7297E10"/>
        <n v="2.2354E10"/>
        <n v="1.7211E10"/>
        <n v="8.50746E8"/>
        <n v="6.93688E8"/>
        <n v="6.2115E8"/>
        <n v="6.95943E8"/>
        <n v="3.577E9"/>
        <n v="3.677E9"/>
        <n v="2.895E9"/>
        <n v="2.116E9"/>
        <n v="3.587E9"/>
        <n v="3.05E9"/>
        <n v="2.574E9"/>
        <n v="2.708E9"/>
        <n v="1.175572E9"/>
        <n v="1.449247E9"/>
        <n v="9.31714E8"/>
        <n v="7.64911E8"/>
        <n v="3.839E9"/>
        <n v="3.343E9"/>
        <n v="1.01E9"/>
        <n v="1.079E9"/>
        <n v="1.163E9"/>
        <n v="2.9956E9"/>
        <n v="3.1068E9"/>
        <n v="2.5946E9"/>
        <n v="3.1735E9"/>
        <n v="1.5377E10"/>
        <n v="1.4273E10"/>
        <n v="1.4324E10"/>
        <n v="1.4365E10"/>
        <n v="1.16594E10"/>
        <n v="1.08436E10"/>
        <n v="9.5153E9"/>
        <n v="9.2479E9"/>
        <n v="7.71185E8"/>
        <n v="7.64504E8"/>
        <n v="8.06385E8"/>
        <n v="7.78624E8"/>
        <n v="1.9835E10"/>
        <n v="1.3144E10"/>
        <n v="1.3537E10"/>
        <n v="1.5129E10"/>
        <n v="3.63726E8"/>
        <n v="3.616E8"/>
        <n v="3.49316E8"/>
        <n v="3.34565E8"/>
        <n v="1.855E9"/>
        <n v="2.066E9"/>
        <n v="1.907E9"/>
        <n v="4.56968E8"/>
        <n v="4.19054E8"/>
        <n v="3.94856E8"/>
        <n v="3.67483E8"/>
        <n v="2.856006E9"/>
        <n v="2.722651E9"/>
        <n v="2.274225E9"/>
        <n v="2.663568E9"/>
        <n v="2.0276E9"/>
        <n v="1.8343E9"/>
        <n v="2.1427E9"/>
        <n v="1.9997E9"/>
        <n v="8.92388E8"/>
        <n v="8.12049E8"/>
        <n v="7.50472E8"/>
        <n v="7.94636E8"/>
        <n v="6.434E9"/>
        <n v="5.865E9"/>
        <n v="5.769E9"/>
        <n v="5.709E9"/>
        <n v="3.11622E9"/>
        <n v="2.843506E9"/>
        <n v="2.595398E9"/>
        <n v="2.733417E9"/>
        <n v="2.109E9"/>
        <n v="1.996E9"/>
        <n v="2.039E9"/>
        <n v="2.167E9"/>
        <n v="1.2526E9"/>
        <n v="1.1461E9"/>
        <n v="1.246E9"/>
        <n v="1.2439E9"/>
        <n v="2.125E9"/>
        <n v="2.01E9"/>
        <n v="1.957E9"/>
        <n v="1.797E9"/>
        <n v="1.4359E10"/>
        <n v="1.4052E10"/>
        <n v="1.3708E10"/>
        <n v="1.5862E10"/>
        <n v="2.52307E8"/>
        <n v="2.41372E8"/>
        <n v="2.2728E8"/>
        <n v="2.1885E8"/>
        <n v="1.73307E8"/>
        <n v="1.76594E8"/>
        <n v="1.80992E8"/>
        <n v="1.95936E8"/>
        <n v="1.6056E9"/>
        <n v="1.7913E9"/>
        <n v="1.416E9"/>
        <n v="1.3509E9"/>
        <n v="9.18E8"/>
        <n v="8.96E8"/>
        <n v="9.2E8"/>
        <n v="9.4E8"/>
        <n v="2.3651E9"/>
        <n v="2.2739E9"/>
        <n v="2.1023E9"/>
        <n v="2.0929E9"/>
        <n v="6.42102E8"/>
        <n v="6.34465E8"/>
        <n v="5.45341E8"/>
        <n v="5.6439E8"/>
        <n v="1.483387E9"/>
        <n v="1.404378E9"/>
        <n v="1.260307E9"/>
        <n v="1.215138E9"/>
        <n v="1.5511E9"/>
        <n v="1.5554E9"/>
        <n v="1.4375E9"/>
        <n v="1.3008E9"/>
        <n v="5.23352E8"/>
        <n v="5.0465E8"/>
        <n v="4.47356E8"/>
        <n v="4.47833E8"/>
        <n v="1.0593E9"/>
        <n v="1.1281E9"/>
        <n v="1.1382E9"/>
        <n v="4.128659E9"/>
        <n v="3.873449E9"/>
        <n v="3.607668E9"/>
        <n v="3.589276E9"/>
        <n v="1.46302E9"/>
        <n v="1.033827E9"/>
        <n v="8.51694E8"/>
        <n v="8.38821E8"/>
        <n v="8.88E8"/>
        <n v="8.75E8"/>
        <n v="9.95E8"/>
        <n v="5.954E9"/>
        <n v="5.609E9"/>
        <n v="5.624E9"/>
        <n v="5.195E9"/>
        <n v="3.68076E8"/>
        <n v="3.72289E8"/>
        <n v="3.70677E8"/>
        <n v="3.59987E8"/>
        <n v="5.082E9"/>
        <n v="4.972E9"/>
        <n v="4.72E9"/>
        <n v="5.028E9"/>
        <n v="2.528E9"/>
        <n v="2.499E9"/>
        <n v="2.347E9"/>
        <n v="2.273E9"/>
        <n v="1.2023E9"/>
        <n v="1.0634E9"/>
        <n v="1.121E9"/>
        <n v="2.575E9"/>
        <n v="2.304E9"/>
        <n v="2.257E9"/>
        <n v="2.489E9"/>
        <n v="1.358E9"/>
        <n v="1.263E9"/>
        <n v="1.2324E9"/>
        <n v="4.4538E9"/>
        <n v="4.4876E9"/>
        <n v="3.9525E9"/>
        <n v="3.9206E9"/>
        <n v="6.8423E8"/>
        <n v="6.49423E8"/>
        <n v="6.35339E8"/>
        <n v="6.69381E8"/>
        <n v="9.75E8"/>
        <n v="7.761E8"/>
        <n v="7.971E8"/>
        <n v="9.393E8"/>
        <n v="8.493E8"/>
        <n v="8.786E8"/>
        <n v="8.432E8"/>
        <n v="8.766E8"/>
        <n v="4.498E9"/>
        <n v="4.359E9"/>
        <n v="4.165E9"/>
        <n v="4.31E9"/>
        <n v="4.738E9"/>
        <n v="4.169E9"/>
        <n v="3.32E9"/>
        <n v="3.213E9"/>
        <n v="3.6798E9"/>
        <n v="3.4479E9"/>
        <n v="3.6545E9"/>
        <n v="3.2359E9"/>
        <n v="6.0935E9"/>
        <n v="5.7345E9"/>
        <n v="5.8464E9"/>
        <n v="5.48E9"/>
        <n v="2.037E9"/>
        <n v="2.264E9"/>
        <n v="2.072E9"/>
        <n v="2.029E9"/>
        <n v="8.13088E8"/>
        <n v="7.03613E8"/>
        <n v="6.4306E8"/>
        <n v="6.09271E8"/>
        <n v="3.486E9"/>
        <n v="3.23E9"/>
        <n v="3.158E9"/>
        <n v="2.82E9"/>
        <n v="6.26538E8"/>
        <n v="6.26298E8"/>
        <n v="4.84088E8"/>
        <n v="4.72817E8"/>
        <n v="9.48E8"/>
        <n v="9.32E8"/>
        <n v="6.23E8"/>
        <n v="1.023E9"/>
        <n v="8.40056E8"/>
        <n v="8.30092E8"/>
        <n v="8.21973E8"/>
        <n v="8.29694E8"/>
        <n v="1.1597796E10"/>
        <n v="1.1383753E10"/>
        <n v="1.1342372E10"/>
        <n v="8.900688E9"/>
        <n v="1.7233E10"/>
        <n v="1.7322E10"/>
        <n v="1.7945E10"/>
        <n v="1.6422E10"/>
        <n v="9.712E8"/>
        <n v="9.336E8"/>
        <n v="9.77E8"/>
        <n v="8.669E8"/>
        <n v="7.59494E8"/>
        <n v="6.31001E8"/>
        <n v="5.69902E8"/>
        <n v="6.79636E8"/>
        <n v="1.3429E9"/>
        <n v="1.0904E9"/>
        <n v="1.2743E9"/>
        <n v="9.434E8"/>
        <n v="2.2646E10"/>
        <n v="2.1776E10"/>
        <n v="2.6717E10"/>
        <n v="2.0694E10"/>
        <n v="3.108E9"/>
        <n v="3.101E9"/>
        <n v="2.914E9"/>
        <n v="8.959E8"/>
        <n v="6.608E8"/>
        <n v="6.644E8"/>
        <n v="6.233E8"/>
        <n v="5.73359E8"/>
        <n v="5.16139E8"/>
        <n v="5.71279E8"/>
        <n v="4.99868E8"/>
        <n v="6.96456E8"/>
        <n v="5.56133E8"/>
        <n v="5.51757E8"/>
        <n v="5.77615E8"/>
        <n v="9.896E9"/>
        <n v="1.0169E10"/>
        <n v="8.005E9"/>
        <n v="2.361E9"/>
        <n v="2.229E9"/>
        <n v="2.216E9"/>
        <n v="2.939E9"/>
        <n v="2.663E9"/>
        <n v="3.393E9"/>
        <n v="6.041E8"/>
        <n v="5.696E8"/>
        <n v="5.435E8"/>
        <n v="4.914E8"/>
        <n v="4.41E9"/>
        <n v="4.915E9"/>
        <n v="4.634E9"/>
        <n v="4.48E9"/>
        <n v="1.531582E9"/>
        <n v="1.737185E9"/>
        <n v="1.762969E9"/>
        <n v="1.6132E9"/>
        <n v="2.1816E9"/>
        <n v="1.9389E9"/>
        <n v="2.1933E9"/>
        <n v="2.232E9"/>
        <n v="7.473E9"/>
        <n v="7.34E9"/>
        <n v="6.698E9"/>
        <n v="7.202E9"/>
        <n v="1.4203E10"/>
        <n v="1.6023E10"/>
        <n v="1.5181E10"/>
        <n v="1.1725E10"/>
        <n v="7.033E9"/>
        <n v="6.817E9"/>
        <n v="7.465E9"/>
        <n v="6.132E9"/>
        <n v="9.320627E9"/>
        <n v="1.0587676E10"/>
        <n v="9.048413E9"/>
        <n v="6.702258E9"/>
        <n v="3.102676E9"/>
        <n v="2.5618E9"/>
        <n v="2.584747E9"/>
        <n v="2.334395E9"/>
        <n v="3.176E9"/>
        <n v="2.6598E9"/>
        <n v="2.7924E9"/>
        <n v="2.9243E9"/>
        <n v="7.62E8"/>
        <n v="7.63E8"/>
        <n v="8.21E8"/>
        <n v="7.957E8"/>
        <n v="7.441E8"/>
        <n v="6.822E8"/>
        <n v="6.777E8"/>
        <n v="3.541E9"/>
        <n v="3.303E9"/>
        <n v="3.321E9"/>
        <n v="3.315E9"/>
        <n v="1.160175E9"/>
        <n v="9.83836E8"/>
        <n v="8.87267E8"/>
        <n v="8.80126E8"/>
        <n v="2.55781E8"/>
        <n v="2.35249E8"/>
        <n v="2.3609E8"/>
        <n v="2.2975E8"/>
        <n v="1.1365E10"/>
        <n v="1.0486E10"/>
        <n v="9.638E9"/>
        <n v="1.0215E10"/>
        <n v="3.307E9"/>
        <n v="3.499E9"/>
        <n v="1.635948E9"/>
        <n v="1.635534E9"/>
        <n v="1.891626E9"/>
        <n v="1.427132E9"/>
        <n v="1.227808E9"/>
        <n v="1.144692E9"/>
        <n v="1.285946E9"/>
        <n v="1.30175E9"/>
        <n v="3.002E9"/>
        <n v="3.122E9"/>
        <n v="6.675E9"/>
        <n v="6.205E9"/>
        <n v="5.864E9"/>
        <n v="5.181E9"/>
        <n v="1.9849E10"/>
        <n v="1.6398E10"/>
        <n v="3.0395E10"/>
        <n v="1.849E10"/>
        <n v="1.794E9"/>
        <n v="1.673E9"/>
        <n v="1.749E9"/>
        <n v="1.618E9"/>
        <n v="6.5343E10"/>
        <n v="6.3457E10"/>
        <n v="6.195E10"/>
        <n v="6.0464E10"/>
        <n v="2.758912E9"/>
        <n v="2.717318E9"/>
        <n v="2.671976E9"/>
        <n v="2.562871E9"/>
        <n v="2.5802E10"/>
        <n v="2.0338E10"/>
        <n v="1.5758E10"/>
        <n v="1.5053E10"/>
        <n v="7.59082E8"/>
        <n v="7.54273E8"/>
        <n v="8.67834E8"/>
        <n v="7.84135E8"/>
        <n v="1.16426E8"/>
        <n v="1.13214E8"/>
        <n v="1.15776E8"/>
        <n v="1.1123E8"/>
        <n v="4.822E8"/>
        <n v="4.752E8"/>
        <n v="4.611E8"/>
        <n v="4.268E8"/>
        <n v="2.5248E10"/>
        <n v="2.4518E10"/>
        <n v="2.697E10"/>
        <n v="2.3569E10"/>
        <n v="1.829731E9"/>
        <n v="8.40379E8"/>
        <n v="8.81528E8"/>
        <n v="8.6423E8"/>
        <n v="2.053185E9"/>
        <n v="2.388046E9"/>
        <n v="2.517769E9"/>
        <n v="2.277166E9"/>
        <n v="5.896E9"/>
        <n v="5.307E9"/>
        <n v="5.124E9"/>
        <n v="4.824E9"/>
        <n v="3.7189E9"/>
        <n v="3.7013E9"/>
        <n v="3.7742E9"/>
        <n v="2.4531E9"/>
        <n v="2.068E9"/>
        <n v="2.145E9"/>
        <n v="1.842E9"/>
        <n v="1.924E9"/>
        <n v="3.11299E8"/>
        <n v="3.31362E8"/>
        <n v="3.25949E8"/>
        <n v="3.35065E8"/>
        <n v="1.068193E9"/>
        <n v="9.34467E8"/>
        <n v="9.81048E8"/>
        <n v="1.017056E9"/>
        <n v="1.951272E9"/>
        <n v="1.826127E9"/>
        <n v="1.844753E9"/>
        <n v="1.788559E9"/>
        <n v="2.873E9"/>
        <n v="2.726E9"/>
        <n v="2.629E9"/>
        <n v="2.644E9"/>
        <n v="1.6209E9"/>
        <n v="1.8387E9"/>
        <n v="1.6389E9"/>
        <n v="1.5317E9"/>
        <n v="3.1995E10"/>
        <n v="3.0628E10"/>
        <n v="3.4226E10"/>
        <n v="3.45E10"/>
        <n v="1.33694E11"/>
        <n v="1.31401E11"/>
        <n v="1.45592E11"/>
        <n v="1.2833E11"/>
        <n v="3.444E9"/>
        <n v="3.296E9"/>
        <n v="3.167E9"/>
        <n v="4.85175E8"/>
        <n v="4.37224E8"/>
        <n v="5.16097E8"/>
        <n v="4.29595E8"/>
        <n v="1.2861E9"/>
        <n v="2.0388E9"/>
        <n v="1.5459E9"/>
        <n v="1.269E9"/>
        <n v="1.3266E10"/>
        <n v="1.4055E10"/>
        <n v="1.4092E10"/>
        <n v="1.4511E10"/>
        <n v="9.2271E8"/>
        <n v="9.14265E8"/>
        <n v="9.73063E8"/>
        <n v="9.05917E8"/>
        <n v="5.122E8"/>
        <n v="4.924E8"/>
        <n v="4.592E8"/>
        <n v="4.413E8"/>
        <n v="3.855E9"/>
        <n v="3.783E9"/>
        <n v="3.859E9"/>
        <n v="4.099E9"/>
        <n v="1.0378E9"/>
        <n v="9.803E8"/>
        <n v="1.0358E9"/>
        <n v="9.671E8"/>
        <n v="4.2002E9"/>
        <n v="4.124E9"/>
        <n v="4.0626E9"/>
        <n v="3.9346E9"/>
        <n v="1.712E9"/>
        <n v="1.553E9"/>
        <n v="1.534E9"/>
        <n v="1.524E9"/>
        <n v="4.743E9"/>
        <n v="4.717E9"/>
        <n v="5.006E9"/>
        <n v="4.653E9"/>
        <n v="1.682E9"/>
        <n v="1.392E9"/>
        <n v="1.293E9"/>
        <n v="2.038E9"/>
        <n v="1.966E9"/>
        <n v="1.818E9"/>
        <n v="1.864E9"/>
        <n v="1.016034E9"/>
        <n v="9.09314E8"/>
        <n v="8.05906E8"/>
        <n v="6.46159E8"/>
        <n v="2.642E9"/>
        <n v="3.034E9"/>
        <n v="6.68243E8"/>
        <n v="6.51205E8"/>
        <n v="6.30979E8"/>
        <n v="5.61118E8"/>
        <n v="1.193E9"/>
        <n v="1.12E9"/>
        <n v="1.186E9"/>
        <n v="1.073E9"/>
        <n v="1.042E9"/>
        <n v="9.54E8"/>
        <n v="1.247E9"/>
        <n v="9.46E8"/>
        <n v="1.126E9"/>
        <n v="9.62E8"/>
        <n v="1.7208E9"/>
        <n v="1.5318E9"/>
        <n v="1.7114E9"/>
        <n v="4.22E8"/>
        <n v="4.19E8"/>
        <n v="3.82E8"/>
        <n v="4.45E8"/>
        <n v="1.222E9"/>
        <n v="1.115E9"/>
        <n v="1.277E9"/>
        <n v="1.116E9"/>
      </sharedItems>
    </cacheField>
    <cacheField name="Cost Of Revenue" numFmtId="0">
      <sharedItems containsSemiMixedTypes="0" containsString="0" containsNumber="1" containsInteger="1">
        <n v="4.853E9"/>
        <n v="4.719E9"/>
        <n v="4.524E9"/>
        <n v="4.337E9"/>
        <n v="5.743E8"/>
        <n v="5.384E8"/>
        <n v="4.804E8"/>
        <n v="5.104E8"/>
        <n v="4.423E9"/>
        <n v="4.437E9"/>
        <n v="4.4E9"/>
        <n v="4.494E9"/>
        <n v="4.344E9"/>
        <n v="4.498E9"/>
        <n v="4.192E9"/>
        <n v="3.41E9"/>
        <n v="4.3886E7"/>
        <n v="4.5188E7"/>
        <n v="4.6078E7"/>
        <n v="4.111E7"/>
        <n v="8.953068E9"/>
        <n v="8.859411E9"/>
        <n v="8.492893E9"/>
        <n v="7.863889E9"/>
        <n v="5.27E8"/>
        <n v="5.55E8"/>
        <n v="5.78E8"/>
        <n v="8.17E8"/>
        <n v="1.9014E10"/>
        <n v="2.1463E10"/>
        <n v="1.7345E10"/>
        <n v="1.6626E10"/>
        <n v="4.67E8"/>
        <n v="4.44E8"/>
        <n v="4.47E8"/>
        <n v="4.28E8"/>
        <n v="1.459999E9"/>
        <n v="0.0"/>
        <n v="1.843141E9"/>
        <n v="2.227E9"/>
        <n v="2.02E9"/>
        <n v="1.858E9"/>
        <n v="1.793E9"/>
        <n v="2.276E9"/>
        <n v="1.972E9"/>
        <n v="1.971E9"/>
        <n v="1.836E9"/>
        <n v="3.198E9"/>
        <n v="3.248E9"/>
        <n v="3.372E9"/>
        <n v="3.597E9"/>
        <n v="7.34E8"/>
        <n v="7.08E8"/>
        <n v="7.1E8"/>
        <n v="6.95E8"/>
        <n v="2.0063E9"/>
        <n v="1.8019E9"/>
        <n v="1.7455E9"/>
        <n v="1.6324E9"/>
        <n v="3.16866E8"/>
        <n v="3.2E8"/>
        <n v="3.06687E8"/>
        <n v="3.03847E8"/>
        <n v="5.81293E8"/>
        <n v="5.25479E8"/>
        <n v="5.65604E8"/>
        <n v="6.12427E8"/>
        <n v="1.391E9"/>
        <n v="1.281E9"/>
        <n v="1.109E9"/>
        <n v="1.021E9"/>
        <n v="1.65995E8"/>
        <n v="1.43955E8"/>
        <n v="1.37888E8"/>
        <n v="1.36767E8"/>
        <n v="2.6075E8"/>
        <n v="2.5227E8"/>
        <n v="2.17673E8"/>
        <n v="2.24057E8"/>
        <n v="4.165E8"/>
        <n v="4.264E8"/>
        <n v="3.969E8"/>
        <n v="4.066E8"/>
        <n v="5.44E8"/>
        <n v="4.5E8"/>
        <n v="5.13E8"/>
        <n v="5.18E8"/>
        <n v="1.0123E10"/>
        <n v="9.004E9"/>
        <n v="7.808E9"/>
        <n v="7.428E9"/>
        <n v="2.6227E10"/>
        <n v="2.4103E10"/>
        <n v="2.608E10"/>
        <n v="2.1117E10"/>
        <n v="1.882E9"/>
        <n v="1.607E9"/>
        <n v="1.889E9"/>
        <n v="1.96E9"/>
        <n v="6.4176E10"/>
        <n v="6.2403E10"/>
        <n v="7.9284E10"/>
        <n v="5.7106E10"/>
        <n v="2.709E9"/>
        <n v="2.525E9"/>
        <n v="2.452E9"/>
        <n v="2.443E9"/>
        <n v="7.17E8"/>
        <n v="7.71E8"/>
        <n v="6.74E8"/>
        <n v="6.62E8"/>
        <n v="6.691E9"/>
        <n v="5.814E9"/>
        <n v="4.951E9"/>
        <n v="5.662E9"/>
        <n v="1.9552E9"/>
        <n v="2.428E9"/>
        <n v="2.0347E9"/>
        <n v="2.1409E9"/>
        <n v="3.144E9"/>
        <n v="2.56E9"/>
        <n v="2.603E9"/>
        <n v="2.263E9"/>
        <n v="7.871E9"/>
        <n v="7.311E9"/>
        <n v="7.841E9"/>
        <n v="7.461E9"/>
        <n v="6.479E8"/>
        <n v="5.726E8"/>
        <n v="5.626E8"/>
        <n v="4.31E8"/>
        <n v="4.19E8"/>
        <n v="4.29E8"/>
        <n v="1.7E9"/>
        <n v="1.833E9"/>
        <n v="2.006E9"/>
        <n v="2.217E9"/>
        <n v="5.1517489E10"/>
        <n v="4.762079E10"/>
        <n v="5.1064326E10"/>
        <n v="4.7898451E10"/>
        <n v="9.12712E8"/>
        <n v="7.89392E8"/>
        <n v="7.69968E8"/>
        <n v="7.32705E8"/>
        <n v="1.637E9"/>
        <n v="1.49E9"/>
        <n v="1.597E9"/>
        <n v="1.561E9"/>
        <n v="1.6496E9"/>
        <n v="1.6604E9"/>
        <n v="1.5885E9"/>
        <n v="1.3837E9"/>
        <n v="5.37669E8"/>
        <n v="5.2477E8"/>
        <n v="5.13087E8"/>
        <n v="5.03211E8"/>
        <n v="4.9133E7"/>
        <n v="4.7154E7"/>
        <n v="5.6488E7"/>
        <n v="4.3474E7"/>
        <n v="2.6645E10"/>
        <n v="2.4763E10"/>
        <n v="2.3699E10"/>
        <n v="2.4088E10"/>
        <n v="1.62E9"/>
        <n v="1.713E9"/>
        <n v="1.632E9"/>
        <n v="1.383E9"/>
        <n v="6.34E8"/>
        <n v="8.16E8"/>
        <n v="3.9E8"/>
        <n v="3.97E8"/>
        <n v="4.6179E10"/>
        <n v="5.1505E10"/>
        <n v="6.7111E10"/>
        <n v="4.0009E10"/>
        <n v="3.229E9"/>
        <n v="2.929E9"/>
        <n v="2.801E9"/>
        <n v="2.558E9"/>
        <n v="3.205E9"/>
        <n v="3.296E9"/>
        <n v="3.4E9"/>
        <n v="2.994E9"/>
        <n v="2.53141E8"/>
        <n v="2.4229E8"/>
        <n v="2.33898E8"/>
        <n v="2.20469E8"/>
        <n v="1.1912E9"/>
        <n v="1.2701E9"/>
        <n v="1.0817E9"/>
        <n v="1.1716E9"/>
        <n v="2.2409E9"/>
        <n v="2.1714E9"/>
        <n v="2.2257E9"/>
        <n v="2.308E9"/>
        <n v="2.1099E10"/>
        <n v="2.1087E10"/>
        <n v="2.291E10"/>
        <n v="1.9839E10"/>
        <n v="2.7134E8"/>
        <n v="7.30184E8"/>
        <n v="4.26903E8"/>
        <n v="1.98103E8"/>
        <n v="9.16E7"/>
        <n v="8.24E7"/>
        <n v="8.19E7"/>
        <n v="7.59E7"/>
        <n v="2.106E9"/>
        <n v="2.1781E9"/>
        <n v="2.0223E9"/>
        <n v="1.9308E9"/>
        <n v="2.345645E9"/>
        <n v="1.736077E9"/>
        <n v="1.351435E9"/>
        <n v="1.478644E9"/>
        <n v="2.14051E8"/>
        <n v="2.09044E8"/>
        <n v="2.11026E8"/>
        <n v="2.1341E8"/>
        <n v="1.5257E9"/>
        <n v="1.4543E9"/>
        <n v="1.4198E9"/>
        <n v="1.2449E9"/>
        <n v="4.083E9"/>
        <n v="4.166E9"/>
        <n v="3.924E9"/>
        <n v="4.458E9"/>
        <n v="2.76E9"/>
        <n v="2.493E9"/>
        <n v="2.448E9"/>
        <n v="2.43E9"/>
        <n v="1.82E9"/>
        <n v="1.61E9"/>
        <n v="1.749E9"/>
        <n v="1.696E9"/>
        <n v="1.844E9"/>
        <n v="1.772E9"/>
        <n v="1.921E9"/>
        <n v="1.763E9"/>
        <n v="2.729E9"/>
        <n v="2.624E9"/>
        <n v="2.549E9"/>
        <n v="2.275E9"/>
        <n v="9.039E9"/>
        <n v="8.928E9"/>
        <n v="1.3407E10"/>
        <n v="9.022E9"/>
        <n v="3.13233E8"/>
        <n v="3.02269E8"/>
        <n v="3.31584E8"/>
        <n v="2.79952E8"/>
        <n v="8.1519E7"/>
        <n v="7.5278E7"/>
        <n v="7.333E7"/>
        <n v="6.6468E7"/>
        <n v="4.597E8"/>
        <n v="4.781E8"/>
        <n v="4.906E8"/>
        <n v="4.491E8"/>
        <n v="2.391E9"/>
        <n v="2.234E9"/>
        <n v="2.129E9"/>
        <n v="2.124E9"/>
        <n v="1.3148E10"/>
        <n v="1.4073E10"/>
        <n v="1.324E10"/>
        <n v="1.9366E10"/>
        <n v="6.86E8"/>
        <n v="5.52E8"/>
        <n v="4.91E8"/>
        <n v="5.17E8"/>
        <n v="2.996E9"/>
        <n v="3.191E9"/>
        <n v="3.154E9"/>
        <n v="2.017E9"/>
        <n v="2.5145E8"/>
        <n v="2.59771E8"/>
        <n v="2.57649E8"/>
        <n v="2.61732E8"/>
        <n v="9.57E8"/>
        <n v="9.06E8"/>
        <n v="6.23E8"/>
        <n v="8.81E8"/>
        <n v="2.363E9"/>
        <n v="2.424E9"/>
        <n v="2.235E9"/>
        <n v="2.043E9"/>
        <n v="1.729E9"/>
        <n v="1.699E9"/>
        <n v="1.814E9"/>
        <n v="1.753E9"/>
        <n v="9.605E8"/>
        <n v="8.065E8"/>
        <n v="7.871E8"/>
        <n v="8.842E8"/>
        <n v="4.29498E8"/>
        <n v="3.7747E8"/>
        <n v="3.62767E8"/>
        <n v="3.46515E8"/>
        <n v="4.462324E9"/>
        <n v="4.218134E9"/>
        <n v="3.938431E9"/>
        <n v="3.313876E9"/>
        <n v="7.6759E7"/>
        <n v="8.3967E7"/>
        <n v="7.3536E7"/>
        <n v="8.2284E7"/>
        <n v="1.045E9"/>
        <n v="8.45E8"/>
        <n v="7.77E8"/>
        <n v="6.67E8"/>
        <n v="1.354E9"/>
        <n v="1.498E9"/>
        <n v="1.526E9"/>
        <n v="1.358E9"/>
        <n v="4.0914E10"/>
        <n v="3.7463E10"/>
        <n v="3.9765E10"/>
        <n v="3.735E10"/>
        <n v="6.841659E9"/>
        <n v="4.625568E9"/>
        <n v="4.665569E9"/>
        <n v="4.752928E9"/>
        <n v="4.08E8"/>
        <n v="3.54E8"/>
        <n v="3.84E8"/>
        <n v="3.815E9"/>
        <n v="3.3E9"/>
        <n v="3.294E9"/>
        <n v="3.442E9"/>
        <n v="7.489E8"/>
        <n v="6.877E8"/>
        <n v="6.126E8"/>
        <n v="5.968E8"/>
        <n v="8.556E9"/>
        <n v="8.392E9"/>
        <n v="7.511E9"/>
        <n v="7.752E9"/>
        <n v="4.502E8"/>
        <n v="6.453E8"/>
        <n v="5.371E8"/>
        <n v="5.007E8"/>
        <n v="5.016759E9"/>
        <n v="4.719546E9"/>
        <n v="5.34443E9"/>
        <n v="4.548879E9"/>
        <n v="4.2636E9"/>
        <n v="4.0423E9"/>
        <n v="4.0753E9"/>
        <n v="3.9309E9"/>
        <n v="1.437E9"/>
        <n v="1.313E9"/>
        <n v="1.215E9"/>
        <n v="1.084E9"/>
        <n v="2.543E10"/>
        <n v="2.4389E10"/>
        <n v="2.3391E10"/>
        <n v="2.2605E10"/>
        <n v="9.93E8"/>
        <n v="1.644E9"/>
        <n v="8.92E8"/>
        <n v="1.438E8"/>
        <n v="1.293E8"/>
        <n v="1.262E8"/>
        <n v="1.158E8"/>
        <n v="2.61325E8"/>
        <n v="2.30656E8"/>
        <n v="2.34673E8"/>
        <n v="2.31889E8"/>
        <n v="1.085E9"/>
        <n v="7.59E8"/>
        <n v="9.22E8"/>
        <n v="7.53E8"/>
        <n v="5.72193E8"/>
        <n v="5.15725E8"/>
        <n v="4.90359E8"/>
        <n v="4.5312E8"/>
        <n v="1.66E8"/>
        <n v="1.47E8"/>
        <n v="1.27E8"/>
        <n v="7.3E7"/>
        <n v="7.055E9"/>
        <n v="7.026E9"/>
        <n v="6.96E9"/>
        <n v="1.1303E10"/>
        <n v="2.0629E10"/>
        <n v="1.7568E10"/>
        <n v="1.3387E10"/>
        <n v="1.3448E10"/>
        <n v="1.198312E9"/>
        <n v="1.142414E9"/>
        <n v="1.058109E9"/>
        <n v="1.006027E9"/>
        <n v="6.889E9"/>
        <n v="6.885E9"/>
        <n v="6.642E9"/>
        <n v="7.678E9"/>
        <n v="7.322E8"/>
        <n v="7.189E8"/>
        <n v="6.88E8"/>
        <n v="7.379E8"/>
        <n v="3.7485E10"/>
        <n v="3.524E10"/>
        <n v="3.5906E10"/>
        <n v="3.5053E10"/>
        <n v="1.424E9"/>
        <n v="1.337E9"/>
        <n v="1.575E9"/>
        <n v="1.525E9"/>
        <n v="9.94194E8"/>
        <n v="9.76612E8"/>
        <n v="9.6754E8"/>
        <n v="9.37164E8"/>
        <n v="4.618E9"/>
        <n v="4.176E9"/>
        <n v="4.348E9"/>
        <n v="4.47E9"/>
        <n v="1.41187E8"/>
        <n v="1.3246E8"/>
        <n v="1.25538E8"/>
        <n v="1.18993E8"/>
        <n v="1.134E9"/>
        <n v="1.007E9"/>
        <n v="1.005E9"/>
        <n v="9.96E8"/>
        <n v="9.75E8"/>
        <n v="1.126E9"/>
        <n v="1.07E9"/>
        <n v="3.787E9"/>
        <n v="3.505E9"/>
        <n v="3.578E9"/>
        <n v="3.471E9"/>
        <n v="2.863E9"/>
        <n v="2.764E9"/>
        <n v="2.645E9"/>
        <n v="2.626E9"/>
        <n v="1.704E9"/>
        <n v="1.707E9"/>
        <n v="1.681E9"/>
        <n v="1.613E9"/>
        <n v="9.256E9"/>
        <n v="8.919E9"/>
        <n v="9.438E9"/>
        <n v="8.565E9"/>
        <n v="2.0035E9"/>
        <n v="2.0968E9"/>
        <n v="1.8583E9"/>
        <n v="2.3549E9"/>
        <n v="4.377E9"/>
        <n v="5.81E9"/>
        <n v="3.609E9"/>
        <n v="2.802E9"/>
        <n v="1.616E9"/>
        <n v="1.305E9"/>
        <n v="1.318E9"/>
        <n v="1.16E9"/>
        <n v="1.1415E9"/>
        <n v="9.046E8"/>
        <n v="9.097E8"/>
        <n v="1.1219E9"/>
        <n v="3.44214E8"/>
        <n v="3.01091E8"/>
        <n v="2.8713E8"/>
        <n v="3.07942E8"/>
        <n v="2.192E9"/>
        <n v="2.134E9"/>
        <n v="2.077E9"/>
        <n v="1.876E9"/>
        <n v="3.01E9"/>
        <n v="2.42E9"/>
        <n v="2.112E9"/>
        <n v="1.297E9"/>
        <n v="5.4733E10"/>
        <n v="3.9415E10"/>
        <n v="3.9078E10"/>
        <n v="3.7458E10"/>
        <n v="1.49642E8"/>
        <n v="1.53578E8"/>
        <n v="1.64078E8"/>
        <n v="1.67179E8"/>
        <n v="4.94E8"/>
        <n v="4.62E8"/>
        <n v="5.02E8"/>
        <n v="4.87E8"/>
        <n v="1.532E9"/>
        <n v="1.301E9"/>
        <n v="1.352E9"/>
        <n v="1.242E9"/>
        <n v="4.633E9"/>
        <n v="4.606E9"/>
        <n v="4.425E9"/>
        <n v="3.813E9"/>
        <n v="5.9421E10"/>
        <n v="5.6598E10"/>
        <n v="5.7597E10"/>
        <n v="5.5336E10"/>
        <n v="5.3254E9"/>
        <n v="4.7645E9"/>
        <n v="4.43E9"/>
        <n v="4.8472E9"/>
        <n v="2.821E9"/>
        <n v="2.576E9"/>
        <n v="2.7664E9"/>
        <n v="2.2405E9"/>
        <n v="1.7398E9"/>
        <n v="1.3956E9"/>
        <n v="1.3411E9"/>
        <n v="1.2261E9"/>
        <n v="2.008589E9"/>
        <n v="1.965277E9"/>
        <n v="1.93833E9"/>
        <n v="2.056881E9"/>
        <n v="8.244E9"/>
        <n v="8.47E9"/>
        <n v="6.487E9"/>
        <n v="7.011E9"/>
        <n v="7.459E9"/>
        <n v="6.639E9"/>
        <n v="5.747E9"/>
        <n v="4.895E9"/>
        <n v="4.48E8"/>
        <n v="5.002E8"/>
        <n v="4.202E8"/>
        <n v="3.145E8"/>
        <n v="1.322E9"/>
        <n v="1.17E9"/>
        <n v="8.39E8"/>
        <n v="7.03E8"/>
        <n v="1.78E8"/>
        <n v="1.611E8"/>
        <n v="1.698E8"/>
        <n v="1.605E8"/>
        <n v="1.61E8"/>
        <n v="1.52E8"/>
        <n v="1.71E8"/>
        <n v="4.31714E8"/>
        <n v="4.28402E8"/>
        <n v="4.20312E8"/>
        <n v="4.01338E8"/>
        <n v="1.45E8"/>
        <n v="1.09E8"/>
        <n v="1.98E8"/>
        <n v="1.11E8"/>
        <n v="9.69E8"/>
        <n v="1.089E9"/>
        <n v="1.002E9"/>
        <n v="8.04E8"/>
        <n v="2.885923E9"/>
        <n v="2.961206E9"/>
        <n v="2.94194E9"/>
        <n v="3.004612E9"/>
        <n v="5.645296E9"/>
        <n v="5.677829E9"/>
        <n v="5.631385E9"/>
        <n v="5.866006E9"/>
        <n v="4.5127E9"/>
        <n v="4.6075E9"/>
        <n v="4.2417E9"/>
        <n v="4.35E9"/>
        <n v="1.528E9"/>
        <n v="1.984E9"/>
        <n v="1.759E9"/>
        <n v="1.609E9"/>
        <n v="7.41122E8"/>
        <n v="7.05907E8"/>
        <n v="9.74119E8"/>
        <n v="7.13886E8"/>
        <n v="1.261496E9"/>
        <n v="1.254665E9"/>
        <n v="1.142446E9"/>
        <n v="1.121855E9"/>
        <n v="1.0638E10"/>
        <n v="1.0062E10"/>
        <n v="9.139E9"/>
        <n v="8.371E9"/>
        <n v="2.344E9"/>
        <n v="2.752E9"/>
        <n v="2.339E9"/>
        <n v="2.223E9"/>
        <n v="2.904E9"/>
        <n v="3.121E9"/>
        <n v="3.213E9"/>
        <n v="3.301E9"/>
        <n v="9.8763E7"/>
        <n v="7.5184E7"/>
        <n v="8.1862E7"/>
        <n v="6.4726E7"/>
        <n v="2.655E9"/>
        <n v="2.512E9"/>
        <n v="3.521E9"/>
        <n v="3.392E9"/>
        <n v="3.255E9"/>
        <n v="3.369E9"/>
        <n v="3.333E9"/>
        <n v="3.563E9"/>
        <n v="1.807E9"/>
        <n v="1.659E9"/>
        <n v="1.614E9"/>
        <n v="3.545E9"/>
        <n v="3.184E9"/>
        <n v="3.178E9"/>
        <n v="3.051E9"/>
        <n v="6.72E8"/>
        <n v="6.06E8"/>
        <n v="7.42E8"/>
        <n v="6.56E8"/>
        <n v="1.8403E9"/>
        <n v="1.6924E9"/>
        <n v="1.7777E9"/>
        <n v="1.7601E9"/>
        <n v="2.037E9"/>
        <n v="1.857E9"/>
        <n v="1.459E9"/>
        <n v="2.343E9"/>
        <n v="3.343E8"/>
        <n v="2.934E8"/>
        <n v="2.963E8"/>
        <n v="2.81E8"/>
        <n v="3.15E8"/>
        <n v="3.19E8"/>
        <n v="6.01E8"/>
        <n v="2.86E8"/>
        <n v="1.8786E9"/>
        <n v="1.7198E9"/>
        <n v="1.3264E9"/>
        <n v="1.222E9"/>
        <n v="2.715E9"/>
        <n v="2.569E9"/>
        <n v="2.438E9"/>
        <n v="2.671E9"/>
        <n v="1.78805E8"/>
        <n v="1.42901E8"/>
        <n v="8.3522E7"/>
        <n v="7.7151E7"/>
        <n v="1.703253E9"/>
        <n v="1.631426E9"/>
        <n v="1.40167E9"/>
        <n v="1.482313E9"/>
        <n v="1.603E9"/>
        <n v="1.449E9"/>
        <n v="1.197717E9"/>
        <n v="1.043871E9"/>
        <n v="4.83E8"/>
        <n v="4.833E8"/>
        <n v="4.809E8"/>
        <n v="4.332E8"/>
        <n v="8.6512E8"/>
        <n v="8.11217E8"/>
        <n v="8.30735E8"/>
        <n v="7.67979E8"/>
        <n v="2.29602E8"/>
        <n v="2.46654E8"/>
        <n v="2.23496E8"/>
        <n v="2.28534E8"/>
        <n v="1.16639E8"/>
        <n v="1.19441E8"/>
        <n v="1.16662E8"/>
        <n v="1.21016E8"/>
        <n v="9.85E8"/>
        <n v="9.35E8"/>
        <n v="1.082E9"/>
        <n v="8.22E8"/>
        <n v="1.48969E8"/>
        <n v="1.42917E8"/>
        <n v="1.5078E8"/>
        <n v="1.20168E8"/>
        <n v="2.284734E9"/>
        <n v="2.342661E9"/>
        <n v="2.615223E9"/>
        <n v="2.320417E9"/>
        <n v="6.178E8"/>
        <n v="9.729E8"/>
        <n v="6.184E8"/>
        <n v="6.582E8"/>
        <n v="1.061234E9"/>
        <n v="1.464033E9"/>
        <n v="1.146487E9"/>
        <n v="1.136385E9"/>
        <n v="7.947E9"/>
        <n v="5.855E9"/>
        <n v="5.721E9"/>
        <n v="5.359E9"/>
        <n v="3.11E8"/>
        <n v="2.87E8"/>
        <n v="3.75E8"/>
        <n v="3.89E8"/>
        <n v="2.903389E9"/>
        <n v="2.811427E9"/>
        <n v="2.146515E9"/>
        <n v="2.267523E9"/>
        <n v="9.589E7"/>
        <n v="9.9528E7"/>
        <n v="6.6389E7"/>
        <n v="9.9511E7"/>
        <n v="4.58E10"/>
        <n v="4.0663E10"/>
        <n v="3.023E10"/>
        <n v="3.1053E10"/>
        <n v="1.24197E8"/>
        <n v="1.14979E8"/>
        <n v="1.11967E8"/>
        <n v="1.0604E8"/>
        <n v="5.399E9"/>
        <n v="5.131E9"/>
        <n v="5.21E9"/>
        <n v="4.194E9"/>
        <n v="8.07E8"/>
        <n v="7.736E8"/>
        <n v="7.392E8"/>
        <n v="7.727E8"/>
        <n v="7.2241E7"/>
        <n v="7.8658E7"/>
        <n v="7.0986E7"/>
        <n v="7.2352E7"/>
        <n v="1.4971E10"/>
        <n v="1.6177E10"/>
        <n v="1.5146E10"/>
        <n v="1.3935E10"/>
        <n v="2.135E9"/>
        <n v="2.118E9"/>
        <n v="2.11E9"/>
        <n v="2.104E9"/>
        <n v="9.28E8"/>
        <n v="5.11E8"/>
        <n v="7.76E8"/>
        <n v="1.967E9"/>
        <n v="1.907E9"/>
        <n v="1.854E9"/>
        <n v="1.22294E8"/>
        <n v="1.16428E8"/>
        <n v="1.21514E8"/>
        <n v="1.19856E8"/>
        <n v="7.102E8"/>
        <n v="6.832E8"/>
        <n v="6.508E8"/>
        <n v="6.182E8"/>
        <n v="2.3888E10"/>
        <n v="3.0871E10"/>
        <n v="3.4917E10"/>
        <n v="3.2671E10"/>
        <n v="1.869E8"/>
        <n v="1.566E8"/>
        <n v="1.67E8"/>
        <n v="1.392E8"/>
        <n v="5.642E8"/>
        <n v="5.473E8"/>
        <n v="-4.958E8"/>
        <n v="9.189E8"/>
        <n v="1.2303E9"/>
        <n v="1.1236E9"/>
        <n v="1.0416E9"/>
        <n v="1.0715E9"/>
        <n v="1.638E9"/>
        <n v="1.885E9"/>
        <n v="3.346E9"/>
        <n v="1.168E9"/>
        <n v="1.2594E9"/>
        <n v="1.217E9"/>
        <n v="1.1651E9"/>
        <n v="9.484E8"/>
        <n v="2.998E9"/>
        <n v="2.787E9"/>
        <n v="2.631E9"/>
        <n v="2.444E9"/>
        <n v="2.388E9"/>
        <n v="2.361E9"/>
        <n v="1.381E9"/>
        <n v="2.374E9"/>
        <n v="5.46054E8"/>
        <n v="4.30771E8"/>
        <n v="5.60421E8"/>
        <n v="4.41211E8"/>
        <n v="3.50802E8"/>
        <n v="3.34467E8"/>
        <n v="3.51428E8"/>
        <n v="3.29767E8"/>
        <n v="4.8562E8"/>
        <n v="4.6118E8"/>
        <n v="4.25206E8"/>
        <n v="3.31547E8"/>
        <n v="7.705E9"/>
        <n v="7.892E9"/>
        <n v="8.631E9"/>
        <n v="7.836E9"/>
        <n v="1.504E10"/>
        <n v="1.3396E10"/>
        <n v="1.5559E10"/>
        <n v="1.6454E10"/>
        <n v="2.9401E9"/>
        <n v="2.9654E9"/>
        <n v="2.9978E9"/>
        <n v="2.7731E9"/>
        <n v="2.911E10"/>
        <n v="2.734E10"/>
        <n v="3.2504E10"/>
        <n v="2.9382E10"/>
        <n v="3.094633E9"/>
        <n v="2.923899E9"/>
        <n v="2.803484E9"/>
        <n v="2.84202E9"/>
        <n v="1.39E9"/>
        <n v="1.361E9"/>
        <n v="1.141E9"/>
        <n v="9.3631E8"/>
        <n v="9.25246E8"/>
        <n v="8.83595E8"/>
        <n v="9.00921E8"/>
        <n v="9.24944E8"/>
        <n v="9.45378E8"/>
        <n v="8.83203E8"/>
        <n v="8.66433E8"/>
        <n v="1.496E9"/>
        <n v="1.631E9"/>
        <n v="1.651E9"/>
        <n v="1.251E9"/>
        <n v="3.222E9"/>
        <n v="3.033E9"/>
        <n v="2.843E9"/>
        <n v="2.67E9"/>
        <n v="1.067782E9"/>
        <n v="9.02541E8"/>
        <n v="1.065568E9"/>
        <n v="1.143917E9"/>
        <n v="5.672E8"/>
        <n v="4.963E8"/>
        <n v="8.94539E8"/>
        <n v="8.72467E8"/>
        <n v="8.765E9"/>
        <n v="8.525E9"/>
        <n v="8.759E9"/>
        <n v="8.225E9"/>
        <n v="1.91751E8"/>
        <n v="1.86413E8"/>
        <n v="1.85637E8"/>
        <n v="3.19878E8"/>
        <n v="2.03411E9"/>
        <n v="2.306014E9"/>
        <n v="2.085847E9"/>
        <n v="1.230105E9"/>
        <n v="3.22E8"/>
        <n v="2.28E8"/>
        <n v="2.21E8"/>
        <n v="4.515E9"/>
        <n v="4.413E9"/>
        <n v="4.545E9"/>
        <n v="5.002E9"/>
        <n v="1.1E8"/>
        <n v="1.42E8"/>
        <n v="1.44E8"/>
        <n v="9.5E7"/>
        <n v="3.986E8"/>
        <n v="3.85E8"/>
        <n v="3.668E8"/>
        <n v="3.445E8"/>
        <n v="2.7453E10"/>
        <n v="2.4758E10"/>
        <n v="2.143E10"/>
        <n v="2.208E10"/>
        <n v="6.003E9"/>
        <n v="5.709E9"/>
        <n v="5.976E9"/>
        <n v="5.383E9"/>
        <n v="2.425422E9"/>
        <n v="2.124314E9"/>
        <n v="1.995977E9"/>
        <n v="1.88234E9"/>
        <n v="3.78E8"/>
        <n v="3.29E8"/>
        <n v="2.89E8"/>
        <n v="2.63E8"/>
        <n v="8.31E8"/>
        <n v="8.93E8"/>
        <n v="9.19E8"/>
        <n v="1.1901E10"/>
        <n v="1.2437E10"/>
        <n v="1.2322E10"/>
        <n v="1.2579E10"/>
        <n v="1.7296E10"/>
        <n v="1.6213E10"/>
        <n v="1.5611E10"/>
        <n v="1.4175E10"/>
        <n v="1.909E9"/>
        <n v="1.936E9"/>
        <n v="2.21E9"/>
        <n v="1.878E9"/>
        <n v="9.683E9"/>
        <n v="9.522E9"/>
        <n v="9.845E9"/>
        <n v="9.13E9"/>
        <n v="3.79875E8"/>
        <n v="3.58749E8"/>
        <n v="3.45654E8"/>
        <n v="3.29613E8"/>
        <n v="3.36834E8"/>
        <n v="3.06925E8"/>
        <n v="3.11436E8"/>
        <n v="2.99183E8"/>
        <n v="4.258E8"/>
        <n v="4.152E8"/>
        <n v="4.003E8"/>
        <n v="3.856E8"/>
        <n v="2.039E9"/>
        <n v="2.0E9"/>
        <n v="1.91E9"/>
        <n v="1.594E9"/>
        <n v="3.23E8"/>
        <n v="3.16E8"/>
        <n v="2.61E8"/>
        <n v="3.91382E8"/>
        <n v="3.466E8"/>
        <n v="4.54697E8"/>
        <n v="4.8742E8"/>
        <n v="7.664E8"/>
        <n v="6.774E8"/>
        <n v="9.838E8"/>
        <n v="8.532E8"/>
        <n v="8.425E9"/>
        <n v="8.819E9"/>
        <n v="8.63E9"/>
        <n v="8.592E9"/>
        <n v="1.529E9"/>
        <n v="7.56254E8"/>
        <n v="7.43546E8"/>
        <n v="3.913E9"/>
        <n v="3.847E9"/>
        <n v="3.659E9"/>
        <n v="3.541E9"/>
        <n v="1.7846E9"/>
        <n v="1.6846E9"/>
        <n v="1.3967E9"/>
        <n v="1.577E9"/>
        <n v="5.81E8"/>
        <n v="3.53E8"/>
        <n v="2.49E8"/>
        <n v="3.17E8"/>
        <n v="3.895E8"/>
        <n v="4.333E8"/>
        <n v="3.534E8"/>
        <n v="3.492E8"/>
        <n v="1.1582E9"/>
        <n v="1.1391E9"/>
        <n v="1.1228E9"/>
        <n v="1.0503E9"/>
        <n v="1.89751E8"/>
        <n v="1.65649E8"/>
        <n v="1.59962E8"/>
        <n v="1.46366E8"/>
        <n v="2.323E9"/>
        <n v="2.293E9"/>
        <n v="2.172E9"/>
        <n v="1.8E9"/>
        <n v="4.51909E8"/>
        <n v="4.49223E8"/>
        <n v="4.34505E8"/>
        <n v="3.99045E8"/>
        <n v="2.430231E9"/>
        <n v="2.176217E9"/>
        <n v="2.297376E9"/>
        <n v="2.073626E9"/>
        <n v="2.74918E8"/>
        <n v="2.6777E8"/>
        <n v="2.57782E8"/>
        <n v="2.62929E8"/>
        <n v="2.759501E9"/>
        <n v="2.78086E9"/>
        <n v="2.749776E9"/>
        <n v="2.85244E9"/>
        <n v="1.214E9"/>
        <n v="1.1811E9"/>
        <n v="1.2673E9"/>
        <n v="1.2158E9"/>
        <n v="7.567E9"/>
        <n v="7.036E9"/>
        <n v="7.783E9"/>
        <n v="6.94E9"/>
        <n v="4.144E9"/>
        <n v="3.651E9"/>
        <n v="3.613E9"/>
        <n v="3.979E9"/>
        <n v="4.904E8"/>
        <n v="4.588E8"/>
        <n v="5.056E8"/>
        <n v="3.692E8"/>
        <n v="3.372E8"/>
        <n v="3.091E8"/>
        <n v="2.964E8"/>
        <n v="2.417E9"/>
        <n v="2.228E9"/>
        <n v="2.258E9"/>
        <n v="4.84E8"/>
        <n v="4.73E8"/>
        <n v="4.64E8"/>
        <n v="4.05E8"/>
        <n v="3.129E9"/>
        <n v="3.126E9"/>
        <n v="2.986E9"/>
        <n v="2.775E9"/>
        <n v="8.9484E7"/>
        <n v="8.8491E7"/>
        <n v="9.1615E7"/>
        <n v="8.6014E7"/>
        <n v="2.523E9"/>
        <n v="1.392E9"/>
        <n v="1.298E9"/>
        <n v="1.047E9"/>
        <n v="7.72241E8"/>
        <n v="7.09629E8"/>
        <n v="6.69733E8"/>
        <n v="6.20562E8"/>
        <n v="4.323E9"/>
        <n v="4.19E9"/>
        <n v="4.418E9"/>
        <n v="4.1E9"/>
        <n v="3.1947E10"/>
        <n v="2.2803E10"/>
        <n v="2.2901E10"/>
        <n v="2.3551E10"/>
        <n v="3.251E9"/>
        <n v="3.261E9"/>
        <n v="3.152E9"/>
        <n v="2.5625E9"/>
        <n v="2.5284E9"/>
        <n v="2.3367E9"/>
        <n v="2.0083E9"/>
        <n v="2.229978E9"/>
        <n v="2.067523E9"/>
        <n v="1.852442E9"/>
        <n v="1.670901E9"/>
        <n v="8.095E8"/>
        <n v="6.991E8"/>
        <n v="6.726E8"/>
        <n v="6.417E8"/>
        <n v="7.28E8"/>
        <n v="-1.12E8"/>
        <n v="5.03E8"/>
        <n v="3.72E8"/>
        <n v="9.034E8"/>
        <n v="9.239E8"/>
        <n v="9.402E8"/>
        <n v="6.988E8"/>
        <n v="2.95E9"/>
        <n v="2.848E9"/>
        <n v="2.761E9"/>
        <n v="2.774E9"/>
        <n v="4.726441E9"/>
        <n v="3.941213E9"/>
        <n v="5.108529E9"/>
        <n v="4.460046E9"/>
        <n v="3.993E9"/>
        <n v="9.21E8"/>
        <n v="4.815E9"/>
        <n v="4.054E9"/>
        <n v="4.086E9"/>
        <n v="3.835E9"/>
        <n v="2.4312E8"/>
        <n v="1.33966E8"/>
        <n v="2.03274E8"/>
        <n v="1.30749E8"/>
        <n v="1.877235E9"/>
        <n v="1.783392E9"/>
        <n v="1.848309E9"/>
        <n v="1.609654E9"/>
        <n v="1.4878E10"/>
        <n v="1.4036E10"/>
        <n v="1.4791E10"/>
        <n v="1.4359E10"/>
        <n v="2.176E9"/>
        <n v="2.151E9"/>
        <n v="2.269E9"/>
        <n v="1.8258E10"/>
        <n v="1.6292E10"/>
        <n v="1.3845E10"/>
        <n v="1.5009E10"/>
        <n v="2.115E9"/>
        <n v="2.136E9"/>
        <n v="2.231E9"/>
        <n v="2.236E9"/>
        <n v="1.0109E10"/>
        <n v="8.676E9"/>
        <n v="6.712E9"/>
        <n v="2.93E8"/>
        <n v="2.73E8"/>
        <n v="3.01E8"/>
        <n v="3.12E8"/>
        <n v="2.7177E10"/>
        <n v="2.1084E10"/>
        <n v="1.6031E10"/>
        <n v="1.6143E10"/>
        <n v="5.1276E7"/>
        <n v="5.8124E7"/>
        <n v="4.5394E7"/>
        <n v="4.6E7"/>
        <n v="1.35E8"/>
        <n v="1.5E8"/>
        <n v="1.34E8"/>
        <n v="1.21E8"/>
        <n v="2.734E9"/>
        <n v="2.551E9"/>
        <n v="2.435E9"/>
        <n v="2.366E9"/>
        <n v="9.1E8"/>
        <n v="7.46E8"/>
        <n v="7.847E8"/>
        <n v="8.361E8"/>
        <n v="1.27E9"/>
        <n v="1.198E9"/>
        <n v="1.231E9"/>
        <n v="1.136E9"/>
        <n v="1.93099E8"/>
        <n v="1.79455E8"/>
        <n v="1.69736E8"/>
        <n v="1.69823E8"/>
        <n v="9.498E8"/>
        <n v="9.421E8"/>
        <n v="8.977E8"/>
        <n v="8.972E8"/>
        <n v="2.6684E9"/>
        <n v="2.4563E9"/>
        <n v="2.5336E9"/>
        <n v="2.5134E9"/>
        <n v="5.6026E10"/>
        <n v="5.9448E10"/>
        <n v="5.7808E10"/>
        <n v="5.2979E10"/>
        <n v="2.565E9"/>
        <n v="2.62E9"/>
        <n v="2.585E9"/>
        <n v="2.673E9"/>
        <n v="3.029E9"/>
        <n v="3.455E9"/>
        <n v="3.601E9"/>
        <n v="3.443E9"/>
        <n v="1.1156E10"/>
        <n v="1.2121E10"/>
        <n v="1.583E10"/>
        <n v="1.1622E10"/>
        <n v="3.32694E8"/>
        <n v="3.78941E8"/>
        <n v="3.37749E8"/>
        <n v="2.92703E8"/>
        <n v="1.070519E9"/>
        <n v="8.69726E8"/>
        <n v="8.12411E8"/>
        <n v="6.972E8"/>
        <n v="5.618E8"/>
        <n v="5.403E8"/>
        <n v="5.063E8"/>
        <n v="5.016E8"/>
        <n v="4.587E9"/>
        <n v="4.037E9"/>
        <n v="3.988E9"/>
        <n v="3.675E9"/>
        <n v="1.3991E10"/>
        <n v="1.3045E10"/>
        <n v="1.4194E10"/>
        <n v="1.1002E10"/>
        <n v="1.82513E8"/>
        <n v="1.75407E8"/>
        <n v="1.7325E8"/>
        <n v="1.82505E8"/>
        <n v="1.171E9"/>
        <n v="5.94E8"/>
        <n v="7.66793E8"/>
        <n v="3.44486E8"/>
        <n v="2.046327E9"/>
        <n v="1.867075E9"/>
        <n v="1.880833E9"/>
        <n v="1.850961E9"/>
        <n v="1.6679E9"/>
        <n v="1.1674E9"/>
        <n v="1.3991E9"/>
        <n v="1.551E9"/>
        <n v="4.011E9"/>
        <n v="4.272E9"/>
        <n v="4.426E9"/>
        <n v="3.873E9"/>
        <n v="1.29102E8"/>
        <n v="1.13396E8"/>
        <n v="1.04169E8"/>
        <n v="1.16382E8"/>
        <n v="6.25096E8"/>
        <n v="5.28881E8"/>
        <n v="5.05598E8"/>
        <n v="5.09831E8"/>
        <n v="3.65E8"/>
        <n v="3.93E8"/>
        <n v="4.09E8"/>
        <n v="3.64E8"/>
        <n v="1.56E9"/>
        <n v="1.643E9"/>
        <n v="1.473E9"/>
        <n v="1.016E9"/>
        <n v="9.11E8"/>
        <n v="1.122E9"/>
        <n v="9.56E8"/>
        <n v="8.7327E7"/>
        <n v="8.578E7"/>
        <n v="7.5935E7"/>
        <n v="7.0704E7"/>
        <n v="5.66E8"/>
        <n v="8.01E8"/>
        <n v="6.99E8"/>
        <n v="5.2E8"/>
        <n v="4.95E8"/>
        <n v="3.868511E9"/>
        <n v="4.16516E9"/>
        <n v="3.867751E9"/>
        <n v="3.643707E9"/>
        <n v="1.827E9"/>
        <n v="1.557E9"/>
        <n v="1.801E9"/>
        <n v="1.785E9"/>
        <n v="1.333E9"/>
        <n v="1.279E9"/>
        <n v="1.604E9"/>
        <n v="1.186E9"/>
        <n v="1.164E9"/>
        <n v="1.969E9"/>
        <n v="1.895E9"/>
        <n v="2.033E9"/>
        <n v="2.92E8"/>
        <n v="2.77E8"/>
        <n v="7.12E8"/>
        <n v="6.63E8"/>
        <n v="5.632E9"/>
        <n v="6.366E9"/>
        <n v="5.853E9"/>
        <n v="3.96E9"/>
        <n v="5.911E8"/>
        <n v="8.337E8"/>
        <n v="6.933E8"/>
        <n v="4.996E8"/>
        <n v="1.307E9"/>
        <n v="1.35E9"/>
        <n v="7.108E9"/>
        <n v="7.417E9"/>
        <n v="8.122E9"/>
        <n v="7.243E9"/>
        <n v="1.02E8"/>
        <n v="9.9E7"/>
        <n v="8.7E7"/>
        <n v="9.0E7"/>
        <n v="2.00855E8"/>
        <n v="2.06992E8"/>
        <n v="1.90157E8"/>
        <n v="3.01652E8"/>
        <n v="6.864E9"/>
        <n v="1.615E9"/>
        <n v="2.034E9"/>
        <n v="1.434E9"/>
        <n v="6.315661E9"/>
        <n v="5.394703E9"/>
        <n v="4.520568E9"/>
        <n v="4.425765E9"/>
        <n v="2.292E9"/>
        <n v="2.032E9"/>
        <n v="1.847E9"/>
        <n v="1.766E9"/>
        <n v="1.750918E9"/>
        <n v="1.598633E9"/>
        <n v="1.849969E9"/>
        <n v="1.560515E9"/>
        <n v="1.174E9"/>
        <n v="1.212E9"/>
        <n v="1.219E9"/>
        <n v="1.165E9"/>
        <n v="1.450104E9"/>
        <n v="1.356635E9"/>
        <n v="1.52717E9"/>
        <n v="1.454415E9"/>
        <n v="2.239E9"/>
        <n v="2.257E9"/>
        <n v="1.95E9"/>
        <n v="8.56969E8"/>
        <n v="8.01412E8"/>
        <n v="7.12725E8"/>
        <n v="6.8513E8"/>
        <n v="2.7473E9"/>
        <n v="2.897E9"/>
        <n v="2.8366E9"/>
        <n v="3.1301E9"/>
        <n v="3.449127E9"/>
        <n v="2.366979E9"/>
        <n v="2.12151E9"/>
        <n v="1.627086E9"/>
        <n v="2.103E9"/>
        <n v="2.122E9"/>
        <n v="1.915E9"/>
        <n v="1.939E9"/>
        <n v="5.83E8"/>
        <n v="5.91E8"/>
        <n v="4.6E8"/>
        <n v="5.38E8"/>
        <n v="2.555E9"/>
        <n v="2.616E9"/>
        <n v="2.385E9"/>
        <n v="2.5E9"/>
        <n v="4.4691E9"/>
        <n v="5.0125E9"/>
        <n v="5.0463E9"/>
        <n v="4.8558E9"/>
        <n v="1.4864E9"/>
        <n v="1.4291E9"/>
        <n v="1.403E9"/>
        <n v="1.3799E9"/>
        <n v="2.711897E9"/>
        <n v="2.827034E9"/>
        <n v="2.711717E9"/>
        <n v="2.504545E9"/>
        <n v="3.125E8"/>
        <n v="3.158E8"/>
        <n v="3.284E8"/>
        <n v="3.199E8"/>
        <n v="3.4766E7"/>
        <n v="2.8773E7"/>
        <n v="2.9073E7"/>
        <n v="2.6127E7"/>
        <n v="3.336E9"/>
        <n v="3.214E9"/>
        <n v="3.066E9"/>
        <n v="3.203E9"/>
        <n v="7.685E8"/>
        <n v="7.695E8"/>
        <n v="6.509E8"/>
        <n v="5.07E8"/>
        <n v="6.344E8"/>
        <n v="6.001E8"/>
        <n v="5.507E8"/>
        <n v="5.105E8"/>
        <n v="9.385E9"/>
        <n v="8.877E9"/>
        <n v="6.669E9"/>
        <n v="1.0398E10"/>
        <n v="5.25423E8"/>
        <n v="5.40977E8"/>
        <n v="5.19562E8"/>
        <n v="5.18568E8"/>
        <n v="9.931E9"/>
        <n v="6.992E9"/>
        <n v="4.172E9"/>
        <n v="2.887E9"/>
        <n v="2.596E9"/>
        <n v="2.353E9"/>
        <n v="2.274E9"/>
        <n v="2.572E9"/>
        <n v="2.7529E10"/>
        <n v="2.5218E10"/>
        <n v="2.0065E10"/>
        <n v="1.515E10"/>
        <n v="5.5215E8"/>
        <n v="4.99525E8"/>
        <n v="4.28282E8"/>
        <n v="6.65509E8"/>
        <n v="2.264E9"/>
        <n v="2.096E9"/>
        <n v="1.271E9"/>
        <n v="9.69549E8"/>
        <n v="1.236148E9"/>
        <n v="7.59614E8"/>
        <n v="6.00166E8"/>
        <n v="2.733E9"/>
        <n v="2.629E9"/>
        <n v="2.232E9"/>
        <n v="7.55E8"/>
        <n v="7.0E8"/>
        <n v="7.64E8"/>
        <n v="8.14E8"/>
        <n v="1.7991E9"/>
        <n v="1.8417E9"/>
        <n v="1.3929E9"/>
        <n v="2.0117E9"/>
        <n v="1.0365E10"/>
        <n v="9.657E9"/>
        <n v="8.922E9"/>
        <n v="9.253E9"/>
        <n v="1.15866E10"/>
        <n v="1.07757E10"/>
        <n v="9.466E9"/>
        <n v="9.1821E9"/>
        <n v="3.08996E8"/>
        <n v="2.90232E8"/>
        <n v="3.27334E8"/>
        <n v="2.90977E8"/>
        <n v="1.6449E10"/>
        <n v="9.914E9"/>
        <n v="1.0223E10"/>
        <n v="1.141E10"/>
        <n v="9.9748E7"/>
        <n v="9.5077E7"/>
        <n v="8.9448E7"/>
        <n v="8.683E7"/>
        <n v="1.654E9"/>
        <n v="1.389E9"/>
        <n v="1.641E9"/>
        <n v="2.36734E8"/>
        <n v="2.18586E8"/>
        <n v="2.28423E8"/>
        <n v="2.05524E8"/>
        <n v="2.5334E9"/>
        <n v="2.446246E9"/>
        <n v="2.000045E9"/>
        <n v="2.381103E9"/>
        <n v="9.796E8"/>
        <n v="8.502E8"/>
        <n v="1.0315E9"/>
        <n v="1.0168E9"/>
        <n v="6.33695E8"/>
        <n v="5.64168E8"/>
        <n v="5.44255E8"/>
        <n v="5.57082E8"/>
        <n v="3.937E9"/>
        <n v="3.404E9"/>
        <n v="3.432E9"/>
        <n v="3.489E9"/>
        <n v="2.818602E9"/>
        <n v="2.552105E9"/>
        <n v="2.330691E9"/>
        <n v="2.446312E9"/>
        <n v="1.663E9"/>
        <n v="1.553E9"/>
        <n v="1.708E9"/>
        <n v="4.924E8"/>
        <n v="4.162E8"/>
        <n v="4.777E8"/>
        <n v="4.954E8"/>
        <n v="1.51E8"/>
        <n v="1.43E8"/>
        <n v="1.38E8"/>
        <n v="1.3085E10"/>
        <n v="1.2654E10"/>
        <n v="1.2517E10"/>
        <n v="1.411E10"/>
        <n v="2.9662E7"/>
        <n v="3.1734E7"/>
        <n v="2.8499E7"/>
        <n v="2.7135E7"/>
        <n v="7.9247E7"/>
        <n v="8.2013E7"/>
        <n v="8.1748E7"/>
        <n v="8.0713E7"/>
        <n v="1.1186E9"/>
        <n v="1.4079E9"/>
        <n v="1.0509E9"/>
        <n v="1.0976E9"/>
        <n v="1.744E9"/>
        <n v="1.6507E9"/>
        <n v="1.5343E9"/>
        <n v="1.4612E9"/>
        <n v="3.86667E8"/>
        <n v="3.74345E8"/>
        <n v="3.10585E8"/>
        <n v="3.21132E8"/>
        <n v="9.87239E8"/>
        <n v="9.15709E8"/>
        <n v="8.36669E8"/>
        <n v="7.89759E8"/>
        <n v="1.0884E9"/>
        <n v="1.0838E9"/>
        <n v="1.0087E9"/>
        <n v="9.188E8"/>
        <n v="3.05474E8"/>
        <n v="2.97862E8"/>
        <n v="2.61552E8"/>
        <n v="2.66344E8"/>
        <n v="4.667E8"/>
        <n v="5.348E8"/>
        <n v="5.387E8"/>
        <n v="3.410871E9"/>
        <n v="3.198396E9"/>
        <n v="2.315669E9"/>
        <n v="2.711419E9"/>
        <n v="8.06641E8"/>
        <n v="4.20019E8"/>
        <n v="2.78357E8"/>
        <n v="2.69444E8"/>
        <n v="5.43E8"/>
        <n v="5.33E8"/>
        <n v="5.59E8"/>
        <n v="1.555E9"/>
        <n v="1.479E9"/>
        <n v="1.394E9"/>
        <n v="1.45753E8"/>
        <n v="1.42553E8"/>
        <n v="1.34775E8"/>
        <n v="1.32016E8"/>
        <n v="4.862E9"/>
        <n v="4.768E9"/>
        <n v="4.504E9"/>
        <n v="4.828E9"/>
        <n v="2.159E9"/>
        <n v="2.128E9"/>
        <n v="1.991E9"/>
        <n v="1.927E9"/>
        <n v="1.003E9"/>
        <n v="9.278E8"/>
        <n v="8.66E8"/>
        <n v="9.165E8"/>
        <n v="2.038E9"/>
        <n v="1.826E9"/>
        <n v="2.008E9"/>
        <n v="3.5E8"/>
        <n v="2.99E8"/>
        <n v="2.79104E8"/>
        <n v="3.0071E9"/>
        <n v="2.9684E9"/>
        <n v="2.544E9"/>
        <n v="2.3601E9"/>
        <n v="2.47385E8"/>
        <n v="2.29804E8"/>
        <n v="2.23986E8"/>
        <n v="2.15118E8"/>
        <n v="5.578E8"/>
        <n v="5.934E8"/>
        <n v="7.483E8"/>
        <n v="5.337E8"/>
        <n v="5.564E8"/>
        <n v="5.343E8"/>
        <n v="5.821E8"/>
        <n v="3.168E9"/>
        <n v="2.837E9"/>
        <n v="3.092E9"/>
        <n v="3.037E9"/>
        <n v="3.807E9"/>
        <n v="3.32E9"/>
        <n v="2.614E9"/>
        <n v="2.7552E9"/>
        <n v="2.6276E9"/>
        <n v="2.8393E9"/>
        <n v="2.4669E9"/>
        <n v="5.1729E9"/>
        <n v="4.8157E9"/>
        <n v="4.9164E9"/>
        <n v="4.578E9"/>
        <n v="5.4214E8"/>
        <n v="4.86679E8"/>
        <n v="4.55812E8"/>
        <n v="4.21556E8"/>
        <n v="1.522E9"/>
        <n v="1.367E9"/>
        <n v="1.489E9"/>
        <n v="1.276E9"/>
        <n v="1.93196E8"/>
        <n v="2.02578E8"/>
        <n v="1.96113E8"/>
        <n v="2.12829E8"/>
        <n v="9.701921E9"/>
        <n v="9.460524E9"/>
        <n v="9.557534E9"/>
        <n v="7.300909E9"/>
        <n v="8.584E9"/>
        <n v="8.373E9"/>
        <n v="9.119E9"/>
        <n v="7.602E9"/>
        <n v="7.398E8"/>
        <n v="7.101E8"/>
        <n v="7.552E8"/>
        <n v="6.626E8"/>
        <n v="4.01404E8"/>
        <n v="3.19944E8"/>
        <n v="2.65801E8"/>
        <n v="3.40712E8"/>
        <n v="4.574E8"/>
        <n v="3.614E8"/>
        <n v="5.117E8"/>
        <n v="3.42E8"/>
        <n v="1.728E10"/>
        <n v="1.6716E10"/>
        <n v="2.0701E10"/>
        <n v="1.5509E10"/>
        <n v="2.577E9"/>
        <n v="2.528E9"/>
        <n v="2.376E9"/>
        <n v="6.394E8"/>
        <n v="4.925E8"/>
        <n v="5.062E8"/>
        <n v="4.585E8"/>
        <n v="3.15917E8"/>
        <n v="2.89398E8"/>
        <n v="3.27625E8"/>
        <n v="2.98977E8"/>
        <n v="4.38739E8"/>
        <n v="3.19988E8"/>
        <n v="3.09179E8"/>
        <n v="3.60556E8"/>
        <n v="8.174E9"/>
        <n v="8.678E9"/>
        <n v="6.708E9"/>
        <n v="4.769E9"/>
        <n v="1.503E9"/>
        <n v="1.492E9"/>
        <n v="1.43E9"/>
        <n v="1.364E9"/>
        <n v="2.664E9"/>
        <n v="2.405E9"/>
        <n v="2.337E9"/>
        <n v="2.473E8"/>
        <n v="2.324E8"/>
        <n v="2.298E8"/>
        <n v="1.675E8"/>
        <n v="3.2E9"/>
        <n v="3.742E9"/>
        <n v="3.499E9"/>
        <n v="3.383E9"/>
        <n v="1.062935E9"/>
        <n v="1.243002E9"/>
        <n v="1.220964E9"/>
        <n v="1.139805E9"/>
        <n v="2.0714E9"/>
        <n v="1.8322E9"/>
        <n v="2.109E9"/>
        <n v="2.0074E9"/>
        <n v="6.299E9"/>
        <n v="6.177E9"/>
        <n v="5.556E9"/>
        <n v="6.093E9"/>
        <n v="9.782E9"/>
        <n v="1.1775E10"/>
        <n v="1.1013E10"/>
        <n v="7.896E9"/>
        <n v="4.749E9"/>
        <n v="4.689E9"/>
        <n v="4.993E9"/>
        <n v="4.189E9"/>
        <n v="7.255635E9"/>
        <n v="4.977208E9"/>
        <n v="7.062285E9"/>
        <n v="5.17449E9"/>
        <n v="2.314074E9"/>
        <n v="1.808556E9"/>
        <n v="1.882735E9"/>
        <n v="1.658615E9"/>
        <n v="2.5582E9"/>
        <n v="2.0626E9"/>
        <n v="2.229E9"/>
        <n v="2.3575E9"/>
        <n v="5.61E8"/>
        <n v="5.79E8"/>
        <n v="5.54E8"/>
        <n v="6.13E8"/>
        <n v="3.976E8"/>
        <n v="3.711E8"/>
        <n v="3.387E8"/>
        <n v="3.288E8"/>
        <n v="4.16932E8"/>
        <n v="3.81008E8"/>
        <n v="4.32924E8"/>
        <n v="3.61388E8"/>
        <n v="1.50595E8"/>
        <n v="1.44616E8"/>
        <n v="1.42237E8"/>
        <n v="1.39888E8"/>
        <n v="1.0803E10"/>
        <n v="9.952E9"/>
        <n v="9.163E9"/>
        <n v="9.653E9"/>
        <n v="1.169244E9"/>
        <n v="1.184731E9"/>
        <n v="1.042373E9"/>
        <n v="1.006514E9"/>
        <n v="6.82305E8"/>
        <n v="6.28554E8"/>
        <n v="6.97768E8"/>
        <n v="7.46701E8"/>
        <n v="2.19E9"/>
        <n v="2.133E9"/>
        <n v="2.052E9"/>
        <n v="2.022E9"/>
        <n v="4.959E9"/>
        <n v="4.623E9"/>
        <n v="4.329E9"/>
        <n v="3.823E9"/>
        <n v="1.733E10"/>
        <n v="1.3938E10"/>
        <n v="2.6961E10"/>
        <n v="1.6237E10"/>
        <n v="1.332E9"/>
        <n v="1.395E9"/>
        <n v="1.289E9"/>
        <n v="5.4206E10"/>
        <n v="5.2476E10"/>
        <n v="4.9704E10"/>
        <n v="4.9571E10"/>
        <n v="1.825968E9"/>
        <n v="1.844883E9"/>
        <n v="1.817394E9"/>
        <n v="1.741757E9"/>
        <n v="2.5041E10"/>
        <n v="1.9528E10"/>
        <n v="1.5022E10"/>
        <n v="1.4348E10"/>
        <n v="4.94794E8"/>
        <n v="4.78316E8"/>
        <n v="4.52957E8"/>
        <n v="5.00541E8"/>
        <n v="4.7796E7"/>
        <n v="4.6968E7"/>
        <n v="4.5972E7"/>
        <n v="4.5024E7"/>
        <n v="2.649E8"/>
        <n v="2.624E8"/>
        <n v="2.605E8"/>
        <n v="2.4E8"/>
        <n v="1.4255E10"/>
        <n v="1.3522E10"/>
        <n v="1.4822E10"/>
        <n v="1.2334E10"/>
        <n v="1.635062E9"/>
        <n v="6.48302E8"/>
        <n v="6.69685E8"/>
        <n v="6.79679E8"/>
        <n v="9.54151E8"/>
        <n v="1.232099E9"/>
        <n v="1.322524E9"/>
        <n v="1.279206E9"/>
        <n v="4.363E9"/>
        <n v="3.808E9"/>
        <n v="3.634E9"/>
        <n v="3.485E9"/>
        <n v="2.5937E9"/>
        <n v="2.5696E9"/>
        <n v="2.2622E9"/>
        <n v="1.7119E9"/>
        <n v="1.86E8"/>
        <n v="1.79E8"/>
        <n v="1.73E8"/>
        <n v="1.91E8"/>
        <n v="1.9092E8"/>
        <n v="1.91822E8"/>
        <n v="1.79743E8"/>
        <n v="1.95645E8"/>
        <n v="9.62683E8"/>
        <n v="8.39077E8"/>
        <n v="8.72378E8"/>
        <n v="9.29392E8"/>
        <n v="1.310345E9"/>
        <n v="1.207882E9"/>
        <n v="1.240151E9"/>
        <n v="1.199668E9"/>
        <n v="2.083E9"/>
        <n v="1.914E9"/>
        <n v="1.944E9"/>
        <n v="1.292E9"/>
        <n v="1.4972E9"/>
        <n v="1.2939E9"/>
        <n v="1.2337E9"/>
        <n v="2.5998E10"/>
        <n v="2.4808E10"/>
        <n v="2.7943E10"/>
        <n v="2.8193E10"/>
        <n v="1.05183E11"/>
        <n v="1.03272E11"/>
        <n v="1.15261E11"/>
        <n v="1.00339E11"/>
        <n v="2.736E9"/>
        <n v="2.514E9"/>
        <n v="2.332E9"/>
        <n v="2.80254E8"/>
        <n v="2.54147E8"/>
        <n v="3.20569E8"/>
        <n v="2.62342E8"/>
        <n v="9.897E8"/>
        <n v="1.244E9"/>
        <n v="9.815E8"/>
        <n v="6.50389E8"/>
        <n v="6.39913E8"/>
        <n v="7.02482E8"/>
        <n v="6.19382E8"/>
        <n v="4.085E8"/>
        <n v="3.988E8"/>
        <n v="3.691E8"/>
        <n v="3.013E9"/>
        <n v="2.983E9"/>
        <n v="3.048E9"/>
        <n v="3.285E9"/>
        <n v="7.06E8"/>
        <n v="7.572E8"/>
        <n v="7.209E8"/>
        <n v="3.6882E9"/>
        <n v="3.6492E9"/>
        <n v="3.5985E9"/>
        <n v="3.4705E9"/>
        <n v="1.583E9"/>
        <n v="4.234E9"/>
        <n v="4.21E9"/>
        <n v="4.434E9"/>
        <n v="4.136E9"/>
        <n v="1.094E9"/>
        <n v="8.5E8"/>
        <n v="7.37E8"/>
        <n v="1.447E9"/>
        <n v="1.342E9"/>
        <n v="1.255E9"/>
        <n v="1.291E9"/>
        <n v="3.95995E8"/>
        <n v="3.17908E8"/>
        <n v="2.83585E8"/>
        <n v="2.20607E8"/>
        <n v="1.897E9"/>
        <n v="1.625E9"/>
        <n v="2.83441E8"/>
        <n v="2.72851E8"/>
        <n v="2.49529E8"/>
        <n v="2.1812E8"/>
        <n v="7.66E8"/>
        <n v="8.41E8"/>
        <n v="7.58E8"/>
        <n v="9.2E8"/>
        <n v="7.25E8"/>
        <n v="7.19E8"/>
        <n v="6.92E8"/>
        <n v="6.9E8"/>
        <n v="6.39E8"/>
        <n v="5.737E8"/>
        <n v="5.164E8"/>
        <n v="6.516E8"/>
        <n v="5.671E8"/>
        <n v="5.48E8"/>
        <n v="5.86E8"/>
        <n v="5.45E8"/>
      </sharedItems>
    </cacheField>
    <cacheField name="Total Other Income Expense Net" numFmtId="0">
      <sharedItems containsSemiMixedTypes="0" containsString="0" containsNumber="1" containsInteger="1">
        <n v="-1.07E8"/>
        <n v="-1.11E8"/>
        <n v="-1.41E8"/>
        <n v="-2.77E8"/>
        <n v="400000.0"/>
        <n v="-300000.0"/>
        <n v="4000000.0"/>
        <n v="1.25E7"/>
        <n v="-1.21E8"/>
        <n v="-6.22E8"/>
        <n v="-1.34E8"/>
        <n v="-1.43E8"/>
        <n v="-1.209E9"/>
        <n v="-3.533E9"/>
        <n v="-4.79E8"/>
        <n v="-7.035E9"/>
        <n v="6835000.0"/>
        <n v="-7.6426E7"/>
        <n v="1.13E7"/>
        <n v="8485000.0"/>
        <n v="-4.0884E7"/>
        <n v="-2.4655E7"/>
        <n v="1.08928E8"/>
        <n v="9.6198E7"/>
        <n v="-6.8E7"/>
        <n v="3.0E7"/>
        <n v="-6.0E7"/>
        <n v="-8.7E7"/>
        <n v="4.6E7"/>
        <n v="1.83E8"/>
        <n v="-1.9E7"/>
        <n v="1.41E8"/>
        <n v="-2.3E7"/>
        <n v="-2.0E7"/>
        <n v="-2.1E7"/>
        <n v="-1.8E7"/>
        <n v="-1.8858E7"/>
        <n v="0.0"/>
        <n v="-4.1317E7"/>
        <n v="4.9E7"/>
        <n v="-3.3E7"/>
        <n v="-1.1E8"/>
        <n v="-8.23E8"/>
        <n v="-6.39E8"/>
        <n v="-1.15E8"/>
        <n v="-5.7E7"/>
        <n v="-6.2E7"/>
        <n v="-6.1E7"/>
        <n v="-2.2E7"/>
        <n v="-1.5E7"/>
        <n v="-2.5E7"/>
        <n v="7.56E7"/>
        <n v="2.74E7"/>
        <n v="4.32E7"/>
        <n v="2.78E7"/>
        <n v="-1.4582E7"/>
        <n v="-2.2954E7"/>
        <n v="-2.1951E7"/>
        <n v="-4.8051E7"/>
        <n v="-6.29388E8"/>
        <n v="4.32145E8"/>
        <n v="-2.3657E7"/>
        <n v="-4.4261E7"/>
        <n v="-1.2E7"/>
        <n v="5.64E8"/>
        <n v="4.0E8"/>
        <n v="-1.94E8"/>
        <n v="-1.1649E7"/>
        <n v="2.64179E8"/>
        <n v="-1.05056E8"/>
        <n v="3.37027E8"/>
        <n v="828000.0"/>
        <n v="-100000.0"/>
        <n v="3.6175E7"/>
        <n v="1358000.0"/>
        <n v="300000.0"/>
        <n v="-1.12E7"/>
        <n v="-1.07E7"/>
        <n v="-5.83E7"/>
        <n v="-5.4E7"/>
        <n v="-4.9E7"/>
        <n v="-5.5E7"/>
        <n v="-3.4E7"/>
        <n v="-9.2E7"/>
        <n v="-1.91E8"/>
        <n v="-1.59E8"/>
        <n v="-1.19E8"/>
        <n v="2.624E9"/>
        <n v="4.846E9"/>
        <n v="3.038E9"/>
        <n v="2.146E9"/>
        <n v="-3.31E8"/>
        <n v="-8.69E8"/>
        <n v="-3.522E9"/>
        <n v="9.44E8"/>
        <n v="1.398E9"/>
        <n v="9.14E8"/>
        <n v="7.06E8"/>
        <n v="-1.23E8"/>
        <n v="-9000000.0"/>
        <n v="-5.0E7"/>
        <n v="-4.4E7"/>
        <n v="-8.1E7"/>
        <n v="-8.8E7"/>
        <n v="-1.05E8"/>
        <n v="-9.4E7"/>
        <n v="9.38E8"/>
        <n v="1.578E9"/>
        <n v="-7.43E8"/>
        <n v="6.21E8"/>
        <n v="-2.046E8"/>
        <n v="-2.066E8"/>
        <n v="-1.827E8"/>
        <n v="-2.259E8"/>
        <n v="2.39E8"/>
        <n v="3.72E8"/>
        <n v="-1.37E8"/>
        <n v="-4.23E8"/>
        <n v="-4.56E8"/>
        <n v="5000000.0"/>
        <n v="-2.45E8"/>
        <n v="-6.68E7"/>
        <n v="-1.733E8"/>
        <n v="-4.401E8"/>
        <n v="-3.005E8"/>
        <n v="-9.8E7"/>
        <n v="-9.3E7"/>
        <n v="-1.76E8"/>
        <n v="-2.06E8"/>
        <n v="-1.65E8"/>
        <n v="-2.18E8"/>
        <n v="-2.74161E8"/>
        <n v="-1.35992E8"/>
        <n v="-8.9727E7"/>
        <n v="-6.721409E9"/>
        <n v="-2.4856E7"/>
        <n v="-1.5454E7"/>
        <n v="-1.6428E7"/>
        <n v="-1.768E7"/>
        <n v="-1.775E9"/>
        <n v="-2.72E8"/>
        <n v="-1.58E8"/>
        <n v="-2.47E8"/>
        <n v="-2.89E7"/>
        <n v="-3.28E7"/>
        <n v="-2.7E7"/>
        <n v="-4.673E7"/>
        <n v="-6.7016E7"/>
        <n v="-4.288E7"/>
        <n v="-7.1309E7"/>
        <n v="1.0766E7"/>
        <n v="-4369000.0"/>
        <n v="-3840000.0"/>
        <n v="-1490000.0"/>
        <n v="-2.01E8"/>
        <n v="-2.1E8"/>
        <n v="-1.92E8"/>
        <n v="-1.22E8"/>
        <n v="-1.25E8"/>
        <n v="4.18E9"/>
        <n v="2.43E8"/>
        <n v="5.08E8"/>
        <n v="4.5E7"/>
        <n v="1.26E8"/>
        <n v="-3.8E7"/>
        <n v="-2.31E8"/>
        <n v="-6.6E7"/>
        <n v="-9.6E7"/>
        <n v="-8.2E7"/>
        <n v="-7.3E7"/>
        <n v="1719000.0"/>
        <n v="1575000.0"/>
        <n v="1.0842E7"/>
        <n v="1.3224E7"/>
        <n v="-8.18E7"/>
        <n v="-1.333E8"/>
        <n v="-7.33E7"/>
        <n v="-2.88E7"/>
        <n v="-2.84E7"/>
        <n v="-4.61E7"/>
        <n v="-1.694E8"/>
        <n v="-6.17E9"/>
        <n v="-1.682E9"/>
        <n v="-1.8489E10"/>
        <n v="-3.289E9"/>
        <n v="-4942000.0"/>
        <n v="-2.201E7"/>
        <n v="-1.4685E7"/>
        <n v="-1.9322E7"/>
        <n v="-1.41E7"/>
        <n v="-1.43E7"/>
        <n v="-2.34E7"/>
        <n v="-1.64E7"/>
        <n v="1.59E7"/>
        <n v="-1.02E7"/>
        <n v="3600000.0"/>
        <n v="-3600000.0"/>
        <n v="-5.512E7"/>
        <n v="-4.5026E7"/>
        <n v="-8.5912E7"/>
        <n v="-4.6179E7"/>
        <n v="3.03879E8"/>
        <n v="889000.0"/>
        <n v="1.89989E8"/>
        <n v="-2.2582E7"/>
        <n v="-1.51E7"/>
        <n v="-1.71E7"/>
        <n v="-2.57E7"/>
        <n v="-2.91E7"/>
        <n v="-2.14E8"/>
        <n v="-7.97E8"/>
        <n v="1.057E9"/>
        <n v="-4.3E7"/>
        <n v="-7.5E7"/>
        <n v="-8.9E7"/>
        <n v="-6.9E7"/>
        <n v="-1.0E8"/>
        <n v="-2.19E8"/>
        <n v="-1.83E8"/>
        <n v="-7.1E7"/>
        <n v="-2.97E8"/>
        <n v="-6.5E7"/>
        <n v="-5.17E8"/>
        <n v="-1.74E8"/>
        <n v="-8.54E8"/>
        <n v="-3000000.0"/>
        <n v="-1.53E8"/>
        <n v="1.040793E9"/>
        <n v="1.121241E9"/>
        <n v="9.02691E8"/>
        <n v="1.575961E9"/>
        <n v="-6.3984E7"/>
        <n v="-2.5003E7"/>
        <n v="929000.0"/>
        <n v="-9603000.0"/>
        <n v="1.124E8"/>
        <n v="-4.913E8"/>
        <n v="6.671E8"/>
        <n v="-1.32E8"/>
        <n v="2.69E8"/>
        <n v="4.3E7"/>
        <n v="3.19E8"/>
        <n v="2.24E8"/>
        <n v="-2.4E7"/>
        <n v="-2.6E7"/>
        <n v="-8.03E8"/>
        <n v="-1.019E9"/>
        <n v="-1.2E9"/>
        <n v="-2.236E9"/>
        <n v="1.4E7"/>
        <n v="2.5E7"/>
        <n v="3.24E8"/>
        <n v="-3.19E8"/>
        <n v="1.73E8"/>
        <n v="-4.7E7"/>
        <n v="-1.04572E8"/>
        <n v="-1.02908E8"/>
        <n v="-1.69149E8"/>
        <n v="-1.11841E8"/>
        <n v="-3.72E8"/>
        <n v="-4.1E7"/>
        <n v="-3.28E8"/>
        <n v="-5.09E8"/>
        <n v="-1.113E9"/>
        <n v="2.86E8"/>
        <n v="-1.1699E10"/>
        <n v="2.18E8"/>
        <n v="-4.27E8"/>
        <n v="-5.15E8"/>
        <n v="-5.39E8"/>
        <n v="-3.22E8"/>
        <n v="-2.24E7"/>
        <n v="-1.0E7"/>
        <n v="-5000000.0"/>
        <n v="-4100000.0"/>
        <n v="-1.5009E7"/>
        <n v="-8479000.0"/>
        <n v="-2.4992E7"/>
        <n v="-1.3764E7"/>
        <n v="-1.126E7"/>
        <n v="-1.2033E7"/>
        <n v="-7465000.0"/>
        <n v="-1.0211E7"/>
        <n v="-1704000.0"/>
        <n v="-1239000.0"/>
        <n v="-9334000.0"/>
        <n v="-3572000.0"/>
        <n v="-5.61E8"/>
        <n v="-7.32E8"/>
        <n v="-5.98E8"/>
        <n v="-7.44E8"/>
        <n v="-7.6E7"/>
        <n v="-7.9E7"/>
        <n v="-4.5E7"/>
        <n v="-3.37E8"/>
        <n v="-6.3E7"/>
        <n v="-3.18E8"/>
        <n v="-8.6E7"/>
        <n v="-1.123E9"/>
        <n v="5043000.0"/>
        <n v="-1.1286E7"/>
        <n v="-1.8575E7"/>
        <n v="-2.0789E7"/>
        <n v="-4.93E8"/>
        <n v="-6.82E8"/>
        <n v="-1.439E9"/>
        <n v="-8000000.0"/>
        <n v="9.13E8"/>
        <n v="1.88E8"/>
        <n v="-3.16E7"/>
        <n v="1.235E8"/>
        <n v="-2.44E7"/>
        <n v="-1.75E7"/>
        <n v="6000000.0"/>
        <n v="-2.53E8"/>
        <n v="-2.52E8"/>
        <n v="-2.26E8"/>
        <n v="-1.26E7"/>
        <n v="-4.07E7"/>
        <n v="1.12E7"/>
        <n v="2.11334E8"/>
        <n v="7.6376E7"/>
        <n v="-1.56448E8"/>
        <n v="1.9891E7"/>
        <n v="1300000.0"/>
        <n v="-3.45E7"/>
        <n v="-3.72E7"/>
        <n v="-7.62E7"/>
        <n v="1.422E9"/>
        <n v="1.7E7"/>
        <n v="1.8E7"/>
        <n v="-1.516E9"/>
        <n v="-3.48E8"/>
        <n v="-2.8E7"/>
        <n v="-1.85E8"/>
        <n v="-1.93E7"/>
        <n v="-7100000.0"/>
        <n v="-1.71678E8"/>
        <n v="-1.8794E7"/>
        <n v="-4.5687E7"/>
        <n v="2.64889E8"/>
        <n v="-4.0E7"/>
        <n v="-2.7192E7"/>
        <n v="-6.5807E7"/>
        <n v="4.3539E7"/>
        <n v="1903000.0"/>
        <n v="-1.149E9"/>
        <n v="-1.3E9"/>
        <n v="-1.251E9"/>
        <n v="-8.7E8"/>
        <n v="1.291E9"/>
        <n v="7.94E8"/>
        <n v="-3.451E9"/>
        <n v="2.84E8"/>
        <n v="-4784000.0"/>
        <n v="-3415000.0"/>
        <n v="-7836000.0"/>
        <n v="-1.3417E7"/>
        <n v="6.52E8"/>
        <n v="3.75E8"/>
        <n v="4.58E8"/>
        <n v="3.49E8"/>
        <n v="2.89E7"/>
        <n v="2.66E7"/>
        <n v="7400000.0"/>
        <n v="8300000.0"/>
        <n v="-3.04E8"/>
        <n v="-4.24E8"/>
        <n v="3.61E9"/>
        <n v="-4.3E8"/>
        <n v="-1.3E7"/>
        <n v="-1.4E7"/>
        <n v="-2.1798E7"/>
        <n v="-2.9567E7"/>
        <n v="-2.4465E7"/>
        <n v="-2.4339E7"/>
        <n v="8.4E7"/>
        <n v="-2.02E8"/>
        <n v="-4.95E8"/>
        <n v="-1.6298E7"/>
        <n v="-2.6643E7"/>
        <n v="-1.6137E7"/>
        <n v="-1.2307E7"/>
        <n v="-3.54E8"/>
        <n v="6.0E7"/>
        <n v="5.14E7"/>
        <n v="2.72E7"/>
        <n v="-1.6E7"/>
        <n v="1.15E7"/>
        <n v="-1.17E8"/>
        <n v="-1.18E8"/>
        <n v="2.2E8"/>
        <n v="-8.4E7"/>
        <n v="-5.33E8"/>
        <n v="-4000000.0"/>
        <n v="-2.9E7"/>
        <n v="-5.1E7"/>
        <n v="-3.1E7"/>
        <n v="-3.6E7"/>
        <n v="1.23E8"/>
        <n v="-6.28E8"/>
        <n v="4.98E8"/>
        <n v="-1.306E9"/>
        <n v="-7000000.0"/>
        <n v="-1.054E8"/>
        <n v="-1.338E8"/>
        <n v="-2.629E8"/>
        <n v="2.87E8"/>
        <n v="2.31E8"/>
        <n v="-2.37E8"/>
        <n v="-3.29E8"/>
        <n v="-6.26E8"/>
        <n v="-1.45E8"/>
        <n v="-5.951E8"/>
        <n v="-1.6553E9"/>
        <n v="-1.048E8"/>
        <n v="6.037E8"/>
        <n v="-4576000.0"/>
        <n v="-5769000.0"/>
        <n v="-1779000.0"/>
        <n v="-3832000.0"/>
        <n v="-8.0E7"/>
        <n v="2.95E8"/>
        <n v="-1.72E8"/>
        <n v="-9.5E7"/>
        <n v="-4.8E7"/>
        <n v="1.6E7"/>
        <n v="-1.8784E7"/>
        <n v="-1.4752E7"/>
        <n v="-1.1391E7"/>
        <n v="-1.4415E7"/>
        <n v="-1.73E8"/>
        <n v="-3.23E8"/>
        <n v="1.07E8"/>
        <n v="-2.71E8"/>
        <n v="-1.14E8"/>
        <n v="1.89E8"/>
        <n v="-1.79E8"/>
        <n v="-2.42E8"/>
        <n v="2.04E8"/>
        <n v="1.12E8"/>
        <n v="9.5E7"/>
        <n v="8.3E7"/>
        <n v="-3.43E8"/>
        <n v="-3.51E8"/>
        <n v="-1.187E9"/>
        <n v="-1.296E9"/>
        <n v="-1.49E7"/>
        <n v="-4700000.0"/>
        <n v="7300000.0"/>
        <n v="-6300000.0"/>
        <n v="2.7E7"/>
        <n v="3.6E7"/>
        <n v="-1.018E8"/>
        <n v="-4.867E8"/>
        <n v="1.68E7"/>
        <n v="-1.88E7"/>
        <n v="-6.44E7"/>
        <n v="-7.1715E7"/>
        <n v="-5.1113E7"/>
        <n v="-5.7788E7"/>
        <n v="-5.5065E7"/>
        <n v="-2.4E8"/>
        <n v="-2.55E8"/>
        <n v="-4.52E8"/>
        <n v="1.003E9"/>
        <n v="1.342E9"/>
        <n v="1.006E9"/>
        <n v="3.189E9"/>
        <n v="-1.059E8"/>
        <n v="-4.86E7"/>
        <n v="-1.78E7"/>
        <n v="-2.34E8"/>
        <n v="-2.929E9"/>
        <n v="-2.43E7"/>
        <n v="-2.47E7"/>
        <n v="-2.27E7"/>
        <n v="-6.7E7"/>
        <n v="-1.006E9"/>
        <n v="-1.5E9"/>
        <n v="-2.606E9"/>
        <n v="-7.1466E7"/>
        <n v="2.32735E8"/>
        <n v="-1.47778E8"/>
        <n v="-1.49183E8"/>
        <n v="-2.2E8"/>
        <n v="-2.66E8"/>
        <n v="-3.12E8"/>
        <n v="-7749000.0"/>
        <n v="-7164000.0"/>
        <n v="70000.0"/>
        <n v="-4775000.0"/>
        <n v="-4.0392E7"/>
        <n v="-4.2968E7"/>
        <n v="-4.0298E7"/>
        <n v="-3.9326E7"/>
        <n v="-7.07E7"/>
        <n v="-8.45E7"/>
        <n v="-1.686E8"/>
        <n v="-5.64E8"/>
        <n v="2.71E8"/>
        <n v="-9.49E8"/>
        <n v="-4.5809E7"/>
        <n v="-3.69E7"/>
        <n v="-5.4479E7"/>
        <n v="-3.8408E7"/>
        <n v="-2.0615E7"/>
        <n v="-3.1535E7"/>
        <n v="-3.1051E7"/>
        <n v="-4.5138E7"/>
        <n v="-1.09E8"/>
        <n v="8.9E7"/>
        <n v="9.69E8"/>
        <n v="-6.6E8"/>
        <n v="-1.87E8"/>
        <n v="-1.29E8"/>
        <n v="-4.25E8"/>
        <n v="-1.341E9"/>
        <n v="-5.4E8"/>
        <n v="1.3384E7"/>
        <n v="8.3365E7"/>
        <n v="-5709000.0"/>
        <n v="-3.2678E7"/>
        <n v="-1.24E8"/>
        <n v="-3.02E8"/>
        <n v="-4.36E8"/>
        <n v="2.37E8"/>
        <n v="-4.99E8"/>
        <n v="1.816E9"/>
        <n v="-4.33E8"/>
        <n v="-5.6E8"/>
        <n v="-1.27E8"/>
        <n v="-4.2E7"/>
        <n v="-5.8E7"/>
        <n v="-1.52E8"/>
        <n v="4.32E8"/>
        <n v="-8.65E7"/>
        <n v="-6.71E7"/>
        <n v="-1.793E8"/>
        <n v="-2.86E8"/>
        <n v="-2.62E8"/>
        <n v="-2.12E8"/>
        <n v="-1.594E9"/>
        <n v="1.036E8"/>
        <n v="3900000.0"/>
        <n v="7100000.0"/>
        <n v="-3.7E7"/>
        <n v="-6000000.0"/>
        <n v="-2.632E8"/>
        <n v="8.35E7"/>
        <n v="-5.65E7"/>
        <n v="1.692E8"/>
        <n v="-4.6E7"/>
        <n v="-1.61E8"/>
        <n v="-6.6152E7"/>
        <n v="-7762000.0"/>
        <n v="-6914000.0"/>
        <n v="-6.4709E7"/>
        <n v="-3.88999E8"/>
        <n v="-7.9024E7"/>
        <n v="-2.99633E8"/>
        <n v="-3.5573E7"/>
        <n v="3000000.0"/>
        <n v="-4.25066E8"/>
        <n v="-1.20817E8"/>
        <n v="-3.81E7"/>
        <n v="9.8E7"/>
        <n v="-2.35224E8"/>
        <n v="-1.11862E8"/>
        <n v="-1.68731E8"/>
        <n v="-2.00503E8"/>
        <n v="1.75176E8"/>
        <n v="-7.5086E7"/>
        <n v="8.6317E7"/>
        <n v="-8.6808E7"/>
        <n v="-4.2014E7"/>
        <n v="6.2653E7"/>
        <n v="1849000.0"/>
        <n v="-4.2401E7"/>
        <n v="7.03E8"/>
        <n v="-2.99E8"/>
        <n v="-1.42E8"/>
        <n v="-1.3295E7"/>
        <n v="7091000.0"/>
        <n v="-8131000.0"/>
        <n v="-2.8168E7"/>
        <n v="-1.5607E7"/>
        <n v="3.6161E7"/>
        <n v="-6.0046E7"/>
        <n v="5.4759E7"/>
        <n v="-8.74E7"/>
        <n v="-9.24E7"/>
        <n v="-8.67E7"/>
        <n v="-1.192E8"/>
        <n v="-1.20916E8"/>
        <n v="-1.23665E8"/>
        <n v="-1.2296E8"/>
        <n v="-1.17748E8"/>
        <n v="-7.85E8"/>
        <n v="-1.77E8"/>
        <n v="-8.89E8"/>
        <n v="2.26E8"/>
        <n v="-4.09E8"/>
        <n v="-7.2E7"/>
        <n v="-2.44E8"/>
        <n v="-1.95E8"/>
        <n v="4946000.0"/>
        <n v="2096000.0"/>
        <n v="2484000.0"/>
        <n v="3356000.0"/>
        <n v="-2.7402E7"/>
        <n v="3.5492E7"/>
        <n v="-1.4237E7"/>
        <n v="-4.0301E7"/>
        <n v="1.172E9"/>
        <n v="5.65E8"/>
        <n v="-2.5437E10"/>
        <n v="-4.2102E7"/>
        <n v="-3383000.0"/>
        <n v="-1090000.0"/>
        <n v="141000.0"/>
        <n v="1.46E8"/>
        <n v="1.25E8"/>
        <n v="2.8E8"/>
        <n v="9.3E7"/>
        <n v="-2600000.0"/>
        <n v="-2400000.0"/>
        <n v="-1900000.0"/>
        <n v="-1500000.0"/>
        <n v="-3.0927E7"/>
        <n v="-1.4294E7"/>
        <n v="3.8252E7"/>
        <n v="-9.2908E7"/>
        <n v="-7.2E8"/>
        <n v="-1.68E8"/>
        <n v="-2.09E8"/>
        <n v="2.81E8"/>
        <n v="-5.75E8"/>
        <n v="-4.4E8"/>
        <n v="-2.83E8"/>
        <n v="-1.1E7"/>
        <n v="-1.8623E7"/>
        <n v="-1.6625E7"/>
        <n v="-3.845E7"/>
        <n v="-1.1003E7"/>
        <n v="-4.73E8"/>
        <n v="-3.5093E7"/>
        <n v="-3.0285E7"/>
        <n v="-3.1045E7"/>
        <n v="-2.9122E7"/>
        <n v="-4.79E7"/>
        <n v="-4.08E7"/>
        <n v="-1.411E8"/>
        <n v="-7.24E7"/>
        <n v="-2.73E8"/>
        <n v="8.16E8"/>
        <n v="-1.541E9"/>
        <n v="-1300000.0"/>
        <n v="-1100000.0"/>
        <n v="3500000.0"/>
        <n v="2600000.0"/>
        <n v="-3100000.0"/>
        <n v="-7.81E7"/>
        <n v="1.0881E9"/>
        <n v="-4.45E7"/>
        <n v="-2.02E7"/>
        <n v="-3.56E7"/>
        <n v="-3.33E7"/>
        <n v="-2.25E7"/>
        <n v="7.5E7"/>
        <n v="3.86E8"/>
        <n v="3.43E7"/>
        <n v="1.001E8"/>
        <n v="5.04E7"/>
        <n v="-2.102E8"/>
        <n v="-1.99E8"/>
        <n v="-1.36E8"/>
        <n v="1.34E8"/>
        <n v="887000.0"/>
        <n v="855000.0"/>
        <n v="2.0199E7"/>
        <n v="1.9616E7"/>
        <n v="1.03171E8"/>
        <n v="-1.7799E7"/>
        <n v="-2.542E7"/>
        <n v="-7.4005E7"/>
        <n v="-3811000.0"/>
        <n v="-6768000.0"/>
        <n v="-8352000.0"/>
        <n v="-1.3806E7"/>
        <n v="-1.5E8"/>
        <n v="-1.023E9"/>
        <n v="1.487E9"/>
        <n v="-1.706E9"/>
        <n v="-2.87E8"/>
        <n v="-6.51E7"/>
        <n v="-7.08E7"/>
        <n v="3.77E8"/>
        <n v="5.13E8"/>
        <n v="3.7E7"/>
        <n v="-7.6828E7"/>
        <n v="9215000.0"/>
        <n v="-3.1566E7"/>
        <n v="-2.182E7"/>
        <n v="-5.25E8"/>
        <n v="-6.99E8"/>
        <n v="-2.102E9"/>
        <n v="-2.347E9"/>
        <n v="-1.13237E8"/>
        <n v="-1.47974E8"/>
        <n v="-1.05284E8"/>
        <n v="-8.3055E7"/>
        <n v="-2.1769E7"/>
        <n v="-2.6006E7"/>
        <n v="-2.1409E7"/>
        <n v="-2.1674E7"/>
        <n v="-7.4E7"/>
        <n v="-2.56E8"/>
        <n v="-1.39E8"/>
        <n v="-1.47E8"/>
        <n v="-5.02E8"/>
        <n v="-2.57E8"/>
        <n v="-5.283E7"/>
        <n v="-5.7053E7"/>
        <n v="-7.01084E8"/>
        <n v="-9.26E7"/>
        <n v="-1.373E8"/>
        <n v="-9.6209E7"/>
        <n v="-4.3309E7"/>
        <n v="-3.68E8"/>
        <n v="-3.61E8"/>
        <n v="-1.153E9"/>
        <n v="7.8362E7"/>
        <n v="-2.09463E8"/>
        <n v="-9.5213E7"/>
        <n v="-1.17977E8"/>
        <n v="-1246000.0"/>
        <n v="1.1658E7"/>
        <n v="-1.3845E7"/>
        <n v="-2.3303E7"/>
        <n v="-1.46E8"/>
        <n v="-1.93E8"/>
        <n v="-2.25E8"/>
        <n v="-3.47E8"/>
        <n v="-3.77E8"/>
        <n v="-1.64E8"/>
        <n v="-4.51E8"/>
        <n v="-1.31E8"/>
        <n v="-5500000.0"/>
        <n v="-6.01E7"/>
        <n v="-3.45E8"/>
        <n v="-4.11E8"/>
        <n v="-7.92E8"/>
        <n v="-7.42E8"/>
        <n v="-4.14E8"/>
        <n v="-3.5188E7"/>
        <n v="1.028E7"/>
        <n v="8292000.0"/>
        <n v="-6.8236E7"/>
        <n v="1.24E8"/>
        <n v="-2.07E8"/>
        <n v="-1.06E8"/>
        <n v="-2.64E8"/>
        <n v="-1.35E8"/>
        <n v="-2.3E8"/>
        <n v="-1.62E8"/>
        <n v="-2000000.0"/>
        <n v="1.76E8"/>
        <n v="-2.88E8"/>
        <n v="-3.9E7"/>
        <n v="-1000000.0"/>
        <n v="-5.51E8"/>
        <n v="-5.16E8"/>
        <n v="-2.323E9"/>
        <n v="-2.93E8"/>
        <n v="-3.1516E7"/>
        <n v="-1.3872E7"/>
        <n v="-1.5362E7"/>
        <n v="-1.3367E7"/>
        <n v="-7522000.0"/>
        <n v="-7532000.0"/>
        <n v="-7659000.0"/>
        <n v="-7902000.0"/>
        <n v="-1.001E8"/>
        <n v="-6.85E7"/>
        <n v="-1.451E8"/>
        <n v="-7.84E7"/>
        <n v="-5.3E7"/>
        <n v="1.68E8"/>
        <n v="7.8E7"/>
        <n v="6.9E7"/>
        <n v="2.6165E7"/>
        <n v="-3.4652E7"/>
        <n v="518000.0"/>
        <n v="-1.5706E7"/>
        <n v="-1.57E7"/>
        <n v="-5.81E7"/>
        <n v="-7.49E7"/>
        <n v="-1.997E9"/>
        <n v="1.552E9"/>
        <n v="7000000.0"/>
        <n v="1.123E9"/>
        <n v="-7.7E7"/>
        <n v="-1.26E8"/>
        <n v="-1.2E8"/>
        <n v="-3.86E8"/>
        <n v="-6.9765E7"/>
        <n v="-9.3194E7"/>
        <n v="1.2E7"/>
        <n v="-2.17E8"/>
        <n v="-2.38E8"/>
        <n v="-1.295E8"/>
        <n v="-3.032E8"/>
        <n v="-1.045E8"/>
        <n v="2.1E7"/>
        <n v="1000000.0"/>
        <n v="3.2E7"/>
        <n v="2.19E7"/>
        <n v="8.48E7"/>
        <n v="2.299E8"/>
        <n v="8.58E7"/>
        <n v="8900000.0"/>
        <n v="4.46E7"/>
        <n v="-4831000.0"/>
        <n v="-3.219E7"/>
        <n v="-1.1626E7"/>
        <n v="2.2829E7"/>
        <n v="-9.0E7"/>
        <n v="-1.02E8"/>
        <n v="-1.44495E8"/>
        <n v="3.7453E7"/>
        <n v="-1.60299E8"/>
        <n v="-1.76464E8"/>
        <n v="-1.2059E7"/>
        <n v="-1.2024E7"/>
        <n v="-2145000.0"/>
        <n v="-1.1895E7"/>
        <n v="-613000.0"/>
        <n v="-266000.0"/>
        <n v="-65000.0"/>
        <n v="-49000.0"/>
        <n v="3.117E7"/>
        <n v="-3.58544E8"/>
        <n v="1.0847E8"/>
        <n v="-2.63917E8"/>
        <n v="-5.53E7"/>
        <n v="-6.79E7"/>
        <n v="-1.65E7"/>
        <n v="-7.21E7"/>
        <n v="2.5E8"/>
        <n v="5.85E8"/>
        <n v="-2.299E9"/>
        <n v="-1.565E9"/>
        <n v="-2.76E8"/>
        <n v="-5.24E8"/>
        <n v="-3.25E7"/>
        <n v="-8.49E7"/>
        <n v="-1.366E8"/>
        <n v="-1.47E7"/>
        <n v="-7.487E8"/>
        <n v="-6.04E7"/>
        <n v="-3.53E7"/>
        <n v="-1.03E8"/>
        <n v="-1.86E8"/>
        <n v="1.6188E7"/>
        <n v="4.827E7"/>
        <n v="1.10965E8"/>
        <n v="-1.1032E8"/>
        <n v="-1.243E9"/>
        <n v="-9098000.0"/>
        <n v="-3.1744E7"/>
        <n v="-4.2762E7"/>
        <n v="-4.2583E7"/>
        <n v="-7.81E8"/>
        <n v="-6.85E8"/>
        <n v="-4.94E8"/>
        <n v="-5.96E8"/>
        <n v="-7.31E8"/>
        <n v="1.79E8"/>
        <n v="-7.8E7"/>
        <n v="-4.39E8"/>
        <n v="-1.599E8"/>
        <n v="-1.369E8"/>
        <n v="-1.97E7"/>
        <n v="-7166000.0"/>
        <n v="-3.532E7"/>
        <n v="-2.9941E7"/>
        <n v="-3.8792E7"/>
        <n v="-1.98E7"/>
        <n v="-1.92E7"/>
        <n v="-1.58E7"/>
        <n v="-3.84E7"/>
        <n v="-1.69E8"/>
        <n v="-1.96E8"/>
        <n v="-7700000.0"/>
        <n v="-3.05E7"/>
        <n v="-5.2E7"/>
        <n v="6.0894E7"/>
        <n v="4.50551E8"/>
        <n v="7747000.0"/>
        <n v="-1.0152E7"/>
        <n v="-1.82E8"/>
        <n v="3.5E7"/>
        <n v="-8.0862E7"/>
        <n v="-1.3299E7"/>
        <n v="-3.8794E7"/>
        <n v="-5.5129E7"/>
        <n v="-1.0528E7"/>
        <n v="-3.2816E7"/>
        <n v="-4.0321E7"/>
        <n v="-5.0467E7"/>
        <n v="-8.3E7"/>
        <n v="-2.43E8"/>
        <n v="-2.11E8"/>
        <n v="-1.449E9"/>
        <n v="-1.281E9"/>
        <n v="-3.69E8"/>
        <n v="-3.79E8"/>
        <n v="-3.194E9"/>
        <n v="-4.06E8"/>
        <n v="6.7E7"/>
        <n v="-2.4506E7"/>
        <n v="-1.6926E7"/>
        <n v="-1.8333E7"/>
        <n v="-1.6035E7"/>
        <n v="2.0E7"/>
        <n v="-2.23E8"/>
        <n v="-2.59E8"/>
        <n v="-1.016E9"/>
        <n v="-1124000.0"/>
        <n v="-1678000.0"/>
        <n v="-2528000.0"/>
        <n v="162000.0"/>
        <n v="-1.12E8"/>
        <n v="-4.59E8"/>
        <n v="-1.3E8"/>
        <n v="-2.21E7"/>
        <n v="-2.53E7"/>
        <n v="4.19E7"/>
        <n v="-2.08E8"/>
        <n v="-3.5E7"/>
        <n v="7.0E7"/>
        <n v="5.7E7"/>
        <n v="-1.9E8"/>
        <n v="-3.6074E7"/>
        <n v="-3.7157E7"/>
        <n v="-4.6786E7"/>
        <n v="-4.5112E7"/>
        <n v="-2.99E7"/>
        <n v="-3.03E7"/>
        <n v="-4.39E7"/>
        <n v="-3.49E7"/>
        <n v="-1.88E8"/>
        <n v="-1.558E8"/>
        <n v="-1.841E8"/>
        <n v="1.37E8"/>
        <n v="-8.223E9"/>
        <n v="-1.08E8"/>
        <n v="4.2E7"/>
        <n v="-8.32E8"/>
        <n v="-4.32E8"/>
        <n v="-6.09E8"/>
        <n v="-1.901E9"/>
        <n v="-5.297E9"/>
        <n v="-1.032E9"/>
        <n v="-2.27E8"/>
        <n v="-2.28E8"/>
        <n v="-2.29E8"/>
        <n v="-1.3911E7"/>
        <n v="-1.2133E7"/>
        <n v="-1.3149E7"/>
        <n v="-1.0451E7"/>
        <n v="-2.6386E7"/>
        <n v="-2.35596E8"/>
        <n v="-2.28523E8"/>
        <n v="-1.67004E8"/>
        <n v="-8.29E7"/>
        <n v="-1.573E8"/>
        <n v="-2.328E8"/>
        <n v="-1.414E8"/>
        <n v="3.1E8"/>
        <n v="4.4E8"/>
        <n v="2.48E8"/>
        <n v="1.16444E8"/>
        <n v="-5.5253E7"/>
        <n v="-2.2055E7"/>
        <n v="-3.8954E7"/>
        <n v="4026000.0"/>
        <n v="2345000.0"/>
        <n v="-1.0506E7"/>
        <n v="-2.4198E7"/>
        <n v="-3.5275E7"/>
        <n v="-4.0602E7"/>
        <n v="-8.02E7"/>
        <n v="-7.48E7"/>
        <n v="-1.5918E9"/>
        <n v="-1.252E8"/>
        <n v="4.03E8"/>
        <n v="-2.33E8"/>
        <n v="2.17E8"/>
        <n v="1435000.0"/>
        <n v="959000.0"/>
        <n v="2940000.0"/>
        <n v="653000.0"/>
        <n v="872000.0"/>
        <n v="-759000.0"/>
        <n v="-1505000.0"/>
        <n v="-4568000.0"/>
        <n v="-1.034E9"/>
        <n v="-8.56E8"/>
        <n v="-8.9E8"/>
        <n v="-1.142E9"/>
        <n v="-7.0E7"/>
        <n v="-7.7851E7"/>
        <n v="-3.8347E7"/>
        <n v="-3.7505E7"/>
        <n v="-3.8577E7"/>
        <n v="3.8E7"/>
        <n v="-3.2E7"/>
        <n v="1.1E7"/>
        <n v="1.35E8"/>
        <n v="7.4646E7"/>
        <n v="-4.47825E8"/>
        <n v="-4.53403E8"/>
        <n v="-3.22326E8"/>
        <n v="1.3E7"/>
        <n v="-6.49E8"/>
        <n v="1.029E9"/>
        <n v="-1.325E9"/>
        <n v="-1.01E8"/>
        <n v="-2.61E8"/>
        <n v="3.4E7"/>
        <n v="-8.06E7"/>
        <n v="-9.53E7"/>
        <n v="-9.73E7"/>
        <n v="-3.905E8"/>
        <n v="-1.4E8"/>
        <n v="-5.25E7"/>
        <n v="1.807E9"/>
        <n v="-1.04E8"/>
        <n v="-7.971E8"/>
        <n v="-1.60427E8"/>
        <n v="-1.63344E8"/>
        <n v="-1.28955E8"/>
        <n v="-6.0685E7"/>
        <n v="-3.3067E7"/>
        <n v="-3.19643E8"/>
        <n v="-6.2664E7"/>
        <n v="8.8E7"/>
        <n v="-5650000.0"/>
        <n v="-1.3006E7"/>
        <n v="-5869000.0"/>
        <n v="-6509000.0"/>
        <n v="-1.28E8"/>
        <n v="-3.5278E7"/>
        <n v="-3.7743E7"/>
        <n v="-3.8607E7"/>
        <n v="-3.608E7"/>
        <n v="-4.29E8"/>
        <n v="2.7E8"/>
        <n v="-1.073E9"/>
        <n v="-3.674E9"/>
        <n v="-459000.0"/>
        <n v="-1656000.0"/>
        <n v="-349000.0"/>
        <n v="-979000.0"/>
        <n v="-4.15E7"/>
        <n v="-2.31E7"/>
        <n v="-4.75E7"/>
        <n v="9.82E7"/>
        <n v="-1.4761E8"/>
        <n v="-1.51815E8"/>
        <n v="-1.51202E8"/>
        <n v="-1.33211E8"/>
        <n v="-7.89E8"/>
        <n v="-4.81E8"/>
        <n v="-6.71E8"/>
        <n v="-7.08E8"/>
        <n v="-6700000.0"/>
        <n v="3200000.0"/>
        <n v="1400000.0"/>
        <n v="-4.13E7"/>
        <n v="-3.79E7"/>
        <n v="-8.8534E7"/>
        <n v="-5.2173E7"/>
        <n v="-4.4433E7"/>
        <n v="3.2336E7"/>
        <n v="244000.0"/>
        <n v="146000.0"/>
        <n v="629000.0"/>
        <n v="354000.0"/>
        <n v="1.22E8"/>
        <n v="2.28E8"/>
        <n v="8.52E8"/>
        <n v="-1.304E8"/>
        <n v="-1.296E8"/>
        <n v="-1.051E8"/>
        <n v="-1.084E8"/>
        <n v="-6600000.0"/>
        <n v="-1.24E7"/>
        <n v="-1.55E7"/>
        <n v="-2.56E7"/>
        <n v="-3.94E7"/>
        <n v="-4.119E8"/>
        <n v="-2.95E8"/>
        <n v="-2.78E8"/>
        <n v="-1.24888E8"/>
        <n v="-2.8431E7"/>
        <n v="-9659000.0"/>
        <n v="-2.4154E7"/>
        <n v="-1.007E9"/>
        <n v="5.4E8"/>
        <n v="-1.454E9"/>
        <n v="-1.48E8"/>
        <n v="-2.22E8"/>
        <n v="6.98E8"/>
        <n v="-5.9E7"/>
        <n v="1.08E8"/>
        <n v="-4.1541E7"/>
        <n v="-4.0565E7"/>
        <n v="-3.9161E7"/>
        <n v="-7.9449E7"/>
        <n v="-2.5E8"/>
        <n v="-825000.0"/>
        <n v="-1906000.0"/>
        <n v="-2507000.0"/>
        <n v="-3014000.0"/>
        <n v="7.3E7"/>
        <n v="-1.71E8"/>
        <n v="-4.69E8"/>
        <n v="-1.57E8"/>
        <n v="-3.97E8"/>
        <n v="7.4E7"/>
        <n v="-1.109E9"/>
        <n v="9.2E7"/>
        <n v="-5.03E8"/>
        <n v="-5.42E7"/>
        <n v="-5.64E7"/>
        <n v="-5.62E7"/>
        <n v="3.53484E8"/>
        <n v="2.40751E8"/>
        <n v="1.643E7"/>
        <n v="-6.4612E7"/>
        <n v="7.9E7"/>
        <n v="2.8E7"/>
        <n v="1.5E7"/>
        <n v="5.2592E7"/>
        <n v="-1.5599E7"/>
        <n v="-2.6112E7"/>
        <n v="-1.7078E7"/>
        <n v="-2.294E9"/>
        <n v="-4.84E8"/>
        <n v="5.8E7"/>
        <n v="2.0805E7"/>
        <n v="-2.7597E7"/>
        <n v="4.24E7"/>
        <n v="-4.5463E7"/>
        <n v="-2642000.0"/>
        <n v="2640000.0"/>
        <n v="-6.1514E7"/>
        <n v="-5046000.0"/>
        <n v="-3.29E7"/>
        <n v="4.47E7"/>
        <n v="-2.98E7"/>
        <n v="-1.1073E7"/>
        <n v="312000.0"/>
        <n v="-3.5472E7"/>
        <n v="-7.6682E7"/>
        <n v="3.83E8"/>
        <n v="6.2E7"/>
        <n v="-78999.0"/>
        <n v="3612000.0"/>
        <n v="-3140000.0"/>
        <n v="-7046000.0"/>
        <n v="2.73E8"/>
        <n v="-1.34E7"/>
        <n v="-7.63E7"/>
        <n v="-2.67E7"/>
        <n v="-3.78E8"/>
        <n v="-3.98E8"/>
        <n v="-3.85E8"/>
        <n v="-5.2E8"/>
        <n v="-9.8213E7"/>
        <n v="-8.8917E7"/>
        <n v="-1.13063E8"/>
        <n v="-7.6576E7"/>
        <n v="-2.9463E7"/>
        <n v="-1.4168E7"/>
        <n v="-2.3752E7"/>
        <n v="-3.3061E7"/>
        <n v="-3.06E7"/>
        <n v="4.056E8"/>
        <n v="1.403E8"/>
        <n v="3.393E8"/>
        <n v="-9.81E7"/>
        <n v="-1.115E8"/>
        <n v="-2.79E8"/>
        <n v="-3125000.0"/>
        <n v="-2427000.0"/>
        <n v="-5421000.0"/>
        <n v="-2.5029E7"/>
        <n v="-1521000.0"/>
        <n v="2.7659E7"/>
        <n v="1.2033E7"/>
        <n v="4.0637E7"/>
        <n v="-2.524E8"/>
        <n v="2.07E7"/>
        <n v="1.691E8"/>
        <n v="4.362E8"/>
        <n v="225000.0"/>
        <n v="385000.0"/>
        <n v="3.1654E7"/>
        <n v="-1561000.0"/>
        <n v="-5.99E7"/>
        <n v="-3.36E7"/>
        <n v="-4.96E7"/>
        <n v="-1.8707E7"/>
        <n v="-1.9049E7"/>
        <n v="-2.59152E8"/>
        <n v="-2.874E7"/>
        <n v="-4.18492E8"/>
        <n v="-3.64342E8"/>
        <n v="-3.22042E8"/>
        <n v="-5.77252E8"/>
        <n v="-8.5E7"/>
        <n v="-2.32E8"/>
        <n v="2.32E8"/>
        <n v="1.026E9"/>
        <n v="-1.84265E8"/>
        <n v="-3320000.0"/>
        <n v="-2.10729E8"/>
        <n v="-3.5387E7"/>
        <n v="-1.7E7"/>
        <n v="-4.33E7"/>
        <n v="-1.412E9"/>
        <n v="1.56E8"/>
        <n v="2000000.0"/>
        <n v="-4570000.0"/>
        <n v="-8.14E7"/>
        <n v="-1.945E8"/>
        <n v="-6.43E7"/>
        <n v="2.33586E8"/>
        <n v="1.48149E8"/>
        <n v="-1.0005E8"/>
        <n v="-1.52033E8"/>
        <n v="800000.0"/>
        <n v="200000.0"/>
        <n v="-1.33E7"/>
        <n v="-1.36E7"/>
        <n v="-5.04E8"/>
        <n v="6.59E8"/>
        <n v="6.63E8"/>
        <n v="1.414E9"/>
        <n v="-8.89E7"/>
        <n v="-1.429E8"/>
        <n v="-1.407E8"/>
        <n v="-4.36E7"/>
        <n v="-9.47E7"/>
        <n v="-2.807E8"/>
        <n v="-2.04E8"/>
        <n v="-1.84311E8"/>
        <n v="-3.2399E7"/>
        <n v="-2.6434E7"/>
        <n v="-1.3075E7"/>
        <n v="-3.56E8"/>
        <n v="-9463000.0"/>
        <n v="-3.8501E7"/>
        <n v="2.3085E7"/>
        <n v="-6819000.0"/>
        <n v="-3737000.0"/>
        <n v="2.1764E7"/>
        <n v="2.8756E7"/>
        <n v="-4179000.0"/>
        <n v="-1.23941E8"/>
        <n v="-9.4109E7"/>
        <n v="-1.76269E8"/>
        <n v="-7.02121E8"/>
        <n v="-1.462E9"/>
        <n v="-1.258E9"/>
        <n v="-1.575E9"/>
        <n v="-1.19E9"/>
        <n v="1.439E8"/>
        <n v="1.021E8"/>
        <n v="3.901E8"/>
        <n v="1.916E8"/>
        <n v="-7.873E7"/>
        <n v="-1.0901E7"/>
        <n v="-1.5938E7"/>
        <n v="3.5193E7"/>
        <n v="-8.75E7"/>
        <n v="-3.68E7"/>
        <n v="-4.34E7"/>
        <n v="-1.44E8"/>
        <n v="-6.4E8"/>
        <n v="-1.33E8"/>
        <n v="-3800000.0"/>
        <n v="-4.0419E7"/>
        <n v="-3.0491E7"/>
        <n v="-6.3339E7"/>
        <n v="-1.2779E7"/>
        <n v="-5246000.0"/>
        <n v="-1480000.0"/>
        <n v="1.5714E7"/>
        <n v="2.1862E7"/>
        <n v="4.0E7"/>
        <n v="3.9E7"/>
        <n v="8.0E7"/>
        <n v="-6.53E7"/>
        <n v="-1.35E7"/>
        <n v="2500000.0"/>
        <n v="-9.65E7"/>
        <n v="-3.9424E7"/>
        <n v="-4.4569E7"/>
        <n v="-1.58875E8"/>
        <n v="-4.4121E7"/>
        <n v="-1.403E8"/>
        <n v="8.33E7"/>
        <n v="-1.16E8"/>
        <n v="-1.8E8"/>
        <n v="-4.894E9"/>
        <n v="-3.36E8"/>
        <n v="-4.4688E7"/>
        <n v="1.52604E8"/>
        <n v="-5.2884E7"/>
        <n v="-5.7336E7"/>
        <n v="-1.9701E7"/>
        <n v="-7221000.0"/>
        <n v="-1.17137E8"/>
        <n v="-2.7208E7"/>
        <n v="-6.17E7"/>
        <n v="-7.25E7"/>
        <n v="-6.41E7"/>
        <n v="-7.12E7"/>
        <n v="-3.01E8"/>
        <n v="1.29E7"/>
        <n v="-4.7E8"/>
        <n v="-3.07E8"/>
        <n v="-5.12E8"/>
        <n v="5.1048E7"/>
        <n v="-2178000.0"/>
        <n v="-1.77755E8"/>
        <n v="-2.6424E7"/>
        <n v="-1104000.0"/>
        <n v="376000.0"/>
        <n v="280000.0"/>
        <n v="470000.0"/>
        <n v="-4.64E8"/>
        <n v="1.81E8"/>
        <n v="623000.0"/>
        <n v="1981000.0"/>
        <n v="-8.3266E7"/>
        <n v="-2.5007E7"/>
        <n v="-5.4492E7"/>
        <n v="-2.487E7"/>
        <n v="1.01324E8"/>
        <n v="-9.6039E7"/>
        <n v="-2.7E8"/>
        <n v="6.4E8"/>
        <n v="1.233E9"/>
        <n v="3.6E8"/>
        <n v="-3.06E8"/>
        <n v="1.211E9"/>
        <n v="-2.94E8"/>
        <n v="-4.1E8"/>
        <n v="-4.01E8"/>
        <n v="-3.95E8"/>
        <n v="-1.217E7"/>
        <n v="-2.2792E7"/>
        <n v="-1.2581E7"/>
        <n v="-2.6406E7"/>
        <n v="-1.38E8"/>
        <n v="-7.2365E7"/>
        <n v="-2.08672E8"/>
        <n v="4.0882E7"/>
        <n v="-1.24556E8"/>
        <n v="-2.5105E7"/>
        <n v="-2.209E7"/>
        <n v="-2.1612E7"/>
        <n v="-2.1762E7"/>
        <n v="-3.63E7"/>
        <n v="-3.59E7"/>
        <n v="-6.92E8"/>
        <n v="-1.271E9"/>
        <n v="-1.469E9"/>
        <n v="-2.123E9"/>
        <n v="-7894000.0"/>
        <n v="-6.2966E7"/>
        <n v="1.42331E8"/>
        <n v="7.183E7"/>
        <n v="3.7778E7"/>
        <n v="-1.05577E8"/>
        <n v="-6.7065E7"/>
        <n v="-3.7497E7"/>
        <n v="-3.3E8"/>
        <n v="-5.26E8"/>
        <n v="-1.078E9"/>
        <n v="-1.1703E9"/>
        <n v="-8.628E8"/>
        <n v="-2.774E8"/>
        <n v="3.27E8"/>
        <n v="4.4E7"/>
        <n v="-9.7E7"/>
        <n v="-1.9395E7"/>
        <n v="-4.8711E7"/>
        <n v="-2.85576E8"/>
        <n v="3.7506E7"/>
        <n v="-3.8791E7"/>
        <n v="8.8431E7"/>
        <n v="-5.2883E7"/>
        <n v="-3.4725E7"/>
        <n v="-4.4874E7"/>
        <n v="-3.4674E7"/>
        <n v="-6.8311E7"/>
        <n v="-4.4846E7"/>
        <n v="-5.11E7"/>
        <n v="-6.67E7"/>
        <n v="-5.08E7"/>
        <n v="-9.14E7"/>
        <n v="-1.403E9"/>
        <n v="-1.897E9"/>
        <n v="-1.431E9"/>
        <n v="-3.065E9"/>
        <n v="-7.08E9"/>
        <n v="7.37E8"/>
        <n v="-3.39E8"/>
        <n v="-2.24E8"/>
        <n v="-1.78E8"/>
        <n v="942000.0"/>
        <n v="2463000.0"/>
        <n v="-1.331E7"/>
        <n v="-1.3752E7"/>
        <n v="-6.06E7"/>
        <n v="-6.77E7"/>
        <n v="-6.83E7"/>
        <n v="6.6E7"/>
        <n v="-7.25E8"/>
        <n v="-1.74746E8"/>
        <n v="-6.1662E7"/>
        <n v="6615000.0"/>
        <n v="2.66024E8"/>
        <n v="8200000.0"/>
        <n v="1600000.0"/>
        <n v="-2200000.0"/>
        <n v="-3300000.0"/>
        <n v="-2.68E7"/>
        <n v="-3.04E7"/>
        <n v="-9.27E7"/>
        <n v="-7.47E7"/>
        <n v="-1.5234E9"/>
        <n v="-1.025E8"/>
        <n v="-1.6E8"/>
        <n v="-1.63E8"/>
        <n v="-1.46779E8"/>
        <n v="-1.63054E8"/>
        <n v="-1.89812E8"/>
        <n v="-1.48461E8"/>
        <n v="-1.66E8"/>
        <n v="-1.67E8"/>
        <n v="-4246000.0"/>
        <n v="3709000.0"/>
        <n v="-1.0771E7"/>
        <n v="-1.322E8"/>
        <n v="-1.783E8"/>
        <n v="-9.85E7"/>
      </sharedItems>
    </cacheField>
    <cacheField name="Net Income From Continuing Ops" numFmtId="0">
      <sharedItems containsString="0" containsBlank="1" containsNumber="1" containsInteger="1">
        <n v="1.437E9"/>
        <n v="1.525E9"/>
        <n v="1.627E9"/>
        <n v="1.39E9"/>
        <n v="1.316E8"/>
        <n v="1.182E8"/>
        <n v="9.77E7"/>
        <n v="1.2E8"/>
        <n v="2.1E9"/>
        <n v="1.189E9"/>
        <n v="1.793E9"/>
        <n v="2.158E9"/>
        <n v="3.18E9"/>
        <n v="7.69E8"/>
        <n v="3.555E9"/>
        <n v="3.8E7"/>
        <n v="5.6953E7"/>
        <n v="-2.6525E7"/>
        <n v="5.6856E7"/>
        <n v="6.1868E7"/>
        <n v="1.437423E9"/>
        <n v="1.569572E9"/>
        <n v="1.461493E9"/>
        <n v="1.522057E9"/>
        <n v="6.39E8"/>
        <n v="8.76E8"/>
        <n v="6.19E8"/>
        <n v="5.09E8"/>
        <n v="5.33E8"/>
        <n v="7.12E8"/>
        <n v="6.93E8"/>
        <n v="1.212E9"/>
        <n v="1.116E9"/>
        <n v="1.261E9"/>
        <n v="2.25E9"/>
        <n v="1.78696E8"/>
        <n v="1.8593E8"/>
        <n v="9.23E8"/>
        <n v="7.1E8"/>
        <n v="5.55E8"/>
        <n v="1.781E9"/>
        <n v="4.85E8"/>
        <n v="-8.1E7"/>
        <n v="-2.9E7"/>
        <n v="4.01E8"/>
        <n v="8.88E8"/>
        <n v="1.105E9"/>
        <n v="1.293E9"/>
        <n v="9.52E8"/>
        <n v="2.64E8"/>
        <n v="2.16E8"/>
        <n v="2.88E8"/>
        <n v="2.22E8"/>
        <n v="5.67E8"/>
        <n v="5.241E8"/>
        <n v="4.771E8"/>
        <n v="4.764E8"/>
        <n v="1.78916E8"/>
        <n v="1.56497E8"/>
        <n v="1.55695E8"/>
        <n v="1.1337E8"/>
        <n v="-3.74433E8"/>
        <n v="4.46208E8"/>
        <n v="1.17698E8"/>
        <n v="1.02177E8"/>
        <n v="1.94E8"/>
        <n v="3.97E8"/>
        <n v="-1.31E8"/>
        <n v="-4.47E8"/>
        <n v="1.24433E8"/>
        <n v="4.0452E8"/>
        <n v="2.5533E7"/>
        <n v="4.57133E8"/>
        <n v="1.80969E8"/>
        <n v="1.99714E8"/>
        <n v="2.00376E8"/>
        <n v="1.58988E8"/>
        <n v="1.436E8"/>
        <n v="1.188E8"/>
        <n v="1.082E8"/>
        <n v="9.34E7"/>
        <n v="2.56E8"/>
        <n v="1.44E8"/>
        <n v="1.71E8"/>
        <n v="6.4E7"/>
        <n v="2.06E8"/>
        <n v="1.435E9"/>
        <n v="2.406E9"/>
        <n v="2.624E9"/>
        <n v="1.8525E10"/>
        <n v="1.793E10"/>
        <n v="1.5227E10"/>
        <n v="1.1247E10"/>
        <n v="2.15E9"/>
        <n v="1.421E9"/>
        <n v="1.922E9"/>
        <n v="-9.56E8"/>
        <n v="7.778E9"/>
        <n v="8.107E9"/>
        <n v="7.222E9"/>
        <n v="6.331E9"/>
        <n v="2.59E8"/>
        <n v="2.7E8"/>
        <n v="2.0E8"/>
        <n v="2.08E8"/>
        <n v="2.35E8"/>
        <n v="1.16E8"/>
        <n v="3.69E8"/>
        <n v="1.9E7"/>
        <n v="-1.25E9"/>
        <n v="-2.178E9"/>
        <n v="-2.399E9"/>
        <n v="5.738E8"/>
        <n v="5.788E8"/>
        <n v="4.347E8"/>
        <n v="7.482E8"/>
        <n v="2.28E9"/>
        <n v="2.235E9"/>
        <n v="1.438E9"/>
        <n v="1.073E9"/>
        <n v="1.5E8"/>
        <n v="3.93E9"/>
        <n v="-1.6E7"/>
        <n v="2.94E8"/>
        <n v="7.479E8"/>
        <n v="6.523E8"/>
        <n v="3.616E8"/>
        <n v="4.629E8"/>
        <n v="2.07E8"/>
        <n v="1.33E8"/>
        <n v="1.45E8"/>
        <n v="5.91E8"/>
        <n v="4.37E8"/>
        <n v="1.77E8"/>
        <n v="-1.4E8"/>
        <n v="2.95448E8"/>
        <n v="4.34005E8"/>
        <n v="3.78707E8"/>
        <n v="-4.844505E9"/>
        <n v="2.31679E8"/>
        <n v="2.19233E8"/>
        <n v="2.21025E8"/>
        <n v="2.04581E8"/>
        <n v="4.64E8"/>
        <n v="1.646E9"/>
        <n v="1.615E9"/>
        <n v="2.021E9"/>
        <n v="3.318E8"/>
        <n v="3.602E8"/>
        <n v="3.495E8"/>
        <n v="2.605E8"/>
        <n v="5.03311E8"/>
        <n v="4.22905E8"/>
        <n v="3.88519E8"/>
        <n v="3.86526E8"/>
        <n v="9.3716E7"/>
        <n v="7.2398E7"/>
        <n v="2.15632E8"/>
        <n v="7.5627E7"/>
        <n v="1.502E9"/>
        <n v="1.801E9"/>
        <n v="1.667E9"/>
        <n v="5.51E8"/>
        <n v="3.93E8"/>
        <n v="9.33E8"/>
        <n v="5.34E8"/>
        <n v="2.81E8"/>
        <n v="4.08E8"/>
        <n v="4.5E8"/>
        <n v="5.5E7"/>
        <n v="4.1E7"/>
        <n v="2.1744E10"/>
        <n v="2.363E10"/>
        <n v="2.8755E10"/>
        <n v="1.2673E10"/>
        <n v="1.716E9"/>
        <n v="1.33E9"/>
        <n v="1.13E9"/>
        <n v="1.131E9"/>
        <n v="1.66E8"/>
        <n v="3.0E8"/>
        <n v="3.15E8"/>
        <n v="3.05E8"/>
        <n v="1.96888E8"/>
        <n v="1.80366E8"/>
        <n v="1.82958E8"/>
        <n v="1.68375E8"/>
        <n v="2.018E8"/>
        <n v="3.937E8"/>
        <n v="1.531E8"/>
        <n v="1.878E8"/>
        <n v="1.847E8"/>
        <n v="1.485E8"/>
        <n v="1.39E8"/>
        <n v="-3.05E7"/>
        <n v="1.874E9"/>
        <n v="7.942E9"/>
        <n v="-1.3515E10"/>
        <n v="3.168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77E8"/>
        <n v="1.42234E8"/>
        <n v="3.41114E8"/>
        <n v="1.47717E8"/>
        <n v="1.838E8"/>
        <n v="2.095E8"/>
        <n v="1.915E8"/>
        <n v="1.505E8"/>
        <n v="1.6E7"/>
        <n v="-7.7E7"/>
        <n v="-6.05E8"/>
        <n v="9.51E8"/>
        <n v="2.02E8"/>
        <n v="2.27E8"/>
        <n v="2.4E8"/>
        <n v="7.691E9"/>
        <n v="9.224E9"/>
        <n v="8.05E9"/>
        <n v="5.47E9"/>
        <n v="3.74E8"/>
        <n v="2.77E8"/>
        <n v="8.6E8"/>
        <n v="3.31E8"/>
        <n v="3.01E8"/>
        <n v="3.59E8"/>
        <n v="5.25E8"/>
        <n v="2.99E8"/>
        <n v="1.003E9"/>
        <n v="1.28E8"/>
        <n v="7.34E8"/>
        <n v="5.95E8"/>
        <n v="8.16E8"/>
        <n v="3.91E8"/>
        <n v="9.14114E8"/>
        <n v="9.77414E8"/>
        <n v="8.39102E8"/>
        <n v="1.314824E9"/>
        <n v="1.4644E7"/>
        <n v="4.5402E7"/>
        <n v="4.6144E7"/>
        <n v="3.3395E7"/>
        <n v="1.0255E9"/>
        <n v="4.046E8"/>
        <n v="3.576E8"/>
        <n v="7.039E8"/>
        <n v="1.547E9"/>
        <n v="1.273E9"/>
        <n v="1.74E9"/>
        <n v="1.517E9"/>
        <n v="9.43E8"/>
        <n v="1.027E9"/>
        <n v="9.32E8"/>
        <n v="7.55E8"/>
        <n v="-1.32E8"/>
        <n v="-5.61E8"/>
        <n v="-8.439E9"/>
        <n v="-1.67E8"/>
        <n v="-5.5E7"/>
        <n v="-1.65E8"/>
        <n v="8.01E8"/>
        <n v="2.74E8"/>
        <n v="9.4E7"/>
        <n v="3.85E8"/>
        <n v="1.29E8"/>
        <n v="1.4125E8"/>
        <n v="1.28147E8"/>
        <n v="2.4905E7"/>
        <n v="1.1806E8"/>
        <n v="1.86E8"/>
        <n v="3.41E8"/>
        <n v="2.1E8"/>
        <n v="-1.55E8"/>
        <n v="1.061E9"/>
        <n v="2.029E9"/>
        <n v="-1.0027E10"/>
        <n v="1.878E9"/>
        <n v="1.876E9"/>
        <n v="1.493E9"/>
        <n v="1.378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1.02E8"/>
        <n v="-4.2E8"/>
        <n v="-5.58E8"/>
        <n v="-9.24E8"/>
        <n v="2.45E8"/>
        <n v="3.09E8"/>
        <n v="8.6E7"/>
        <n v="3.537E9"/>
        <n v="3.327E9"/>
        <n v="2.568E9"/>
        <n v="1.15E8"/>
        <n v="6.3E8"/>
        <n v="-2.53E8"/>
        <n v="4.36756E8"/>
        <n v="2.09945E8"/>
        <n v="2.353E8"/>
        <n v="2.96696E8"/>
        <n v="-2.072E9"/>
        <n v="-1.973E9"/>
        <n v="-2.222E9"/>
        <n v="-2.858E9"/>
        <n v="4.97E8"/>
        <n v="3.92E8"/>
        <n v="8.87E8"/>
        <n v="7.48E8"/>
        <n v="1.824E8"/>
        <n v="2.318E8"/>
        <n v="8.84E7"/>
        <n v="8.24E7"/>
        <n v="1.531E9"/>
        <n v="7.8E8"/>
        <n v="6.71E8"/>
        <n v="4.59E8"/>
        <n v="1.055E8"/>
        <n v="1.372E8"/>
        <n v="8.73E7"/>
        <n v="1.099E8"/>
        <n v="4.43442E8"/>
        <n v="2.68977E8"/>
        <n v="3.15386E8"/>
        <n v="1.8484E8"/>
        <n v="2.741E8"/>
        <n v="2.326E8"/>
        <n v="2.383E8"/>
        <n v="1.932E8"/>
        <n v="5.44E8"/>
        <n v="3.24E8"/>
        <n v="1.454E9"/>
        <n v="2.11E8"/>
        <n v="5.81E8"/>
        <n v="-5.35E8"/>
        <n v="6.97E8"/>
        <n v="-1.9E7"/>
        <n v="2.51E8"/>
        <n v="3.63E8"/>
        <n v="1.27E8"/>
        <n v="-2.58E7"/>
        <n v="-1.92E7"/>
        <n v="-1.73E7"/>
        <n v="-800000.0"/>
        <n v="3.2707E7"/>
        <n v="1.72252E8"/>
        <n v="1.41505E8"/>
        <n v="3.56676E8"/>
        <n v="3.17E8"/>
        <n v="1.75E8"/>
        <n v="1.19E8"/>
        <n v="4000000.0"/>
        <n v="8.9916E7"/>
        <n v="6.3935E7"/>
        <n v="1.4419E8"/>
        <n v="1.02611E8"/>
        <n v="1.265E9"/>
        <n v="1.484E9"/>
        <n v="1.135E9"/>
        <n v="6.98E8"/>
        <n v="1.407E9"/>
        <n v="1.158E9"/>
        <n v="9.21E8"/>
        <n v="1.401E9"/>
        <n v="3.094E9"/>
        <n v="1.398E9"/>
        <n v="-6.56E8"/>
        <n v="-2.09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76E9"/>
        <n v="1.171E9"/>
        <n v="4.142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77E9"/>
        <n v="3.995E9"/>
        <n v="3.261E9"/>
        <n v="6.48E8"/>
        <n v="6.11E8"/>
        <n v="4.56E8"/>
        <n v="3.14E8"/>
        <n v="6.2766E7"/>
        <n v="9.0048E7"/>
        <n v="1.12091E8"/>
        <n v="9.8227E7"/>
        <n v="1.0E8"/>
        <n v="-5.9E7"/>
        <n v="2.61E8"/>
        <n v="4.17E8"/>
        <n v="5.106E8"/>
        <n v="5.748E8"/>
        <n v="4.248E8"/>
        <n v="4.115E8"/>
        <n v="1.53E8"/>
        <n v="3.08E8"/>
        <n v="1.62E8"/>
        <n v="2.255E9"/>
        <n v="1.474E9"/>
        <n v="5.12E8"/>
        <n v="5.05E8"/>
        <n v="3.16E8"/>
        <n v="3.48E8"/>
        <n v="7.41E8"/>
        <n v="7.28E8"/>
        <n v="6.92E8"/>
        <n v="7.45E8"/>
        <n v="3.63E9"/>
        <n v="3.292E9"/>
        <n v="3.437E9"/>
        <n v="2.031E9"/>
        <n v="3.28E8"/>
        <n v="3.5E8"/>
        <n v="2.15E8"/>
        <n v="2.817E8"/>
        <n v="3.795E8"/>
        <n v="3.298E8"/>
        <n v="2.013E8"/>
        <n v="2.091E9"/>
        <n v="9.82E8"/>
        <n v="-7.72E8"/>
        <n v="-4.5E8"/>
        <n v="4.2E8"/>
        <n v="4.9E7"/>
        <n v="5.02E8"/>
        <n v="1.19E7"/>
        <n v="-8.973E8"/>
        <n v="3.906E8"/>
        <n v="1.292E9"/>
        <n v="2.86796E8"/>
        <n v="1.9344E8"/>
        <n v="2.00285E8"/>
        <n v="1.65533E8"/>
        <n v="4.49E8"/>
        <n v="5.99E8"/>
        <n v="2.52E8"/>
        <n v="4.27E8"/>
        <n v="1.018E9"/>
        <n v="6.13E8"/>
        <n v="9.9E7"/>
        <n v="-3.9E8"/>
        <n v="1.694E9"/>
        <n v="1.233E9"/>
        <n v="9.71E8"/>
        <n v="1.181E9"/>
        <n v="3.0464E7"/>
        <n v="1.26354E8"/>
        <n v="1.31206E8"/>
        <n v="-1.4961E7"/>
        <n v="3.33E8"/>
        <n v="1.21E8"/>
        <n v="5.08E8"/>
        <n v="1.63E8"/>
        <n v="9.68E8"/>
        <n v="1.173E9"/>
        <n v="7.06E8"/>
        <n v="7.6E8"/>
        <n v="6.12E8"/>
        <n v="5.1E8"/>
        <n v="5.04E8"/>
        <n v="2.791E9"/>
        <n v="2.224E9"/>
        <n v="9.84E8"/>
        <n v="1.219E9"/>
        <n v="1.1165E9"/>
        <n v="9.339E8"/>
        <n v="7.952E8"/>
        <n v="8.312E8"/>
        <n v="1.699E9"/>
        <n v="1.702E9"/>
        <n v="1.2401E9"/>
        <n v="8.835E8"/>
        <n v="1.292E8"/>
        <n v="9.69E7"/>
        <n v="3.73E7"/>
        <n v="3.19754E8"/>
        <n v="3.51031E8"/>
        <n v="2.91545E8"/>
        <n v="2.54003E8"/>
        <n v="1.791E9"/>
        <n v="1.224E9"/>
        <n v="7.58E8"/>
        <n v="6.52E8"/>
        <n v="-1.177E9"/>
        <n v="-7.55E8"/>
        <n v="1.17E8"/>
        <n v="9.86E7"/>
        <n v="5.42E7"/>
        <n v="-9.59E7"/>
        <n v="-7.3E7"/>
        <n v="-1.03E8"/>
        <n v="6.29E7"/>
        <n v="4.03E7"/>
        <n v="3.552E8"/>
        <n v="7.22E7"/>
        <n v="2.23E8"/>
        <n v="-7.56E8"/>
        <n v="-1.105E9"/>
        <n v="-2.411E9"/>
        <n v="1.25798E8"/>
        <n v="3.94676E8"/>
        <n v="5.9508E7"/>
        <n v="-1454000.0"/>
        <n v="1.698E9"/>
        <n v="1.593E9"/>
        <n v="7.99E8"/>
        <n v="7.71E8"/>
        <n v="1.91E8"/>
        <n v="3.18E8"/>
        <n v="3.3E8"/>
        <n v="6.81451E8"/>
        <n v="6.41563E8"/>
        <n v="7.61298E8"/>
        <n v="5.32959E8"/>
        <n v="6.77749E8"/>
        <n v="6.42743E8"/>
        <n v="5.7426E8"/>
        <n v="7.87601E8"/>
        <n v="3.745E8"/>
        <n v="5.028E8"/>
        <n v="2.615E8"/>
        <n v="2.69E8"/>
        <n v="9.8E8"/>
        <n v="8.15E8"/>
        <n v="1.12E8"/>
        <n v="1.16619E8"/>
        <n v="1.17761E8"/>
        <n v="1.51897E8"/>
        <n v="9.9129E7"/>
        <n v="2.63756E8"/>
        <n v="2.64508E8"/>
        <n v="2.32769E8"/>
        <n v="1.82106E8"/>
        <n v="1.932E9"/>
        <n v="1.006E9"/>
        <n v="1.254E9"/>
        <n v="-1000000.0"/>
        <n v="1.79E8"/>
        <n v="2.75E8"/>
        <n v="4.77E8"/>
        <n v="9.41E8"/>
        <n v="-1.57E8"/>
        <n v="1.234E9"/>
        <n v="8.0204E7"/>
        <n v="1.70364E8"/>
        <n v="7.2476E7"/>
        <n v="4.0197E7"/>
        <n v="5.64E8"/>
        <n v="5.41E8"/>
        <n v="2.79E8"/>
        <n v="-7.2E7"/>
        <n v="2.82E8"/>
        <n v="-8.04E8"/>
        <n v="1.103E9"/>
        <n v="-2.46E8"/>
        <n v="-1.44E8"/>
        <n v="3.4E7"/>
        <n v="5.06E8"/>
        <n v="4.76E8"/>
        <n v="4.47E8"/>
        <n v="5.68E8"/>
        <n v="7.81E8"/>
        <n v="6.21E8"/>
        <n v="3.136E8"/>
        <n v="1.965E8"/>
        <n v="3.049E8"/>
        <n v="2.493E8"/>
        <n v="5.26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33E8"/>
        <n v="4.52E8"/>
        <n v="7.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9E8"/>
        <n v="2.029E8"/>
        <n v="9.06E7"/>
        <n v="2.25E8"/>
        <n v="6.8487E7"/>
        <n v="1.56074E8"/>
        <n v="5.0936E7"/>
        <n v="6.6831E7"/>
        <n v="3.2804E8"/>
        <n v="6.0364E7"/>
        <n v="2.62984E8"/>
        <n v="9.5365E7"/>
        <n v="6.9615E7"/>
        <n v="1.76949E8"/>
        <n v="1.01649E8"/>
        <n v="7.8842E7"/>
        <n v="1.015E9"/>
        <n v="4.58E8"/>
        <n v="8.77E8"/>
        <n v="9.8254E7"/>
        <n v="1.43766E8"/>
        <n v="1.48538E8"/>
        <n v="9.1761E7"/>
        <n v="6.79982E8"/>
        <n v="3.41862E8"/>
        <n v="6.3602E7"/>
        <n v="2.43057E8"/>
        <n v="1.883E8"/>
        <n v="1.946E8"/>
        <n v="5.4E7"/>
        <n v="3.675E8"/>
        <n v="2.664E8"/>
        <n v="3.68023E8"/>
        <n v="2.73803E8"/>
        <n v="3.4814E8"/>
        <n v="-2.64E8"/>
        <n v="4.35E8"/>
        <n v="5.69E8"/>
        <n v="5.74E8"/>
        <n v="-5.81E8"/>
        <n v="-3.91E8"/>
        <n v="-2.0E8"/>
        <n v="-7.4E8"/>
        <n v="2.8795E8"/>
        <n v="1.99525E8"/>
        <n v="1.91719E8"/>
        <n v="1.84188E8"/>
        <n v="1.78579E8"/>
        <n v="2.15501E8"/>
        <n v="1.66309E8"/>
        <n v="1.23854E8"/>
        <n v="4.781E9"/>
        <n v="2.796E9"/>
        <n v="-2.0603E10"/>
        <n v="-7.09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8059E7"/>
        <n v="4.9739E7"/>
        <n v="1.02211E8"/>
        <n v="-3.3623E7"/>
        <n v="1.868E9"/>
        <n v="8.92E8"/>
        <n v="1.226E9"/>
        <n v="1.245E9"/>
        <n v="3.42E8"/>
        <n v="-3.7E8"/>
        <n v="1.03E8"/>
        <n v="2.2E7"/>
        <n v="7.09E8"/>
        <n v="6.94E8"/>
        <n v="6.04E8"/>
        <n v="3.73106E8"/>
        <n v="3.34833E8"/>
        <n v="2.9556E8"/>
        <n v="2.93137E8"/>
        <n v="3.35E8"/>
        <n v="2.12E8"/>
        <n v="4.6E8"/>
        <n v="3.07E8"/>
        <n v="2.84E8"/>
        <n v="3.13E8"/>
        <n v="2.76E8"/>
        <n v="1.96247E8"/>
        <n v="1.84239E8"/>
        <n v="2.09851E8"/>
        <n v="1.88817E8"/>
        <n v="2.178E8"/>
        <n v="1.913E8"/>
        <n v="3.89E7"/>
        <n v="1.305E8"/>
        <n v="5.53E8"/>
        <n v="3.262E9"/>
        <n v="-2.791E9"/>
        <n v="2.39E9"/>
        <n v="1.375E8"/>
        <n v="1.072E8"/>
        <n v="1.467E8"/>
        <n v="1.234E8"/>
        <n v="1.82E8"/>
        <n v="1.117E8"/>
        <n v="1.0538E9"/>
        <n v="2.258E8"/>
        <n v="2.172E8"/>
        <n v="1.778E8"/>
        <n v="1.636E8"/>
        <n v="1.658E8"/>
        <n v="2.72E8"/>
        <n v="5.82E8"/>
        <n v="2.3E8"/>
        <n v="1.117E9"/>
        <n v="4.716E8"/>
        <n v="4.854E8"/>
        <n v="3.948E8"/>
        <n v="1.265E8"/>
        <n v="1.331E9"/>
        <n v="9.53E8"/>
        <n v="8.58E8"/>
        <n v="4.32E8"/>
        <n v="2.58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945E8"/>
        <n v="1.2498E8"/>
        <n v="1.15235E8"/>
        <n v="6.3592E7"/>
        <n v="7.37E8"/>
        <n v="7.08E8"/>
        <n v="1.002E9"/>
        <n v="8.34E8"/>
        <n v="-5.7E8"/>
        <n v="2.558E9"/>
        <n v="-1.16E9"/>
        <n v="3.999E8"/>
        <n v="6.038E8"/>
        <n v="6.959E8"/>
        <n v="6.464E8"/>
        <n v="2.779E9"/>
        <n v="3.014E9"/>
        <n v="2.797E9"/>
        <n v="4.018E9"/>
        <n v="1.96496E8"/>
        <n v="2.1771E8"/>
        <n v="1.71632E8"/>
        <n v="2.32918E8"/>
        <n v="1.722E9"/>
        <n v="1.544E9"/>
        <n v="3.53E8"/>
        <n v="2.66813E8"/>
        <n v="1.9841E8"/>
        <n v="1.84818E8"/>
        <n v="2.3023E8"/>
        <n v="1.99618E8"/>
        <n v="1.78517E8"/>
        <n v="2.0424E8"/>
        <n v="1.88945E8"/>
        <n v="5.486E9"/>
        <n v="6.836E9"/>
        <n v="4.506E9"/>
        <n v="3.367E9"/>
        <n v="-2.27E8"/>
        <n v="1.47863E8"/>
        <n v="1.28404E8"/>
        <n v="-3.32164E8"/>
        <n v="1.03278E8"/>
        <n v="-2.19E7"/>
        <n v="1.175E8"/>
        <n v="1.06166E8"/>
        <n v="2.19983E8"/>
        <n v="1.664E9"/>
        <n v="1.58E9"/>
        <n v="7.79E8"/>
        <n v="1.68065E8"/>
        <n v="-1.20585E8"/>
        <n v="-1.9204E7"/>
        <n v="-5.9581E7"/>
        <n v="1.74928E8"/>
        <n v="1.46629E8"/>
        <n v="1.51813E8"/>
        <n v="-1.3852E7"/>
        <n v="1.3E7"/>
        <n v="3.36E8"/>
        <n v="-2.7E7"/>
        <n v="-1.83E8"/>
        <n v="1.57E8"/>
        <n v="-1.09E8"/>
        <n v="-2.25E8"/>
        <n v="-4.32E8"/>
        <n v="2.681E8"/>
        <n v="6.194E8"/>
        <n v="6.534E8"/>
        <n v="4.936E8"/>
        <n v="4.807E9"/>
        <n v="4.145E9"/>
        <n v="2.857E9"/>
        <n v="3.432E9"/>
        <n v="1.447E9"/>
        <n v="1.448E9"/>
        <n v="1.379E9"/>
        <n v="1.77074E8"/>
        <n v="2.27922E8"/>
        <n v="2.22395E8"/>
        <n v="2.34525E8"/>
        <n v="-1.53E8"/>
        <n v="-6.6E7"/>
        <n v="-3.16E8"/>
        <n v="-3.56E8"/>
        <m/>
        <n v="1.06E8"/>
        <n v="3.6E7"/>
        <n v="-8.4E7"/>
        <n v="1.108E9"/>
        <n v="1.228E9"/>
        <n v="1.068E9"/>
        <n v="6.68E8"/>
        <n v="8.28E8"/>
        <n v="-2.74E8"/>
        <n v="1.34E9"/>
        <n v="1.828E9"/>
        <n v="-1.5E7"/>
        <n v="5.32E8"/>
        <n v="3.03E8"/>
        <n v="1.48E8"/>
        <n v="2.49E8"/>
        <n v="1.325E9"/>
        <n v="9.56E8"/>
        <n v="1.02179E8"/>
        <n v="1.12672E8"/>
        <n v="1.01068E8"/>
        <n v="1.03848E8"/>
        <n v="2.02606E8"/>
        <n v="2.04289E8"/>
        <n v="1.74958E8"/>
        <n v="1.46321E8"/>
        <n v="1.589E8"/>
        <n v="1.487E8"/>
        <n v="1.509E8"/>
        <n v="1.637E8"/>
        <n v="6.42E8"/>
        <n v="3.19E8"/>
        <n v="1.47E8"/>
        <n v="2.57E8"/>
        <n v="4.7E7"/>
        <n v="1.49456E8"/>
        <n v="5.3535E7"/>
        <n v="1.4985E8"/>
        <n v="-1.5203E7"/>
        <n v="1.383E8"/>
        <n v="9.01E7"/>
        <n v="1.511E8"/>
        <n v="2.99E7"/>
        <n v="5.061E9"/>
        <n v="3.361E9"/>
        <n v="5.857E9"/>
        <n v="4.276E9"/>
        <n v="1.253E9"/>
        <n v="6.5E8"/>
        <n v="5.28E8"/>
        <n v="3.94E8"/>
        <n v="3.0E7"/>
        <n v="-4.0E7"/>
        <n v="6.6564E7"/>
        <n v="8.6231E7"/>
        <n v="4.34E8"/>
        <n v="3.49E8"/>
        <n v="2.678E8"/>
        <n v="9.24E7"/>
        <n v="2.785E8"/>
        <n v="1.464E9"/>
        <n v="2.0E7"/>
        <n v="1.98E8"/>
        <n v="4.45E8"/>
        <n v="4.352E8"/>
        <n v="3.636E8"/>
        <n v="3.168E8"/>
        <n v="7.02E7"/>
        <n v="4.951E8"/>
        <n v="3.716E8"/>
        <n v="3.308E8"/>
        <n v="2.947E8"/>
        <n v="4.9676E7"/>
        <n v="3.553E7"/>
        <n v="3.8366E7"/>
        <n v="3.6766E7"/>
        <n v="2.17E8"/>
        <n v="1.3E8"/>
        <n v="1.08E8"/>
        <n v="4.6631E7"/>
        <n v="2.46755E8"/>
        <n v="3.8562E7"/>
        <n v="-7113000.0"/>
        <n v="1.72162E8"/>
        <n v="1.46606E8"/>
        <n v="1.54007E8"/>
        <n v="1.25496E8"/>
        <n v="7.6862E7"/>
        <n v="7.1409E7"/>
        <n v="7.1982E7"/>
        <n v="9.1216E7"/>
        <n v="1.74208E8"/>
        <n v="-9.1509E7"/>
        <n v="2.67088E8"/>
        <n v="7.9877E7"/>
        <n v="1.539E8"/>
        <n v="2.308E8"/>
        <n v="6.278E9"/>
        <n v="6.197E9"/>
        <n v="1.738E9"/>
        <n v="3.554E9"/>
        <n v="6.61E8"/>
        <n v="3.72E8"/>
        <n v="4.9E8"/>
        <n v="1.1948E10"/>
        <n v="1.43E10"/>
        <n v="1.2136E10"/>
        <n v="9.443E9"/>
        <n v="6.2E7"/>
        <n v="-3.11E7"/>
        <n v="3.08E7"/>
        <n v="1.454E8"/>
        <n v="-3.78E8"/>
        <n v="1.534E8"/>
        <n v="1.663E8"/>
        <n v="1.902E8"/>
        <n v="3.71E8"/>
        <n v="3.52E8"/>
        <n v="3.54E8"/>
        <n v="7.24E8"/>
        <n v="6.18E8"/>
        <n v="5.75E8"/>
        <n v="4.24E8"/>
        <n v="1.72E8"/>
        <n v="1.76E8"/>
        <n v="5.94E8"/>
        <n v="5.46E8"/>
        <n v="4.83E8"/>
        <n v="1.17118E8"/>
        <n v="1.41425E8"/>
        <n v="2.01799E8"/>
        <n v="-3.7429E7"/>
        <n v="1.425E9"/>
        <n v="6.23E8"/>
        <n v="4.72E8"/>
        <n v="-6.24E8"/>
        <n v="6.33058E8"/>
        <n v="5.6717E8"/>
        <n v="4.56983E8"/>
        <n v="4.20142E8"/>
        <n v="-2.5E7"/>
        <n v="1.034E9"/>
        <n v="5.98E8"/>
        <n v="1.43E8"/>
        <n v="-7.6E7"/>
        <n v="6.32E8"/>
        <n v="8.2E8"/>
        <n v="4.13E8"/>
        <n v="4.67E8"/>
        <n v="1.84E8"/>
        <n v="4.31E8"/>
        <n v="7.701E8"/>
        <n v="9.386E8"/>
        <n v="7.037E8"/>
        <n v="2.316E8"/>
        <n v="1.144657E9"/>
        <n v="1.071121E9"/>
        <n v="8.69229E8"/>
        <n v="8.23451E8"/>
        <n v="6.55E7"/>
        <n v="6.61E7"/>
        <n v="8.93E7"/>
        <n v="-2.8E8"/>
        <n v="-3.76E8"/>
        <n v="-7.31E8"/>
        <n v="-9.85E8"/>
        <n v="8.75E7"/>
        <n v="1.032E8"/>
        <n v="1.049E8"/>
        <n v="-6100000.0"/>
        <n v="1.7E8"/>
        <n v="2.05E8"/>
        <n v="1.97E8"/>
        <n v="8.36772E8"/>
        <n v="1.016909E9"/>
        <n v="8.90909E8"/>
        <n v="6.69323E8"/>
        <n v="3.98E8"/>
        <n v="1.017E9"/>
        <n v="8.03E8"/>
        <n v="-2.1046E8"/>
        <n v="-3.22722E8"/>
        <n v="-4.63826E8"/>
        <n v="-5.42458E8"/>
        <n v="2.66332E8"/>
        <n v="1.81191E8"/>
        <n v="1.93931E8"/>
        <n v="1.18493E8"/>
        <n v="1.815E9"/>
        <n v="1.837E9"/>
        <n v="1.792E9"/>
        <n v="1.753E9"/>
        <n v="7.93E8"/>
        <n v="2.93E8"/>
        <n v="3.018E9"/>
        <n v="2.321E9"/>
        <n v="9.78E8"/>
        <n v="4.75E8"/>
        <n v="-2.289E9"/>
        <n v="3.66E8"/>
        <n v="1.761E9"/>
        <n v="2.056E9"/>
        <n v="1.07E9"/>
        <n v="8.55E8"/>
        <n v="4.58069E8"/>
        <n v="4.47249E8"/>
        <n v="4.7114E8"/>
        <n v="3.72136E8"/>
        <n v="9.7E7"/>
        <n v="-3.38E8"/>
        <n v="-3.17E8"/>
        <n v="5.88E8"/>
        <n v="-1.7E8"/>
        <n v="2.5E8"/>
        <n v="-9.8E8"/>
        <n v="6.7288E7"/>
        <n v="8.0457E7"/>
        <n v="7.2931E7"/>
        <n v="6.7776E7"/>
        <n v="-1.1E7"/>
        <n v="-1.64E8"/>
        <n v="-2.34E8"/>
        <n v="9.98E8"/>
        <n v="3.79E8"/>
        <n v="3.2E8"/>
        <n v="5.8E8"/>
        <n v="1.831E8"/>
        <n v="2.944E8"/>
        <n v="1.14E8"/>
        <n v="2.2E8"/>
        <n v="2.066E9"/>
        <n v="1.785E9"/>
        <n v="1.513E9"/>
        <n v="1.4002E8"/>
        <n v="1.73848E8"/>
        <n v="1.40179E8"/>
        <n v="1.31487E8"/>
        <n v="2.124E8"/>
        <n v="1.837E8"/>
        <n v="1.618E8"/>
        <n v="2.007E8"/>
        <n v="2.2193E9"/>
        <n v="1.5372E9"/>
        <n v="1.3772E9"/>
        <n v="1.7626E9"/>
        <n v="7.13E8"/>
        <n v="-6.174E9"/>
        <n v="6.27E8"/>
        <n v="4.95E8"/>
        <n v="1.366E9"/>
        <n v="1.279E9"/>
        <n v="4.94E8"/>
        <n v="1.214E9"/>
        <n v="3.186E9"/>
        <n v="-2.091E9"/>
        <n v="2.945E9"/>
        <n v="3.412E9"/>
        <n v="1.58E8"/>
        <n v="1.49663E8"/>
        <n v="2.16295E8"/>
        <n v="1.61767E8"/>
        <n v="1.26562E8"/>
        <n v="9.0304E7"/>
        <n v="-3.35938E8"/>
        <n v="-4.55968E8"/>
        <n v="-6.01971E8"/>
        <n v="2.528E8"/>
        <n v="3.62E7"/>
        <n v="7.36E7"/>
        <n v="6.03E8"/>
        <n v="9.9E8"/>
        <n v="8.05E8"/>
        <n v="1.6458E10"/>
        <n v="1.5457E10"/>
        <n v="1.5463E10"/>
        <n v="1.3893E10"/>
        <n v="2.23875E8"/>
        <n v="4.8864E7"/>
        <n v="8.6299E7"/>
        <n v="6.2036E7"/>
        <n v="2.78E9"/>
        <n v="1.221E9"/>
        <n v="-2.72485E8"/>
        <n v="-2.33636E8"/>
        <n v="3.36453E8"/>
        <n v="2.36811E8"/>
        <n v="2.48397E8"/>
        <n v="2.05453E8"/>
        <n v="3.903E8"/>
        <n v="8.2E7"/>
        <n v="-1.3739E9"/>
        <n v="3.464E8"/>
        <n v="1.079E9"/>
        <n v="1.159E9"/>
        <n v="1.122E9"/>
        <n v="5.5169E7"/>
        <n v="4.5413E7"/>
        <n v="4.2887E7"/>
        <n v="5.5566E7"/>
        <n v="4.03762E8"/>
        <n v="3.15194E8"/>
        <n v="4.71736E8"/>
        <n v="3.47654E8"/>
        <n v="5.77E8"/>
        <n v="7.36E8"/>
        <n v="3.724E9"/>
        <n v="3.512E9"/>
        <n v="4.168E9"/>
        <n v="1.65423E8"/>
        <n v="1.96819E8"/>
        <n v="1.56216E8"/>
        <n v="1.82358E8"/>
        <n v="2.98E8"/>
        <n v="3.34E8"/>
        <n v="1.37E8"/>
        <n v="7.7E7"/>
        <n v="1.706715E9"/>
        <n v="5.42156E8"/>
        <n v="7.89976E8"/>
        <n v="7.20196E8"/>
        <n v="8.9E7"/>
        <n v="3.04E8"/>
        <n v="6.51E8"/>
        <n v="5.58E8"/>
        <n v="7.46E8"/>
        <n v="6.28E8"/>
        <n v="9.6E7"/>
        <n v="7.2E7"/>
        <n v="1.498E9"/>
        <n v="-1.9E8"/>
        <n v="1.123E9"/>
        <n v="8.8E7"/>
        <n v="1.09E8"/>
        <n v="1.0E7"/>
        <n v="1.449E9"/>
        <n v="1.251E9"/>
        <n v="1.518E9"/>
        <n v="-7.9E8"/>
        <n v="5.69E7"/>
        <n v="2.965E8"/>
        <n v="8.78E7"/>
        <n v="-1.729E8"/>
        <n v="6.73E8"/>
        <n v="3.681E8"/>
        <n v="3.751E8"/>
        <n v="2.409E8"/>
        <n v="2.945E8"/>
        <n v="1.037E9"/>
        <n v="2.195E9"/>
        <n v="9.86E8"/>
        <n v="1.81E8"/>
        <n v="1.73E8"/>
        <n v="-1.370192E9"/>
        <n v="-7.38933E8"/>
        <n v="-6.77366E8"/>
        <n v="-7.15243E8"/>
        <n v="-8.2E7"/>
        <n v="-1.73E8"/>
        <n v="1.571459E9"/>
        <n v="9.87514E8"/>
        <n v="4.25866E8"/>
        <n v="2.2263E8"/>
        <n v="2.374E9"/>
        <n v="1.912E9"/>
        <n v="1.457E9"/>
        <n v="1.336E9"/>
        <n v="3.21295E8"/>
        <n v="2.48762E8"/>
        <n v="3.05004E8"/>
        <n v="2.56466E8"/>
        <n v="4.06E8"/>
        <n v="3.64E8"/>
        <n v="-1.8E7"/>
        <n v="5.01609E8"/>
        <n v="3.92945E8"/>
        <n v="5.27252E8"/>
        <n v="5.31667E8"/>
        <n v="-1.149E9"/>
        <n v="-3.655E9"/>
        <n v="2.86634E8"/>
        <n v="2.69576E8"/>
        <n v="1.99359E8"/>
        <n v="1.89832E8"/>
        <n v="3.801E8"/>
        <n v="3.06E8"/>
        <n v="4.285E8"/>
        <n v="3.92018E8"/>
        <n v="3.42139E8"/>
        <n v="3.86176E8"/>
        <n v="3.08029E8"/>
        <n v="2.457E9"/>
        <n v="4.032E9"/>
        <n v="5.021E9"/>
        <n v="2.442E9"/>
        <n v="3.95E8"/>
        <n v="5.86E8"/>
        <n v="3.777E8"/>
        <n v="4.929E8"/>
        <n v="4.701E8"/>
        <n v="4.058E8"/>
        <n v="2.507E8"/>
        <n v="2.073E8"/>
        <n v="1.665E8"/>
        <n v="1.236E8"/>
        <n v="4.51463E8"/>
        <n v="5.05914E8"/>
        <n v="4.71733E8"/>
        <n v="4.47497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09E7"/>
        <n v="1.27E7"/>
        <n v="1.437E8"/>
        <n v="1.326E8"/>
        <n v="1.311E8"/>
        <n v="9.98E7"/>
        <n v="1.397E8"/>
        <n v="1.708E8"/>
        <n v="1.445E8"/>
        <n v="-1.453E8"/>
        <n v="2.243E9"/>
        <n v="2.372E9"/>
        <n v="1.723E9"/>
        <n v="1.859E9"/>
        <n v="1.27785E8"/>
        <n v="2.45968E8"/>
        <n v="3.79343E8"/>
        <n v="3.80434E8"/>
        <n v="8.167E9"/>
        <n v="5.565E9"/>
        <n v="4.877E9"/>
        <n v="2.588E9"/>
        <n v="2.298E9"/>
        <n v="2.595E9"/>
        <n v="2.119E9"/>
        <n v="4.88E8"/>
        <n v="-6.39E8"/>
        <n v="-4.94E8"/>
        <n v="3.44104E8"/>
        <n v="2.19436E8"/>
        <n v="4.0514E7"/>
        <n v="-1.4518E7"/>
        <n v="1.045E9"/>
        <n v="3.8E8"/>
        <n v="-7.0E7"/>
        <n v="-3.0E7"/>
        <n v="1.49E9"/>
        <n v="1.826E9"/>
        <n v="1.456E9"/>
        <n v="1.84665E8"/>
        <n v="2.59695E8"/>
        <n v="9.8655E7"/>
        <n v="5.9173E7"/>
        <n v="3.45E8"/>
        <n v="4.33E8"/>
        <n v="2.78E8"/>
        <n v="2.09E8"/>
        <n v="-5.36E8"/>
        <n v="2.03E8"/>
        <n v="2.9E8"/>
        <n v="3.643E8"/>
        <n v="5.163E8"/>
        <n v="4.915E8"/>
        <n v="4.126E9"/>
        <n v="2.908E9"/>
        <n v="3.249E9"/>
        <n v="3.887E9"/>
        <n v="1.185E8"/>
        <n v="7.901E8"/>
        <n v="1.48E9"/>
        <n v="1.6843E9"/>
        <n v="7.97731E8"/>
        <n v="6.50313E8"/>
        <n v="3.99693E8"/>
        <n v="3.08007E8"/>
        <n v="1.565E9"/>
        <n v="2.183E9"/>
        <n v="2.804E9"/>
        <n v="1.022E9"/>
        <n v="2.92943E8"/>
        <n v="5.1203E7"/>
        <n v="1.09262E8"/>
        <n v="2.3515E7"/>
        <n v="-1.564E9"/>
        <n v="-1.77E8"/>
        <n v="4.91628E8"/>
        <n v="4.1173E8"/>
        <n v="4.34262E8"/>
        <n v="3.52432E8"/>
        <n v="4.75549E8"/>
        <n v="5.03399E8"/>
        <n v="3.04107E8"/>
        <n v="4.38111E8"/>
        <n v="1.818E8"/>
        <n v="9.97E7"/>
        <n v="-5.81E7"/>
        <n v="6.95E7"/>
        <n v="3.19189E8"/>
        <n v="2.85626E8"/>
        <n v="2.98737E8"/>
        <n v="2.01035E8"/>
        <n v="2.798E9"/>
        <n v="2.027E9"/>
        <n v="1.762E9"/>
        <n v="2.455E9"/>
        <n v="1.75398E8"/>
        <n v="1.18971E8"/>
        <n v="9.1319E7"/>
        <n v="1.71961E8"/>
        <n v="5.27E8"/>
        <n v="6.09E8"/>
        <n v="1.933E8"/>
        <n v="1.647E8"/>
        <n v="-7.41E7"/>
        <n v="1.198E8"/>
        <n v="4.29E8"/>
        <n v="3.55E8"/>
        <n v="3.12E8"/>
        <n v="1.473E9"/>
        <n v="1.088E9"/>
        <n v="8.13E8"/>
        <n v="1.35276E8"/>
        <n v="1.24768E8"/>
        <n v="9.6236E7"/>
        <n v="1.1815E8"/>
        <n v="1.18848E8"/>
        <n v="9.6832E7"/>
        <n v="8.1625E7"/>
        <n v="3.9216E7"/>
        <n v="1.6322E9"/>
        <n v="3.0989E9"/>
        <n v="1.1152E9"/>
        <n v="1.1492E9"/>
        <n v="7.9E8"/>
        <n v="6.16E8"/>
        <n v="3.508E8"/>
        <n v="3.32E8"/>
        <n v="2.964E8"/>
        <n v="2.363E8"/>
        <n v="2.03613E8"/>
        <n v="1.951E8"/>
        <n v="-7.8481E7"/>
        <n v="1.79514E8"/>
        <n v="1.70871E8"/>
        <n v="1.49213E8"/>
        <n v="1.10598E8"/>
        <n v="9.4416E7"/>
        <n v="7.46E7"/>
        <n v="4.103E8"/>
        <n v="5.904E8"/>
        <n v="9.3853E7"/>
        <n v="9.8854E7"/>
        <n v="9.2643E7"/>
        <n v="6.2619E7"/>
        <n v="2.598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8.61E8"/>
        <n v="8.57E8"/>
        <n v="8.08E8"/>
        <n v="5.35E8"/>
        <n v="4.69E8"/>
        <n v="2.67E8"/>
        <n v="1.081E9"/>
        <n v="4.7798E7"/>
        <n v="1.52669E8"/>
        <n v="-1.1745E7"/>
        <n v="1.06186E8"/>
        <n v="5.62E8"/>
        <n v="4.43E8"/>
        <n v="3.82E8"/>
        <n v="4.82E8"/>
        <n v="3.29E8"/>
        <n v="2.8E8"/>
        <n v="1.078E8"/>
        <n v="1.086E8"/>
        <n v="1.058E8"/>
        <n v="-6.32E8"/>
        <n v="4.54E8"/>
        <n v="9.28E8"/>
        <n v="6.3E7"/>
        <n v="5.9E7"/>
        <n v="1.6648E7"/>
        <n v="5.022E8"/>
        <n v="6.486E8"/>
        <n v="4.096E8"/>
        <n v="4.07E8"/>
        <n v="7.78648E8"/>
        <n v="7.05869E8"/>
        <n v="5.1046E8"/>
        <n v="3.12726E8"/>
        <n v="3.263E8"/>
        <n v="3.378E8"/>
        <n v="3.25E8"/>
        <n v="5.093E8"/>
        <n v="2.015E8"/>
        <n v="2.132E8"/>
        <n v="1.976E8"/>
        <n v="2.138E8"/>
        <n v="1.106E9"/>
        <n v="4.46E8"/>
        <n v="-9.08E8"/>
        <n v="4.585E8"/>
        <n v="4.868E8"/>
        <n v="4.677E8"/>
        <n v="3.952E8"/>
        <n v="1.1542E9"/>
        <n v="6.594E8"/>
        <n v="6.222E8"/>
        <n v="3.927E8"/>
        <n v="7.63E8"/>
        <n v="5.19E8"/>
        <n v="5.37E8"/>
        <n v="-2.1902E7"/>
        <n v="8.815E7"/>
        <n v="1.14588E8"/>
        <n v="1.06008E8"/>
        <n v="5.92E8"/>
        <n v="3.02E8"/>
        <n v="5.61764E8"/>
        <n v="4.38801E8"/>
        <n v="4.74055E8"/>
        <n v="2.47789E8"/>
        <n v="1.242E9"/>
        <n v="1.025E9"/>
        <n v="7.38E8"/>
        <n v="1.98392E8"/>
        <n v="1.94802E8"/>
        <n v="1.62028E8"/>
        <n v="1.96555E8"/>
        <n v="8.8927E7"/>
        <n v="6.7289E7"/>
        <n v="2.169E8"/>
        <n v="-6.18419E8"/>
        <n v="7.5E8"/>
        <n v="8.427E8"/>
        <n v="7.648E8"/>
        <n v="9.296E8"/>
        <n v="6.986E8"/>
        <n v="1.0297E7"/>
        <n v="1.52256E8"/>
        <n v="2.18812E8"/>
        <n v="1.82248E8"/>
        <n v="1.998E8"/>
        <n v="9.17E7"/>
        <n v="3.11E8"/>
        <n v="2.317E8"/>
        <n v="1.817E9"/>
        <n v="2.097E9"/>
        <n v="1.38E9"/>
        <n v="1.014E9"/>
        <n v="3.75E8"/>
        <n v="2.28E8"/>
        <n v="6.47E7"/>
        <n v="8.47E7"/>
        <n v="1.321E8"/>
        <n v="9.39E7"/>
        <n v="8.3283E7"/>
        <n v="7.4867E7"/>
        <n v="7.6601E7"/>
        <n v="1.16605E8"/>
        <n v="3.28319E8"/>
        <n v="2.05512E8"/>
        <n v="1.96332E8"/>
        <n v="2.22718E8"/>
        <n v="2.96E8"/>
        <n v="1.931E9"/>
        <n v="1.688E9"/>
        <n v="1.353E9"/>
        <n v="2.36E8"/>
        <n v="6.158E8"/>
        <n v="2.1011E9"/>
        <n v="8.12E7"/>
        <n v="9.05E8"/>
        <n v="3.0123E8"/>
        <n v="3.96871E8"/>
        <n v="2.9133E8"/>
        <n v="4.47258E8"/>
        <n v="4.388E8"/>
        <n v="1.582E8"/>
        <n v="8.283E8"/>
        <n v="-4600000.0"/>
        <n v="9.34E8"/>
        <n v="7.33E8"/>
        <n v="1.31E9"/>
        <n v="8.27E8"/>
        <n v="-6.29E8"/>
        <n v="-4.509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92E8"/>
        <n v="2.369E8"/>
        <n v="2.502E8"/>
        <n v="4.101E8"/>
        <n v="1.05E8"/>
        <n v="5.0E7"/>
        <n v="1.01E8"/>
        <n v="1.389E8"/>
        <n v="1.146E8"/>
        <n v="1.807E8"/>
        <n v="8.48E7"/>
        <n v="1.658E9"/>
        <n v="1.141E9"/>
        <n v="6.5649E7"/>
        <n v="6.8005E7"/>
        <n v="2.22116E8"/>
        <n v="2.8659E7"/>
        <n v="3.6976E7"/>
        <n v="5.4094E7"/>
        <n v="3.9284E7"/>
        <n v="5.3892E7"/>
        <n v="7.53E8"/>
        <n v="1.988E9"/>
        <n v="2.285E9"/>
        <n v="1.586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372E9"/>
        <n v="4.978E9"/>
        <n v="2.352E9"/>
        <n v="3.256E9"/>
        <n v="3.25276E8"/>
        <n v="2.0907E8"/>
        <n v="3.07734E8"/>
        <n v="2.44092E8"/>
        <n v="2.92E8"/>
        <n v="-6.22E8"/>
        <n v="-3.09E8"/>
        <n v="-3.79E8"/>
        <n v="8.8288E7"/>
        <n v="-5.5398E7"/>
        <n v="1.11953E8"/>
        <n v="1.3737E7"/>
        <n v="1.47772E8"/>
        <n v="1.50354E8"/>
        <n v="1.57314E8"/>
        <n v="1.70979E8"/>
        <n v="1.516E8"/>
        <n v="1.68E8"/>
        <n v="1.762E8"/>
        <n v="1.858E8"/>
        <n v="5.949E9"/>
        <n v="5.378E9"/>
        <n v="4.718E9"/>
        <n v="4.504E9"/>
        <n v="6.6924E7"/>
        <n v="6.53138E8"/>
        <n v="6.0419E8"/>
        <n v="6.67434E8"/>
        <n v="1.53972E8"/>
        <n v="6.1743E7"/>
        <n v="3.27659E8"/>
        <n v="2.43246E8"/>
        <n v="9.11E8"/>
        <n v="7.26E8"/>
        <n v="6.24E8"/>
        <n v="7.23E8"/>
        <n v="-2.792E8"/>
        <n v="-1.0376E9"/>
        <n v="-9.158E8"/>
        <n v="1.857E8"/>
        <n v="2.575E9"/>
        <n v="3.026E9"/>
        <n v="3.126E9"/>
        <n v="2.137E9"/>
        <n v="7.6832E7"/>
        <n v="2.6993E7"/>
        <n v="-2.08726E8"/>
        <n v="6.8736E7"/>
        <n v="1.9678E8"/>
        <n v="1.6167E8"/>
        <n v="1.15915E8"/>
        <n v="2.01125E8"/>
        <n v="2.37678E8"/>
        <n v="2.31716E8"/>
        <n v="3.1249E8"/>
        <n v="1.52366E8"/>
        <n v="2.43E8"/>
        <n v="2.55E8"/>
        <n v="1.147E8"/>
        <n v="8.68E7"/>
        <n v="1.285E8"/>
        <n v="8.58E7"/>
        <n v="9.18E8"/>
        <n v="-3.86E8"/>
        <n v="3.57E8"/>
        <n v="-1.726E9"/>
        <n v="4.364E9"/>
        <n v="2.811E9"/>
        <n v="-2.008E9"/>
        <n v="5.201E9"/>
        <n v="3.51E8"/>
        <n v="4.21E8"/>
        <n v="4.38E8"/>
        <n v="3.9E8"/>
        <n v="1.67292E8"/>
        <n v="1.48127E8"/>
        <n v="2.18311E8"/>
        <n v="1.26769E8"/>
        <n v="2.754E8"/>
        <n v="2.393E8"/>
        <n v="2.668E8"/>
        <n v="6.744E9"/>
        <n v="4.69E9"/>
        <n v="3.194E9"/>
        <n v="2.219E9"/>
        <n v="4.5757E7"/>
        <n v="7.2192E7"/>
        <n v="1.55278E8"/>
        <n v="3.94978E8"/>
        <n v="1.873E8"/>
        <n v="1.512E8"/>
        <n v="9.84E7"/>
        <n v="8.23E7"/>
        <n v="-6.0E7"/>
        <n v="2.225E8"/>
        <n v="1.771E8"/>
        <n v="2.286E8"/>
        <n v="1.144E8"/>
        <n v="1.525E8"/>
        <n v="-1.1545E9"/>
        <n v="1.8E8"/>
        <n v="1.028E9"/>
        <n v="6.81E8"/>
        <n v="2.83E8"/>
        <n v="4.4E8"/>
        <n v="5.01E8"/>
        <n v="3.22E8"/>
        <n v="3.23E8"/>
        <n v="1.22E8"/>
        <n v="-1.73397E8"/>
        <n v="-3.36179E8"/>
        <n v="-3.10291E8"/>
        <n v="-8.31533E8"/>
        <n v="3.62E8"/>
        <n v="2.06341E8"/>
        <n v="1.87883E8"/>
        <n v="1.70972E8"/>
        <n v="1.93816E8"/>
        <n v="1.13E8"/>
        <n v="8.7E7"/>
        <n v="3.7E7"/>
        <n v="3.26E8"/>
        <n v="2.19E8"/>
        <n v="1.99E8"/>
        <n v="1.425E8"/>
        <n v="1.977E8"/>
        <n v="3.338E8"/>
        <n v="2.461E8"/>
        <n v="5.11E8"/>
        <n v="3.58E8"/>
        <n v="4.79E8"/>
      </sharedItems>
    </cacheField>
    <cacheField name="Net Income Applicable To Common Shares" numFmtId="0">
      <sharedItems containsString="0" containsBlank="1" containsNumber="1" containsInteger="1">
        <n v="1.434E9"/>
        <n v="1.524E9"/>
        <n v="1.624E9"/>
        <n v="1.389E9"/>
        <n v="1.316E8"/>
        <n v="1.182E8"/>
        <n v="9.77E7"/>
        <n v="1.2E8"/>
        <n v="2.092E9"/>
        <n v="1.184E9"/>
        <n v="1.785E9"/>
        <n v="2.151E9"/>
        <n v="3.158E9"/>
        <n v="7.51E8"/>
        <n v="3.536E9"/>
        <n v="2.0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1264E8"/>
        <n v="3.80563E8"/>
        <n v="7979000.0"/>
        <n v="4.3662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08E8"/>
        <n v="1.595E9"/>
        <n v="-1.408E9"/>
        <n v="2.598E9"/>
        <n v="1.8525E10"/>
        <n v="1.793E10"/>
        <n v="1.5227E10"/>
        <n v="1.1247E10"/>
        <n v="2.146E9"/>
        <n v="1.421E9"/>
        <n v="1.922E9"/>
        <n v="-9.53E8"/>
        <n v="7.778E9"/>
        <n v="8.107E9"/>
        <n v="7.222E9"/>
        <n v="6.331E9"/>
        <n v="2.54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49E9"/>
        <n v="2.206E9"/>
        <n v="1.414E9"/>
        <n v="1.05E9"/>
        <n v="9.1E7"/>
        <n v="3.869E9"/>
        <n v="-6.0E7"/>
        <n v="2.81E8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793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47E8"/>
        <n v="2.79E8"/>
        <n v="2.83E8"/>
        <n v="1.96888E8"/>
        <n v="1.80366E8"/>
        <n v="1.82958E8"/>
        <n v="1.68375E8"/>
        <n v="1.902E8"/>
        <n v="3.821E8"/>
        <n v="1.422E8"/>
        <n v="1.766E8"/>
        <n v="2.034E8"/>
        <n v="1.583E8"/>
        <n v="1.345E8"/>
        <n v="-3.49E7"/>
        <n v="1.514E9"/>
        <n v="7.5E9"/>
        <n v="-1.3938E10"/>
        <n v="2.762E9"/>
        <n v="1.02341E8"/>
        <n v="2.96555E8"/>
        <n v="2.17527E8"/>
        <n v="6.5297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1899E8"/>
        <n v="3.40331E8"/>
        <n v="1.47361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26E9"/>
        <n v="8.964E9"/>
        <n v="7.56E9"/>
        <n v="5.208E9"/>
        <n v="3.74E8"/>
        <n v="2.77E8"/>
        <n v="8.6E8"/>
        <n v="3.31E8"/>
        <n v="2.98E8"/>
        <n v="1.68E8"/>
        <n v="3.56E8"/>
        <n v="5.02E8"/>
        <n v="2.76E8"/>
        <n v="9.8E8"/>
        <n v="1.05E8"/>
        <n v="7.34E8"/>
        <n v="5.95E8"/>
        <n v="8.16E8"/>
        <n v="3.91E8"/>
        <n v="9.14114E8"/>
        <n v="9.77414E8"/>
        <n v="8.39102E8"/>
        <n v="1.314824E9"/>
        <n v="1.4951E7"/>
        <n v="4.5755E7"/>
        <n v="4.6237E7"/>
        <n v="3.3374E7"/>
        <n v="4.485E8"/>
        <n v="4.102E8"/>
        <n v="3.579E8"/>
        <n v="7.015E8"/>
        <n v="1.378E9"/>
        <n v="1.199E9"/>
        <n v="1.548E9"/>
        <n v="1.364E9"/>
        <n v="8.81E8"/>
        <n v="9.9E8"/>
        <n v="8.57E8"/>
        <n v="7.01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9.1624E7"/>
        <n v="8088000.0"/>
        <n v="8.9854E7"/>
        <n v="1.72E8"/>
        <n v="3.27E8"/>
        <n v="1.96E8"/>
        <n v="-1.69E8"/>
        <n v="1.055E9"/>
        <n v="-1.0027E10"/>
        <n v="1.872E9"/>
        <n v="1.802E9"/>
        <n v="1.417E9"/>
        <n v="1.304E9"/>
        <n v="1.25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446E9"/>
        <n v="3.236E9"/>
        <n v="2.466E9"/>
        <n v="2.319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689E8"/>
        <n v="2.171E8"/>
        <n v="7.42E7"/>
        <n v="6.88E7"/>
        <n v="1.53E9"/>
        <n v="7.8E8"/>
        <n v="6.68E8"/>
        <n v="4.58E8"/>
        <n v="1.052E8"/>
        <n v="1.368E8"/>
        <n v="8.71E7"/>
        <n v="1.096E8"/>
        <n v="4.42637E8"/>
        <n v="2.66202E8"/>
        <n v="3.13765E8"/>
        <n v="1.84132E8"/>
        <n v="2.741E8"/>
        <n v="2.326E8"/>
        <n v="2.383E8"/>
        <n v="1.932E8"/>
        <n v="5.38E8"/>
        <n v="3.22E8"/>
        <n v="1.453E9"/>
        <n v="5.84E8"/>
        <n v="-5.35E8"/>
        <n v="6.99E8"/>
        <n v="-1.2E7"/>
        <n v="2.21E8"/>
        <n v="3.34E8"/>
        <n v="1.51E8"/>
        <n v="6.9E7"/>
        <n v="-2.58E7"/>
        <n v="-1.92E7"/>
        <n v="-1.73E7"/>
        <n v="-800000.0"/>
        <n v="3.2707E7"/>
        <n v="1.72252E8"/>
        <n v="1.41505E8"/>
        <n v="3.56676E8"/>
        <n v="2.46E8"/>
        <n v="8.7E7"/>
        <n v="-2.8E7"/>
        <n v="8.8448E7"/>
        <n v="6.153E7"/>
        <n v="1.43191E8"/>
        <n v="1.02909E8"/>
        <n v="1.117E9"/>
        <n v="1.388E9"/>
        <n v="6.15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6.2E8"/>
        <n v="1.049E9"/>
        <n v="4.84E8"/>
        <n v="9.09E8"/>
        <n v="3.29414E8"/>
        <n v="2.66007E8"/>
        <n v="2.5649E8"/>
        <n v="2.82842E8"/>
        <n v="2.863E9"/>
        <n v="2.545E9"/>
        <n v="2.174E9"/>
        <n v="2.636E9"/>
        <n v="5.899E9"/>
        <n v="7.584E9"/>
        <n v="3.689E9"/>
        <n v="2.928E9"/>
        <n v="6.16E8"/>
        <n v="5.88E8"/>
        <n v="4.24E8"/>
        <n v="2.89E8"/>
        <n v="6.2766E7"/>
        <n v="9.0048E7"/>
        <n v="1.12091E8"/>
        <n v="9.8227E7"/>
        <n v="9.7E7"/>
        <n v="-6.1E7"/>
        <n v="2.59E8"/>
        <n v="4.15E8"/>
        <n v="5.103E8"/>
        <n v="5.744E8"/>
        <n v="4.117E8"/>
        <n v="1.86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6.98E8"/>
        <n v="3.738E9"/>
        <n v="3.329E9"/>
        <n v="3.38E9"/>
        <n v="2.019E9"/>
        <n v="3.21E8"/>
        <n v="2.09E8"/>
        <n v="2.03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-3.54E8"/>
        <n v="4.03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5.8E7"/>
        <n v="1.63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44E9"/>
        <n v="1.661E9"/>
        <n v="1.1994E9"/>
        <n v="8.424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53E8"/>
        <n v="2.11E8"/>
        <n v="-1.03E8"/>
        <n v="-9.4E7"/>
        <n v="6.29E7"/>
        <n v="4.03E7"/>
        <n v="3.552E8"/>
        <n v="7.22E7"/>
        <n v="2.2E8"/>
        <n v="-7.39E8"/>
        <n v="-1.113E9"/>
        <n v="-2.393E9"/>
        <n v="1.27369E8"/>
        <n v="3.72406E8"/>
        <n v="4.4177E7"/>
        <n v="-3.737E7"/>
        <n v="1.688E9"/>
        <n v="1.546E9"/>
        <n v="7.95E8"/>
        <n v="1.25E8"/>
        <n v="2.65E8"/>
        <n v="2.43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69E8"/>
        <n v="9.92E8"/>
        <n v="6.65E8"/>
        <n v="3.4E8"/>
        <n v="1.16619E8"/>
        <n v="1.17761E8"/>
        <n v="1.51897E8"/>
        <n v="9.9129E7"/>
        <n v="2.63756E8"/>
        <n v="2.64508E8"/>
        <n v="2.32769E8"/>
        <n v="1.82106E8"/>
        <n v="1.891E9"/>
        <n v="9.86E8"/>
        <n v="1.236E9"/>
        <n v="1.78E8"/>
        <n v="4.75E8"/>
        <n v="7.38E8"/>
        <n v="9.64E8"/>
        <n v="-7.7E7"/>
        <n v="1.276E9"/>
        <n v="7.8991E7"/>
        <n v="1.68433E8"/>
        <n v="7.1471E7"/>
        <n v="3.9464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5614E8"/>
        <n v="5.6766E7"/>
        <n v="2.52084E8"/>
        <n v="9.0513E7"/>
        <n v="6.4846E7"/>
        <n v="1.68444E8"/>
        <n v="9.5745E7"/>
        <n v="7.3661E7"/>
        <n v="1.018E9"/>
        <n v="4.56E8"/>
        <n v="8.73E8"/>
        <n v="5.23E8"/>
        <n v="9.8254E7"/>
        <n v="1.43766E8"/>
        <n v="1.48538E8"/>
        <n v="9.1761E7"/>
        <n v="6.79982E8"/>
        <n v="3.37446E8"/>
        <n v="6.2893E7"/>
        <n v="2.40138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6.06E8"/>
        <n v="-4.12E8"/>
        <n v="-2.21E8"/>
        <n v="-7.53E8"/>
        <n v="2.8722E8"/>
        <n v="1.9862E8"/>
        <n v="1.91307E8"/>
        <n v="1.83869E8"/>
        <n v="1.67716E8"/>
        <n v="2.02686E8"/>
        <n v="1.55863E8"/>
        <n v="1.14456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3895E7"/>
        <n v="4.5932E7"/>
        <n v="9.2467E7"/>
        <n v="-3.0548E7"/>
        <n v="1.868E9"/>
        <n v="8.89E8"/>
        <n v="1.243E9"/>
        <n v="3.41E8"/>
        <n v="-3.73E8"/>
        <n v="1.04E8"/>
        <n v="6.73E8"/>
        <n v="6.72E8"/>
        <n v="5.66E8"/>
        <n v="5.6E8"/>
        <n v="3.49451E8"/>
        <n v="3.16308E8"/>
        <n v="2.79488E8"/>
        <n v="2.78321E8"/>
        <n v="3.35E8"/>
        <n v="2.42E8"/>
        <n v="4.54E8"/>
        <n v="3.04E8"/>
        <n v="3.0E8"/>
        <n v="1.96247E8"/>
        <n v="1.84239E8"/>
        <n v="2.09851E8"/>
        <n v="1.88817E8"/>
        <n v="2.024E8"/>
        <n v="1.822E8"/>
        <n v="4.94E7"/>
        <n v="1.111E8"/>
        <n v="3.262E9"/>
        <n v="-2.788E9"/>
        <n v="2.385E9"/>
        <n v="1.375E8"/>
        <n v="1.072E8"/>
        <n v="1.467E8"/>
        <n v="1.234E8"/>
        <n v="1.637E8"/>
        <n v="9.29E7"/>
        <n v="1.1984E9"/>
        <n v="2.085E8"/>
        <n v="2.172E8"/>
        <n v="1.778E8"/>
        <n v="1.636E8"/>
        <n v="1.646E8"/>
        <n v="5.67E8"/>
        <n v="2.24E8"/>
        <n v="1.106E9"/>
        <n v="3.649E8"/>
        <n v="3.307E8"/>
        <n v="6.36E7"/>
        <n v="1.079E9"/>
        <n v="7.18E8"/>
        <n v="7.08E8"/>
        <n v="3.26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116E8"/>
        <n v="1.26035E8"/>
        <n v="1.15781E8"/>
        <n v="6.4575E7"/>
        <n v="7.37E8"/>
        <n v="1.002E9"/>
        <n v="8.34E8"/>
        <n v="-1.19E9"/>
        <n v="-2.873E9"/>
        <n v="2.419E9"/>
        <n v="-1.196E9"/>
        <n v="4.168E8"/>
        <n v="5.957E8"/>
        <n v="6.884E8"/>
        <n v="6.389E8"/>
        <n v="2.79E9"/>
        <n v="2.976E9"/>
        <n v="2.801E9"/>
        <n v="4.00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34E9"/>
        <n v="6.704E9"/>
        <n v="4.358E9"/>
        <n v="3.229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5993E8"/>
        <n v="1.43337E8"/>
        <n v="1.46129E8"/>
        <n v="-6.3768E7"/>
        <n v="1.65997E8"/>
        <n v="1.42633E8"/>
        <n v="1.41697E8"/>
        <n v="-1.0797E7"/>
        <n v="-7.3E7"/>
        <n v="2.52E8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m/>
        <n v="1.06E8"/>
        <n v="3.5E7"/>
        <n v="-9.6E7"/>
        <n v="1.108E9"/>
        <n v="1.228E9"/>
        <n v="1.068E9"/>
        <n v="8.28E8"/>
        <n v="-2.74E8"/>
        <n v="1.34E9"/>
        <n v="1.828E9"/>
        <n v="-5.8E7"/>
        <n v="1.29E8"/>
        <n v="1.48E8"/>
        <n v="2.49E8"/>
        <n v="1.325E9"/>
        <n v="9.55E8"/>
        <n v="1.356E9"/>
        <n v="1.698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2.57E8"/>
        <n v="1.79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2.9E7"/>
        <n v="-4.3E7"/>
        <n v="6.3928E7"/>
        <n v="8.5592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3.683E8"/>
        <n v="2.678E8"/>
        <n v="2.111E8"/>
        <n v="1.917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08487E8"/>
        <n v="1.1045E7"/>
        <n v="2.57048E8"/>
        <n v="8.2001E7"/>
        <n v="1.539E8"/>
        <n v="2.308E8"/>
        <n v="6.278E9"/>
        <n v="6.197E9"/>
        <n v="1.738E9"/>
        <n v="3.554E9"/>
        <n v="5.74E8"/>
        <n v="4.51E8"/>
        <n v="4.41E8"/>
        <n v="1.1496E10"/>
        <n v="1.3851E10"/>
        <n v="1.1698E10"/>
        <n v="9.015E9"/>
        <n v="6.2E7"/>
        <n v="-3.11E7"/>
        <n v="3.08E7"/>
        <n v="1.454E8"/>
        <n v="-3.786E8"/>
        <n v="1.657E8"/>
        <n v="1.897E8"/>
        <n v="3.68E8"/>
        <n v="2.05E8"/>
        <n v="3.51E8"/>
        <n v="5.56E8"/>
        <n v="4.01E8"/>
        <n v="2.17E8"/>
        <n v="5.39E8"/>
        <n v="4.72E8"/>
        <n v="1.09671E8"/>
        <n v="1.30796E8"/>
        <n v="1.95952E8"/>
        <n v="-4.4999E7"/>
        <n v="1.402E9"/>
        <n v="4.52E8"/>
        <n v="-6.4E8"/>
        <n v="6.32978E8"/>
        <n v="5.67496E8"/>
        <n v="4.57251E8"/>
        <n v="4.20567E8"/>
        <n v="-2.7E7"/>
        <n v="5.63E8"/>
        <n v="1.032E9"/>
        <n v="5.97E8"/>
        <n v="1.39E8"/>
        <n v="-7.5E7"/>
        <n v="6.25E8"/>
        <n v="8.0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20279E8"/>
        <n v="9.89115E8"/>
        <n v="8.72818E8"/>
        <n v="6.5862E8"/>
        <n v="2.25E8"/>
        <n v="1.43E8"/>
        <n v="3.98E8"/>
        <n v="8.41E8"/>
        <n v="7.7E8"/>
        <n v="7.0E8"/>
        <n v="-1.94714E8"/>
        <n v="-3.08109E8"/>
        <n v="-4.36197E8"/>
        <n v="-5.21912E8"/>
        <n v="2.65913E8"/>
        <n v="1.81012E8"/>
        <n v="1.93483E8"/>
        <n v="1.18792E8"/>
        <n v="1.815E9"/>
        <n v="1.837E9"/>
        <n v="1.792E9"/>
        <n v="7.54E8"/>
        <n v="2.61E8"/>
        <n v="3.007E9"/>
        <n v="2.312E9"/>
        <n v="9.74E8"/>
        <n v="-2.289E9"/>
        <n v="3.66E8"/>
        <n v="1.756E9"/>
        <n v="2.052E9"/>
        <n v="1.066E9"/>
        <n v="8.53E8"/>
        <n v="4.38756E8"/>
        <n v="4.28091E8"/>
        <n v="4.51863E8"/>
        <n v="3.53399E8"/>
        <n v="1.6E7"/>
        <n v="-3.38E8"/>
        <n v="-3.17E8"/>
        <n v="8.512E9"/>
        <n v="-2.42E8"/>
        <n v="2.84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2.256E8"/>
        <n v="6.53E7"/>
        <n v="1.829E8"/>
        <n v="2.941E8"/>
        <n v="8.8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3.179E9"/>
        <n v="-2.094E9"/>
        <n v="2.941E9"/>
        <n v="3.366E9"/>
        <n v="2.9E8"/>
        <n v="1.24E8"/>
        <n v="6.33E8"/>
        <n v="1.49663E8"/>
        <n v="2.16295E8"/>
        <n v="1.61767E8"/>
        <n v="1.26562E8"/>
        <n v="6.7742E7"/>
        <n v="-3.41257E8"/>
        <n v="-4.54113E8"/>
        <n v="-5.32954E8"/>
        <n v="2.528E8"/>
        <n v="3.62E7"/>
        <n v="7.36E7"/>
        <n v="8.03E8"/>
        <n v="9.88E8"/>
        <n v="1.6458E10"/>
        <n v="1.5457E10"/>
        <n v="1.5463E10"/>
        <n v="1.3893E10"/>
        <n v="2.15322E8"/>
        <n v="4.6217E7"/>
        <n v="8.2311E7"/>
        <n v="5.8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3.14E8"/>
        <n v="4.67E8"/>
        <n v="3.584E9"/>
        <n v="3.408E9"/>
        <n v="3.982E9"/>
        <n v="3.266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7000000.0"/>
        <n v="1.449E9"/>
        <n v="1.251E9"/>
        <n v="1.518E9"/>
        <n v="-7.9E8"/>
        <n v="4.65E7"/>
        <n v="2.827E8"/>
        <n v="7.07E7"/>
        <n v="-1.867E8"/>
        <n v="3.602E8"/>
        <n v="2.347E8"/>
        <n v="1.037E9"/>
        <n v="2.195E9"/>
        <n v="1.81E8"/>
        <n v="-1.370192E9"/>
        <n v="-7.38933E8"/>
        <n v="-6.77366E8"/>
        <n v="-7.15243E8"/>
        <n v="-8.2E7"/>
        <n v="-1.73E8"/>
        <n v="3.13E8"/>
        <n v="1.506868E9"/>
        <n v="9.37056E8"/>
        <n v="3.96669E8"/>
        <n v="1.92214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-3.46E8"/>
        <n v="-1.312E9"/>
        <n v="-3.778E9"/>
        <n v="2.86634E8"/>
        <n v="2.69576E8"/>
        <n v="1.99359E8"/>
        <n v="1.89832E8"/>
        <n v="3.556E8"/>
        <n v="3.482E8"/>
        <n v="2.878E8"/>
        <n v="3.981E8"/>
        <n v="3.91743E8"/>
        <n v="3.41864E8"/>
        <n v="3.85901E8"/>
        <n v="3.07754E8"/>
        <n v="2.457E9"/>
        <n v="4.032E9"/>
        <n v="5.021E9"/>
        <n v="2.442E9"/>
        <n v="4.27E8"/>
        <n v="3.99E8"/>
        <n v="5.42E8"/>
        <n v="3.08E8"/>
        <n v="2.51E8"/>
        <n v="3.777E8"/>
        <n v="4.929E8"/>
        <n v="4.701E8"/>
        <n v="4.058E8"/>
        <n v="2.055E8"/>
        <n v="1.652E8"/>
        <n v="1.227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097E9"/>
        <n v="1.567E9"/>
        <n v="8.57E7"/>
        <n v="1.977E8"/>
        <n v="9.05E7"/>
        <n v="1.11E7"/>
        <n v="1.436E8"/>
        <n v="1.321E8"/>
        <n v="1.286E8"/>
        <n v="1.03E8"/>
        <n v="1.362E8"/>
        <n v="1.673E8"/>
        <n v="1.41E8"/>
        <n v="-1.489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166E9"/>
        <n v="2.411E9"/>
        <n v="1.971E9"/>
        <n v="4.0E8"/>
        <n v="2.91E8"/>
        <n v="-6.56E8"/>
        <n v="-5.41E8"/>
        <n v="3.39798E8"/>
        <n v="2.15697E8"/>
        <n v="3.5641E7"/>
        <n v="-1.9391E7"/>
        <n v="1.042E9"/>
        <n v="-7.0E7"/>
        <n v="-3.0E7"/>
        <n v="1.408E9"/>
        <n v="1.75E9"/>
        <n v="1.84665E8"/>
        <n v="2.59695E8"/>
        <n v="9.8655E7"/>
        <n v="5.9173E7"/>
        <n v="3.44E8"/>
        <n v="4.31E8"/>
        <n v="3.78E8"/>
        <n v="2.72E8"/>
        <n v="-1.84E9"/>
        <n v="3.599E8"/>
        <n v="3.637E8"/>
        <n v="5.152E8"/>
        <n v="4.726E8"/>
        <n v="4.042E9"/>
        <n v="2.832E9"/>
        <n v="3.204E9"/>
        <n v="3.788E9"/>
        <n v="1.118E8"/>
        <n v="7.834E8"/>
        <n v="1.4733E9"/>
        <n v="1.6775E9"/>
        <n v="7.22007E8"/>
        <n v="5.98625E8"/>
        <n v="3.65815E8"/>
        <n v="2.8047E8"/>
        <n v="1.506E9"/>
        <n v="2.127E9"/>
        <n v="2.784E9"/>
        <n v="8.14E8"/>
        <n v="2.92943E8"/>
        <n v="5.1203E7"/>
        <n v="1.09262E8"/>
        <n v="2.3515E7"/>
        <n v="-1.564E9"/>
        <n v="-1.77E8"/>
        <n v="6.48E8"/>
        <n v="4.42327E8"/>
        <n v="3.46249E8"/>
        <n v="3.8581E8"/>
        <n v="2.92166E8"/>
        <n v="4.71707E8"/>
        <n v="4.99374E8"/>
        <n v="3.01655E8"/>
        <n v="4.34234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5.03E8"/>
        <n v="6.28E8"/>
        <n v="5.76E8"/>
        <n v="1.933E8"/>
        <n v="1.647E8"/>
        <n v="-7.41E7"/>
        <n v="1.198E8"/>
        <n v="4.29E8"/>
        <n v="3.07E8"/>
        <n v="3.55E8"/>
        <n v="3.11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24E8"/>
        <n v="7.48E8"/>
        <n v="6.14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09E8"/>
        <n v="4.141E8"/>
        <n v="5.926E8"/>
        <n v="9.3853E7"/>
        <n v="9.8854E7"/>
        <n v="9.2643E7"/>
        <n v="6.2619E7"/>
        <n v="2.895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4.69E8"/>
        <n v="1.081E9"/>
        <n v="4.7798E7"/>
        <n v="1.52669E8"/>
        <n v="-1.1745E7"/>
        <n v="1.05782E8"/>
        <n v="5.5E8"/>
        <n v="2.99E8"/>
        <n v="2.8E8"/>
        <n v="1.077E8"/>
        <n v="1.081E8"/>
        <n v="1.101E8"/>
        <n v="1.421E8"/>
        <n v="-6.48E8"/>
        <n v="8.74E8"/>
        <n v="4.14E8"/>
        <n v="6.3E7"/>
        <n v="5.9E7"/>
        <n v="8.2E7"/>
        <n v="1.6648E7"/>
        <n v="5.022E8"/>
        <n v="6.486E8"/>
        <n v="4.096E8"/>
        <n v="4.07E8"/>
        <n v="6.79936E8"/>
        <n v="6.17257E8"/>
        <n v="4.4586E8"/>
        <n v="2.71483E8"/>
        <n v="3.263E8"/>
        <n v="3.378E8"/>
        <n v="3.25E8"/>
        <n v="5.093E8"/>
        <n v="1.962E8"/>
        <n v="2.08E8"/>
        <n v="1.926E8"/>
        <n v="2.089E8"/>
        <n v="1.101E9"/>
        <n v="3.72E8"/>
        <n v="1.135E9"/>
        <n v="3.87E8"/>
        <n v="-9.08E8"/>
        <n v="4.547E8"/>
        <n v="3.855E8"/>
        <n v="1.1534E9"/>
        <n v="6.594E8"/>
        <n v="6.222E8"/>
        <n v="3.926E8"/>
        <n v="7.28E8"/>
        <n v="4.98E8"/>
        <n v="5.17E8"/>
        <n v="-2.1807E7"/>
        <n v="8.8851E7"/>
        <n v="1.14501E8"/>
        <n v="1.05858E8"/>
        <n v="5.92E8"/>
        <n v="3.02E8"/>
        <n v="5.68E8"/>
        <n v="6.21E8"/>
        <n v="5.3222E8"/>
        <n v="3.88316E8"/>
        <n v="4.41713E8"/>
        <n v="2.28935E8"/>
        <n v="1.232E9"/>
        <n v="1.014E9"/>
        <n v="3.03E8"/>
        <n v="1.98646E8"/>
        <n v="1.95078E8"/>
        <n v="1.62345E8"/>
        <n v="1.97455E8"/>
        <n v="8.8927E7"/>
        <n v="6.7289E7"/>
        <n v="2.169E8"/>
        <n v="-6.18419E8"/>
        <n v="9.78E8"/>
        <n v="9.33E8"/>
        <n v="7.5E8"/>
        <n v="1.253E9"/>
        <n v="7.935E8"/>
        <n v="7.295E8"/>
        <n v="7.622E8"/>
        <n v="6.253E8"/>
        <n v="1.0297E7"/>
        <n v="1.52256E8"/>
        <n v="2.18812E8"/>
        <n v="1.82248E8"/>
        <n v="1.998E8"/>
        <n v="2.317E8"/>
        <n v="1.817E9"/>
        <n v="2.097E9"/>
        <n v="1.38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24E9"/>
        <n v="1.745E9"/>
        <n v="1.68E9"/>
        <n v="1.347E9"/>
        <n v="1.83E8"/>
        <n v="2.36E8"/>
        <n v="6.158E8"/>
        <n v="1.175E8"/>
        <n v="2.1011E9"/>
        <n v="8.12E7"/>
        <n v="9.0E8"/>
        <n v="5.32E8"/>
        <n v="4.53E8"/>
        <n v="3.0123E8"/>
        <n v="3.95799E8"/>
        <n v="2.91387E8"/>
        <n v="4.47283E8"/>
        <n v="4.372E8"/>
        <n v="1.567E8"/>
        <n v="8.279E8"/>
        <n v="-6200000.0"/>
        <n v="9.27E8"/>
        <n v="1.3E9"/>
        <n v="8.21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-2.3E7"/>
        <n v="1.389E8"/>
        <n v="1.145E8"/>
        <n v="1.803E8"/>
        <n v="1.559E9"/>
        <n v="1.334E9"/>
        <n v="6.5649E7"/>
        <n v="6.8005E7"/>
        <n v="2.22116E8"/>
        <n v="2.8659E7"/>
        <n v="3.6976E7"/>
        <n v="5.4094E7"/>
        <n v="3.9284E7"/>
        <n v="5.3892E7"/>
        <n v="7.49E8"/>
        <n v="4.76E8"/>
        <n v="6.13E8"/>
        <n v="1.914E9"/>
        <n v="2.175E9"/>
        <n v="1.425E9"/>
        <n v="1.494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266E9"/>
        <n v="4.862E9"/>
        <n v="2.212E9"/>
        <n v="3.172E9"/>
        <n v="3.24363E8"/>
        <n v="2.08539E8"/>
        <n v="3.07714E8"/>
        <n v="2.40489E8"/>
        <n v="-7.05E8"/>
        <n v="-3.6E8"/>
        <n v="-4.65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4.81E8"/>
        <n v="-2.792E8"/>
        <n v="-1.0376E9"/>
        <n v="-9.158E8"/>
        <n v="1.857E8"/>
        <n v="2.515E9"/>
        <n v="2.951E9"/>
        <n v="3.038E9"/>
        <n v="2.06E9"/>
        <n v="4.8036E7"/>
        <n v="4074000.0"/>
        <n v="-2.09142E8"/>
        <n v="5.3155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7E7"/>
        <n v="1.279E8"/>
        <n v="8.66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5.101E8"/>
        <n v="2.39E8"/>
        <n v="2.668E8"/>
        <n v="5.743E9"/>
        <n v="4.256E9"/>
        <n v="2.642E9"/>
        <n v="1.72E9"/>
        <n v="2.6257E7"/>
        <n v="7.1546E7"/>
        <n v="1.63729E8"/>
        <n v="3.25585E8"/>
        <n v="1.873E8"/>
        <n v="1.512E8"/>
        <n v="9.84E7"/>
        <n v="8.23E7"/>
        <n v="2.225E8"/>
        <n v="1.818E8"/>
        <n v="1.771E8"/>
        <n v="2.286E8"/>
        <n v="1.52E8"/>
        <n v="-1.156E9"/>
        <n v="1.785E8"/>
        <n v="1.028E9"/>
        <n v="2.92E8"/>
        <n v="5.81E8"/>
        <n v="4.33E8"/>
        <n v="4.97E8"/>
        <n v="4.25E8"/>
        <n v="7.33E8"/>
        <n v="1.21E8"/>
        <n v="9.4E7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12E8"/>
        <n v="4.79E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13" sheet="Raw_Data"/>
  </cacheSource>
  <cacheFields>
    <cacheField name="S. NO. 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</sharedItems>
    </cacheField>
    <cacheField name="date" numFmtId="164">
      <sharedItems containsSemiMixedTypes="0" containsNonDate="0" containsDate="1" containsString="0">
        <d v="2021-09-30T00:00:00Z"/>
        <d v="2021-06-30T00:00:00Z"/>
        <d v="2021-03-31T00:00:00Z"/>
        <d v="2020-12-31T00:00:00Z"/>
        <d v="2021-08-31T00:00:00Z"/>
        <d v="2021-05-31T00:00:00Z"/>
        <d v="2021-02-28T00:00:00Z"/>
        <d v="2020-11-30T00:00:00Z"/>
        <d v="2021-09-03T00:00:00Z"/>
        <d v="2021-06-04T00:00:00Z"/>
        <d v="2021-03-05T00:00:00Z"/>
        <d v="2020-11-27T00:00:00Z"/>
        <d v="2021-07-17T00:00:00Z"/>
        <d v="2021-04-24T00:00:00Z"/>
        <d v="2021-04-17T00:00:00Z"/>
        <d v="2021-09-25T00:00:00Z"/>
        <d v="2021-06-26T00:00:00Z"/>
        <d v="2021-03-27T00:00:00Z"/>
        <d v="2020-12-26T00:00:00Z"/>
        <d v="2021-07-31T00:00:00Z"/>
        <d v="2021-04-30T00:00:00Z"/>
        <d v="2021-01-31T00:00:00Z"/>
        <d v="2020-10-31T00:00:00Z"/>
        <d v="2020-09-30T00:00:00Z"/>
        <d v="2020-06-30T00:00:00Z"/>
        <d v="2021-05-01T00:00:00Z"/>
        <d v="2021-01-30T00:00:00Z"/>
        <d v="2020-09-26T00:00:00Z"/>
        <d v="2021-08-01T00:00:00Z"/>
        <d v="2021-05-02T00:00:00Z"/>
        <d v="2020-10-25T00:00:00Z"/>
        <d v="2021-08-28T00:00:00Z"/>
        <d v="2021-05-08T00:00:00Z"/>
        <d v="2021-02-13T00:00:00Z"/>
        <d v="2020-11-21T00:00:00Z"/>
        <d v="2021-07-03T00:00:00Z"/>
        <d v="2021-04-03T00:00:00Z"/>
        <d v="2021-01-02T00:00:00Z"/>
        <d v="2020-11-01T00:00:00Z"/>
        <d v="2020-08-02T00:00:00Z"/>
        <d v="2020-08-31T00:00:00Z"/>
        <d v="2021-01-23T00:00:00Z"/>
        <d v="2020-10-24T00:00:00Z"/>
        <d v="2020-07-25T00:00:00Z"/>
        <d v="2021-07-02T00:00:00Z"/>
        <d v="2021-04-02T00:00:00Z"/>
        <d v="2020-09-25T00:00:00Z"/>
        <d v="2020-11-29T00:00:00Z"/>
        <d v="2020-08-30T00:00:00Z"/>
        <d v="2020-05-31T00:00:00Z"/>
        <d v="2020-07-31T00:00:00Z"/>
        <d v="2021-08-29T00:00:00Z"/>
        <d v="2021-05-09T00:00:00Z"/>
        <d v="2021-02-14T00:00:00Z"/>
        <d v="2020-11-22T00:00:00Z"/>
        <d v="2021-07-04T00:00:00Z"/>
        <d v="2021-04-04T00:00:00Z"/>
        <d v="2020-09-27T00:00:00Z"/>
        <d v="2020-10-02T00:00:00Z"/>
        <d v="2021-05-30T00:00:00Z"/>
        <d v="2021-01-29T00:00:00Z"/>
        <d v="2020-10-30T00:00:00Z"/>
        <d v="2020-08-01T00:00:00Z"/>
        <d v="2021-06-20T00:00:00Z"/>
        <d v="2021-03-28T00:00:00Z"/>
        <d v="2021-01-03T00:00:00Z"/>
        <d v="2020-09-06T00:00:00Z"/>
        <d v="2021-06-27T00:00:00Z"/>
        <d v="2020-12-27T00:00:00Z"/>
        <d v="2020-06-27T00:00:00Z"/>
        <d v="2021-07-25T00:00:00Z"/>
        <d v="2021-04-25T00:00:00Z"/>
        <d v="2021-01-24T00:00:00Z"/>
        <d v="2020-06-28T00:00:00Z"/>
        <d v="2020-03-31T00:00:00Z"/>
        <d v="2021-01-01T00:00:00Z"/>
        <d v="2021-05-14T00:00:00Z"/>
        <d v="2020-11-07T00:00:00Z"/>
        <d v="2020-08-15T00:00:00Z"/>
        <d v="2021-07-30T00:00:00Z"/>
        <d v="2021-03-04T00:00:00Z"/>
        <d v="2020-12-03T00:00:00Z"/>
        <d v="2020-09-03T00:00:00Z"/>
        <d v="2020-05-28T00:00:00Z"/>
        <d v="2020-10-03T00:00:00Z"/>
        <d v="2021-09-04T00:00:00Z"/>
        <d v="2021-06-12T00:00:00Z"/>
        <d v="2021-03-20T00:00:00Z"/>
        <d v="2021-10-03T00:00:00Z"/>
        <d v="2021-10-02T00:00:00Z"/>
        <d v="2021-09-26T00:00:00Z"/>
        <d v="2021-10-01T00:00:00Z"/>
        <d v="2021-06-25T00:00:00Z"/>
        <d v="2021-03-26T00:00:00Z"/>
        <d v="2020-12-25T00:00:00Z"/>
        <d v="2020-07-03T00:00:00Z"/>
      </sharedItems>
      <fieldGroup par="19"/>
    </cacheField>
    <cacheField name="firm" numFmtId="0">
      <sharedItems>
        <s v="3M"/>
        <s v="A. O. Smith"/>
        <s v="Abbott Laboratories"/>
        <s v="AbbVie"/>
        <s v="Abiomed"/>
        <s v="Accenture"/>
        <s v="Activision Blizzard"/>
        <s v="ADM"/>
        <s v="Adobe"/>
        <s v="Advance Auto Parts"/>
        <s v="Advanced Micro Devices"/>
        <s v="AES Corp"/>
        <s v="Aflac"/>
        <s v="Agilent Technologies"/>
        <s v="Air Products &amp; Chemicals"/>
        <s v="Akamai Technologies"/>
        <s v="Alaska Air Group"/>
        <s v="Albemarle Corporation"/>
        <s v="Alexandria Real Estate Equities"/>
        <s v="Align Technology"/>
        <s v="Allegion"/>
        <s v="Alliant Energy"/>
        <s v="Allstate Corp"/>
        <s v="Alphabet (Class A)"/>
        <s v="Alphabet (Class C)"/>
        <s v="Altria Group"/>
        <s v="Amazon"/>
        <s v="Amcor"/>
        <s v="Ameren Corp"/>
        <s v="American Airlines Group"/>
        <s v="American Electric Power"/>
        <s v="American Express"/>
        <s v="American International Group"/>
        <s v="American Tower"/>
        <s v="American Water Works"/>
        <s v="Ameriprise Financial"/>
        <s v="AmerisourceBergen"/>
        <s v="Ametek"/>
        <s v="Amgen"/>
        <s v="Amphenol"/>
        <s v="Analog Devices"/>
        <s v="Ansys"/>
        <s v="Anthem"/>
        <s v="Aon"/>
        <s v="APA Corporation"/>
        <s v="Apple"/>
        <s v="Applied Materials"/>
        <s v="Aptiv"/>
        <s v="Arista Networks"/>
        <s v="Arthur J. Gallagher &amp; Co."/>
        <s v="Assurant"/>
        <s v="AT&amp;T"/>
        <s v="Atmos Energy"/>
        <s v="Autodesk"/>
        <s v="Automatic Data Processing"/>
        <s v="AutoZone"/>
        <s v="AvalonBay Communities"/>
        <s v="Avery Dennison"/>
        <s v="Baker Hughes"/>
        <s v="Ball Corp"/>
        <s v="Bank of America"/>
        <s v="Bath &amp; Body Works Inc."/>
        <s v="Baxter International"/>
        <s v="Becton Dickinson"/>
        <s v="Best Buy"/>
        <s v="Bio-Rad Laboratories"/>
        <s v="Bio-Techne"/>
        <s v="Biogen"/>
        <s v="BlackRock"/>
        <s v="BNY Mellon"/>
        <s v="Boeing"/>
        <s v="Booking Holdings"/>
        <s v="BorgWarner"/>
        <s v="Boston Properties"/>
        <s v="Boston Scientific"/>
        <s v="Bristol Myers Squibb"/>
        <s v="Broadcom"/>
        <s v="Broadridge Financial Solutions"/>
        <s v="Brown &amp; Brown"/>
        <s v="C. H. Robinson"/>
        <s v="Cadence Design Systems"/>
        <s v="Caesars Entertainment"/>
        <s v="Campbell Soup"/>
        <s v="Capital One Financial"/>
        <s v="Cardinal Health"/>
        <s v="CarMax"/>
        <s v="Carnival Corporation"/>
        <s v="Carrier Global"/>
        <s v="Catalent"/>
        <s v="Caterpillar"/>
        <s v="Cboe Global Markets"/>
        <s v="CBRE"/>
        <s v="CDW"/>
        <s v="Celanese"/>
        <s v="Centene Corporation"/>
        <s v="CenterPoint Energy"/>
        <s v="Ceridian"/>
        <s v="Cerner"/>
        <s v="CF Industries"/>
        <s v="Charles River Laboratories"/>
        <s v="Charles Schwab Corporation"/>
        <s v="Charter Communications"/>
        <s v="Chevron Corporation"/>
        <s v="Chipotle Mexican Grill"/>
        <s v="Chubb"/>
        <s v="Church &amp; Dwight"/>
        <s v="Cigna"/>
        <s v="Cincinnati Financial"/>
        <s v="Cintas Corporation"/>
        <s v="Cisco Systems"/>
        <s v="Citigroup"/>
        <s v="Citizens Financial Group"/>
        <s v="Citrix Systems"/>
        <s v="Clorox"/>
        <s v="CME Group"/>
        <s v="CMS Energy"/>
        <s v="Coca-Cola Company"/>
        <s v="Cognizant Technology Solutions"/>
        <s v="Colgate-Palmolive"/>
        <s v="Comcast"/>
        <s v="Comerica"/>
        <s v="Conagra Brands"/>
        <s v="ConocoPhillips"/>
        <s v="Consolidated Edison"/>
        <s v="Constellation Brands"/>
        <s v="Copart"/>
        <s v="Corning"/>
        <s v="Corteva"/>
        <s v="Costco"/>
        <s v="Coterra"/>
        <s v="Crown Castle"/>
        <s v="CSX"/>
        <s v="Cummins"/>
        <s v="CVS Health"/>
        <s v="D. R. Horton"/>
        <s v="Danaher Corporation"/>
        <s v="Darden Restaurants"/>
        <s v="DaVita"/>
        <s v="Deere &amp; Co."/>
        <s v="Delta Air Lines"/>
        <s v="Dentsply Sirona"/>
        <s v="Devon Energy"/>
        <s v="DexCom"/>
        <s v="Diamondback Energy"/>
        <s v="Digital Realty Trust"/>
        <s v="Discover Financial Services"/>
        <s v="Discovery (Series A)"/>
        <s v="Discovery (Series C)"/>
        <s v="Dish Network"/>
        <s v="Dollar General"/>
        <s v="Dollar Tree"/>
        <s v="Dominion Energy"/>
        <s v="Domino's Pizza"/>
        <s v="Dover Corporation"/>
        <s v="Dow"/>
        <s v="DTE Energy"/>
        <s v="Duke Energy"/>
        <s v="Duke Realty Corp"/>
        <s v="DuPont"/>
        <s v="DXC Technology"/>
        <s v="Eastman Chemical"/>
        <s v="Eaton Corporation"/>
        <s v="eBay"/>
        <s v="Ecolab"/>
        <s v="Edison International"/>
        <s v="Edwards Lifesciences"/>
        <s v="Electronic Arts"/>
        <s v="Eli Lilly &amp; Co"/>
        <s v="Emerson Electric Company"/>
        <s v="Enphase Energy"/>
        <s v="Entergy"/>
        <s v="EOG Resources"/>
        <s v="Equifax"/>
        <s v="Equinix"/>
        <s v="Equity Residential"/>
        <s v="Essex Property Trust"/>
        <s v="Estée Lauder Companies"/>
        <s v="Etsy"/>
        <s v="Everest Re"/>
        <s v="Evergy"/>
        <s v="Eversource Energy"/>
        <s v="Exelon"/>
        <s v="Expedia Group"/>
        <s v="Expeditors"/>
        <s v="Extra Space Storage"/>
        <s v="ExxonMobil"/>
        <s v="F5 Networks"/>
        <s v="Facebook"/>
        <s v="Fastenal"/>
        <s v="Federal Realty Investment Trust"/>
        <s v="FedEx"/>
        <s v="Fidelity National Information Services"/>
        <s v="Fifth Third Bancorp"/>
        <s v="First Republic Bank"/>
        <s v="FirstEnergy"/>
        <s v="Fiserv"/>
        <s v="Fleetcor"/>
        <s v="FMC Corporation"/>
        <s v="Ford"/>
        <s v="Fortinet"/>
        <s v="Fortive"/>
        <s v="Fortune Brands Home &amp; Security"/>
        <s v="Fox Corporation (Class A)"/>
        <s v="Fox Corporation (Class B)"/>
        <s v="Franklin Resources"/>
        <s v="Freeport-McMoRan"/>
        <s v="Gap"/>
        <s v="Garmin"/>
        <s v="Gartner"/>
        <s v="Generac Holdings"/>
        <s v="General Dynamics"/>
        <s v="General Electric"/>
        <s v="General Mills"/>
        <s v="General Motors"/>
        <s v="Genuine Parts"/>
        <s v="Gilead Sciences"/>
        <s v="Global Payments"/>
        <s v="Globe Life"/>
        <s v="Goldman Sachs"/>
        <s v="Halliburton"/>
        <s v="Hanesbrands"/>
        <s v="Hasbro"/>
        <s v="HCA Healthcare"/>
        <s v="Healthpeak Properties"/>
        <s v="Henry Schein"/>
        <s v="Hess Corporation"/>
        <s v="Hewlett Packard Enterprise"/>
        <s v="Hilton Worldwide"/>
        <s v="Hologic"/>
        <s v="Home Depot"/>
        <s v="Honeywell"/>
        <s v="Hormel"/>
        <s v="Host Hotels &amp; Resorts"/>
        <s v="Howmet Aerospace"/>
        <s v="HP"/>
        <s v="Humana"/>
        <s v="Huntington Bancshares"/>
        <s v="Huntington Ingalls Industries"/>
        <s v="IBM"/>
        <s v="IDEX Corporation"/>
        <s v="Idexx Laboratories"/>
        <s v="IHS Markit"/>
        <s v="Illinois Tool Works"/>
        <s v="Illumina"/>
        <s v="Incyte"/>
        <s v="Ingersoll Rand"/>
        <s v="Intel"/>
        <s v="Intercontinental Exchange"/>
        <s v="International Flavors &amp; Fragrances"/>
        <s v="International Paper"/>
        <s v="Interpublic Group"/>
        <s v="Intuit"/>
        <s v="Intuitive Surgical"/>
        <s v="Invesco"/>
        <s v="IPG Photonics"/>
        <s v="IQVIA"/>
        <s v="Iron Mountain"/>
        <s v="J. B. Hunt"/>
        <s v="Jack Henry &amp; Associates"/>
        <s v="Jacobs Engineering Group"/>
        <s v="JM Smucker"/>
        <s v="Johnson &amp; Johnson"/>
        <s v="Johnson Controls"/>
        <s v="JPMorgan Chase"/>
        <s v="Juniper Networks"/>
        <s v="Kansas City Southern"/>
        <s v="Kellogg's"/>
        <s v="KeyCorp"/>
        <s v="Keysight Technologies"/>
        <s v="Kimberly-Clark"/>
        <s v="Kimco Realty"/>
        <s v="Kinder Morgan"/>
        <s v="KLA Corporation"/>
        <s v="Kraft Heinz"/>
        <s v="Kroger"/>
        <s v="L3Harris Technologies"/>
        <s v="LabCorp"/>
        <s v="Lam Research"/>
        <s v="Lamb Weston"/>
        <s v="Las Vegas Sands"/>
        <s v="Leggett &amp; Platt"/>
        <s v="Leidos"/>
        <s v="Lennar"/>
        <s v="Lincoln National"/>
        <s v="Linde"/>
        <s v="Live Nation Entertainment"/>
        <s v="LKQ Corporation"/>
        <s v="Lockheed Martin"/>
        <s v="Loews Corporation"/>
        <s v="Lowe's"/>
        <s v="Lumen Technologies"/>
        <s v="LyondellBasell"/>
        <s v="M&amp;T Bank"/>
        <s v="Marathon Oil"/>
        <s v="Marathon Petroleum"/>
        <s v="MarketAxess"/>
        <s v="Marriott International"/>
        <s v="Marsh &amp; McLennan"/>
        <s v="Martin Marietta Materials"/>
        <s v="Masco"/>
        <s v="Mastercard"/>
        <s v="Match Group"/>
        <s v="McCormick &amp; Company"/>
        <s v="McDonald's"/>
        <s v="McKesson Corporation"/>
        <s v="Medtronic"/>
        <s v="Merck &amp; Co."/>
        <s v="MetLife"/>
        <s v="Mettler Toledo"/>
        <s v="MGM Resorts International"/>
        <s v="Microchip Technology"/>
        <s v="Micron Technology"/>
        <s v="Microsoft"/>
        <s v="Mid-America Apartments"/>
        <s v="Moderna"/>
        <s v="Mohawk Industries"/>
        <s v="Molson Coors Beverage Company"/>
        <s v="Mondelez International"/>
        <s v="Monolithic Power Systems"/>
        <s v="Monster Beverage"/>
        <s v="Moody's Corporation"/>
        <s v="Morgan Stanley"/>
        <s v="Motorola Solutions"/>
        <s v="MSCI"/>
        <s v="Nasdaq"/>
        <s v="NetApp"/>
        <s v="Netflix"/>
        <s v="Newell Brands"/>
        <s v="Newmont"/>
        <s v="News Corp (Class A)"/>
        <s v="News Corp (Class B)"/>
        <s v="NextEra Energy"/>
        <s v="Nielsen Holdings"/>
        <s v="Nike"/>
        <s v="NiSource"/>
        <s v="Norfolk Southern"/>
        <s v="Northern Trust"/>
        <s v="Northrop Grumman"/>
        <s v="NortonLifeLock"/>
        <s v="Norwegian Cruise Line Holdings"/>
        <s v="NRG Energy"/>
        <s v="Nucor"/>
        <s v="Nvidia"/>
        <s v="NVR"/>
        <s v="NXP"/>
        <s v="O'Reilly Automotive"/>
        <s v="Occidental Petroleum"/>
        <s v="Old Dominion Freight Line"/>
        <s v="Omnicom Group"/>
        <s v="Oneok"/>
        <s v="Oracle"/>
        <s v="Organon &amp; Co."/>
        <s v="Otis Worldwide"/>
        <s v="Paccar"/>
        <s v="Packaging Corporation of America"/>
        <s v="Parker-Hannifin"/>
        <s v="Paychex"/>
        <s v="Paycom"/>
        <s v="PayPal"/>
        <s v="Penn National Gaming"/>
        <s v="Pentair"/>
        <s v="People's United Financial"/>
        <s v="PepsiCo"/>
        <s v="PerkinElmer"/>
        <s v="Pfizer"/>
        <s v="Philip Morris International"/>
        <s v="Phillips 66"/>
        <s v="Pinnacle West Capital"/>
        <s v="Pioneer Natural Resources"/>
        <s v="PNC Financial Services"/>
        <s v="Pool Corporation"/>
        <s v="PPG Industries"/>
        <s v="PPL"/>
        <s v="Principal Financial Group"/>
        <s v="Procter &amp; Gamble"/>
        <s v="Progressive Corporation"/>
        <s v="Prologis"/>
        <s v="Prudential Financial"/>
        <s v="PTC"/>
        <s v="Public Service Enterprise Group"/>
        <s v="Public Storage"/>
        <s v="PulteGroup"/>
        <s v="PVH"/>
        <s v="Qorvo"/>
        <s v="Qualcomm"/>
        <s v="Quanta Services"/>
        <s v="Quest Diagnostics"/>
        <s v="Ralph Lauren Corporation"/>
        <s v="Raymond James Financial"/>
        <s v="Raytheon Technologies"/>
        <s v="Realty Income Corporation"/>
        <s v="Regency Centers"/>
        <s v="Regeneron Pharmaceuticals"/>
        <s v="Regions Financial Corporation"/>
        <s v="Republic Services"/>
        <s v="ResMed"/>
        <s v="Robert Half International"/>
        <s v="Rockwell Automation"/>
        <s v="Rollins"/>
        <s v="Roper Technologies"/>
        <s v="Ross Stores"/>
        <s v="Royal Caribbean Group"/>
        <s v="S&amp;P Global"/>
        <s v="Salesforce"/>
        <s v="SBA Communications"/>
        <s v="Schlumberger"/>
        <s v="Seagate Technology"/>
        <s v="Sealed Air"/>
        <s v="Sempra Energy"/>
        <s v="ServiceNow"/>
        <s v="Sherwin-Williams"/>
        <s v="Simon Property Group"/>
        <s v="Skyworks Solutions"/>
        <s v="Snap-on"/>
        <s v="Southern Company"/>
        <s v="Southwest Airlines"/>
        <s v="Stanley Black &amp; Decker"/>
        <s v="Starbucks"/>
        <s v="State Street Corporation"/>
        <s v="Steris"/>
        <s v="Stryker Corporation"/>
        <s v="SVB Financial"/>
        <s v="Synchrony Financial"/>
        <s v="Synopsys"/>
        <s v="Sysco"/>
        <s v="T-Mobile US"/>
        <s v="T. Rowe Price"/>
        <s v="Take-Two Interactive"/>
        <s v="Tapestry"/>
        <s v="Target Corporation"/>
        <s v="TE Connectivity"/>
        <s v="Teledyne Technologies"/>
        <s v="Teleflex"/>
        <s v="Teradyne"/>
        <s v="Tesla"/>
        <s v="Texas Instruments"/>
        <s v="Textron"/>
        <s v="The Cooper Companies"/>
        <s v="The Hartford"/>
        <s v="The Hershey Company"/>
        <s v="The Mosaic Company"/>
        <s v="The Travelers Companies"/>
        <s v="The Walt Disney Company"/>
        <s v="Thermo Fisher Scientific"/>
        <s v="TJX Companies"/>
        <s v="Tractor Supply Company"/>
        <s v="Trane Technologies"/>
        <s v="TransDigm Group"/>
        <s v="Trimble"/>
        <s v="Truist Financial"/>
        <s v="Twitter"/>
        <s v="Tyler Technologies"/>
        <s v="Tyson Foods"/>
        <s v="U.S. Bancorp"/>
        <s v="Ulta Beauty"/>
        <s v="Under Armour (Class A)"/>
        <s v="Under Armour (Class C)"/>
        <s v="Union Pacific"/>
        <s v="United Airlines"/>
        <s v="United Parcel Service"/>
        <s v="United Rentals"/>
        <s v="UnitedHealth Group"/>
        <s v="Universal Health Services"/>
        <s v="Valero Energy"/>
        <s v="Ventas"/>
        <s v="Verisign"/>
        <s v="Verisk Analytics"/>
        <s v="Verizon Communications"/>
        <s v="Vertex Pharmaceuticals"/>
        <s v="VF Corporation"/>
        <s v="ViacomCBS"/>
        <s v="Viatris"/>
        <s v="Visa"/>
        <s v="Vornado Realty Trust"/>
        <s v="Vulcan Materials"/>
        <s v="W. R. Berkley Corporation"/>
        <s v="W. W. Grainger"/>
        <s v="Wabtec"/>
        <s v="Walgreens Boots Alliance"/>
        <s v="Walmart"/>
        <s v="Waste Management"/>
        <s v="Waters Corporation"/>
        <s v="WEC Energy Group"/>
        <s v="Wells Fargo"/>
        <s v="Welltower"/>
        <s v="West Pharmaceutical Services"/>
        <s v="Western Digital"/>
        <s v="Western Union"/>
        <s v="WestRock"/>
        <s v="Weyerhaeuser"/>
        <s v="Whirlpool Corporation"/>
        <s v="Williams Companies"/>
        <s v="Willis Towers Watson"/>
        <s v="Wynn Resorts"/>
        <s v="Xcel Energy"/>
        <s v="Xilinx"/>
        <s v="Xylem"/>
        <s v="Yum! Brands"/>
        <s v="Zebra Technologies"/>
        <s v="Zimmer Biomet"/>
        <s v="Zions Bancorp"/>
        <s v="Zoetis"/>
      </sharedItems>
    </cacheField>
    <cacheField name="Ticker" numFmtId="0">
      <sharedItems>
        <s v="MMM"/>
        <s v="AOS"/>
        <s v="ABT"/>
        <s v="ABBV"/>
        <s v="ABMD"/>
        <s v="ACN"/>
        <s v="ATVI"/>
        <s v="ADM"/>
        <s v="ADBE"/>
        <s v="AAP"/>
        <s v="AMD"/>
        <s v="AES"/>
        <s v="AFL"/>
        <s v="A"/>
        <s v="APD"/>
        <s v="AKAM"/>
        <s v="ALB"/>
        <s v="ALK"/>
        <s v="ARE"/>
        <s v="ALGN"/>
        <s v="ALLE"/>
        <s v="LNT"/>
        <s v="ALL"/>
        <s v="GOOGL"/>
        <s v="GOOG"/>
        <s v="MO"/>
        <s v="AMZN"/>
        <s v="AMCR"/>
        <s v="AEE"/>
        <s v="AAL"/>
        <s v="AEP"/>
        <s v="AXP"/>
        <s v="AIG"/>
        <s v="AMT"/>
        <s v="AWK"/>
        <s v="AMP"/>
        <s v="ABC"/>
        <s v="AME"/>
        <s v="AMGN"/>
        <s v="APH"/>
        <s v="ADI"/>
        <s v="ANSS"/>
        <s v="ANTM"/>
        <s v="AON"/>
        <s v="APA"/>
        <s v="AAPL"/>
        <s v="AMAT"/>
        <s v="APTV"/>
        <s v="ANET"/>
        <s v="AJG"/>
        <s v="AIZ"/>
        <s v="T"/>
        <s v="ATO"/>
        <s v="ADSK"/>
        <s v="ADP"/>
        <s v="AZO"/>
        <s v="AVB"/>
        <s v="AVY"/>
        <s v="BKR"/>
        <s v="BLL"/>
        <s v="BAC"/>
        <s v="BBWI"/>
        <s v="BAX"/>
        <s v="BDX"/>
        <s v="BBY"/>
        <s v="BIO"/>
        <s v="TECH"/>
        <s v="BIIB"/>
        <s v="BLK"/>
        <s v="BK"/>
        <s v="BA"/>
        <s v="BKNG"/>
        <s v="BWA"/>
        <s v="BXP"/>
        <s v="BSX"/>
        <s v="BMY"/>
        <s v="AVGO"/>
        <s v="BR"/>
        <s v="BRO"/>
        <s v="CHRW"/>
        <s v="CDNS"/>
        <s v="CZR"/>
        <s v="CPB"/>
        <s v="COF"/>
        <s v="CAH"/>
        <s v="KMX"/>
        <s v="CCL"/>
        <s v="CARR"/>
        <s v="CTLT"/>
        <s v="CAT"/>
        <s v="CBOE"/>
        <s v="CBRE"/>
        <s v="CDW"/>
        <s v="CE"/>
        <s v="CNC"/>
        <s v="CNP"/>
        <s v="CDAY"/>
        <s v="CERN"/>
        <s v="CF"/>
        <s v="CRL"/>
        <s v="SCHW"/>
        <s v="CHTR"/>
        <s v="CVX"/>
        <s v="CMG"/>
        <s v="CB"/>
        <s v="CHD"/>
        <s v="CI"/>
        <s v="CINF"/>
        <s v="CTAS"/>
        <s v="CSCO"/>
        <s v="C"/>
        <s v="CFG"/>
        <s v="CTXS"/>
        <s v="CLX"/>
        <s v="CME"/>
        <s v="CMS"/>
        <s v="KO"/>
        <s v="CTSH"/>
        <s v="CL"/>
        <s v="CMCSA"/>
        <s v="CMA"/>
        <s v="CAG"/>
        <s v="COP"/>
        <s v="ED"/>
        <s v="STZ"/>
        <s v="CPRT"/>
        <s v="GLW"/>
        <s v="CTVA"/>
        <s v="COST"/>
        <s v="CTRA"/>
        <s v="CCI"/>
        <s v="CSX"/>
        <s v="CMI"/>
        <s v="CVS"/>
        <s v="DHI"/>
        <s v="DHR"/>
        <s v="DRI"/>
        <s v="DVA"/>
        <s v="DE"/>
        <s v="DAL"/>
        <s v="XRAY"/>
        <s v="DVN"/>
        <s v="DXCM"/>
        <s v="FANG"/>
        <s v="DLR"/>
        <s v="DFS"/>
        <s v="DISCA"/>
        <s v="DISCK"/>
        <s v="DISH"/>
        <s v="DG"/>
        <s v="DLTR"/>
        <s v="D"/>
        <s v="DPZ"/>
        <s v="DOV"/>
        <s v="DOW"/>
        <s v="DTE"/>
        <s v="DUK"/>
        <s v="DRE"/>
        <s v="DD"/>
        <s v="DXC"/>
        <s v="EMN"/>
        <s v="ETN"/>
        <s v="EBAY"/>
        <s v="ECL"/>
        <s v="EIX"/>
        <s v="EW"/>
        <s v="EA"/>
        <s v="LLY"/>
        <s v="EMR"/>
        <s v="ENPH"/>
        <s v="ETR"/>
        <s v="EOG"/>
        <s v="EFX"/>
        <s v="EQIX"/>
        <s v="EQR"/>
        <s v="ESS"/>
        <s v="EL"/>
        <s v="ETSY"/>
        <s v="RE"/>
        <s v="EVRG"/>
        <s v="ES"/>
        <s v="EXC"/>
        <s v="EXPE"/>
        <s v="EXPD"/>
        <s v="EXR"/>
        <s v="XOM"/>
        <s v="FFIV"/>
        <s v="FB"/>
        <s v="FAST"/>
        <s v="FRT"/>
        <s v="FDX"/>
        <s v="FIS"/>
        <s v="FITB"/>
        <s v="FRC"/>
        <s v="FE"/>
        <s v="FISV"/>
        <s v="FLT"/>
        <s v="FMC"/>
        <s v="F"/>
        <s v="FTNT"/>
        <s v="FTV"/>
        <s v="FBHS"/>
        <s v="FOXA"/>
        <s v="FOX"/>
        <s v="BEN"/>
        <s v="FCX"/>
        <s v="GPS"/>
        <s v="GRMN"/>
        <s v="IT"/>
        <s v="GNRC"/>
        <s v="GD"/>
        <s v="GE"/>
        <s v="GIS"/>
        <s v="GM"/>
        <s v="GPC"/>
        <s v="GILD"/>
        <s v="GPN"/>
        <s v="GL"/>
        <s v="GS"/>
        <s v="HAL"/>
        <s v="HBI"/>
        <s v="HAS"/>
        <s v="HCA"/>
        <s v="PEAK"/>
        <s v="HSIC"/>
        <s v="HES"/>
        <s v="HPE"/>
        <s v="HLT"/>
        <s v="HOLX"/>
        <s v="HD"/>
        <s v="HON"/>
        <s v="HRL"/>
        <s v="HST"/>
        <s v="HWM"/>
        <s v="HPQ"/>
        <s v="HUM"/>
        <s v="HBAN"/>
        <s v="HII"/>
        <s v="IBM"/>
        <s v="IEX"/>
        <s v="IDXX"/>
        <s v="INFO"/>
        <s v="ITW"/>
        <s v="ILMN"/>
        <s v="INCY"/>
        <s v="IR"/>
        <s v="INTC"/>
        <s v="ICE"/>
        <s v="IFF"/>
        <s v="IP"/>
        <s v="IPG"/>
        <s v="INTU"/>
        <s v="ISRG"/>
        <s v="IVZ"/>
        <s v="IPGP"/>
        <s v="IQV"/>
        <s v="IRM"/>
        <s v="JBHT"/>
        <s v="JKHY"/>
        <s v="J"/>
        <s v="SJM"/>
        <s v="JNJ"/>
        <s v="JCI"/>
        <s v="JPM"/>
        <s v="JNPR"/>
        <s v="KSU"/>
        <s v="K"/>
        <s v="KEY"/>
        <s v="KEYS"/>
        <s v="KMB"/>
        <s v="KIM"/>
        <s v="KMI"/>
        <s v="KLAC"/>
        <s v="KHC"/>
        <s v="KR"/>
        <s v="LHX"/>
        <s v="LH"/>
        <s v="LRCX"/>
        <s v="LW"/>
        <s v="LVS"/>
        <s v="LEG"/>
        <s v="LDOS"/>
        <s v="LEN"/>
        <s v="LNC"/>
        <s v="LIN"/>
        <s v="LYV"/>
        <s v="LKQ"/>
        <s v="LMT"/>
        <s v="L"/>
        <s v="LOW"/>
        <s v="LUMN"/>
        <s v="LYB"/>
        <s v="MTB"/>
        <s v="MRO"/>
        <s v="MPC"/>
        <s v="MKTX"/>
        <s v="MAR"/>
        <s v="MMC"/>
        <s v="MLM"/>
        <s v="MAS"/>
        <s v="MA"/>
        <s v="MTCH"/>
        <s v="MKC"/>
        <s v="MCD"/>
        <s v="MCK"/>
        <s v="MDT"/>
        <s v="MRK"/>
        <s v="MET"/>
        <s v="MTD"/>
        <s v="MGM"/>
        <s v="MCHP"/>
        <s v="MU"/>
        <s v="MSFT"/>
        <s v="MAA"/>
        <s v="MRNA"/>
        <s v="MHK"/>
        <s v="TAP"/>
        <s v="MDLZ"/>
        <s v="MPWR"/>
        <s v="MNST"/>
        <s v="MCO"/>
        <s v="MS"/>
        <s v="MSI"/>
        <s v="MSCI"/>
        <s v="NDAQ"/>
        <s v="NTAP"/>
        <s v="NFLX"/>
        <s v="NWL"/>
        <s v="NEM"/>
        <s v="NWSA"/>
        <s v="NWS"/>
        <s v="NEE"/>
        <s v="NLSN"/>
        <s v="NKE"/>
        <s v="NI"/>
        <s v="NSC"/>
        <s v="NTRS"/>
        <s v="NOC"/>
        <s v="NLOK"/>
        <s v="NCLH"/>
        <s v="NRG"/>
        <s v="NUE"/>
        <s v="NVDA"/>
        <s v="NVR"/>
        <s v="NXPI"/>
        <s v="ORLY"/>
        <s v="OXY"/>
        <s v="ODFL"/>
        <s v="OMC"/>
        <s v="OKE"/>
        <s v="ORCL"/>
        <s v="OGN"/>
        <s v="OTIS"/>
        <s v="PCAR"/>
        <s v="PKG"/>
        <s v="PH"/>
        <s v="PAYX"/>
        <s v="PAYC"/>
        <s v="PYPL"/>
        <s v="PENN"/>
        <s v="PNR"/>
        <s v="PBCT"/>
        <s v="PEP"/>
        <s v="PKI"/>
        <s v="PFE"/>
        <s v="PM"/>
        <s v="PSX"/>
        <s v="PNW"/>
        <s v="PXD"/>
        <s v="PNC"/>
        <s v="POOL"/>
        <s v="PPG"/>
        <s v="PPL"/>
        <s v="PFG"/>
        <s v="PG"/>
        <s v="PGR"/>
        <s v="PLD"/>
        <s v="PRU"/>
        <s v="PTC"/>
        <s v="PEG"/>
        <s v="PSA"/>
        <s v="PHM"/>
        <s v="PVH"/>
        <s v="QRVO"/>
        <s v="QCOM"/>
        <s v="PWR"/>
        <s v="DGX"/>
        <s v="RL"/>
        <s v="RJF"/>
        <s v="RTX"/>
        <s v="O"/>
        <s v="REG"/>
        <s v="REGN"/>
        <s v="RF"/>
        <s v="RSG"/>
        <s v="RMD"/>
        <s v="RHI"/>
        <s v="ROK"/>
        <s v="ROL"/>
        <s v="ROP"/>
        <s v="ROST"/>
        <s v="RCL"/>
        <s v="SPGI"/>
        <s v="CRM"/>
        <s v="SBAC"/>
        <s v="SLB"/>
        <s v="STX"/>
        <s v="SEE"/>
        <s v="SRE"/>
        <s v="NOW"/>
        <s v="SHW"/>
        <s v="SPG"/>
        <s v="SWKS"/>
        <s v="SNA"/>
        <s v="SO"/>
        <s v="LUV"/>
        <s v="SWK"/>
        <s v="SBUX"/>
        <s v="STT"/>
        <s v="STE"/>
        <s v="SYK"/>
        <s v="SIVB"/>
        <s v="SYF"/>
        <s v="SNPS"/>
        <s v="SYY"/>
        <s v="TMUS"/>
        <s v="TROW"/>
        <s v="TTWO"/>
        <s v="TPR"/>
        <s v="TGT"/>
        <s v="TEL"/>
        <s v="TDY"/>
        <s v="TFX"/>
        <s v="TER"/>
        <s v="TSLA"/>
        <s v="TXN"/>
        <s v="TXT"/>
        <s v="COO"/>
        <s v="HIG"/>
        <s v="HSY"/>
        <s v="MOS"/>
        <s v="TRV"/>
        <s v="DIS"/>
        <s v="TMO"/>
        <s v="TJX"/>
        <s v="TSCO"/>
        <s v="TT"/>
        <s v="TDG"/>
        <s v="TRMB"/>
        <s v="TFC"/>
        <s v="TWTR"/>
        <s v="TYL"/>
        <s v="TSN"/>
        <s v="USB"/>
        <s v="ULTA"/>
        <s v="UAA"/>
        <s v="UA"/>
        <s v="UNP"/>
        <s v="UAL"/>
        <s v="UPS"/>
        <s v="URI"/>
        <s v="UNH"/>
        <s v="UHS"/>
        <s v="VLO"/>
        <s v="VTR"/>
        <s v="VRSN"/>
        <s v="VRSK"/>
        <s v="VZ"/>
        <s v="VRTX"/>
        <s v="VFC"/>
        <s v="VIAC"/>
        <s v="VTRS"/>
        <s v="V"/>
        <s v="VNO"/>
        <s v="VMC"/>
        <s v="WRB"/>
        <s v="GWW"/>
        <s v="WAB"/>
        <s v="WBA"/>
        <s v="WMT"/>
        <s v="WM"/>
        <s v="WAT"/>
        <s v="WEC"/>
        <s v="WFC"/>
        <s v="WELL"/>
        <s v="WST"/>
        <s v="WDC"/>
        <s v="WU"/>
        <s v="WRK"/>
        <s v="WY"/>
        <s v="WHR"/>
        <s v="WMB"/>
        <s v="WLTW"/>
        <s v="WYNN"/>
        <s v="XEL"/>
        <s v="XLNX"/>
        <s v="XYL"/>
        <s v="YUM"/>
        <s v="ZBRA"/>
        <s v="ZBH"/>
        <s v="ZION"/>
        <s v="ZTS"/>
      </sharedItems>
    </cacheField>
    <cacheField name="Research Development" numFmtId="0">
      <sharedItems containsString="0" containsBlank="1" containsNumber="1" containsInteger="1">
        <n v="4.82E8"/>
        <n v="5.14E8"/>
        <n v="5.2E8"/>
        <n v="4.49E8"/>
        <m/>
        <n v="6.72E8"/>
        <n v="6.54E8"/>
        <n v="6.43E8"/>
        <n v="1.655E9"/>
        <n v="1.784E9"/>
        <n v="1.731E9"/>
        <n v="1.821E9"/>
        <n v="4.1041E7"/>
        <n v="3.6837E7"/>
        <n v="3.2599E7"/>
        <n v="3.2105E7"/>
        <n v="3.29E8"/>
        <n v="3.35E8"/>
        <n v="3.53E8"/>
        <n v="3.48E8"/>
        <n v="6.51E8"/>
        <n v="6.12E8"/>
        <n v="6.2E8"/>
        <n v="5.58E8"/>
        <n v="7.65E8"/>
        <n v="6.59E8"/>
        <n v="6.1E8"/>
        <n v="5.73E8"/>
        <n v="1.13E8"/>
        <n v="1.09E8"/>
        <n v="1.03E8"/>
        <n v="1.02E8"/>
        <n v="2.57E7"/>
        <n v="2.32E7"/>
        <n v="2.11E7"/>
        <n v="2.35E7"/>
        <n v="8.2899E7"/>
        <n v="7.7255E7"/>
        <n v="8.2045E7"/>
        <n v="6.7228E7"/>
        <n v="1.3289E7"/>
        <n v="1.3976E7"/>
        <n v="1.4636E7"/>
        <n v="1.5375E7"/>
        <n v="6.5587E7"/>
        <n v="5.7715E7"/>
        <n v="5.4537E7"/>
        <n v="4.8887E7"/>
        <n v="7.675E9"/>
        <n v="7.485E9"/>
        <n v="7.022E9"/>
        <n v="6.856E9"/>
        <n v="1.1794E10"/>
        <n v="1.0584E10"/>
        <n v="1.6466E10"/>
        <n v="9.334E9"/>
        <n v="2.6E7"/>
        <n v="2.5E7"/>
        <n v="2.3E7"/>
        <n v="1.082E9"/>
        <n v="9.67E8"/>
        <n v="1.229E9"/>
        <n v="1.062E9"/>
        <n v="2.607E8"/>
        <n v="3.06617E8"/>
        <n v="3.02238E8"/>
        <n v="2.8815E8"/>
        <n v="2.80239E8"/>
        <n v="1.00879E8"/>
        <n v="1.00479E8"/>
        <n v="9.651E7"/>
        <n v="8.6616E7"/>
        <n v="5.717E9"/>
        <n v="5.262E9"/>
        <n v="5.163E9"/>
        <n v="4.978E9"/>
        <n v="6.4E8"/>
        <n v="6.17E8"/>
        <n v="6.06E8"/>
        <n v="5.6E8"/>
        <n v="1.43293E8"/>
        <n v="1.32487E8"/>
        <n v="1.41147E8"/>
        <n v="1.28049E8"/>
        <n v="2.678E8"/>
        <n v="2.558E8"/>
        <n v="2.44E8"/>
        <n v="2.234E8"/>
        <n v="1.128E8"/>
        <n v="1.39E8"/>
        <n v="1.28E8"/>
        <n v="1.32E8"/>
        <n v="1.22E8"/>
        <n v="3.44E8"/>
        <n v="3.17E8"/>
        <n v="2.91E8"/>
        <n v="2.99E8"/>
        <n v="6.5291E7"/>
        <n v="5.6912E7"/>
        <n v="6.6965E7"/>
        <n v="5.9546E7"/>
        <n v="2.0721E7"/>
        <n v="1.7052E7"/>
        <n v="1.6789E7"/>
        <n v="1.6041E7"/>
        <n v="5.851E8"/>
        <n v="5.142E8"/>
        <n v="1.7198E9"/>
        <n v="1.1409E9"/>
        <n v="5.75E8"/>
        <n v="4.97E8"/>
        <n v="4.99E8"/>
        <n v="6.05E8"/>
        <n v="2.98E8"/>
        <n v="2.76E8"/>
        <n v="2.82E8"/>
        <n v="3.15E8"/>
        <n v="2.261E9"/>
        <n v="2.225E9"/>
        <n v="2.579E9"/>
        <n v="2.273E9"/>
        <n v="1.205E9"/>
        <n v="1.238E9"/>
        <n v="1.211E9"/>
        <n v="1.182E9"/>
        <n v="2.85227E8"/>
        <n v="2.70992E8"/>
        <n v="2.90309E8"/>
        <n v="2.50934E8"/>
        <n v="2.2E7"/>
        <n v="1.9E7"/>
        <n v="2.0E7"/>
        <n v="2.4E7"/>
        <n v="1.25E8"/>
        <n v="1.21E8"/>
        <n v="1.27E8"/>
        <n v="1.0E8"/>
        <n v="3.74E8"/>
        <n v="3.41E8"/>
        <n v="1.936E8"/>
        <n v="1.92327E8"/>
        <n v="1.97906E8"/>
        <n v="1.86826E8"/>
        <n v="1.697E9"/>
        <n v="1.527E9"/>
        <n v="1.612E9"/>
        <n v="1.565E9"/>
        <n v="1.46179E8"/>
        <n v="1.44158E8"/>
        <n v="1.32517E8"/>
        <n v="1.30628E8"/>
        <n v="4.5E7"/>
        <n v="3.2E7"/>
        <n v="4.0E7"/>
        <n v="2.38E8"/>
        <n v="2.22E8"/>
        <n v="2.28E8"/>
        <n v="2.13E8"/>
        <n v="2.93E8"/>
        <n v="2.81E8"/>
        <n v="3.05E8"/>
        <n v="2.84E8"/>
        <n v="2.6E8"/>
        <n v="2.55E8"/>
        <n v="2.24E8"/>
        <n v="4.26E8"/>
        <n v="3.8E8"/>
        <n v="3.958E8"/>
        <n v="3.426E8"/>
        <n v="3.94E8"/>
        <n v="3.77E8"/>
        <n v="3.66E8"/>
        <n v="3.88E8"/>
        <n v="3.7E7"/>
        <n v="1.15E8"/>
        <n v="1.291E8"/>
        <n v="1.094E8"/>
        <n v="1.192E8"/>
        <n v="8.77E7"/>
        <n v="3.44E7"/>
        <n v="4.12E7"/>
        <n v="1.42101E8"/>
        <n v="1.94E8"/>
        <n v="2.14E8"/>
        <n v="1.93E8"/>
        <n v="1.48E8"/>
        <n v="1.56E8"/>
        <n v="2.16E8"/>
        <n v="1.99E8"/>
        <n v="6.3E7"/>
        <n v="5.8E7"/>
        <n v="5.7E7"/>
        <n v="5.6E7"/>
        <n v="1.54E8"/>
        <n v="1.4E8"/>
        <n v="3.5E8"/>
        <n v="3.04E8"/>
        <n v="2.87E8"/>
        <n v="2.253E8"/>
        <n v="2.07E8"/>
        <n v="1.957E8"/>
        <n v="1.955E8"/>
        <n v="5.15E8"/>
        <n v="4.68E8"/>
        <n v="4.51E8"/>
        <n v="4.21E8"/>
        <n v="1.6848E9"/>
        <n v="1.838E9"/>
        <n v="1.4654E9"/>
        <n v="1.3902E9"/>
        <n v="2.1818E7"/>
        <n v="1.5801E7"/>
        <n v="1.5052E7"/>
        <n v="1.3192E7"/>
        <n v="6.1753E7"/>
        <n v="5.3706E7"/>
        <n v="5.1157E7"/>
        <n v="4.5908E7"/>
        <n v="2.47E8"/>
        <n v="2.23E8"/>
        <n v="1.30608E8"/>
        <n v="1.14191E8"/>
        <n v="1.203E8"/>
        <n v="1.15991E8"/>
        <n v="6.096E9"/>
        <n v="5.197E9"/>
        <n v="5.207E9"/>
        <n v="4.763E9"/>
        <n v="6.59E7"/>
        <n v="7.4E7"/>
        <n v="8.46E7"/>
        <n v="7.17E7"/>
        <n v="1.066E8"/>
        <n v="9.72E7"/>
        <n v="8.9E7"/>
        <n v="9.0E7"/>
        <n v="8.78E7"/>
        <n v="8.62E7"/>
        <n v="-1.03E7"/>
        <n v="1.107E8"/>
        <n v="4.6E7"/>
        <n v="2.00981E8"/>
        <n v="2.03214E8"/>
        <n v="1.99672E8"/>
        <n v="1.74882E8"/>
        <n v="2.2388E7"/>
        <n v="2.1489E7"/>
        <n v="2.0658E7"/>
        <n v="1.9455E7"/>
        <n v="6.04E8"/>
        <n v="5.61E8"/>
        <n v="2.565E9"/>
        <n v="1.134E9"/>
        <n v="1.055E9"/>
        <n v="1.412E9"/>
        <n v="1.158E9"/>
        <n v="4.471E7"/>
        <n v="8.72E7"/>
        <n v="6.18E7"/>
        <n v="8.4659E7"/>
        <n v="6.2709E7"/>
        <n v="5.06E8"/>
        <n v="5.03E8"/>
        <n v="4.84E8"/>
        <n v="6.9E7"/>
        <n v="7.15E7"/>
        <n v="5.93E7"/>
        <n v="3.19E7"/>
        <n v="4000000.0"/>
        <n v="5000000.0"/>
        <n v="4.77E8"/>
        <n v="4.71E8"/>
        <n v="3.81E8"/>
        <n v="1.657E9"/>
        <n v="1.63E9"/>
        <n v="1.611E9"/>
        <n v="1.515E9"/>
        <n v="3.7697E7"/>
        <n v="3.7579E7"/>
        <n v="3.8777E7"/>
        <n v="3.7517E7"/>
        <n v="1.97E8"/>
        <n v="1.26E8"/>
        <n v="1.72E8"/>
        <n v="1.55E8"/>
        <n v="3.715E9"/>
        <n v="3.623E9"/>
        <n v="3.655E9"/>
        <n v="3.272E9"/>
        <n v="1.64E8"/>
        <n v="1.43E8"/>
        <n v="1.00038E8"/>
        <n v="8.9968E7"/>
        <n v="4.64E8"/>
        <n v="3.68E8"/>
        <n v="3.25E8"/>
        <n v="3.93E8"/>
        <n v="1.598E8"/>
        <n v="1.498E8"/>
        <n v="1.432E8"/>
        <n v="3.1766E7"/>
        <n v="3.171E7"/>
        <n v="3.1584E7"/>
        <n v="3.1838E7"/>
        <n v="2.8814E7"/>
        <n v="2.7395E7"/>
        <n v="2.678E7"/>
        <n v="2.6057E7"/>
        <n v="3.394E9"/>
        <n v="3.178E9"/>
        <n v="4.032E9"/>
        <n v="2.84E9"/>
        <n v="2.74E8"/>
        <n v="2.458E8"/>
        <n v="2.547E8"/>
        <n v="2.425E8"/>
        <n v="2.424E8"/>
        <n v="2.09E8"/>
        <n v="1.69E8"/>
        <n v="2.41428E8"/>
        <n v="2.38957E8"/>
        <n v="2.29064E8"/>
        <n v="2.19038E8"/>
        <n v="1.19E8"/>
        <n v="3.81749E8"/>
        <n v="3.8112E8"/>
        <n v="3.75172E8"/>
        <n v="3.55367E8"/>
        <n v="1.29E7"/>
        <n v="3.4E7"/>
        <n v="3.5E7"/>
        <n v="3.8E7"/>
        <n v="3.6E7"/>
        <n v="3.0E7"/>
        <n v="2.9E7"/>
        <n v="5.2133E7"/>
        <n v="5.5576E7"/>
        <n v="4.4832E7"/>
        <n v="3.928E7"/>
        <n v="6.86E7"/>
        <n v="7.5E8"/>
        <n v="6.32E8"/>
        <n v="6.01E8"/>
        <n v="6.39E8"/>
        <n v="2.611E9"/>
        <n v="2.458E9"/>
        <n v="2.617E9"/>
        <n v="2.539E9"/>
        <n v="3.9272E7"/>
        <n v="3.9866E7"/>
        <n v="3.4656E7"/>
        <n v="3.1193E7"/>
        <n v="2.384E8"/>
        <n v="2.285E8"/>
        <n v="2.101E8"/>
        <n v="1.998E8"/>
        <n v="6.41E8"/>
        <n v="6.47E8"/>
        <n v="6.3E8"/>
        <n v="6.49E8"/>
        <n v="5.687E9"/>
        <n v="5.204E9"/>
        <n v="4.899E9"/>
        <n v="4.926E9"/>
        <n v="4.4753E7"/>
        <n v="4.1892E7"/>
        <n v="4.2252E7"/>
        <n v="3.7717E7"/>
        <n v="1.81E8"/>
        <n v="1.8E8"/>
        <n v="1.75E8"/>
        <n v="2.7531E7"/>
        <n v="2.4862E7"/>
        <n v="2.7056E7"/>
        <n v="2.4901E7"/>
        <n v="2.21E8"/>
        <n v="2.15E8"/>
        <n v="2.12E8"/>
        <n v="2.33E8"/>
        <n v="5.25207E8"/>
        <n v="4.86936E8"/>
        <n v="4.53802E8"/>
        <n v="4.35045E8"/>
        <n v="1.44E8"/>
        <n v="3.1E7"/>
        <n v="3.9E7"/>
        <n v="6.8E7"/>
        <n v="7.1E7"/>
        <n v="2000000.0"/>
        <n v="1000000.0"/>
        <n v="1.245E9"/>
        <n v="1.153E9"/>
        <n v="1.146E9"/>
        <n v="1.047E9"/>
        <n v="4.75E8"/>
        <n v="4.61E8"/>
        <n v="4.38E8"/>
        <n v="4.31E8"/>
        <n v="1.684E9"/>
        <n v="1.715E9"/>
        <n v="1.621E9"/>
        <n v="1.601E9"/>
        <n v="7.6E7"/>
        <n v="6.7E7"/>
        <n v="5.1E7"/>
        <n v="7.25E7"/>
        <n v="8.44E7"/>
        <n v="8.01E7"/>
        <n v="3.1077E7"/>
        <n v="2.8224E7"/>
        <n v="2.4711E7"/>
        <n v="2.5073E7"/>
        <n v="7.55E8"/>
        <n v="7.46E8"/>
        <n v="7.41E8"/>
        <n v="7.32E8"/>
        <n v="2.19E7"/>
        <n v="2.1E7"/>
        <n v="2.15E7"/>
        <n v="2.01E7"/>
        <n v="7.19E8"/>
        <n v="6.8608E7"/>
        <n v="6.5824E7"/>
        <n v="6.0216E7"/>
        <n v="5.6823E7"/>
        <n v="2.739E9"/>
        <n v="2.271E9"/>
        <n v="2.011E9"/>
        <n v="2.828E9"/>
        <n v="1.14E8"/>
        <n v="1.07E8"/>
        <n v="7.8403E7"/>
        <n v="7.8134E7"/>
        <n v="7.2545E7"/>
        <n v="7.0835E7"/>
        <n v="1.58377E8"/>
        <n v="1.52079E8"/>
        <n v="1.47285E8"/>
        <n v="1.36697E8"/>
        <n v="1.879E9"/>
        <n v="1.864E9"/>
        <n v="1.78E9"/>
        <n v="1.653E9"/>
        <n v="6.76E8"/>
        <n v="6.57E8"/>
        <n v="5.89E8"/>
        <n v="7.1E8"/>
        <n v="5.995E7"/>
        <n v="5.9875E7"/>
        <n v="5.5941E7"/>
        <n v="5.4935E7"/>
        <n v="4.461E8"/>
        <n v="1.02E9"/>
        <n v="9.51E8"/>
        <n v="9.39E8"/>
        <n v="9.02E8"/>
        <n v="1.34E8"/>
        <n v="1.35E8"/>
        <n v="2.32E8"/>
        <n v="2.27E8"/>
        <n v="3.58E8"/>
        <n v="3.33E8"/>
        <n v="3.14E8"/>
        <n v="2.84297E8"/>
        <n v="1.492E8"/>
        <n v="1.308E8"/>
        <n v="1.307E8"/>
        <n v="1.216E8"/>
        <n v="1.8192E7"/>
        <n v="1.7514E7"/>
        <n v="1.6438E7"/>
        <n v="1.6143E7"/>
        <n v="3.1E8"/>
        <n v="2.88E8"/>
        <n v="2.42E8"/>
        <n v="3.71146E8"/>
        <n v="3.62345E8"/>
        <n v="3.57468E8"/>
        <n v="3.39566E8"/>
        <n v="1.01508E8"/>
        <n v="9.2294E7"/>
        <n v="8.3559E7"/>
        <n v="8.6428E7"/>
        <n v="1.68E8"/>
        <n v="1.74E8"/>
        <n v="1.62E8"/>
        <n v="3.3283E7"/>
        <n v="2.9947E7"/>
        <n v="3.3769E7"/>
        <n v="2.9218E7"/>
        <n v="1.10021E8"/>
        <n v="1.00402E8"/>
        <n v="1.00794E8"/>
        <n v="9.4909E7"/>
        <n v="6.66E8"/>
        <n v="5.22E8"/>
        <n v="2.79E8"/>
        <n v="3.91E8"/>
        <n v="3.86E8"/>
        <n v="2.48E7"/>
        <n v="2.14E7"/>
        <n v="2.55E7"/>
        <n v="3.7577E7"/>
        <n v="3.43E8"/>
        <n v="3.2E8"/>
        <n v="3.76E8"/>
        <n v="2.96E8"/>
        <n v="1.383E8"/>
        <n v="1.294E8"/>
        <n v="1.258E8"/>
        <n v="1.179E8"/>
        <n v="2.99859E8"/>
        <n v="2.50709E8"/>
        <n v="2.4794E8"/>
        <n v="2.08877E8"/>
        <n v="2.1813E7"/>
        <n v="2.2411E7"/>
        <n v="2.1642E7"/>
        <n v="2.1949E7"/>
        <n v="1.9808E7"/>
        <n v="2.0311E7"/>
        <n v="1.9403E7"/>
        <n v="1.9708E7"/>
        <n v="1.438E8"/>
        <n v="1.63E8"/>
        <n v="1.533E8"/>
        <n v="3.77E7"/>
        <n v="3.84E7"/>
        <n v="3.65E7"/>
        <n v="3.82E7"/>
        <n v="4.4949E7"/>
        <n v="3.8092E7"/>
        <n v="3.9662E7"/>
        <n v="3.4971E7"/>
        <n v="1.38E7"/>
        <n v="1.22E7"/>
        <n v="1.25E7"/>
        <n v="5.55E8"/>
        <n v="5.35E8"/>
        <n v="5.46E8"/>
        <n v="2.47975E8"/>
        <n v="2.39863E8"/>
        <n v="2.35018E8"/>
        <n v="2.19647E8"/>
        <n v="5.3E7"/>
        <n v="5.0E7"/>
        <n v="4.9E7"/>
        <n v="1.41E8"/>
        <n v="1.37E8"/>
        <n v="1.805E8"/>
        <n v="9.44E7"/>
        <n v="8.59E7"/>
        <n v="1.2E8"/>
        <n v="1.18E8"/>
        <n v="1.33E8"/>
        <n v="1.12E8"/>
      </sharedItems>
    </cacheField>
    <cacheField name="Income Before Tax" numFmtId="0">
      <sharedItems containsString="0" containsBlank="1" containsNumber="1" containsInteger="1">
        <n v="1.761E9"/>
        <n v="1.94E9"/>
        <n v="1.946E9"/>
        <n v="1.706E9"/>
        <n v="1.664E8"/>
        <n v="1.513E8"/>
        <n v="1.261E8"/>
        <n v="1.519E8"/>
        <n v="2.493E9"/>
        <n v="1.348E9"/>
        <n v="2.043E9"/>
        <n v="2.388E9"/>
        <n v="3.688E9"/>
        <n v="1.163E9"/>
        <n v="3.867E9"/>
        <n v="-1.507E9"/>
        <n v="6.7271E7"/>
        <n v="-9350000.0"/>
        <n v="7.3494E7"/>
        <n v="8.0735E7"/>
        <n v="1.917805E9"/>
        <n v="2.094001E9"/>
        <n v="1.762443E9"/>
        <n v="1.986867E9"/>
        <n v="7.59E8"/>
        <n v="1.002E9"/>
        <n v="7.65E8"/>
        <n v="5.63E8"/>
        <n v="6.53E8"/>
        <n v="8.25E8"/>
        <n v="8.24E8"/>
        <n v="7.56E8"/>
        <n v="1.418E9"/>
        <n v="1.386E9"/>
        <n v="1.433E9"/>
        <n v="1.197E9"/>
        <n v="2.37765E8"/>
        <n v="2.45774E8"/>
        <n v="1.005E9"/>
        <n v="8.23E8"/>
        <n v="6.44E8"/>
        <n v="5.49E8"/>
        <n v="6.11E8"/>
        <n v="-1.4E8"/>
        <n v="-2.1E7"/>
        <n v="5.62E8"/>
        <n v="1.113E9"/>
        <n v="1.373E9"/>
        <n v="1.603E9"/>
        <n v="1.217E9"/>
        <n v="3.27E8"/>
        <n v="2.73E8"/>
        <n v="3.12E8"/>
        <n v="2.83E8"/>
        <n v="6.923E8"/>
        <n v="6.258E8"/>
        <n v="5.99E8"/>
        <n v="5.903E8"/>
        <n v="1.92564E8"/>
        <n v="1.74506E8"/>
        <n v="1.67593E8"/>
        <n v="1.17528E8"/>
        <n v="-4.89103E8"/>
        <n v="5.53193E8"/>
        <n v="1.39805E8"/>
        <n v="9.2076E7"/>
        <n v="2.45E8"/>
        <n v="5.28E8"/>
        <n v="-1.73E8"/>
        <n v="-6.43E8"/>
        <n v="1.24433E8"/>
        <n v="4.0452E8"/>
        <n v="2.5533E7"/>
        <n v="4.57133E8"/>
        <n v="2.61988E8"/>
        <n v="2.68802E8"/>
        <n v="2.61621E8"/>
        <n v="2.14542E8"/>
        <n v="1.408E8"/>
        <n v="1.362E8"/>
        <n v="1.225E8"/>
        <n v="1.058E8"/>
        <n v="2.35E8"/>
        <n v="1.27E8"/>
        <n v="1.43E8"/>
        <n v="5.4E7"/>
        <n v="2.26E8"/>
        <n v="1.797E9"/>
        <n v="3.032E9"/>
        <n v="3.31E9"/>
        <n v="2.1985E10"/>
        <n v="2.1283E10"/>
        <n v="1.8689E10"/>
        <n v="1.3359E10"/>
        <n v="2.909E9"/>
        <n v="1.937E9"/>
        <n v="2.541E9"/>
        <n v="-3.24E8"/>
        <n v="8.646E9"/>
        <n v="1.0263E10"/>
        <n v="7.787E9"/>
        <n v="6.9E9"/>
        <n v="3.33E8"/>
        <n v="3.41E8"/>
        <n v="2.77E8"/>
        <n v="2.61E8"/>
        <n v="2.39E8"/>
        <n v="2.62E8"/>
        <n v="1.37E8"/>
        <n v="4.32E8"/>
        <n v="9000000.0"/>
        <n v="-1.573E9"/>
        <n v="-2.809E9"/>
        <n v="-3.095E9"/>
        <n v="6.35E8"/>
        <n v="6.333E8"/>
        <n v="4.173E8"/>
        <n v="7.47E8"/>
        <n v="2.94E9"/>
        <n v="2.993E9"/>
        <n v="1.858E9"/>
        <n v="1.364E9"/>
        <n v="1.47E8"/>
        <n v="4.728E9"/>
        <n v="-5.58E8"/>
        <n v="3.68E8"/>
        <n v="8.207E8"/>
        <n v="7.026E8"/>
        <n v="4.197E8"/>
        <n v="5.022E8"/>
        <n v="2.51E8"/>
        <n v="1.55E8"/>
        <n v="1.81E8"/>
        <n v="3.52E8"/>
        <n v="7.21E8"/>
        <n v="4.93E8"/>
        <n v="1.9E8"/>
        <n v="-1.84E8"/>
        <n v="5.7353E8"/>
        <n v="5.66511E8"/>
        <n v="5.27882E8"/>
        <n v="-6.143457E9"/>
        <n v="2.91755E8"/>
        <n v="2.72456E8"/>
        <n v="2.76707E8"/>
        <n v="2.48075E8"/>
        <n v="5.58E8"/>
        <n v="1.857E9"/>
        <n v="1.877E9"/>
        <n v="2.206E9"/>
        <n v="4.359E8"/>
        <n v="4.602E8"/>
        <n v="4.488E8"/>
        <n v="3.285E8"/>
        <n v="5.72278E8"/>
        <n v="4.75985E8"/>
        <n v="4.36618E8"/>
        <n v="4.1731E8"/>
        <n v="1.2886E8"/>
        <n v="4.7623E7"/>
        <n v="2.57872E8"/>
        <n v="9.0144E7"/>
        <n v="1.996E9"/>
        <n v="2.353E9"/>
        <n v="2.176E9"/>
        <n v="5.96E8"/>
        <n v="1.167E9"/>
        <n v="6.26E8"/>
        <n v="3.63E8"/>
        <n v="4.95E8"/>
        <n v="6.2E8"/>
        <n v="7.0E7"/>
        <n v="7.2E7"/>
        <n v="2.4369E10"/>
        <n v="2.8011E10"/>
        <n v="3.3579E10"/>
        <n v="1.4901E10"/>
        <n v="1.98E9"/>
        <n v="1.545E9"/>
        <n v="1.24E9"/>
        <n v="1.243E9"/>
        <n v="1.94E8"/>
        <n v="3.48E8"/>
        <n v="3.7E8"/>
        <n v="3.03E8"/>
        <n v="2.21084E8"/>
        <n v="2.07867E8"/>
        <n v="2.0018E8"/>
        <n v="2.01619E8"/>
        <n v="2.223E8"/>
        <n v="4.084E8"/>
        <n v="1.337E8"/>
        <n v="2.095E8"/>
        <n v="2.366E8"/>
        <n v="1.931E8"/>
        <n v="1.834E8"/>
        <n v="-4100000.0"/>
        <n v="2.625E9"/>
        <n v="1.0064E10"/>
        <n v="-1.5553E10"/>
        <n v="3.934E9"/>
        <n v="1.18315E8"/>
        <n v="3.58542E8"/>
        <n v="2.82902E8"/>
        <n v="8.3389E7"/>
        <n v="1.388E8"/>
        <n v="1.314E8"/>
        <n v="1.711E8"/>
        <n v="1.561E8"/>
        <n v="6.971E8"/>
        <n v="1.0662E9"/>
        <n v="8.326E8"/>
        <n v="7.652E8"/>
        <n v="9.8591E8"/>
        <n v="7.58479E8"/>
        <n v="4.35755E8"/>
        <n v="5.69046E8"/>
        <n v="4.47987E8"/>
        <n v="1.41479E8"/>
        <n v="3.38936E8"/>
        <n v="1.4769E8"/>
        <n v="2.542E8"/>
        <n v="2.676E8"/>
        <n v="2.544E8"/>
        <n v="1.968E8"/>
        <n v="2.09E8"/>
        <n v="6.6E7"/>
        <n v="-5.36E8"/>
        <n v="1.52E9"/>
        <n v="3.18E8"/>
        <n v="2.32E8"/>
        <n v="2.34E8"/>
        <n v="3.13E8"/>
        <n v="8.95E9"/>
        <n v="8.042E9"/>
        <n v="9.166E9"/>
        <n v="6.119E9"/>
        <n v="4.99E8"/>
        <n v="3.53E8"/>
        <n v="1.155E9"/>
        <n v="4.1E8"/>
        <n v="3.92E8"/>
        <n v="3.51E8"/>
        <n v="2.1E8"/>
        <n v="4.15E8"/>
        <n v="5.14E8"/>
        <n v="3.05E8"/>
        <n v="1.157E9"/>
        <n v="7.98E8"/>
        <n v="7.67E8"/>
        <n v="1.043E9"/>
        <n v="5.55E8"/>
        <n v="1.156775E9"/>
        <n v="1.297203E9"/>
        <n v="1.078533E9"/>
        <n v="1.684461E9"/>
        <n v="7113000.0"/>
        <n v="4.5354E7"/>
        <n v="5.6368E7"/>
        <n v="3.9339E7"/>
        <n v="6.164E8"/>
        <n v="3.709E8"/>
        <n v="9.447E8"/>
        <n v="2.201E9"/>
        <n v="1.591E9"/>
        <n v="2.167E9"/>
        <n v="1.981E9"/>
        <n v="1.162E9"/>
        <n v="1.268E9"/>
        <n v="1.153E9"/>
        <n v="9.03E8"/>
        <n v="-3.1E8"/>
        <n v="-5.72E8"/>
        <n v="-8.625E9"/>
        <n v="-4.1E7"/>
        <n v="-2.78E8"/>
        <n v="8.35E8"/>
        <n v="3.02E8"/>
        <n v="1.36E8"/>
        <n v="2.72E8"/>
        <n v="1.4125E8"/>
        <n v="1.28147E8"/>
        <n v="2.4905E7"/>
        <n v="1.1806E8"/>
        <n v="1.49E8"/>
        <n v="3.25E8"/>
        <n v="3.06E8"/>
        <n v="-2.27E8"/>
        <n v="1.553E9"/>
        <n v="2.53E9"/>
        <n v="-1.0451E10"/>
        <n v="2.257E9"/>
        <n v="1.726E9"/>
        <n v="1.486E9"/>
        <n v="1.384E9"/>
        <n v="1.137E9"/>
        <n v="2.169E8"/>
        <n v="6.94E7"/>
        <n v="7.36E7"/>
        <n v="2.947E8"/>
        <n v="2.39207E8"/>
        <n v="1.30916E8"/>
        <n v="1.58528E8"/>
        <n v="1.29401E8"/>
        <n v="2.12069E8"/>
        <n v="1.94769E8"/>
        <n v="1.60774E8"/>
        <n v="1.78576E8"/>
        <n v="1.83265E8"/>
        <n v="2.02421E8"/>
        <n v="1.86189E8"/>
        <n v="1.65713E8"/>
        <n v="1.01E8"/>
        <n v="-4.96E8"/>
        <n v="-7.89E8"/>
        <n v="2.19E8"/>
        <n v="3.47E8"/>
        <n v="4.06E8"/>
        <n v="1.07E8"/>
        <n v="4.568E9"/>
        <n v="4.196E9"/>
        <n v="3.064E9"/>
        <n v="3.502E9"/>
        <n v="1.19E8"/>
        <n v="4.4E8"/>
        <n v="4.27E8"/>
        <n v="-6.63E8"/>
        <n v="5.67324E8"/>
        <n v="2.62249E8"/>
        <n v="3.10503E8"/>
        <n v="3.88341E8"/>
        <n v="-2.06E9"/>
        <n v="-1.979E9"/>
        <n v="-2.237E9"/>
        <n v="-2.86E9"/>
        <n v="7.31E8"/>
        <n v="4.96E8"/>
        <n v="1.176E9"/>
        <n v="1.009E9"/>
        <n v="2.215E8"/>
        <n v="3.171E8"/>
        <n v="1.09E8"/>
        <n v="6.74E7"/>
        <n v="2.006E9"/>
        <n v="9.47E8"/>
        <n v="8.58E8"/>
        <n v="6.86E8"/>
        <n v="1.792E8"/>
        <n v="1.929E8"/>
        <n v="1.229E8"/>
        <n v="1.634E8"/>
        <n v="5.76887E8"/>
        <n v="3.45304E8"/>
        <n v="4.1044E8"/>
        <n v="2.33902E8"/>
        <n v="3.712E8"/>
        <n v="2.889E8"/>
        <n v="2.95E8"/>
        <n v="2.501E8"/>
        <n v="6.6E8"/>
        <n v="4.09E8"/>
        <n v="1.571E9"/>
        <n v="2.41E8"/>
        <n v="7.2E8"/>
        <n v="-5.42E8"/>
        <n v="9.41E8"/>
        <n v="-7.4E7"/>
        <n v="2.48E8"/>
        <n v="4.37E8"/>
        <n v="2.54E8"/>
        <n v="1.17E8"/>
        <n v="-3.78E7"/>
        <n v="-1.26E7"/>
        <n v="-2.76E7"/>
        <n v="-6300000.0"/>
        <n v="4.7882E7"/>
        <n v="2.19264E8"/>
        <n v="1.76132E8"/>
        <n v="4.5984E8"/>
        <n v="4.02E8"/>
        <n v="1.93E8"/>
        <n v="-9000000.0"/>
        <n v="1.27496E8"/>
        <n v="6.6302E7"/>
        <n v="1.72427E8"/>
        <n v="1.35276E8"/>
        <n v="1.719E9"/>
        <n v="1.96E9"/>
        <n v="1.476E9"/>
        <n v="8.89E8"/>
        <n v="1.754E9"/>
        <n v="1.439E9"/>
        <n v="1.655E9"/>
        <n v="4.422E9"/>
        <n v="2.177E9"/>
        <n v="-9.57E8"/>
        <n v="-4.4E7"/>
        <n v="2.39554E8"/>
        <n v="2.46376E8"/>
        <n v="1.59274E8"/>
        <n v="1.17732E8"/>
        <n v="2.582E9"/>
        <n v="2.638E9"/>
        <n v="2.752E9"/>
        <n v="1.336E9"/>
        <n v="2.893E8"/>
        <n v="2.873E8"/>
        <n v="2.91E8"/>
        <n v="1.769E8"/>
        <n v="1.898E9"/>
        <n v="1.513E9"/>
        <n v="5.378E9"/>
        <n v="1.804E9"/>
        <n v="7.68E8"/>
        <n v="1.316E9"/>
        <n v="6.14E8"/>
        <n v="1.145E9"/>
        <n v="3.72303E8"/>
        <n v="3.31993E8"/>
        <n v="3.02003E8"/>
        <n v="3.28533E8"/>
        <n v="3.591E9"/>
        <n v="3.255E9"/>
        <n v="2.681E9"/>
        <n v="3.306E9"/>
        <n v="7.348E9"/>
        <n v="1.0309E10"/>
        <n v="4.998E9"/>
        <n v="4.076E9"/>
        <n v="8.31E8"/>
        <n v="7.81E8"/>
        <n v="5.71E8"/>
        <n v="3.75E8"/>
        <n v="6.8679E7"/>
        <n v="8.119E7"/>
        <n v="1.19148E8"/>
        <n v="1.15998E8"/>
        <n v="-5.9E7"/>
        <n v="3.32E8"/>
        <n v="5.26E8"/>
        <n v="7.261E8"/>
        <n v="7.523E8"/>
        <n v="5.35E8"/>
        <n v="5.365E8"/>
        <n v="1.79E8"/>
        <n v="1.75E8"/>
        <n v="3.5E8"/>
        <n v="1.97E8"/>
        <n v="3.618E9"/>
        <n v="2.763E9"/>
        <n v="2.361E9"/>
        <n v="2.181E9"/>
        <n v="6.96E8"/>
        <n v="6.65E8"/>
        <n v="4.68E8"/>
        <n v="6.24E8"/>
        <n v="9.53E8"/>
        <n v="9.57E8"/>
        <n v="8.94E8"/>
        <n v="9.67E8"/>
        <n v="5.63E9"/>
        <n v="4.411E9"/>
        <n v="4.416E9"/>
        <n v="2.77E9"/>
        <n v="4.21E8"/>
        <n v="4.48E8"/>
        <n v="2.78E8"/>
        <n v="2.59E8"/>
        <n v="3.833E8"/>
        <n v="4.165E8"/>
        <n v="2.611E8"/>
        <n v="3.08E9"/>
        <n v="1.714E9"/>
        <n v="-1.086E9"/>
        <n v="-5.12E8"/>
        <n v="4.98E8"/>
        <n v="6.21E8"/>
        <n v="2.11E8"/>
        <n v="1.432E8"/>
        <n v="-9.108E8"/>
        <n v="4.853E8"/>
        <n v="1.4686E9"/>
        <n v="3.23535E8"/>
        <n v="2.52452E8"/>
        <n v="2.46815E8"/>
        <n v="2.01883E8"/>
        <n v="5.16E8"/>
        <n v="3.3E8"/>
        <n v="4.5E8"/>
        <n v="1.302E9"/>
        <n v="7.91E8"/>
        <n v="-7.0E7"/>
        <n v="-5.07E8"/>
        <n v="2.291E9"/>
        <n v="1.65E9"/>
        <n v="1.319E9"/>
        <n v="1.42E9"/>
        <n v="4.1304E7"/>
        <n v="1.63015E8"/>
        <n v="1.51853E8"/>
        <n v="-2.1979E7"/>
        <n v="3.39E8"/>
        <n v="1.28E8"/>
        <n v="5.12E8"/>
        <n v="1.68E8"/>
        <n v="1.279E9"/>
        <n v="1.53E9"/>
        <n v="9.37E8"/>
        <n v="9.94E8"/>
        <n v="7.79E8"/>
        <n v="7.83E8"/>
        <n v="3.735E9"/>
        <n v="2.97E9"/>
        <n v="1.225E9"/>
        <n v="1.806E9"/>
        <n v="1.4156E9"/>
        <n v="1.1799E9"/>
        <n v="1.0343E9"/>
        <n v="1.0561E9"/>
        <n v="2.083E9"/>
        <n v="1.5415E9"/>
        <n v="1.0215E9"/>
        <n v="1.323E8"/>
        <n v="1.057E8"/>
        <n v="3.25E7"/>
        <n v="3.94458E8"/>
        <n v="4.3234E8"/>
        <n v="3.76756E8"/>
        <n v="3.27371E8"/>
        <n v="2.158E9"/>
        <n v="2.32E9"/>
        <n v="1.532E9"/>
        <n v="1.088E9"/>
        <n v="7.76E8"/>
        <n v="-1.515E9"/>
        <n v="-1.108E9"/>
        <n v="6.67E7"/>
        <n v="-1.199E8"/>
        <n v="3.04E8"/>
        <n v="-3.2E7"/>
        <n v="-1.1E8"/>
        <n v="-1.93E8"/>
        <n v="7.67E7"/>
        <n v="2.12E7"/>
        <n v="8.13E7"/>
        <n v="7.51E7"/>
        <n v="2.88E8"/>
        <n v="-9.58E8"/>
        <n v="-1.409E9"/>
        <n v="-3.092E9"/>
        <n v="1.7338E8"/>
        <n v="4.02223E8"/>
        <n v="6.283E7"/>
        <n v="1.4599E7"/>
        <n v="2.222E9"/>
        <n v="2.079E9"/>
        <n v="1.015E9"/>
        <n v="9.59E8"/>
        <n v="2.97E8"/>
        <n v="4.16E8"/>
        <n v="3.19E8"/>
        <n v="4.56E8"/>
        <n v="8.98989E8"/>
        <n v="8.57412E8"/>
        <n v="9.89709E8"/>
        <n v="8.06473E8"/>
        <n v="8.68458E8"/>
        <n v="8.31956E8"/>
        <n v="7.32832E8"/>
        <n v="1.003301E9"/>
        <n v="4.869E8"/>
        <n v="6.474E8"/>
        <n v="4.273E8"/>
        <n v="3.399E8"/>
        <n v="2.22E8"/>
        <n v="1.192E9"/>
        <n v="1.021E9"/>
        <n v="2000000.0"/>
        <n v="1.45093E8"/>
        <n v="1.49638E8"/>
        <n v="1.89565E8"/>
        <n v="1.23773E8"/>
        <n v="3.27519E8"/>
        <n v="3.23344E8"/>
        <n v="2.8925E8"/>
        <n v="2.20408E8"/>
        <n v="2.456E9"/>
        <n v="1.323E9"/>
        <n v="1.816E9"/>
        <n v="4.2E7"/>
        <n v="2.01E8"/>
        <n v="4.25E8"/>
        <n v="3.24E8"/>
        <n v="5.4E8"/>
        <n v="7.34E8"/>
        <n v="1.025E9"/>
        <n v="-3.19E8"/>
        <n v="1.339E9"/>
        <n v="8.5388E7"/>
        <n v="1.66418E8"/>
        <n v="7.152E7"/>
        <n v="4.0047E7"/>
        <n v="7.15E8"/>
        <n v="5.73E8"/>
        <n v="1.56E8"/>
        <n v="2.0E7"/>
        <n v="4.24E8"/>
        <n v="-7.93E8"/>
        <n v="1.978E9"/>
        <n v="-3.06E8"/>
        <n v="-1.07E8"/>
        <n v="2.5E7"/>
        <n v="5.38E8"/>
        <n v="5.53E8"/>
        <n v="5.25E8"/>
        <n v="4.01E8"/>
        <n v="7.24E8"/>
        <n v="1.109E9"/>
        <n v="7.74E8"/>
        <n v="3.997E8"/>
        <n v="2.626E8"/>
        <n v="3.78E8"/>
        <n v="2.917E8"/>
        <n v="3.86E8"/>
        <n v="2.23E8"/>
        <n v="5.76E8"/>
        <n v="-5.63E8"/>
        <n v="5.455E8"/>
        <n v="3.893E8"/>
        <n v="3.561E8"/>
        <n v="3.643E8"/>
        <n v="3.08E8"/>
        <n v="1.65E8"/>
        <n v="1.39E8"/>
        <n v="1.4764E9"/>
        <n v="2.4691E9"/>
        <n v="1.4372E9"/>
        <n v="1.6437E9"/>
        <n v="7.84E8"/>
        <n v="7.37E8"/>
        <n v="-1666000.0"/>
        <n v="7.1352E7"/>
        <n v="4.4845E7"/>
        <n v="-5.3855E7"/>
        <n v="-2.439E7"/>
        <n v="4.00507E8"/>
        <n v="9.9096E7"/>
        <n v="6.70563E8"/>
        <n v="1.124E9"/>
        <n v="8.81E8"/>
        <n v="4.2776E8"/>
        <n v="-5.2555E7"/>
        <n v="2.771E8"/>
        <n v="2.685E8"/>
        <n v="1.116E8"/>
        <n v="3.004E8"/>
        <n v="4.996E7"/>
        <n v="1.88702E8"/>
        <n v="9.224E7"/>
        <n v="9.6734E7"/>
        <n v="3.28282E8"/>
        <n v="6.0517E7"/>
        <n v="2.63334E8"/>
        <n v="9.5627E7"/>
        <n v="6.9615E7"/>
        <n v="1.76949E8"/>
        <n v="1.01649E8"/>
        <n v="7.8842E7"/>
        <n v="1.05E9"/>
        <n v="5.8E8"/>
        <n v="1.03E9"/>
        <n v="6.71E8"/>
        <n v="8.5754E7"/>
        <n v="1.57728E8"/>
        <n v="1.53307E8"/>
        <n v="9.0393E7"/>
        <n v="7.60181E8"/>
        <n v="3.73095E8"/>
        <n v="1.19396E8"/>
        <n v="2.72508E8"/>
        <n v="2.079E8"/>
        <n v="2.176E8"/>
        <n v="6.24E7"/>
        <n v="4.175E8"/>
        <n v="3.52789E8"/>
        <n v="4.82003E8"/>
        <n v="3.44368E8"/>
        <n v="4.56382E8"/>
        <n v="-2.83E8"/>
        <n v="6.67E8"/>
        <n v="7.85E8"/>
        <n v="7.93E8"/>
        <n v="-7.5E8"/>
        <n v="-4.95E8"/>
        <n v="-2.24E8"/>
        <n v="-9.53E8"/>
        <n v="3.90461E8"/>
        <n v="2.83907E8"/>
        <n v="2.54429E8"/>
        <n v="2.50982E8"/>
        <n v="1.84E8"/>
        <n v="2.19638E8"/>
        <n v="1.70106E8"/>
        <n v="1.28511E8"/>
        <n v="6.307E9"/>
        <n v="3.592E9"/>
        <n v="-2.6613E10"/>
        <n v="-3.72E8"/>
        <n v="5.2124E7"/>
        <n v="1.17065E8"/>
        <n v="9.7523E7"/>
        <n v="8.7762E7"/>
        <n v="1.2513E10"/>
        <n v="1.1503E10"/>
        <n v="1.3055E10"/>
        <n v="8.133E9"/>
        <n v="3.152E8"/>
        <n v="2.779E8"/>
        <n v="2.622E8"/>
        <n v="2.876E8"/>
        <n v="4.8059E7"/>
        <n v="4.9739E7"/>
        <n v="1.02211E8"/>
        <n v="-3.3623E7"/>
        <n v="2.613E9"/>
        <n v="1.049E9"/>
        <n v="1.406E9"/>
        <n v="1.606E9"/>
        <n v="-4.67E8"/>
        <n v="1.05E8"/>
        <n v="9.11E8"/>
        <n v="8.83E8"/>
        <n v="7.46E8"/>
        <n v="4.51565E8"/>
        <n v="4.28845E8"/>
        <n v="3.79255E8"/>
        <n v="3.64515E8"/>
        <n v="4.22E8"/>
        <n v="2.16E8"/>
        <n v="3.73E8"/>
        <n v="3.36E8"/>
        <n v="4.0E8"/>
        <n v="2.62519E8"/>
        <n v="2.3568E8"/>
        <n v="2.63188E8"/>
        <n v="2.3541E8"/>
        <n v="2.512E8"/>
        <n v="2.235E8"/>
        <n v="1.075E8"/>
        <n v="1.489E8"/>
        <n v="7.35E8"/>
        <n v="3.942E9"/>
        <n v="-3.81E9"/>
        <n v="2.756E9"/>
        <n v="1.45E8"/>
        <n v="1.194E8"/>
        <n v="1.717E8"/>
        <n v="1.284E8"/>
        <n v="2.075E8"/>
        <n v="1.187E8"/>
        <n v="1.018E9"/>
        <n v="2.651E8"/>
        <n v="2.75E8"/>
        <n v="2.237E8"/>
        <n v="2.107E8"/>
        <n v="2.198E8"/>
        <n v="3.57E8"/>
        <n v="7.78E8"/>
        <n v="1.479E9"/>
        <n v="5.554E8"/>
        <n v="6.135E8"/>
        <n v="5.373E8"/>
        <n v="1.996E8"/>
        <n v="1.934E9"/>
        <n v="1.396E9"/>
        <n v="1.469E9"/>
        <n v="7.29E8"/>
        <n v="3.59E8"/>
        <n v="1.87E8"/>
        <n v="7.7E7"/>
        <n v="1.21E8"/>
        <n v="3.72059E8"/>
        <n v="2.50514E8"/>
        <n v="3.91466E8"/>
        <n v="3.36717E8"/>
        <n v="3.79187E8"/>
        <n v="2.14753E8"/>
        <n v="1.56155E8"/>
        <n v="1.4167E7"/>
        <n v="1.85313E8"/>
        <n v="1.63986E8"/>
        <n v="1.47285E8"/>
        <n v="8.2065E7"/>
        <n v="8.45E8"/>
        <n v="1.185E9"/>
        <n v="9.78E8"/>
        <n v="-1.036E9"/>
        <n v="2.36E8"/>
        <n v="2.721E9"/>
        <n v="-1.661E9"/>
        <n v="5.068E8"/>
        <n v="7.658E8"/>
        <n v="8.853E8"/>
        <n v="8.172E8"/>
        <n v="3.75E9"/>
        <n v="4.191E9"/>
        <n v="3.439E9"/>
        <n v="4.905E9"/>
        <n v="2.69607E8"/>
        <n v="2.85859E8"/>
        <n v="2.25546E8"/>
        <n v="2.97665E8"/>
        <n v="1.817E9"/>
        <n v="2.264E9"/>
        <n v="1.814E9"/>
        <n v="3.27621E8"/>
        <n v="2.19085E8"/>
        <n v="2.02798E8"/>
        <n v="2.73064E8"/>
        <n v="2.45243E8"/>
        <n v="2.18794E8"/>
        <n v="2.49984E8"/>
        <n v="2.31538E8"/>
        <n v="6.84E9"/>
        <n v="8.337E9"/>
        <n v="5.541E9"/>
        <n v="4.299E9"/>
        <n v="-2.4E8"/>
        <n v="-1000000.0"/>
        <n v="1.73099E8"/>
        <n v="1.43101E8"/>
        <n v="-4.94134E8"/>
        <n v="1.25394E8"/>
        <n v="4.11E7"/>
        <n v="1.295E8"/>
        <n v="1.38474E8"/>
        <n v="2.99198E8"/>
        <n v="2.117E9"/>
        <n v="1.973E9"/>
        <n v="2.072E9"/>
        <n v="9.88E8"/>
        <n v="1.67302E8"/>
        <n v="-1.20577E8"/>
        <n v="-2.1835E7"/>
        <n v="-3.5407E7"/>
        <n v="2.31613E8"/>
        <n v="1.76038E8"/>
        <n v="1.80818E8"/>
        <n v="-1.4802E7"/>
        <n v="1.35E8"/>
        <n v="4.59E8"/>
        <n v="4.5E7"/>
        <n v="-1.78E8"/>
        <n v="2.05E8"/>
        <n v="1.25E8"/>
        <n v="-1.44E8"/>
        <n v="-3.49E8"/>
        <n v="-1.14E8"/>
        <n v="-4.44E8"/>
        <n v="3.375E8"/>
        <n v="7.805E8"/>
        <n v="8.324E8"/>
        <n v="6.171E8"/>
        <n v="6.318E9"/>
        <n v="5.448E9"/>
        <n v="3.756E9"/>
        <n v="4.523E9"/>
        <n v="1.881E9"/>
        <n v="1.861E9"/>
        <n v="1.71E9"/>
        <n v="1.148E9"/>
        <n v="2.04238E8"/>
        <n v="2.92621E8"/>
        <n v="2.77082E8"/>
        <n v="2.78732E8"/>
        <n v="-1.99E8"/>
        <n v="-1.3E8"/>
        <n v="-3.89E8"/>
        <n v="-4.02E8"/>
        <m/>
        <n v="7.1E7"/>
        <n v="-1.2E7"/>
        <n v="-8.6E7"/>
        <n v="1.326E9"/>
        <n v="1.296E9"/>
        <n v="1.061E9"/>
        <n v="-4.52E8"/>
        <n v="1.79E9"/>
        <n v="2.611E9"/>
        <n v="6.34E8"/>
        <n v="3.58E8"/>
        <n v="1.61E8"/>
        <n v="1.73E8"/>
        <n v="1.552E9"/>
        <n v="9.05E8"/>
        <n v="1.289E9"/>
        <n v="1.827E9"/>
        <n v="1.29876E8"/>
        <n v="1.45619E8"/>
        <n v="1.29871E8"/>
        <n v="1.21275E8"/>
        <n v="2.51731E8"/>
        <n v="2.4009E8"/>
        <n v="1.77436E8"/>
        <n v="1.63954E8"/>
        <n v="2.165E8"/>
        <n v="1.153E8"/>
        <n v="2.036E8"/>
        <n v="8.65E8"/>
        <n v="7.39E8"/>
        <n v="1.69E8"/>
        <n v="2.99E8"/>
        <n v="2.15E8"/>
        <n v="1.71633E8"/>
        <n v="6.9322E7"/>
        <n v="1.68102E8"/>
        <n v="-3508000.0"/>
        <n v="1.508E8"/>
        <n v="1.007E8"/>
        <n v="1.089E8"/>
        <n v="4.81E7"/>
        <n v="5.745E9"/>
        <n v="3.906E9"/>
        <n v="7.488E9"/>
        <n v="5.041E9"/>
        <n v="1.932E9"/>
        <n v="8.33E8"/>
        <n v="6.74E8"/>
        <n v="5.83E8"/>
        <n v="4.4E7"/>
        <n v="-5.4E7"/>
        <n v="7.9298E7"/>
        <n v="1.055E8"/>
        <n v="5.36E8"/>
        <n v="3.545E8"/>
        <n v="1.162E8"/>
        <n v="1.751E8"/>
        <n v="1.922E8"/>
        <n v="1.921E9"/>
        <n v="2.2E7"/>
        <n v="4.86E8"/>
        <n v="4.365E8"/>
        <n v="3.552E8"/>
        <n v="1.072E8"/>
        <n v="6.493E8"/>
        <n v="4.781E8"/>
        <n v="3.866E8"/>
        <n v="6.5596E7"/>
        <n v="4.2522E7"/>
        <n v="4.9514E7"/>
        <n v="4.806E7"/>
        <n v="6.1271E7"/>
        <n v="2.4306E8"/>
        <n v="5.2496E7"/>
        <n v="2570000.0"/>
        <n v="2.29487E8"/>
        <n v="1.95628E8"/>
        <n v="1.97347E8"/>
        <n v="1.63608E8"/>
        <n v="9.5683E7"/>
        <n v="9.0937E7"/>
        <n v="9.3567E7"/>
        <n v="1.17539E8"/>
        <n v="2.83394E8"/>
        <n v="-1.12281E8"/>
        <n v="3.54111E8"/>
        <n v="6.0156E7"/>
        <n v="2.052E8"/>
        <n v="1.933E8"/>
        <n v="3.615E8"/>
        <n v="3.035E8"/>
        <n v="6.662E9"/>
        <n v="7.429E9"/>
        <n v="1.647E9"/>
        <n v="4.401E9"/>
        <n v="7.69E8"/>
        <n v="6.06E8"/>
        <n v="4.33E8"/>
        <n v="5.21E8"/>
        <n v="1.5097E10"/>
        <n v="1.7697E10"/>
        <n v="1.5065E10"/>
        <n v="1.1661E10"/>
        <n v="7.48E7"/>
        <n v="3.92E7"/>
        <n v="-4.596E8"/>
        <n v="2.119E8"/>
        <n v="2.359E8"/>
        <n v="2.387E8"/>
        <n v="4.8E8"/>
        <n v="2.63E8"/>
        <n v="4.17E8"/>
        <n v="4.63E8"/>
        <n v="9.13E8"/>
        <n v="6.89E8"/>
        <n v="4.84E8"/>
        <n v="2.08E8"/>
        <n v="1.95E8"/>
        <n v="2.66E8"/>
        <n v="1.85E8"/>
        <n v="7.41E8"/>
        <n v="7.12E8"/>
        <n v="5.97E8"/>
        <n v="8.91E8"/>
        <n v="1.18393E8"/>
        <n v="1.42733E8"/>
        <n v="2.02295E8"/>
        <n v="-3.7041E7"/>
        <n v="1.776E9"/>
        <n v="8.0E8"/>
        <n v="6.12E8"/>
        <n v="-5.2E8"/>
        <n v="7.08843E8"/>
        <n v="6.40403E8"/>
        <n v="5.27402E8"/>
        <n v="4.83806E8"/>
        <n v="6.45E8"/>
        <n v="7.04E8"/>
        <n v="1.286E9"/>
        <n v="9.06E8"/>
        <n v="8.34E8"/>
        <n v="5.82E8"/>
        <n v="5.27E8"/>
        <n v="2.47E8"/>
        <n v="5.18E8"/>
        <n v="1.0218E9"/>
        <n v="1.2427E9"/>
        <n v="9.471E8"/>
        <n v="1.308761E9"/>
        <n v="1.159988E9"/>
        <n v="9.79783E8"/>
        <n v="9.22272E8"/>
        <n v="7.98E7"/>
        <n v="8.24E7"/>
        <n v="1.288E8"/>
        <n v="1.173E8"/>
        <n v="-2.66E8"/>
        <n v="-3.68E8"/>
        <n v="-7.48E8"/>
        <n v="-1.039E9"/>
        <n v="1.093E8"/>
        <n v="1.309E8"/>
        <n v="1.269E8"/>
        <n v="2400000.0"/>
        <n v="2.14E8"/>
        <n v="1.096885E9"/>
        <n v="1.327014E9"/>
        <n v="1.164646E9"/>
        <n v="8.59013E8"/>
        <n v="7.72E8"/>
        <n v="8.9E7"/>
        <n v="4.6E8"/>
        <n v="1.21E9"/>
        <n v="1.285E9"/>
        <n v="1.056E9"/>
        <n v="9.95E8"/>
        <n v="-2.08175E8"/>
        <n v="-3.16333E8"/>
        <n v="-4.43284E8"/>
        <n v="-5.59362E8"/>
        <n v="3.59301E8"/>
        <n v="2.49899E8"/>
        <n v="2.72441E8"/>
        <n v="1.60362E8"/>
        <n v="2.17E9"/>
        <n v="2.211E9"/>
        <n v="2.187E9"/>
        <n v="2.056E9"/>
        <n v="1.012E9"/>
        <n v="4.07E8"/>
        <n v="5.48E8"/>
        <n v="1.83E8"/>
        <n v="3.994E9"/>
        <n v="3.034E9"/>
        <n v="1.32E9"/>
        <n v="6.32E8"/>
        <n v="-2.208E9"/>
        <n v="2.213E9"/>
        <n v="2.562E9"/>
        <n v="1.14E9"/>
        <n v="6.05628E8"/>
        <n v="5.92549E8"/>
        <n v="6.20522E8"/>
        <n v="4.86882E8"/>
        <n v="2.6E7"/>
        <n v="-3.41E8"/>
        <n v="5.93E8"/>
        <n v="-1.36E8"/>
        <n v="5.7E7"/>
        <n v="-1.416E9"/>
        <n v="8.6053E7"/>
        <n v="1.01801E8"/>
        <n v="9.0289E7"/>
        <n v="8.7965E7"/>
        <n v="-2.7E7"/>
        <n v="-3.14E8"/>
        <n v="-2.98E8"/>
        <n v="1.322E9"/>
        <n v="7.87E8"/>
        <n v="2.881E8"/>
        <n v="8.14E7"/>
        <n v="2.083E8"/>
        <n v="3.759E8"/>
        <n v="1.57E8"/>
        <n v="3.8E8"/>
        <n v="2.478E9"/>
        <n v="2.19E9"/>
        <n v="2.168E9"/>
        <n v="1.915E9"/>
        <n v="1.7734E8"/>
        <n v="1.56101E8"/>
        <n v="1.65796E8"/>
        <n v="1.55055E8"/>
        <n v="2.439E8"/>
        <n v="2.291E8"/>
        <n v="2.204E8"/>
        <n v="2.582E8"/>
        <n v="2.376E9"/>
        <n v="1.9527E9"/>
        <n v="1.83E9"/>
        <n v="2.2171E9"/>
        <n v="1.029E9"/>
        <n v="-7.363E9"/>
        <n v="6.55E8"/>
        <n v="1.566E9"/>
        <n v="1.22E9"/>
        <n v="1.717E9"/>
        <n v="3.462E9"/>
        <n v="-1.993E9"/>
        <n v="3.428E9"/>
        <n v="4.487E9"/>
        <n v="1.64E8"/>
        <n v="9.23E8"/>
        <n v="1.85414E8"/>
        <n v="2.6918E8"/>
        <n v="2.05809E8"/>
        <n v="1.55255E8"/>
        <n v="1.2513E8"/>
        <n v="-4.30636E8"/>
        <n v="-5.62872E8"/>
        <n v="-6.78705E8"/>
        <n v="1.444E8"/>
        <n v="1.68E7"/>
        <n v="8.88E7"/>
        <n v="6.51E8"/>
        <n v="8.54E8"/>
        <n v="1.126E9"/>
        <n v="8.73E8"/>
        <n v="1.9405E10"/>
        <n v="1.7236E10"/>
        <n v="1.8337E10"/>
        <n v="1.6124E10"/>
        <n v="2.2592E8"/>
        <n v="4.9863E7"/>
        <n v="8.7094E7"/>
        <n v="6.2701E7"/>
        <n v="3.063E9"/>
        <n v="1.26E9"/>
        <n v="-2.71012E8"/>
        <n v="-2.32772E8"/>
        <n v="4.00698E8"/>
        <n v="3.04501E8"/>
        <n v="2.73577E8"/>
        <n v="2.48616E8"/>
        <n v="5.226E8"/>
        <n v="1.263E8"/>
        <n v="-1.3373E9"/>
        <n v="4.504E8"/>
        <n v="1.477E9"/>
        <n v="1.18E9"/>
        <n v="1.503E9"/>
        <n v="6.3659E7"/>
        <n v="4.8673E7"/>
        <n v="4.4442E7"/>
        <n v="6.2473E7"/>
        <n v="5.26847E8"/>
        <n v="4.13387E8"/>
        <n v="4.00796E8"/>
        <n v="4.54033E8"/>
        <n v="7.58E8"/>
        <n v="8.62E8"/>
        <n v="4.874E9"/>
        <n v="4.566E9"/>
        <n v="5.344E9"/>
        <n v="4.43E9"/>
        <n v="3.4E8"/>
        <n v="2.89E8"/>
        <n v="5.22E8"/>
        <n v="1.95695E8"/>
        <n v="2.16028E8"/>
        <n v="1.95166E8"/>
        <n v="1.89043E8"/>
        <n v="4.54E8"/>
        <n v="3.95E8"/>
        <n v="2.67E8"/>
        <n v="4.36E8"/>
        <n v="1.04E8"/>
        <n v="2.034502E9"/>
        <n v="5.06417E8"/>
        <n v="8.6146E8"/>
        <n v="1.035602E9"/>
        <n v="2.43E8"/>
        <n v="1.26E8"/>
        <n v="9.92E8"/>
        <n v="1.004E9"/>
        <n v="9.33E8"/>
        <n v="3.46E8"/>
        <n v="-6.8E7"/>
        <n v="1.748E9"/>
        <n v="-2.25E8"/>
        <n v="1.252E9"/>
        <n v="1.24E8"/>
        <n v="6.1E7"/>
        <n v="7.9E7"/>
        <n v="1.636E9"/>
        <n v="1.456E9"/>
        <n v="1.715E9"/>
        <n v="-8.04E8"/>
        <n v="7.01E7"/>
        <n v="3.591E8"/>
        <n v="1.446E8"/>
        <n v="-2.378E8"/>
        <n v="8.66E8"/>
        <n v="8.67E8"/>
        <n v="5.03E8"/>
        <n v="4.865E8"/>
        <n v="4.959E8"/>
        <n v="3.734E8"/>
        <n v="3.899E8"/>
        <n v="3.016E9"/>
        <n v="2.52E8"/>
        <n v="2.53E8"/>
        <n v="2.31E8"/>
        <n v="-1.368464E9"/>
        <n v="-7.07409E8"/>
        <n v="-6.81127E8"/>
        <n v="-7.24366E8"/>
        <n v="-1.67E8"/>
        <n v="-1.38E8"/>
        <n v="4.14E8"/>
        <n v="2.025748E9"/>
        <n v="1.298246E9"/>
        <n v="2.17766E8"/>
        <n v="2.90418E8"/>
        <n v="2.394E9"/>
        <n v="2.044E9"/>
        <n v="1.47E9"/>
        <n v="4.17465E8"/>
        <n v="3.12006E8"/>
        <n v="3.8537E8"/>
        <n v="3.21457E8"/>
        <n v="4.71E8"/>
        <n v="4.04E8"/>
        <n v="-7.5E7"/>
        <n v="6.55827E8"/>
        <n v="4.99929E8"/>
        <n v="6.86406E8"/>
        <n v="7.0041E8"/>
        <n v="3.15E8"/>
        <n v="-1.425E9"/>
        <n v="-4.058E9"/>
        <n v="3.82951E8"/>
        <n v="3.64388E8"/>
        <n v="2.69308E8"/>
        <n v="2.53323E8"/>
        <n v="5.001E8"/>
        <n v="4.948E8"/>
        <n v="4.179E8"/>
        <n v="5.7E8"/>
        <n v="5.13917E8"/>
        <n v="4.52208E8"/>
        <n v="5.08308E8"/>
        <n v="4.03236E8"/>
        <n v="4.156E9"/>
        <n v="3.276E9"/>
        <n v="2.972E9"/>
        <n v="4.67E8"/>
        <n v="7.02E8"/>
        <n v="8.44E8"/>
        <n v="5.07E8"/>
        <n v="5.32E8"/>
        <n v="4.75E8"/>
        <n v="3.97E8"/>
        <n v="4.833E8"/>
        <n v="6.37E8"/>
        <n v="6.073E8"/>
        <n v="5.218E8"/>
        <n v="3.339E8"/>
        <n v="2.747E8"/>
        <n v="2.196E8"/>
        <n v="1.654E8"/>
        <n v="5.71745E8"/>
        <n v="6.57798E8"/>
        <n v="5.97352E8"/>
        <n v="5.76512E8"/>
        <n v="4.439E8"/>
        <n v="3.459E8"/>
        <n v="4.626E8"/>
        <n v="3.496E8"/>
        <n v="4.3549E7"/>
        <n v="4.7236E7"/>
        <n v="9.5175E7"/>
        <n v="3.6601E7"/>
        <n v="1.165E9"/>
        <n v="1.356E9"/>
        <n v="8.72E8"/>
        <n v="1.859E9"/>
        <n v="2.518E8"/>
        <n v="1.115E8"/>
        <n v="1.98E7"/>
        <n v="1.658E8"/>
        <n v="1.577E8"/>
        <n v="1.516E8"/>
        <n v="1.107E8"/>
        <n v="1.694E8"/>
        <n v="2.157E8"/>
        <n v="1.822E8"/>
        <n v="-1.001E8"/>
        <n v="3.045E9"/>
        <n v="3.014E9"/>
        <n v="2.174E9"/>
        <n v="2.357E9"/>
        <n v="1.61668E8"/>
        <n v="3.26057E8"/>
        <n v="4.80482E8"/>
        <n v="4.73091E8"/>
        <n v="7.836E9"/>
        <n v="6.608E9"/>
        <n v="5.682E9"/>
        <n v="1.78E8"/>
        <n v="3.323E9"/>
        <n v="2.944E9"/>
        <n v="3.292E9"/>
        <n v="2.732E9"/>
        <n v="-7.71E8"/>
        <n v="-6.91E8"/>
        <n v="4.15967E8"/>
        <n v="2.65996E8"/>
        <n v="3.6164E7"/>
        <n v="-3.4431E7"/>
        <n v="5.0E8"/>
        <n v="-8.1E7"/>
        <n v="-7.3E7"/>
        <n v="1.813E9"/>
        <n v="1.315E9"/>
        <n v="2.197E9"/>
        <n v="2.35051E8"/>
        <n v="3.3668E8"/>
        <n v="1.26524E8"/>
        <n v="7.1336E7"/>
        <n v="4.41E8"/>
        <n v="3.45E8"/>
        <n v="2.6E8"/>
        <n v="-1.91E8"/>
        <n v="3.69E8"/>
        <n v="4.281E8"/>
        <n v="4.326E8"/>
        <n v="6.139E8"/>
        <n v="5.916E8"/>
        <n v="5.035E9"/>
        <n v="3.564E9"/>
        <n v="3.877E9"/>
        <n v="4.877E9"/>
        <n v="9.992E8"/>
        <n v="1.8679E9"/>
        <n v="2.1062E9"/>
        <n v="8.57166E8"/>
        <n v="6.99508E8"/>
        <n v="4.2541E8"/>
        <n v="3.48887E8"/>
        <n v="1.824E9"/>
        <n v="2.792E9"/>
        <n v="3.44E9"/>
        <n v="9.34E8"/>
        <n v="1.69522E8"/>
        <n v="5.8469E7"/>
        <n v="8.6357E7"/>
        <n v="7.7407E7"/>
        <n v="-2.246E9"/>
        <n v="-2.39E8"/>
        <n v="4.91628E8"/>
        <n v="4.1173E8"/>
        <n v="4.34262E8"/>
        <n v="3.52432E8"/>
        <n v="6.20402E8"/>
        <n v="6.39473E8"/>
        <n v="3.94052E8"/>
        <n v="5.2375E8"/>
        <n v="2.527E8"/>
        <n v="-8200000.0"/>
        <n v="8.86E7"/>
        <n v="3.51787E8"/>
        <n v="2.98614E8"/>
        <n v="2.86786E8"/>
        <n v="2.23516E8"/>
        <n v="3.285E9"/>
        <n v="2.129E9"/>
        <n v="2.604E9"/>
        <n v="2.36979E8"/>
        <n v="1.59922E8"/>
        <n v="1.05043E8"/>
        <n v="1.71722E8"/>
        <n v="6.8E8"/>
        <n v="8.27E8"/>
        <n v="6.43E8"/>
        <n v="2.381E8"/>
        <n v="-3.53E7"/>
        <n v="1.622E8"/>
        <n v="5.6E8"/>
        <n v="3.85E8"/>
        <n v="4.47E8"/>
        <n v="3.99E8"/>
        <n v="1.43E9"/>
        <n v="1.158E9"/>
        <n v="3.7E7"/>
        <n v="1.41355E8"/>
        <n v="1.33993E8"/>
        <n v="1.02461E8"/>
        <n v="1.2265E8"/>
        <n v="1.18848E8"/>
        <n v="9.6832E7"/>
        <n v="8.1625E7"/>
        <n v="3.8861E7"/>
        <n v="1.8166E9"/>
        <n v="3.7528E9"/>
        <n v="1.253E9"/>
        <n v="1.2246E9"/>
        <n v="8.22E8"/>
        <n v="4.707E8"/>
        <n v="4.274E8"/>
        <n v="4.001E8"/>
        <n v="2.013E8"/>
        <n v="2.58788E8"/>
        <n v="2.39211E8"/>
        <n v="2.18005E8"/>
        <n v="2.10592E8"/>
        <n v="2.27658E8"/>
        <n v="2.03862E8"/>
        <n v="1.50106E8"/>
        <n v="1.29585E8"/>
        <n v="4300000.0"/>
        <n v="3.135E8"/>
        <n v="5.077E8"/>
        <n v="7.007E8"/>
        <n v="1.27072E8"/>
        <n v="1.33939E8"/>
        <n v="1.19852E8"/>
        <n v="8.6898E7"/>
        <n v="3.436E8"/>
        <n v="3.669E8"/>
        <n v="3.175E8"/>
        <n v="6.57608E8"/>
        <n v="6.23582E8"/>
        <n v="3.82851E8"/>
        <n v="1.36493E8"/>
        <n v="-1.424554E9"/>
        <n v="-1.347255E9"/>
        <n v="-1.131722E9"/>
        <n v="-1.381935E9"/>
        <n v="1.074E9"/>
        <n v="1.144E9"/>
        <n v="6.4E8"/>
        <n v="8.26E8"/>
        <n v="6.04E8"/>
        <n v="1.25E9"/>
        <n v="3.6964E7"/>
        <n v="1.99919E8"/>
        <n v="-3.2667E7"/>
        <n v="1.40533E8"/>
        <n v="6.91E8"/>
        <n v="5.42E8"/>
        <n v="5.33E8"/>
        <n v="4.97E8"/>
        <n v="1.544E8"/>
        <n v="1.604E8"/>
        <n v="1.849E8"/>
        <n v="-9.74E8"/>
        <n v="1.086E9"/>
        <n v="6.8E7"/>
        <n v="5.0E7"/>
        <n v="9.9E7"/>
        <n v="1.336E7"/>
        <n v="6.115E8"/>
        <n v="8.192E8"/>
        <n v="5.09E8"/>
        <n v="5.039E8"/>
        <n v="8.4591E8"/>
        <n v="7.52872E8"/>
        <n v="5.04562E8"/>
        <n v="3.11154E8"/>
        <n v="3.162E8"/>
        <n v="3.362E8"/>
        <n v="3.755E8"/>
        <n v="5.709E8"/>
        <n v="2.624E8"/>
        <n v="2.761E8"/>
        <n v="2.567E8"/>
        <n v="1.478E9"/>
        <n v="3.6E8"/>
        <n v="1.293E9"/>
        <n v="6.0E8"/>
        <n v="5.02E8"/>
        <n v="1.46E8"/>
        <n v="-1.331E9"/>
        <n v="5.322E8"/>
        <n v="6.063E8"/>
        <n v="5.351E8"/>
        <n v="4.736E8"/>
        <n v="1.4113E9"/>
        <n v="8.899E8"/>
        <n v="8.083E8"/>
        <n v="4.424E8"/>
        <n v="9.38E8"/>
        <n v="6.27E8"/>
        <n v="6.41E8"/>
        <n v="6.81E8"/>
        <n v="-2.8977E7"/>
        <n v="1.37519E8"/>
        <n v="1.3943E8"/>
        <n v="1.33786E8"/>
        <n v="6.62E8"/>
        <n v="3.67E8"/>
        <n v="7.8E8"/>
        <n v="7.49079E8"/>
        <n v="5.86897E8"/>
        <n v="6.3632E8"/>
        <n v="3.35658E8"/>
        <n v="1.641E9"/>
        <n v="9.44E8"/>
        <n v="4.12E8"/>
        <n v="2.13337E8"/>
        <n v="2.15995E8"/>
        <n v="1.77104E8"/>
        <n v="1.91566E8"/>
        <n v="1.02852E8"/>
        <n v="8.112E7"/>
        <n v="2.58738E8"/>
        <n v="-7.36245E8"/>
        <n v="1.255E9"/>
        <n v="1.179E9"/>
        <n v="8.21E8"/>
        <n v="1.66E9"/>
        <n v="1.102E9"/>
        <n v="9.953E8"/>
        <n v="1.146E9"/>
        <n v="9.205E8"/>
        <n v="1.9974E7"/>
        <n v="1.71444E8"/>
        <n v="2.53591E8"/>
        <n v="2.16446E8"/>
        <n v="2.422E8"/>
        <n v="9.54E7"/>
        <n v="3.743E8"/>
        <n v="1.854E8"/>
        <n v="2.37E9"/>
        <n v="2.609E9"/>
        <n v="1.73E9"/>
        <n v="1.298E9"/>
        <n v="7.05E8"/>
        <n v="4.35E8"/>
        <n v="3.37E8"/>
        <n v="9.21E7"/>
        <n v="1.013E8"/>
        <n v="1.411E8"/>
        <n v="1.197E8"/>
        <n v="9.9695E7"/>
        <n v="8.7295E7"/>
        <n v="7.6561E7"/>
        <n v="1.15654E8"/>
        <n v="3.84026E8"/>
        <n v="2.23993E8"/>
        <n v="2.22926E8"/>
        <n v="2.63731E8"/>
        <n v="3.79E8"/>
        <n v="1.5E8"/>
        <n v="2.242E9"/>
        <n v="1.939E9"/>
        <n v="1.927E9"/>
        <n v="1.587E9"/>
        <n v="2.18E8"/>
        <n v="1.16E8"/>
        <n v="9.4E7"/>
        <n v="1.364E8"/>
        <n v="1.395E8"/>
        <n v="9.37E7"/>
        <n v="1.11E9"/>
        <n v="6.52E8"/>
        <n v="4.18416E8"/>
        <n v="5.14194E8"/>
        <n v="2.634E8"/>
        <n v="5.62508E8"/>
        <n v="5.547E8"/>
        <n v="2.179E8"/>
        <n v="3.474E8"/>
        <n v="3.35E7"/>
        <n v="1.131E9"/>
        <n v="1.616E9"/>
        <n v="9.86E8"/>
        <n v="1.23E9"/>
        <n v="4.6E7"/>
        <n v="-5.8E8"/>
        <n v="-4.84E9"/>
        <n v="2.047E9"/>
        <n v="2.753E9"/>
        <n v="2.892E9"/>
        <n v="2.252E9"/>
        <n v="7.21346E8"/>
        <n v="5.08138E8"/>
        <n v="1.015992E9"/>
        <n v="-9.2019E7"/>
        <n v="4.79182E8"/>
        <n v="2.23315E8"/>
        <n v="1.76381E8"/>
        <n v="2.44969E8"/>
        <n v="5.92E8"/>
        <n v="2.853E8"/>
        <n v="3.226E8"/>
        <n v="2.44E8"/>
        <n v="1.3E8"/>
        <n v="5.3E7"/>
        <n v="7.6E7"/>
        <n v="1.624E8"/>
        <n v="1.374E8"/>
        <n v="1.283E8"/>
        <n v="9.64E7"/>
        <n v="2.073E9"/>
        <n v="5.0004E7"/>
        <n v="2.24019E8"/>
        <n v="2.9683E7"/>
        <n v="3.8296E7"/>
        <n v="4.8412E7"/>
        <n v="4.9936E7"/>
        <n v="4.1811E7"/>
        <n v="9.66E8"/>
        <n v="6.16E8"/>
        <n v="2.539E9"/>
        <n v="1.92E9"/>
        <n v="1.933E9"/>
        <n v="3.31882E8"/>
        <n v="3.04966E8"/>
        <n v="2.23809E8"/>
        <n v="9.9894E7"/>
        <n v="6.9234E7"/>
        <n v="8.7633E7"/>
        <n v="2.19144E8"/>
        <n v="3.5232E7"/>
        <n v="2.316E9"/>
        <n v="1.793E9"/>
        <n v="1.773E9"/>
        <n v="-5.64E8"/>
        <n v="-1.751E9"/>
        <n v="-2.373E9"/>
        <n v="-2.332E9"/>
        <n v="3.436E9"/>
        <n v="6.204E9"/>
        <n v="-4.288E9"/>
        <n v="2.525E9"/>
        <n v="3.77E8"/>
        <n v="3.87E8"/>
        <n v="5.568E9"/>
        <n v="6.342E9"/>
        <n v="3.116E9"/>
        <n v="4.256E9"/>
        <n v="4.26798E8"/>
        <n v="2.72877E8"/>
        <n v="4.02378E8"/>
        <n v="3.23264E8"/>
        <n v="4.61E8"/>
        <n v="-7.7E8"/>
        <n v="-5.98E8"/>
        <n v="-7.16E8"/>
        <n v="9.1929E7"/>
        <n v="-5.3245E7"/>
        <n v="1.11274E8"/>
        <n v="1.0542E7"/>
        <n v="1.87874E8"/>
        <n v="1.88317E8"/>
        <n v="1.82896E8"/>
        <n v="1.84887E8"/>
        <n v="2.354E8"/>
        <n v="2.167E8"/>
        <n v="2.4E8"/>
        <n v="7.824E9"/>
        <n v="7.078E9"/>
        <n v="6.253E9"/>
        <n v="5.851E9"/>
        <n v="-4.4255E7"/>
        <n v="8.2096E8"/>
        <n v="8.88623E8"/>
        <n v="7.45871E8"/>
        <n v="1.7915E8"/>
        <n v="8.9049E7"/>
        <n v="3.86707E8"/>
        <n v="2.93661E8"/>
        <n v="8.84E8"/>
        <n v="9.25E8"/>
        <n v="-2.191E8"/>
        <n v="-4.413E8"/>
        <n v="-1.0135E9"/>
        <n v="2.416E8"/>
        <n v="4.389E9"/>
        <n v="3.628E9"/>
        <n v="3.748E9"/>
        <n v="3.055E9"/>
        <n v="7.9673E7"/>
        <n v="2.8977E7"/>
        <n v="-2.10527E8"/>
        <n v="9.2517E7"/>
        <n v="2.54063E8"/>
        <n v="2.22308E8"/>
        <n v="1.41188E8"/>
        <n v="2.58109E8"/>
        <n v="2.9994E8"/>
        <n v="2.96068E8"/>
        <n v="3.99407E8"/>
        <n v="2.06414E8"/>
        <n v="3.43E8"/>
        <n v="3.62E8"/>
        <n v="1.582E8"/>
        <n v="1.183E8"/>
        <n v="1.754E8"/>
        <n v="1.143E8"/>
        <n v="9.6E8"/>
        <n v="-5.93E8"/>
        <n v="5.65E8"/>
        <n v="-1.766E9"/>
        <n v="5.923E9"/>
        <n v="3.844E9"/>
        <n v="7.115E9"/>
        <n v="5.45E8"/>
        <n v="5.47E8"/>
        <n v="1.97414E8"/>
        <n v="1.73784E8"/>
        <n v="2.57251E8"/>
        <n v="1.50437E8"/>
        <n v="3.295E8"/>
        <n v="5.849E8"/>
        <n v="2.765E8"/>
        <n v="3.137E8"/>
        <n v="8.189E9"/>
        <n v="5.591E9"/>
        <n v="3.302E9"/>
        <n v="2.864E9"/>
        <n v="4.3536E7"/>
        <n v="7.6135E7"/>
        <n v="1.55568E8"/>
        <n v="3.96981E8"/>
        <n v="1.799E8"/>
        <n v="1.188E8"/>
        <n v="1.034E8"/>
        <n v="2.49E8"/>
        <n v="8.5E7"/>
        <n v="-3000000.0"/>
        <n v="2.601E8"/>
        <n v="2.029E8"/>
        <n v="1.99E8"/>
        <n v="1.449E8"/>
        <n v="2.028E8"/>
        <n v="-1.1145E9"/>
        <n v="1.992E8"/>
        <n v="1.352E9"/>
        <n v="8.7E8"/>
        <n v="3.11E8"/>
        <n v="5.41E8"/>
        <n v="4.34E8"/>
        <n v="8.32E8"/>
        <n v="6.02E8"/>
        <n v="1.77E8"/>
        <n v="-1.727E8"/>
        <n v="-3.35686E8"/>
        <n v="-3.09723E8"/>
        <n v="-4.24168E8"/>
        <n v="2.58E8"/>
        <n v="2.11363E8"/>
        <n v="1.95536E8"/>
        <n v="1.76134E8"/>
        <n v="1.94646E8"/>
        <n v="1.38E8"/>
        <n v="1.14E8"/>
        <n v="1.58E8"/>
        <n v="3.16E8"/>
        <n v="2.38E8"/>
        <n v="2.76E8"/>
        <n v="1.739E8"/>
        <n v="2.206E8"/>
        <n v="1.956E8"/>
        <n v="2.558E8"/>
        <n v="4.55E8"/>
        <n v="4.11E8"/>
        <n v="6.36E8"/>
        <n v="6.87E8"/>
        <n v="4.2E8"/>
      </sharedItems>
    </cacheField>
    <cacheField name="Net Income" numFmtId="0">
      <sharedItems containsSemiMixedTypes="0" containsString="0" containsNumber="1" containsInteger="1">
        <n v="1.434E9"/>
        <n v="1.524E9"/>
        <n v="1.624E9"/>
        <n v="1.389E9"/>
        <n v="1.316E8"/>
        <n v="1.182E8"/>
        <n v="9.77E7"/>
        <n v="1.2E8"/>
        <n v="2.1E9"/>
        <n v="1.189E9"/>
        <n v="1.793E9"/>
        <n v="2.162E9"/>
        <n v="3.179E9"/>
        <n v="7.66E8"/>
        <n v="3.553E9"/>
        <n v="3.6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1.8231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3147E8"/>
        <n v="3.85084E8"/>
        <n v="8121000.0"/>
        <n v="4.41484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38E8"/>
        <n v="1.625E9"/>
        <n v="-1.381E9"/>
        <n v="2.624E9"/>
        <n v="1.8525E10"/>
        <n v="1.793E10"/>
        <n v="1.5227E10"/>
        <n v="1.1247E10"/>
        <n v="2.149E9"/>
        <n v="1.424E9"/>
        <n v="1.924E9"/>
        <n v="-9.52E8"/>
        <n v="7.778E9"/>
        <n v="8.107E9"/>
        <n v="7.222E9"/>
        <n v="6.331E9"/>
        <n v="2.55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8E9"/>
        <n v="2.235E9"/>
        <n v="1.438E9"/>
        <n v="1.073E9"/>
        <n v="9.9E7"/>
        <n v="3.876E9"/>
        <n v="-5.3E7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63E8"/>
        <n v="2.95E8"/>
        <n v="2.99E8"/>
        <n v="1.96888E8"/>
        <n v="1.80366E8"/>
        <n v="1.82958E8"/>
        <n v="1.68375E8"/>
        <n v="1.902E8"/>
        <n v="3.821E8"/>
        <n v="1.422E8"/>
        <n v="1.766E8"/>
        <n v="2.034E8"/>
        <n v="1.392E8"/>
        <n v="-3.02E7"/>
        <n v="1.57E9"/>
        <n v="7.55E9"/>
        <n v="-1.3883E10"/>
        <n v="2.816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2223E8"/>
        <n v="3.41128E8"/>
        <n v="1.47703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691E9"/>
        <n v="9.224E9"/>
        <n v="8.05E9"/>
        <n v="5.47E9"/>
        <n v="3.74E8"/>
        <n v="2.77E8"/>
        <n v="8.6E8"/>
        <n v="3.31E8"/>
        <n v="2.98E8"/>
        <n v="1.68E8"/>
        <n v="3.56E8"/>
        <n v="5.25E8"/>
        <n v="1.003E9"/>
        <n v="1.28E8"/>
        <n v="7.34E8"/>
        <n v="5.95E8"/>
        <n v="8.16E8"/>
        <n v="3.91E8"/>
        <n v="9.14114E8"/>
        <n v="9.77414E8"/>
        <n v="8.39102E8"/>
        <n v="1.314824E9"/>
        <n v="1.496E7"/>
        <n v="4.5782E7"/>
        <n v="4.6274E7"/>
        <n v="3.3395E7"/>
        <n v="4.485E8"/>
        <n v="4.102E8"/>
        <n v="3.579E8"/>
        <n v="7.015E8"/>
        <n v="1.378E9"/>
        <n v="1.199E9"/>
        <n v="1.548E9"/>
        <n v="1.364E9"/>
        <n v="9.47E8"/>
        <n v="1.022E9"/>
        <n v="9.27E8"/>
        <n v="7.5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1.00596E8"/>
        <n v="1.0311E7"/>
        <n v="9.2479E7"/>
        <n v="1.86E8"/>
        <n v="3.41E8"/>
        <n v="2.1E8"/>
        <n v="-1.55E8"/>
        <n v="1.055E9"/>
        <n v="-1.0027E10"/>
        <n v="1.872E9"/>
        <n v="1.876E9"/>
        <n v="1.493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536E9"/>
        <n v="3.325E9"/>
        <n v="2.566E9"/>
        <n v="2.406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824E8"/>
        <n v="2.318E8"/>
        <n v="8.84E7"/>
        <n v="8.24E7"/>
        <n v="1.53E9"/>
        <n v="7.8E8"/>
        <n v="6.68E8"/>
        <n v="4.58E8"/>
        <n v="1.055E8"/>
        <n v="1.372E8"/>
        <n v="8.73E7"/>
        <n v="1.099E8"/>
        <n v="4.42637E8"/>
        <n v="2.66202E8"/>
        <n v="3.13765E8"/>
        <n v="1.84132E8"/>
        <n v="2.741E8"/>
        <n v="2.326E8"/>
        <n v="2.383E8"/>
        <n v="1.932E8"/>
        <n v="3.22E8"/>
        <n v="1.453E9"/>
        <n v="5.84E8"/>
        <n v="-5.35E8"/>
        <n v="6.99E8"/>
        <n v="-1.2E7"/>
        <n v="2.51E8"/>
        <n v="3.63E8"/>
        <n v="1.21E8"/>
        <n v="-2.58E7"/>
        <n v="-1.92E7"/>
        <n v="-1.73E7"/>
        <n v="-800000.0"/>
        <n v="3.2707E7"/>
        <n v="1.72252E8"/>
        <n v="1.41505E8"/>
        <n v="3.56676E8"/>
        <n v="2.46E8"/>
        <n v="1.51E8"/>
        <n v="8.7E7"/>
        <n v="-2.8E7"/>
        <n v="8.8448E7"/>
        <n v="6.153E7"/>
        <n v="1.43191E8"/>
        <n v="1.02909E8"/>
        <n v="1.265E9"/>
        <n v="1.484E9"/>
        <n v="1.135E9"/>
        <n v="6.98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1.388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42E9"/>
        <n v="3.979E9"/>
        <n v="3.23E9"/>
        <n v="6.48E8"/>
        <n v="6.11E8"/>
        <n v="4.56E8"/>
        <n v="3.14E8"/>
        <n v="6.2766E7"/>
        <n v="9.0048E7"/>
        <n v="1.12091E8"/>
        <n v="9.8227E7"/>
        <n v="9.7E7"/>
        <n v="-6.1E7"/>
        <n v="2.59E8"/>
        <n v="4.15E8"/>
        <n v="5.103E8"/>
        <n v="5.744E8"/>
        <n v="4.24E8"/>
        <n v="4.117E8"/>
        <n v="1.89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3.738E9"/>
        <n v="3.329E9"/>
        <n v="3.38E9"/>
        <n v="2.019E9"/>
        <n v="3.28E8"/>
        <n v="3.5E8"/>
        <n v="2.15E8"/>
        <n v="2.11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4.49E8"/>
        <n v="5.99E8"/>
        <n v="2.52E8"/>
        <n v="4.27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3.34E8"/>
        <n v="5.8E7"/>
        <n v="5.08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85E9"/>
        <n v="1.702E9"/>
        <n v="1.2401E9"/>
        <n v="8.835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13E8"/>
        <n v="-1.02E8"/>
        <n v="-9.2E7"/>
        <n v="6.29E7"/>
        <n v="4.03E7"/>
        <n v="3.552E8"/>
        <n v="7.22E7"/>
        <n v="2.2E8"/>
        <n v="-7.39E8"/>
        <n v="-1.113E9"/>
        <n v="-2.393E9"/>
        <n v="1.21254E8"/>
        <n v="3.8592E8"/>
        <n v="5.7691E7"/>
        <n v="-138000.0"/>
        <n v="1.698E9"/>
        <n v="1.593E9"/>
        <n v="7.99E8"/>
        <n v="7.71E8"/>
        <n v="1.4E8"/>
        <n v="2.71E8"/>
        <n v="3.0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85E8"/>
        <n v="1.008E9"/>
        <n v="6.82E8"/>
        <n v="1.16619E8"/>
        <n v="1.17761E8"/>
        <n v="1.51897E8"/>
        <n v="9.9129E7"/>
        <n v="2.63756E8"/>
        <n v="2.64508E8"/>
        <n v="2.32769E8"/>
        <n v="1.82106E8"/>
        <n v="1.901E9"/>
        <n v="9.91E8"/>
        <n v="1.236E9"/>
        <n v="-2.5E7"/>
        <n v="1.79E8"/>
        <n v="4.76E8"/>
        <n v="7.65E8"/>
        <n v="9.92E8"/>
        <n v="-6.3E7"/>
        <n v="1.304E9"/>
        <n v="7.9362E7"/>
        <n v="1.68816E8"/>
        <n v="7.1823E7"/>
        <n v="3.982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75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6386E8"/>
        <n v="5.7539E7"/>
        <n v="2.52856E8"/>
        <n v="9.1286E7"/>
        <n v="6.4846E7"/>
        <n v="1.68444E8"/>
        <n v="9.5745E7"/>
        <n v="7.3661E7"/>
        <n v="1.018E9"/>
        <n v="8.73E8"/>
        <n v="5.23E8"/>
        <n v="9.8254E7"/>
        <n v="1.43766E8"/>
        <n v="1.48538E8"/>
        <n v="9.1761E7"/>
        <n v="6.79982E8"/>
        <n v="3.41862E8"/>
        <n v="6.3602E7"/>
        <n v="2.43057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5.78E8"/>
        <n v="-3.83E8"/>
        <n v="-1.92E8"/>
        <n v="-7.36E8"/>
        <n v="2.8722E8"/>
        <n v="1.9862E8"/>
        <n v="1.91307E8"/>
        <n v="1.83869E8"/>
        <n v="1.67948E8"/>
        <n v="2.02998E8"/>
        <n v="1.56056E8"/>
        <n v="1.14633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6204E7"/>
        <n v="4.8236E7"/>
        <n v="9.4725E7"/>
        <n v="-2.8289E7"/>
        <n v="1.868E9"/>
        <n v="8.92E8"/>
        <n v="1.226E9"/>
        <n v="1.245E9"/>
        <n v="-3.73E8"/>
        <n v="1.04E8"/>
        <n v="2.0E7"/>
        <n v="7.09E8"/>
        <n v="6.94E8"/>
        <n v="6.04E8"/>
        <n v="5.81E8"/>
        <n v="3.73106E8"/>
        <n v="3.34833E8"/>
        <n v="2.9556E8"/>
        <n v="2.93137E8"/>
        <n v="3.35E8"/>
        <n v="2.42E8"/>
        <n v="4.54E8"/>
        <n v="2.69E8"/>
        <n v="3.04E8"/>
        <n v="1.96247E8"/>
        <n v="1.84239E8"/>
        <n v="2.09851E8"/>
        <n v="1.88817E8"/>
        <n v="2.029E8"/>
        <n v="1.826E8"/>
        <n v="4.95E7"/>
        <n v="1.114E8"/>
        <n v="3.262E9"/>
        <n v="-2.788E9"/>
        <n v="2.385E9"/>
        <n v="1.375E8"/>
        <n v="1.072E8"/>
        <n v="1.467E8"/>
        <n v="1.234E8"/>
        <n v="1.809E8"/>
        <n v="1.102E8"/>
        <n v="1.2156E9"/>
        <n v="2.258E8"/>
        <n v="2.172E8"/>
        <n v="1.778E8"/>
        <n v="1.636E8"/>
        <n v="1.646E8"/>
        <n v="2.53E8"/>
        <n v="5.67E8"/>
        <n v="2.24E8"/>
        <n v="1.106E9"/>
        <n v="4.384E8"/>
        <n v="3.818E8"/>
        <n v="3.453E8"/>
        <n v="7.89E7"/>
        <n v="1.083E9"/>
        <n v="7.18E8"/>
        <n v="7.08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8993E8"/>
        <n v="1.25001E8"/>
        <n v="1.1497E8"/>
        <n v="6.6145E7"/>
        <n v="7.37E8"/>
        <n v="1.002E9"/>
        <n v="8.34E8"/>
        <n v="-1.131E9"/>
        <n v="-2.803E9"/>
        <n v="-1.144E9"/>
        <n v="4.168E8"/>
        <n v="5.957E8"/>
        <n v="6.884E8"/>
        <n v="6.389E8"/>
        <n v="2.836E9"/>
        <n v="3.022E9"/>
        <n v="2.846E9"/>
        <n v="4.04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486E9"/>
        <n v="6.836E9"/>
        <n v="4.506E9"/>
        <n v="3.367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628E8"/>
        <n v="1.45788E8"/>
        <n v="1.46394E8"/>
        <n v="-6.3417E7"/>
        <n v="1.65997E8"/>
        <n v="1.42633E8"/>
        <n v="1.41697E8"/>
        <n v="-1.0797E7"/>
        <n v="-7.3E7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n v="0.0"/>
        <n v="1.06E8"/>
        <n v="-9.6E7"/>
        <n v="1.108E9"/>
        <n v="1.228E9"/>
        <n v="1.068E9"/>
        <n v="8.28E8"/>
        <n v="-2.74E8"/>
        <n v="1.34E9"/>
        <n v="1.828E9"/>
        <n v="-1.5E7"/>
        <n v="5.32E8"/>
        <n v="3.03E8"/>
        <n v="1.29E8"/>
        <n v="1.48E8"/>
        <n v="2.49E8"/>
        <n v="1.325E9"/>
        <n v="9.55E8"/>
        <n v="1.356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1.47E8"/>
        <n v="2.57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-4.2E7"/>
        <n v="6.7589E7"/>
        <n v="8.4828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4.275E8"/>
        <n v="3.27E8"/>
        <n v="2.703E8"/>
        <n v="2.509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65794E8"/>
        <n v="1.1045E7"/>
        <n v="2.57048E8"/>
        <n v="8.199E7"/>
        <n v="1.539E8"/>
        <n v="2.308E8"/>
        <n v="6.278E9"/>
        <n v="6.197E9"/>
        <n v="1.738E9"/>
        <n v="3.554E9"/>
        <n v="5.74E8"/>
        <n v="4.51E8"/>
        <n v="4.41E8"/>
        <n v="1.1948E10"/>
        <n v="1.43E10"/>
        <n v="1.2136E10"/>
        <n v="9.443E9"/>
        <n v="6.2E7"/>
        <n v="-3.11E7"/>
        <n v="3.08E7"/>
        <n v="1.454E8"/>
        <n v="-3.785E8"/>
        <n v="1.657E8"/>
        <n v="1.898E8"/>
        <n v="3.68E8"/>
        <n v="2.05E8"/>
        <n v="3.51E8"/>
        <n v="7.29E8"/>
        <n v="6.22E8"/>
        <n v="4.28E8"/>
        <n v="1.72E8"/>
        <n v="2.17E8"/>
        <n v="5.39E8"/>
        <n v="4.72E8"/>
        <n v="1.16697E8"/>
        <n v="1.37942E8"/>
        <n v="2.01234E8"/>
        <n v="-3.8394E7"/>
        <n v="1.409E9"/>
        <n v="6.07E8"/>
        <n v="4.55E8"/>
        <n v="-6.37E8"/>
        <n v="6.32978E8"/>
        <n v="5.67496E8"/>
        <n v="4.57251E8"/>
        <n v="4.20567E8"/>
        <n v="-2.7E7"/>
        <n v="5.63E8"/>
        <n v="1.032E9"/>
        <n v="5.97E8"/>
        <n v="-7.7E7"/>
        <n v="6.31E8"/>
        <n v="8.1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31363E8"/>
        <n v="1.001369E9"/>
        <n v="8.8276E8"/>
        <n v="6.66418E8"/>
        <n v="2.25E8"/>
        <n v="1.43E8"/>
        <n v="3.98E8"/>
        <n v="8.41E8"/>
        <n v="9.8E8"/>
        <n v="7.7E8"/>
        <n v="7.0E8"/>
        <n v="-1.95665E8"/>
        <n v="-3.07193E8"/>
        <n v="-4.43332E8"/>
        <n v="-5.28902E8"/>
        <n v="2.65913E8"/>
        <n v="1.81012E8"/>
        <n v="1.93483E8"/>
        <n v="1.18792E8"/>
        <n v="1.815E9"/>
        <n v="1.837E9"/>
        <n v="1.792E9"/>
        <n v="7.54E8"/>
        <n v="2.61E8"/>
        <n v="1.39E8"/>
        <n v="3.018E9"/>
        <n v="2.321E9"/>
        <n v="9.78E8"/>
        <n v="6.92E8"/>
        <n v="-2.289E9"/>
        <n v="3.66E8"/>
        <n v="1.76E9"/>
        <n v="2.058E9"/>
        <n v="8.53E8"/>
        <n v="4.58069E8"/>
        <n v="4.47249E8"/>
        <n v="4.7114E8"/>
        <n v="3.72136E8"/>
        <n v="1.6E7"/>
        <n v="-3.38E8"/>
        <n v="-3.17E8"/>
        <n v="8.512E9"/>
        <n v="-2.42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6.53E7"/>
        <n v="1.83E8"/>
        <n v="2.944E8"/>
        <n v="9.4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-2.094E9"/>
        <n v="2.941E9"/>
        <n v="3.407E9"/>
        <n v="1.49663E8"/>
        <n v="2.16295E8"/>
        <n v="1.61767E8"/>
        <n v="1.26562E8"/>
        <n v="1.04753E8"/>
        <n v="-3.31829E8"/>
        <n v="-4.47605E8"/>
        <n v="-5.34731E8"/>
        <n v="2.528E8"/>
        <n v="3.62E7"/>
        <n v="7.36E7"/>
        <n v="8.03E8"/>
        <n v="9.88E8"/>
        <n v="1.6458E10"/>
        <n v="1.5457E10"/>
        <n v="1.5463E10"/>
        <n v="1.3893E10"/>
        <n v="2.16478E8"/>
        <n v="4.7193E7"/>
        <n v="8.3342E7"/>
        <n v="5.9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4.67E8"/>
        <n v="3.707E9"/>
        <n v="3.511E9"/>
        <n v="4.12E9"/>
        <n v="3.385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3.5E7"/>
        <n v="7000000.0"/>
        <n v="1.449E9"/>
        <n v="1.251E9"/>
        <n v="1.518E9"/>
        <n v="-7.9E8"/>
        <n v="6.03E7"/>
        <n v="2.965E8"/>
        <n v="8.44E7"/>
        <n v="-1.729E8"/>
        <n v="6.73E8"/>
        <n v="5.69E8"/>
        <n v="3.681E8"/>
        <n v="3.751E8"/>
        <n v="2.409E8"/>
        <n v="2.945E8"/>
        <n v="1.037E9"/>
        <n v="2.195E9"/>
        <n v="9.86E8"/>
        <n v="1.81E8"/>
        <n v="1.78E8"/>
        <n v="-1.370192E9"/>
        <n v="-7.38933E8"/>
        <n v="-6.77366E8"/>
        <n v="-7.15243E8"/>
        <n v="-8.2E7"/>
        <n v="-1.73E8"/>
        <n v="3.13E8"/>
        <n v="1.506868E9"/>
        <n v="9.42432E8"/>
        <n v="3.98843E8"/>
        <n v="1.93415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1.03E8"/>
        <n v="-1.112E9"/>
        <n v="-3.575E9"/>
        <n v="2.86634E8"/>
        <n v="2.69576E8"/>
        <n v="1.99359E8"/>
        <n v="1.89832E8"/>
        <n v="3.556E8"/>
        <n v="3.482E8"/>
        <n v="2.878E8"/>
        <n v="3.981E8"/>
        <n v="3.92018E8"/>
        <n v="3.42139E8"/>
        <n v="3.86176E8"/>
        <n v="3.08029E8"/>
        <n v="2.457E9"/>
        <n v="4.032E9"/>
        <n v="5.021E9"/>
        <n v="2.442E9"/>
        <n v="3.99E8"/>
        <n v="5.42E8"/>
        <n v="3.26E8"/>
        <n v="3.08E8"/>
        <n v="3.777E8"/>
        <n v="4.929E8"/>
        <n v="4.701E8"/>
        <n v="4.058E8"/>
        <n v="2.507E8"/>
        <n v="2.073E8"/>
        <n v="1.665E8"/>
        <n v="1.236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1E7"/>
        <n v="1.11E7"/>
        <n v="1.436E8"/>
        <n v="1.321E8"/>
        <n v="1.286E8"/>
        <n v="1.397E8"/>
        <n v="1.708E8"/>
        <n v="1.445E8"/>
        <n v="-1.453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426E9"/>
        <n v="2.172E9"/>
        <n v="1.976E9"/>
        <n v="4.02E8"/>
        <n v="2.96E8"/>
        <n v="-6.54E8"/>
        <n v="-5.39E8"/>
        <n v="3.39798E8"/>
        <n v="2.15697E8"/>
        <n v="3.5641E7"/>
        <n v="-1.9391E7"/>
        <n v="1.045E9"/>
        <n v="3.8E8"/>
        <n v="-7.0E7"/>
        <n v="-3.0E7"/>
        <n v="1.474E9"/>
        <n v="1.091E9"/>
        <n v="1.816E9"/>
        <n v="1.84665E8"/>
        <n v="2.59695E8"/>
        <n v="9.8655E7"/>
        <n v="5.9173E7"/>
        <n v="3.44E8"/>
        <n v="4.31E8"/>
        <n v="3.78E8"/>
        <n v="2.72E8"/>
        <n v="-1.84E9"/>
        <n v="2.9E8"/>
        <n v="3.599E8"/>
        <n v="3.618E8"/>
        <n v="5.171E8"/>
        <n v="4.726E8"/>
        <n v="4.112E9"/>
        <n v="2.906E9"/>
        <n v="3.269E9"/>
        <n v="3.854E9"/>
        <n v="1.185E8"/>
        <n v="7.901E8"/>
        <n v="1.48E9"/>
        <n v="1.6843E9"/>
        <n v="7.23538E8"/>
        <n v="6.00176E8"/>
        <n v="3.67347E8"/>
        <n v="2.81894E8"/>
        <n v="2.158E9"/>
        <n v="2.828E9"/>
        <n v="2.92943E8"/>
        <n v="5.1203E7"/>
        <n v="1.09262E8"/>
        <n v="2.3515E7"/>
        <n v="-1.564E9"/>
        <n v="-1.77E8"/>
        <n v="4.90091E8"/>
        <n v="4.10426E8"/>
        <n v="4.33036E8"/>
        <n v="3.51267E8"/>
        <n v="4.75549E8"/>
        <n v="5.03399E8"/>
        <n v="3.04107E8"/>
        <n v="4.38111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4.69E8"/>
        <n v="5.79E8"/>
        <n v="1.933E8"/>
        <n v="1.647E8"/>
        <n v="-7.41E7"/>
        <n v="1.198E8"/>
        <n v="4.29E8"/>
        <n v="3.07E8"/>
        <n v="3.55E8"/>
        <n v="3.12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51E8"/>
        <n v="7.9E8"/>
        <n v="6.16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13E8"/>
        <n v="5.933E8"/>
        <n v="9.3853E7"/>
        <n v="9.8854E7"/>
        <n v="9.2643E7"/>
        <n v="6.2619E7"/>
        <n v="2.895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1.081E9"/>
        <n v="4.7798E7"/>
        <n v="1.52669E8"/>
        <n v="-1.1745E7"/>
        <n v="1.05782E8"/>
        <n v="5.5E8"/>
        <n v="2.8E8"/>
        <n v="1.077E8"/>
        <n v="1.081E8"/>
        <n v="1.101E8"/>
        <n v="8.95E8"/>
        <n v="4.61E8"/>
        <n v="6.3E7"/>
        <n v="5.9E7"/>
        <n v="8.2E7"/>
        <n v="1.6648E7"/>
        <n v="5.022E8"/>
        <n v="6.486E8"/>
        <n v="4.096E8"/>
        <n v="4.07E8"/>
        <n v="6.8077E8"/>
        <n v="6.18091E8"/>
        <n v="4.46694E8"/>
        <n v="2.72317E8"/>
        <n v="3.263E8"/>
        <n v="3.378E8"/>
        <n v="3.25E8"/>
        <n v="5.093E8"/>
        <n v="1.962E8"/>
        <n v="2.08E8"/>
        <n v="1.926E8"/>
        <n v="2.089E8"/>
        <n v="1.101E9"/>
        <n v="3.72E8"/>
        <n v="3.87E8"/>
        <n v="-9.08E8"/>
        <n v="4.595E8"/>
        <n v="4.874E8"/>
        <n v="4.673E8"/>
        <n v="3.949E8"/>
        <n v="1.1534E9"/>
        <n v="6.594E8"/>
        <n v="6.222E8"/>
        <n v="3.926E8"/>
        <n v="5.19E8"/>
        <n v="5.37E8"/>
        <n v="-2.1807E7"/>
        <n v="8.8851E7"/>
        <n v="1.14501E8"/>
        <n v="1.05858E8"/>
        <n v="5.92E8"/>
        <n v="3.02E8"/>
        <n v="5.68E8"/>
        <n v="6.21E8"/>
        <n v="5.36814E8"/>
        <n v="3.9291E8"/>
        <n v="4.46307E8"/>
        <n v="2.33529E8"/>
        <n v="1.242E9"/>
        <n v="1.025E9"/>
        <n v="7.38E8"/>
        <n v="1.98646E8"/>
        <n v="1.95078E8"/>
        <n v="1.62345E8"/>
        <n v="1.97455E8"/>
        <n v="8.8927E7"/>
        <n v="6.7289E7"/>
        <n v="2.169E8"/>
        <n v="-6.18419E8"/>
        <n v="9.33E8"/>
        <n v="1.253E9"/>
        <n v="8.157E8"/>
        <n v="7.494E8"/>
        <n v="7.834E8"/>
        <n v="6.432E8"/>
        <n v="1.0297E7"/>
        <n v="1.52256E8"/>
        <n v="2.18812E8"/>
        <n v="1.82248E8"/>
        <n v="1.998E8"/>
        <n v="3.11E8"/>
        <n v="2.317E8"/>
        <n v="1.817E9"/>
        <n v="2.097E9"/>
        <n v="1.38E9"/>
        <n v="1.014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31E9"/>
        <n v="1.753E9"/>
        <n v="1.688E9"/>
        <n v="1.353E9"/>
        <n v="2.36E8"/>
        <n v="6.158E8"/>
        <n v="1.175E8"/>
        <n v="2.1011E9"/>
        <n v="8.12E7"/>
        <n v="9.05E8"/>
        <n v="4.59E8"/>
        <n v="3.0123E8"/>
        <n v="3.95799E8"/>
        <n v="2.91387E8"/>
        <n v="4.47283E8"/>
        <n v="4.372E8"/>
        <n v="1.567E8"/>
        <n v="8.279E8"/>
        <n v="-6200000.0"/>
        <n v="9.34E8"/>
        <n v="7.33E8"/>
        <n v="1.31E9"/>
        <n v="8.27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5.0E7"/>
        <n v="1.389E8"/>
        <n v="1.145E8"/>
        <n v="1.803E8"/>
        <n v="1.657E9"/>
        <n v="1.477E9"/>
        <n v="1.329E9"/>
        <n v="1.138E9"/>
        <n v="6.5649E7"/>
        <n v="6.8005E7"/>
        <n v="2.22116E8"/>
        <n v="2.8659E7"/>
        <n v="3.6976E7"/>
        <n v="5.4094E7"/>
        <n v="3.9284E7"/>
        <n v="5.3892E7"/>
        <n v="7.49E8"/>
        <n v="6.13E8"/>
        <n v="1.982E9"/>
        <n v="1.519E9"/>
        <n v="1.58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03E8"/>
        <n v="2.97E8"/>
        <n v="4.266E9"/>
        <n v="4.862E9"/>
        <n v="2.212E9"/>
        <n v="3.172E9"/>
        <n v="3.25024E8"/>
        <n v="2.09091E8"/>
        <n v="3.08708E8"/>
        <n v="2.41279E8"/>
        <n v="1.62E8"/>
        <n v="-7.04E8"/>
        <n v="-3.59E8"/>
        <n v="-4.64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6.15E8"/>
        <n v="4.81E8"/>
        <n v="-2.792E8"/>
        <n v="-1.0376E9"/>
        <n v="-9.158E8"/>
        <n v="1.857E8"/>
        <n v="2.575E9"/>
        <n v="3.026E9"/>
        <n v="3.126E9"/>
        <n v="2.137E9"/>
        <n v="6.4512E7"/>
        <n v="2.055E7"/>
        <n v="-1.94979E8"/>
        <n v="6.57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9E7"/>
        <n v="1.281E8"/>
        <n v="8.68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2.76E8"/>
        <n v="5.101E8"/>
        <n v="2.39E8"/>
        <n v="2.668E8"/>
        <n v="6.04E9"/>
        <n v="4.636E9"/>
        <n v="2.992E9"/>
        <n v="2.035E9"/>
        <n v="2.6257E7"/>
        <n v="7.1546E7"/>
        <n v="1.63729E8"/>
        <n v="3.25585E8"/>
        <n v="1.873E8"/>
        <n v="1.512E8"/>
        <n v="9.84E7"/>
        <n v="8.23E7"/>
        <n v="-6.0E7"/>
        <n v="2.225E8"/>
        <n v="1.818E8"/>
        <n v="1.771E8"/>
        <n v="2.286E8"/>
        <n v="1.125E8"/>
        <n v="1.52E8"/>
        <n v="-1.156E9"/>
        <n v="1.785E8"/>
        <n v="1.028E9"/>
        <n v="2.92E8"/>
        <n v="2.83E8"/>
        <n v="4.33E8"/>
        <n v="4.97E8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54E8"/>
        <n v="2.84E8"/>
        <n v="4.79E8"/>
      </sharedItems>
    </cacheField>
    <cacheField name="Selling General Administrative" numFmtId="0">
      <sharedItems containsString="0" containsBlank="1" containsNumber="1" containsInteger="1">
        <n v="1.739E9"/>
        <n v="1.666E9"/>
        <n v="1.72E9"/>
        <n v="1.814E9"/>
        <n v="1.743E8"/>
        <n v="1.698E8"/>
        <n v="1.665E8"/>
        <n v="1.847E8"/>
        <n v="2.699E9"/>
        <n v="2.658E9"/>
        <n v="2.716E9"/>
        <n v="2.525E9"/>
        <n v="2.946E9"/>
        <n v="3.049E9"/>
        <n v="2.741E9"/>
        <n v="3.099E9"/>
        <n v="1.02779E8"/>
        <n v="1.03484E8"/>
        <n v="1.00374E8"/>
        <n v="8.6198E7"/>
        <n v="2.507527E9"/>
        <n v="2.285728E9"/>
        <n v="1.941717E9"/>
        <n v="2.007627E9"/>
        <n v="3.87E8"/>
        <n v="4.34E8"/>
        <n v="5.19E8"/>
        <n v="5.97E8"/>
        <n v="7.16E8"/>
        <n v="8.15E8"/>
        <n v="6.97E8"/>
        <n v="7.2E8"/>
        <n v="1.333E9"/>
        <n v="1.329E9"/>
        <n v="1.339E9"/>
        <n v="1.184E9"/>
        <n v="9.32793E8"/>
        <n v="1.200138E9"/>
        <n v="3.68E8"/>
        <n v="3.31E8"/>
        <n v="3.04E8"/>
        <n v="3.08E8"/>
        <n v="3.9E7"/>
        <n v="4.5E7"/>
        <n v="4.6E7"/>
        <n v="4.7E7"/>
        <n v="8.69E8"/>
        <n v="8.81E8"/>
        <n v="8.32E8"/>
        <n v="1.038E9"/>
        <n v="3.9E8"/>
        <n v="4.2E8"/>
        <n v="3.98E8"/>
        <n v="3.42E8"/>
        <n v="2.021E8"/>
        <n v="1.926E8"/>
        <n v="1.891E8"/>
        <n v="1.821E8"/>
        <n v="2.41463E8"/>
        <n v="2.46049E8"/>
        <n v="2.53005E8"/>
        <n v="2.98739E8"/>
        <n v="9.5699E7"/>
        <n v="1.13393E8"/>
        <n v="8.5589E7"/>
        <n v="1.15008E8"/>
        <n v="4.9E7"/>
        <n v="4.1E7"/>
        <n v="3.3E7"/>
        <n v="1.8E7"/>
        <n v="3.7931E7"/>
        <n v="3.788E7"/>
        <n v="3.3996E7"/>
        <n v="3.269E7"/>
        <n v="4.28409E8"/>
        <n v="4.31921E8"/>
        <n v="3.97115E8"/>
        <n v="3.48392E8"/>
        <n v="1.6E8"/>
        <n v="1.731E8"/>
        <n v="1.642E8"/>
        <n v="1.566E8"/>
        <m/>
        <n v="2.4E7"/>
        <n v="1.93E9"/>
        <n v="1.549E9"/>
        <n v="1.399E9"/>
        <n v="1.131E9"/>
        <n v="8.617E9"/>
        <n v="7.289E9"/>
        <n v="8.145E9"/>
        <n v="6.987E9"/>
        <n v="4.92E8"/>
        <n v="4.67E8"/>
        <n v="5.2E8"/>
        <n v="2.9397E10"/>
        <n v="2.6628E10"/>
        <n v="2.3428E10"/>
        <n v="2.3449E10"/>
        <n v="3.27E8"/>
        <n v="3.21E8"/>
        <n v="3.05E8"/>
        <n v="3.26E8"/>
        <n v="-3.4E7"/>
        <n v="-3.1E7"/>
        <n v="-3.2E7"/>
        <n v="2.77E8"/>
        <n v="1.51E8"/>
        <n v="9.5E7"/>
        <n v="7.0E7"/>
        <n v="-2.97E7"/>
        <n v="-2.96E7"/>
        <n v="-2.98E7"/>
        <n v="3.758E9"/>
        <n v="3.316E9"/>
        <n v="3.601E9"/>
        <n v="3.23E9"/>
        <n v="2.092E9"/>
        <n v="2.014E9"/>
        <n v="2.054E9"/>
        <n v="1.891E9"/>
        <n v="2.072E8"/>
        <n v="1.826E8"/>
        <n v="1.963E8"/>
        <n v="1.76E8"/>
        <n v="-1.9E7"/>
        <n v="-2.0E7"/>
        <n v="-1.2E7"/>
        <n v="8.23E8"/>
        <n v="8.28E8"/>
        <n v="7.62E8"/>
        <n v="9.13414E8"/>
        <n v="7.30081E8"/>
        <n v="7.35068E8"/>
        <n v="6.71028E8"/>
        <n v="1.57023E8"/>
        <n v="1.3844E8"/>
        <n v="1.35844E8"/>
        <n v="1.28482E8"/>
        <n v="1.384E9"/>
        <n v="1.254E9"/>
        <n v="1.773E9"/>
        <n v="1.346E9"/>
        <n v="2.627E8"/>
        <n v="1.19E7"/>
        <n v="2.591E8"/>
        <n v="2.464E8"/>
        <n v="1.87776E8"/>
        <n v="1.83612E8"/>
        <n v="1.70075E8"/>
        <n v="1.46219E8"/>
        <n v="1.59089E8"/>
        <n v="1.44245E8"/>
        <n v="1.93524E8"/>
        <n v="1.31093E8"/>
        <n v="6.844E9"/>
        <n v="6.435E9"/>
        <n v="6.238E9"/>
        <n v="6.84E9"/>
        <n v="4.71E8"/>
        <n v="4.45E8"/>
        <n v="5.04E8"/>
        <n v="4.22E8"/>
        <n v="8.6E7"/>
        <n v="8.3E7"/>
        <n v="7.6E7"/>
        <n v="5.2E7"/>
        <n v="5.412E9"/>
        <n v="5.314E9"/>
        <n v="5.631E9"/>
        <n v="4.936E9"/>
        <n v="3.09E8"/>
        <n v="2.85E8"/>
        <n v="2.84E8"/>
        <n v="2.61E8"/>
        <n v="2.75E8"/>
        <n v="2.6E8"/>
        <n v="2.62E8"/>
        <n v="9.152E7"/>
        <n v="8.6493E7"/>
        <n v="8.4099E7"/>
        <n v="6.8518E7"/>
        <n v="2.376E8"/>
        <n v="2.286E8"/>
        <n v="2.208E8"/>
        <n v="1.974E8"/>
        <n v="1.6824E9"/>
        <n v="8.39E9"/>
        <n v="5.297E9"/>
        <n v="1.2866E10"/>
        <n v="8.248E9"/>
        <n v="1.0133E7"/>
        <n v="1252000.0"/>
        <n v="1253000.0"/>
        <n v="-1866000.0"/>
        <n v="5.227E8"/>
        <n v="4.87E8"/>
        <n v="5.016E8"/>
        <n v="4.634E8"/>
        <n v="8.503E8"/>
        <n v="7.475E8"/>
        <n v="7.443E8"/>
        <n v="6.676E8"/>
        <n v="1.526809E9"/>
        <n v="1.111441E9"/>
        <n v="1.037716E9"/>
        <n v="1.060392E9"/>
        <n v="1.9112E7"/>
        <n v="1.8265E7"/>
        <n v="1.0914E7"/>
        <n v="1.3985E7"/>
        <n v="3.07E8"/>
        <n v="3.123E8"/>
        <n v="1.782E8"/>
        <n v="2.583E8"/>
        <n v="6.07E8"/>
        <n v="6.36E8"/>
        <n v="5.82E8"/>
        <n v="5.8E8"/>
        <n v="1.66E8"/>
        <n v="1.57E8"/>
        <n v="1.62E8"/>
        <n v="1.21E8"/>
        <n v="1.2675E10"/>
        <n v="1.3096E10"/>
        <n v="1.3765E10"/>
        <n v="1.2395E10"/>
        <n v="8.99E8"/>
        <n v="8.42E8"/>
        <n v="1.731E9"/>
        <n v="8.08E8"/>
        <n v="6.52E8"/>
        <n v="6.24E8"/>
        <n v="6.21E8"/>
        <n v="5.74E8"/>
        <n v="1.238E9"/>
        <n v="1.144E9"/>
        <n v="1.205E9"/>
        <n v="1.989E9"/>
        <n v="1.968E9"/>
        <n v="2.348E9"/>
        <n v="2.103E9"/>
        <n v="2.21425E8"/>
        <n v="1.91653E8"/>
        <n v="2.15448E8"/>
        <n v="1.99265E8"/>
        <n v="8.5691E7"/>
        <n v="8.0865E7"/>
        <n v="7.8695E7"/>
        <n v="7.2748E7"/>
        <n v="6.373E8"/>
        <n v="5.95E8"/>
        <n v="8.132E8"/>
        <n v="5.731E8"/>
        <n v="4.6E8"/>
        <n v="4.74E8"/>
        <n v="4.61E8"/>
        <n v="2.461E9"/>
        <n v="2.39E9"/>
        <n v="2.449E9"/>
        <n v="2.493E9"/>
        <n v="1.062E9"/>
        <n v="8.6E8"/>
        <n v="8.5E8"/>
        <n v="1.722E9"/>
        <n v="1.421E9"/>
        <n v="7.79E8"/>
        <n v="7.12E8"/>
        <n v="1.079E9"/>
        <n v="3.52E8"/>
        <n v="3.66E8"/>
        <n v="3.48E8"/>
        <n v="2.02E8"/>
        <n v="3.8405E7"/>
        <n v="4.4959E7"/>
        <n v="3.1053E7"/>
        <n v="2.7862E7"/>
        <n v="1.121E9"/>
        <n v="1.019E9"/>
        <n v="9.76E8"/>
        <n v="9.84E8"/>
        <n v="1.866E9"/>
        <n v="1.667E9"/>
        <n v="2.48E9"/>
        <n v="1.694E9"/>
        <n v="3.46E8"/>
        <n v="3.25E8"/>
        <n v="3.39E8"/>
        <n v="5.12E8"/>
        <n v="1.9E8"/>
        <n v="1.69E8"/>
        <n v="1.517E8"/>
        <n v="1.789E8"/>
        <n v="1.18216E8"/>
        <n v="1.24516E8"/>
        <n v="1.1813E8"/>
        <n v="1.25183E8"/>
        <n v="1.763E8"/>
        <n v="1.72778E8"/>
        <n v="1.95766E8"/>
        <n v="1.59666E8"/>
        <n v="4.94E8"/>
        <n v="4.46E8"/>
        <n v="4.62E8"/>
        <n v="3.44E8"/>
        <n v="3.84E8"/>
        <n v="3.45E8"/>
        <n v="3.58E9"/>
        <n v="3.414E9"/>
        <n v="3.579E9"/>
        <n v="3.145E9"/>
        <n v="1.129E9"/>
        <n v="1.12E9"/>
        <n v="1.147E9"/>
        <n v="1.137E9"/>
        <n v="5.54069E8"/>
        <n v="5.56128E8"/>
        <n v="4.788E8"/>
        <n v="4.90208E8"/>
        <n v="4.17E8"/>
        <n v="7.76E8"/>
        <n v="8.74E8"/>
        <n v="6.37E8"/>
        <n v="1.862E8"/>
        <n v="1.72E8"/>
        <n v="1.648E8"/>
        <n v="1.64E8"/>
        <n v="1.004E9"/>
        <n v="1.276E9"/>
        <n v="9.33E8"/>
        <n v="1.02E9"/>
        <n v="1.136E8"/>
        <n v="1.12E8"/>
        <n v="9.74E7"/>
        <n v="9.58E7"/>
        <n v="9.57216E8"/>
        <n v="8.28327E8"/>
        <n v="8.7605E8"/>
        <n v="7.54527E8"/>
        <n v="5.129E8"/>
        <n v="4.718E8"/>
        <n v="5.487E8"/>
        <n v="4.992E8"/>
        <n v="1.23E8"/>
        <n v="9.9E7"/>
        <n v="7.8E7"/>
        <n v="2.642E9"/>
        <n v="2.232E9"/>
        <n v="2.265E9"/>
        <n v="2.943E9"/>
        <n v="-2000000.0"/>
        <n v="2.6E7"/>
        <n v="1.072E8"/>
        <n v="8.74E7"/>
        <n v="8.06E7"/>
        <n v="7.75E7"/>
        <n v="7.65384E8"/>
        <n v="7.14541E8"/>
        <n v="7.28063E8"/>
        <n v="7.42218E8"/>
        <n v="6.0E7"/>
        <n v="5.5E7"/>
        <n v="5.1E7"/>
        <n v="1.54756E8"/>
        <n v="1.4789E8"/>
        <n v="1.43735E8"/>
        <n v="1.28575E8"/>
        <n v="1.857E9"/>
        <n v="1.972E9"/>
        <n v="1.708E9"/>
        <n v="1.291E9"/>
        <n v="9.18E8"/>
        <n v="6.83E8"/>
        <n v="7.33E8"/>
        <n v="-3.613E9"/>
        <n v="6.16E9"/>
        <n v="6.294E9"/>
        <n v="5.629E9"/>
        <n v="5.658E9"/>
        <n v="1.4593E8"/>
        <n v="1.46044E8"/>
        <n v="1.55103E8"/>
        <n v="2.76195E8"/>
        <n v="7.75E8"/>
        <n v="7.44E8"/>
        <n v="8.77E8"/>
        <n v="3.188E8"/>
        <n v="2.915E8"/>
        <n v="2.673E8"/>
        <n v="3.888E8"/>
        <n v="3.0E9"/>
        <n v="3.3E9"/>
        <n v="3.71E9"/>
        <n v="3.207E9"/>
        <n v="5.08655E8"/>
        <n v="4.9749E8"/>
        <n v="4.83048E8"/>
        <n v="4.67012E8"/>
        <n v="2.92E9"/>
        <n v="2.761E9"/>
        <n v="2.757E9"/>
        <n v="2.704E9"/>
        <n v="8.775E9"/>
        <n v="8.699E9"/>
        <n v="8.352E9"/>
        <n v="8.299E9"/>
        <n v="9.29E8"/>
        <n v="9.46E8"/>
        <n v="9.35E8"/>
        <n v="9.17E8"/>
        <n v="4.00214E8"/>
        <n v="3.72774E8"/>
        <n v="4.07709E8"/>
        <n v="3.8025E8"/>
        <n v="4.91E8"/>
        <n v="4.4E8"/>
        <n v="4.58E8"/>
        <n v="3.685E8"/>
        <n v="3.923E8"/>
        <n v="3.94E8"/>
        <n v="3.885E8"/>
        <n v="-4.0E7"/>
        <n v="-4.1E7"/>
        <n v="-2.8E7"/>
        <n v="2.944E9"/>
        <n v="2.609E9"/>
        <n v="2.566E9"/>
        <n v="2.467E9"/>
        <n v="8.27E8"/>
        <n v="8.97E8"/>
        <n v="8.04E8"/>
        <n v="1.586E9"/>
        <n v="1.623E9"/>
        <n v="1.654E9"/>
        <n v="1.533E9"/>
        <n v="1.04E10"/>
        <n v="9.885E9"/>
        <n v="1.11E10"/>
        <n v="9.571E9"/>
        <n v="4.42E8"/>
        <n v="4.41E8"/>
        <n v="4.15E8"/>
        <n v="2.793E8"/>
        <n v="3.328E8"/>
        <n v="2.703E8"/>
        <n v="4.09E8"/>
        <n v="1.56E8"/>
        <n v="2.74E8"/>
        <n v="1.88E8"/>
        <n v="1.15E8"/>
        <n v="-7.9E7"/>
        <n v="9.4E7"/>
        <n v="4.842E8"/>
        <n v="3.784E8"/>
        <n v="4.536E8"/>
        <n v="4.47E8"/>
        <n v="6.1585E7"/>
        <n v="5.7719E7"/>
        <n v="5.7216E7"/>
        <n v="1.2002E7"/>
        <n v="3.72E8"/>
        <n v="4.55E8"/>
        <n v="6.7E8"/>
        <n v="4.08E8"/>
        <n v="6.31E8"/>
        <n v="5.632E9"/>
        <n v="4.189E9"/>
        <n v="4.342E9"/>
        <n v="4.298E9"/>
        <n v="1.6837E7"/>
        <n v="2.6755E7"/>
        <n v="2.4534E7"/>
        <n v="2.4262E7"/>
        <n v="1.85E8"/>
        <n v="1.54E8"/>
        <n v="6.25E8"/>
        <n v="5.5E8"/>
        <n v="5.59E8"/>
        <n v="5.17E8"/>
        <n v="8.828E9"/>
        <n v="8.881E9"/>
        <n v="9.297E9"/>
        <n v="8.414E9"/>
        <n v="5.287E8"/>
        <n v="4.978E8"/>
        <n v="4.764E8"/>
        <n v="4.907E8"/>
        <n v="1.955E9"/>
        <n v="1.855E9"/>
        <n v="1.9548E9"/>
        <n v="1.7919E9"/>
        <n v="1.611E8"/>
        <n v="9.81E7"/>
        <n v="1.087E8"/>
        <n v="1.168E8"/>
        <n v="2.93095E8"/>
        <n v="2.98091E8"/>
        <n v="2.81426E8"/>
        <n v="3.04519E8"/>
        <n v="7.0E8"/>
        <n v="7.31E8"/>
        <n v="7.63E8"/>
        <n v="2.22E8"/>
        <n v="1.1E8"/>
        <n v="8.4E7"/>
        <n v="3.85E8"/>
        <n v="2.982E8"/>
        <n v="3.406E8"/>
        <n v="2.791E8"/>
        <n v="1.07E8"/>
        <n v="8.2E7"/>
        <n v="7.5E7"/>
        <n v="1.87E8"/>
        <n v="1.886E8"/>
        <n v="1.759E8"/>
        <n v="1.586E8"/>
        <n v="2.5E7"/>
        <n v="2.0E7"/>
        <n v="9.7492E7"/>
        <n v="9.9994E7"/>
        <n v="1.78188E8"/>
        <n v="9.1352E7"/>
        <n v="8.82E8"/>
        <n v="8.66E8"/>
        <n v="8.85E8"/>
        <n v="7.88E8"/>
        <n v="1.047E9"/>
        <n v="8.03E8"/>
        <n v="6.33E8"/>
        <n v="6.35E8"/>
        <n v="5.07909E8"/>
        <n v="4.81686E8"/>
        <n v="4.29261E8"/>
        <n v="5.16648E8"/>
        <n v="1.846818E9"/>
        <n v="1.861771E9"/>
        <n v="1.79511E9"/>
        <n v="1.775608E9"/>
        <n v="1.4471E9"/>
        <n v="1.3942E9"/>
        <n v="1.4235E9"/>
        <n v="1.4191E9"/>
        <n v="-1.14E8"/>
        <n v="-1.24E8"/>
        <n v="-4.86E8"/>
        <n v="3.1E7"/>
        <n v="1.00448E8"/>
        <n v="9.1253E7"/>
        <n v="1.38404E8"/>
        <n v="9.1652E7"/>
        <n v="3.74239E8"/>
        <n v="3.80932E8"/>
        <n v="3.63954E8"/>
        <n v="2.50888E8"/>
        <n v="3.54E8"/>
        <n v="2.91E8"/>
        <n v="4.05E8"/>
        <n v="3000000.0"/>
        <n v="4000000.0"/>
        <n v="8000000.0"/>
        <n v="5000000.0"/>
        <n v="2.4217E7"/>
        <n v="1.3196E7"/>
        <n v="1.1439E7"/>
        <n v="1.1506E7"/>
        <n v="4.44E8"/>
        <n v="5.29E8"/>
        <n v="3.18E8"/>
        <n v="1.65E8"/>
        <n v="1.48E8"/>
        <n v="3.83E8"/>
        <n v="1.35E8"/>
        <n v="7.8E8"/>
        <n v="7.73E8"/>
        <n v="7.6E8"/>
        <n v="8.09E8"/>
        <n v="7.57E8"/>
        <n v="1.057E9"/>
        <n v="8.362E8"/>
        <n v="8.459E8"/>
        <n v="7.946E8"/>
        <n v="7.875E8"/>
        <n v="-3.3E7"/>
        <n v="6.94E8"/>
        <n v="3.745E8"/>
        <n v="3.308E8"/>
        <n v="3.389E8"/>
        <n v="3.072E8"/>
        <n v="3.61E8"/>
        <n v="3.65E8"/>
        <n v="2.89E8"/>
        <n v="1.5026E9"/>
        <n v="1.4966E9"/>
        <n v="1.4551E9"/>
        <n v="1.4127E9"/>
        <n v="1.073E9"/>
        <n v="1.054E9"/>
        <n v="9.98E8"/>
        <n v="3.6645E7"/>
        <n v="2.7023E7"/>
        <n v="2.817E7"/>
        <n v="2.4341E7"/>
        <n v="1.45691E8"/>
        <n v="3.1739E7"/>
        <n v="-1.65327E8"/>
        <n v="7.6341E7"/>
        <n v="1.2E8"/>
        <n v="1.13235E8"/>
        <n v="1.2446E8"/>
        <n v="3.284E8"/>
        <n v="3.088E8"/>
        <n v="3.444E8"/>
        <n v="3.32E8"/>
        <n v="5.07615E8"/>
        <n v="4.84283E8"/>
        <n v="4.80199E8"/>
        <n v="4.52077E8"/>
        <n v="1.4678E7"/>
        <n v="1.5383E7"/>
        <n v="1.1093E7"/>
        <n v="1.0859E7"/>
        <n v="1.2222E7"/>
        <n v="9812000.0"/>
        <n v="2.3144E7"/>
        <n v="1.331E7"/>
        <n v="2.604E9"/>
        <n v="2.05E9"/>
        <n v="2.599E9"/>
        <n v="2.029E9"/>
        <n v="2.19129E8"/>
        <n v="2.03386E8"/>
        <n v="2.5398E8"/>
        <n v="1.66841E8"/>
        <n v="1.6168E7"/>
        <n v="1.2378E7"/>
        <n v="1.1934E7"/>
        <n v="1.0618E7"/>
        <n v="1.48E7"/>
        <n v="1.49E7"/>
        <n v="1.37E7"/>
        <n v="-2.21E7"/>
        <n v="-2.01E7"/>
        <n v="-1.01E7"/>
        <n v="-1.1E7"/>
        <n v="-1.5E7"/>
        <n v="-1.3E7"/>
        <n v="8.2E8"/>
        <n v="6.63E8"/>
        <n v="4.48E8"/>
        <n v="3070000.0"/>
        <n v="4135000.0"/>
        <n v="2945000.0"/>
        <n v="3113000.0"/>
        <n v="2.6341E7"/>
        <n v="2.354E7"/>
        <n v="5.2688E7"/>
        <n v="2.3894E7"/>
        <n v="2.497E9"/>
        <n v="2.767E9"/>
        <n v="2.187E9"/>
        <n v="2.96256E8"/>
        <n v="2.74999E8"/>
        <n v="2.83936E8"/>
        <n v="2.736E8"/>
        <n v="5.215E9"/>
        <n v="4.465E9"/>
        <n v="4.88E9"/>
        <n v="4.473E9"/>
        <n v="3.829E8"/>
        <n v="3.631E8"/>
        <n v="3.547E8"/>
        <n v="3.515E8"/>
        <n v="1.2846E7"/>
        <n v="1.0258E7"/>
        <n v="1.8739E7"/>
        <n v="9308000.0"/>
        <n v="4.28E8"/>
        <n v="9.77E8"/>
        <n v="9.97E8"/>
        <n v="6.61E8"/>
        <n v="6.67E8"/>
        <n v="8.61E8"/>
        <n v="9.26E8"/>
        <n v="8.71E8"/>
        <n v="6.76044E8"/>
        <n v="6.38356E8"/>
        <n v="5.83502E8"/>
        <n v="5.32071E8"/>
        <n v="-1.17E8"/>
        <n v="-2.35E8"/>
        <n v="1.44E9"/>
        <n v="1.367E9"/>
        <n v="1.379E9"/>
        <n v="1.408E9"/>
        <n v="1.78233E8"/>
        <n v="1.60444E8"/>
        <n v="1.38698E8"/>
        <n v="1.3763E8"/>
        <n v="1.61E8"/>
        <n v="1.741E8"/>
        <n v="1.687E8"/>
        <n v="1.733E8"/>
        <n v="1.856E9"/>
        <n v="2.231E9"/>
        <n v="3.304E9"/>
        <n v="1.822E9"/>
        <n v="3.613E8"/>
        <n v="3.36E8"/>
        <n v="3.238E8"/>
        <n v="2.961E8"/>
        <n v="4.571E8"/>
        <n v="4.289E8"/>
        <n v="2.36E7"/>
        <n v="5.631E8"/>
        <n v="3.946E8"/>
        <n v="3.715E8"/>
        <n v="3.632E8"/>
        <n v="3.278E8"/>
        <n v="5.4E8"/>
        <n v="4.37E8"/>
        <n v="3.88E8"/>
        <n v="3.344E8"/>
        <n v="2.882E8"/>
        <n v="2.849E8"/>
        <n v="2.319E8"/>
        <n v="8.7E7"/>
        <n v="1.0E8"/>
        <n v="1.17E8"/>
        <n v="7.2E7"/>
        <n v="1.398E9"/>
        <n v="2.913E9"/>
        <n v="1.449E9"/>
        <n v="2.08698E8"/>
        <n v="1.88683E8"/>
        <n v="2.20045E8"/>
        <n v="4.88496E8"/>
        <n v="4.80755E8"/>
        <n v="5.23375E8"/>
        <n v="5.22708E8"/>
        <n v="1.01323E8"/>
        <n v="9.8719E7"/>
        <n v="9.1962E7"/>
        <n v="9.2308E7"/>
        <n v="4.75E8"/>
        <n v="5.02E8"/>
        <n v="6.14E8"/>
        <n v="4.8E8"/>
        <n v="2.648E9"/>
        <n v="2.659E9"/>
        <n v="2.571E9"/>
        <n v="2.918E9"/>
        <n v="7.897E8"/>
        <n v="6.829E8"/>
        <n v="7.712E8"/>
        <n v="7.029E8"/>
        <n v="1.32E9"/>
        <n v="2.088E9"/>
        <n v="1.23E9"/>
        <n v="1.263673E9"/>
        <n v="1.186966E9"/>
        <n v="1.121115E9"/>
        <n v="1.133851E9"/>
        <n v="1.351E9"/>
        <n v="1.044E9"/>
        <n v="1.576E9"/>
        <n v="1.106E9"/>
        <n v="7.60269E8"/>
        <n v="6.97702E8"/>
        <n v="7.38516E8"/>
        <n v="6.60775E8"/>
        <n v="9800000.0"/>
        <n v="5.963E9"/>
        <n v="6.73E9"/>
        <n v="3.172E9"/>
        <n v="3.72E9"/>
        <n v="4.8E7"/>
        <n v="4.4E7"/>
        <n v="4.576E8"/>
        <n v="4.05334E8"/>
        <n v="4.49694E8"/>
        <n v="4.46355E8"/>
        <n v="4.597E8"/>
        <n v="3.765E8"/>
        <n v="4.72029E8"/>
        <n v="4.62768E8"/>
        <n v="9.23E8"/>
        <n v="2.4088E7"/>
        <n v="2.2439E7"/>
        <n v="2.5507E7"/>
        <n v="2.1661E7"/>
        <n v="6.57992E8"/>
        <n v="6.95331E8"/>
        <n v="5.59636E8"/>
        <n v="4.45793E8"/>
        <n v="3.99E8"/>
        <n v="3.59E8"/>
        <n v="3.28E8"/>
        <n v="1.271E9"/>
        <n v="1.18E9"/>
        <n v="1.142E9"/>
        <n v="1.126E9"/>
        <n v="9.8E7"/>
        <n v="1.27E8"/>
        <n v="6.9E7"/>
        <n v="6.6E7"/>
        <n v="2.204E8"/>
        <n v="2.195E8"/>
        <n v="2.242E8"/>
        <n v="6.409E9"/>
        <n v="6.296E9"/>
        <n v="5.722E9"/>
        <n v="5.663E9"/>
        <n v="8.8E8"/>
        <n v="9.09E8"/>
        <n v="1.041E9"/>
        <n v="8.52E8"/>
        <n v="1.98822E8"/>
        <n v="1.99966E8"/>
        <n v="1.9638E8"/>
        <n v="1.58897E8"/>
        <n v="2.1E7"/>
        <n v="5.8E7"/>
        <n v="7.4E7"/>
        <n v="7.9E7"/>
        <n v="1.441E9"/>
        <n v="1.336E9"/>
        <n v="1.263E9"/>
        <n v="2.007E9"/>
        <n v="3.037E9"/>
        <n v="2.544E9"/>
        <n v="2.354E9"/>
        <n v="7.32E8"/>
        <n v="6.82E8"/>
        <n v="6.59E8"/>
        <n v="6.56E8"/>
        <n v="2.26E8"/>
        <n v="1.91E8"/>
        <n v="5.433E9"/>
        <n v="5.45E9"/>
        <n v="4.919E9"/>
        <n v="1.4468E8"/>
        <n v="1.33796E8"/>
        <n v="1.23935E8"/>
        <n v="1.16858E8"/>
        <n v="1.92358E8"/>
        <n v="1.85581E8"/>
        <n v="1.8563E8"/>
        <n v="2.13233E8"/>
        <n v="2.833E8"/>
        <n v="3.022E8"/>
        <n v="2.962E8"/>
        <n v="2.587E8"/>
        <n v="5.6E8"/>
        <n v="5.53E8"/>
        <n v="5.57E8"/>
        <n v="4.83E8"/>
        <n v="3.74E8"/>
        <n v="3.73E8"/>
        <n v="2.17E8"/>
        <n v="1.77E8"/>
        <n v="1.68859E8"/>
        <n v="1.54144E8"/>
        <n v="1.67228E8"/>
        <n v="1.21025E8"/>
        <n v="2.663E8"/>
        <n v="2.515E8"/>
        <n v="2.452E8"/>
        <n v="2.442E8"/>
        <n v="1.599E9"/>
        <n v="1.328E9"/>
        <n v="1.757E9"/>
        <n v="1.435E9"/>
        <n v="6.47E8"/>
        <n v="6.32E8"/>
        <n v="5.28E8"/>
        <n v="2.14333E8"/>
        <n v="1.8813E8"/>
        <n v="7.14E8"/>
        <n v="8.02E8"/>
        <n v="7.26E8"/>
        <n v="2.94E7"/>
        <n v="2.82E7"/>
        <n v="3.357E8"/>
        <n v="9900000.0"/>
        <n v="1.146E9"/>
        <n v="5.31E8"/>
        <n v="6.17E8"/>
        <n v="3.314E8"/>
        <n v="2.989E8"/>
        <n v="1.278E8"/>
        <n v="1.124E8"/>
        <n v="1.165E8"/>
        <n v="1.053E8"/>
        <n v="4.4686E7"/>
        <n v="4.637E7"/>
        <n v="4.3725E7"/>
        <n v="4.5807E7"/>
        <n v="4.82E8"/>
        <n v="4.64E8"/>
        <n v="2.58723E8"/>
        <n v="2.3644E8"/>
        <n v="2.32095E8"/>
        <n v="2.4031E8"/>
        <n v="8.3013E7"/>
        <n v="8.2921E7"/>
        <n v="9.2439E7"/>
        <n v="7.7306E7"/>
        <n v="5.0259E7"/>
        <n v="4.7408E7"/>
        <n v="4.4167E7"/>
        <n v="4.5226E7"/>
        <n v="5.64711E8"/>
        <n v="5.2075E8"/>
        <n v="3.86419E8"/>
        <n v="3.43176E8"/>
        <n v="3.293E8"/>
        <n v="4.167E8"/>
        <n v="3.744E8"/>
        <n v="5.939E9"/>
        <n v="5.263E9"/>
        <n v="6.714E9"/>
        <n v="5.336E9"/>
        <n v="1.152E9"/>
        <n v="1.274E9"/>
        <n v="1.298E9"/>
        <n v="8.19E8"/>
        <n v="1.6403E10"/>
        <n v="1.7189E10"/>
        <n v="1.4705E10"/>
        <n v="1.4984E10"/>
        <n v="3.288E8"/>
        <n v="3.138E8"/>
        <n v="2.987E8"/>
        <n v="2.891E8"/>
        <n v="7.49E8"/>
        <n v="7.9E8"/>
        <n v="6.69E8"/>
        <n v="9.07E8"/>
        <n v="9.08E8"/>
        <n v="9.13E8"/>
        <n v="2.94E8"/>
        <n v="2.87E8"/>
        <n v="2.41E8"/>
        <n v="8.06E8"/>
        <n v="9.6E8"/>
        <n v="8.17E8"/>
        <n v="2.4754E7"/>
        <n v="2.4478E7"/>
        <n v="1.2201E7"/>
        <n v="2.8795E7"/>
        <n v="1.53E8"/>
        <n v="1.55E8"/>
        <n v="1.93861E8"/>
        <n v="1.8304E8"/>
        <n v="1.81909E8"/>
        <n v="1.72631E8"/>
        <n v="6.22E8"/>
        <n v="8.39E8"/>
        <n v="7.58E9"/>
        <n v="7.256E9"/>
        <n v="5.333E9"/>
        <n v="5.439E9"/>
        <n v="7.13E8"/>
        <n v="6.91E8"/>
        <n v="4.183E8"/>
        <n v="4.955E8"/>
        <n v="4.132E8"/>
        <n v="3.837E8"/>
        <n v="2.17525E8"/>
        <n v="2.03703E8"/>
        <n v="2.18899E8"/>
        <n v="1.89748E8"/>
        <n v="8.55E7"/>
        <n v="9.51E7"/>
        <n v="7.89E7"/>
        <n v="7.41E7"/>
        <n v="2.97E8"/>
        <n v="2.86E8"/>
        <n v="3.13E8"/>
        <n v="3.37E8"/>
        <n v="1.06E8"/>
        <n v="1.032E8"/>
        <n v="9.71E7"/>
        <n v="2.24E8"/>
        <n v="1.59E8"/>
        <n v="2.0E8"/>
        <n v="5.45881E8"/>
        <n v="5.20767E8"/>
        <n v="5.70522E8"/>
        <n v="5.2861E8"/>
        <n v="2.565E9"/>
        <n v="7.38E8"/>
        <n v="7.56E8"/>
        <n v="7.29E8"/>
        <n v="3.56492E8"/>
        <n v="3.50801E8"/>
        <n v="3.26725E8"/>
        <n v="4.37564E8"/>
        <n v="8.57921E8"/>
        <n v="8.15386E8"/>
        <n v="8.17958E8"/>
        <n v="7.40093E8"/>
        <n v="-1.07E8"/>
        <n v="-1.06E8"/>
        <n v="-6.0E7"/>
        <n v="-5.9E7"/>
        <n v="9.14E8"/>
        <n v="8.93E8"/>
        <n v="4.666E9"/>
        <n v="4.494E9"/>
        <n v="3.307E9"/>
        <n v="4.77E9"/>
        <n v="7.35E8"/>
        <n v="3.4E8"/>
        <n v="3.02E8"/>
        <n v="2.98E8"/>
        <n v="6.5665E8"/>
        <n v="7.13245E8"/>
        <n v="6.54539E8"/>
        <n v="6.45914E8"/>
        <n v="5.7E7"/>
        <n v="5.9E7"/>
        <n v="6.81E8"/>
        <n v="5.75E8"/>
        <n v="6.39E8"/>
        <n v="6.79E8"/>
        <n v="2.4784E7"/>
        <n v="2.2082E7"/>
        <n v="2.2543E7"/>
        <n v="2.1171E7"/>
        <n v="2.11E8"/>
        <n v="4.59E8"/>
        <n v="1.31E8"/>
        <n v="1.78E8"/>
        <n v="7.67E7"/>
        <n v="7.36E7"/>
        <n v="8.63E7"/>
        <n v="6.82E7"/>
        <n v="3.53E8"/>
        <n v="1.934E9"/>
        <n v="1.795E9"/>
        <n v="1.859E9"/>
        <n v="1.591E9"/>
        <n v="2.38811E8"/>
        <n v="2.28653E8"/>
        <n v="2.13007E8"/>
        <n v="2.1882E8"/>
        <n v="3.258E8"/>
        <n v="3.552E8"/>
        <n v="3.195E8"/>
        <n v="2.99E8"/>
        <n v="5.724E8"/>
        <n v="4.904E8"/>
        <n v="6.98E8"/>
        <n v="4.547E8"/>
        <n v="2.224E9"/>
        <n v="2.291E9"/>
        <n v="2.237E9"/>
        <n v="2.097E9"/>
        <n v="2.491E9"/>
        <n v="2.51E9"/>
        <n v="2.481E9"/>
        <n v="2.612E9"/>
        <n v="2.144E9"/>
        <n v="2.333E9"/>
        <n v="2.993E9"/>
        <n v="2.109E9"/>
        <n v="2.19215E8"/>
        <n v="2.23208E8"/>
        <n v="2.01873E8"/>
        <n v="1.87182E8"/>
        <n v="6.87079E8"/>
        <n v="6.24444E8"/>
        <n v="6.18495E8"/>
        <n v="6.1373E8"/>
        <n v="1.737E8"/>
        <n v="1.545E8"/>
        <n v="1.45E8"/>
        <n v="2.14E8"/>
        <n v="2.31E8"/>
        <n v="2.16E8"/>
        <n v="7.379E9"/>
        <n v="6.086E9"/>
        <n v="5.35E9"/>
        <n v="1.3114E7"/>
        <n v="1.2979E7"/>
        <n v="1.1677E7"/>
        <n v="1.136E7"/>
        <n v="7.7E7"/>
        <n v="7.899E7"/>
        <n v="4.8541E7"/>
        <n v="4.96302E8"/>
        <n v="4.73252E8"/>
        <n v="4.52079E8"/>
        <n v="4.34691E8"/>
        <n v="6.687E8"/>
        <n v="5.299E8"/>
        <n v="6.407E8"/>
        <n v="6.269E8"/>
        <n v="1.525E9"/>
        <n v="1.515E9"/>
        <n v="1.446E9"/>
        <n v="5.7238E7"/>
        <n v="5.1453E7"/>
        <n v="4.512E7"/>
        <n v="4.3503E7"/>
        <n v="3.10741E8"/>
        <n v="3.00655E8"/>
        <n v="3.82595E8"/>
        <n v="2.77753E8"/>
        <n v="2.93E8"/>
        <n v="3.34E8"/>
        <n v="2.72E8"/>
        <n v="7.208E9"/>
        <n v="7.704E9"/>
        <n v="7.94E9"/>
        <n v="6.595E9"/>
        <n v="3.0E8"/>
        <n v="2.73E8"/>
        <n v="8.8373E7"/>
        <n v="9.1195E7"/>
        <n v="8.5569E7"/>
        <n v="8.0281E7"/>
        <n v="3.62E8"/>
        <n v="3.76E8"/>
        <n v="5.13E8"/>
        <n v="4.99E8"/>
        <n v="4.9E8"/>
        <n v="8.09708E8"/>
        <n v="1.038104E9"/>
        <n v="7.99221E8"/>
        <n v="7.11606E8"/>
        <n v="5.7E8"/>
        <n v="5.33E8"/>
        <n v="4.96E8"/>
        <n v="5.45E8"/>
        <n v="7.1E7"/>
        <n v="6.5E7"/>
        <n v="1.046E9"/>
        <n v="8.48E8"/>
        <n v="-6.4E7"/>
        <n v="-5.1E7"/>
        <n v="-5.0E7"/>
        <n v="2.18E8"/>
        <n v="2.06E8"/>
        <n v="4.51E8"/>
        <n v="3.018E9"/>
        <n v="3.16E9"/>
        <n v="2.835E9"/>
        <n v="3.191E9"/>
        <n v="-8600000.0"/>
        <n v="-8500000.0"/>
        <n v="1.74E7"/>
        <n v="-600000.0"/>
        <n v="1.0622E9"/>
        <n v="1.0537E9"/>
        <n v="1.0355E9"/>
        <n v="9.911E8"/>
        <n v="1.681E9"/>
        <n v="2.01E8"/>
        <n v="1.82E8"/>
        <n v="1.86E8"/>
        <n v="2.03293E8"/>
        <n v="1.86666E8"/>
        <n v="1.56656E8"/>
        <n v="1.31436E8"/>
        <n v="3.3E8"/>
        <n v="2.46E8"/>
        <n v="2.53E8"/>
        <n v="2.08E8"/>
        <n v="3.8707E8"/>
        <n v="2.91124E8"/>
        <n v="1.75078E8"/>
        <n v="1.49113E8"/>
        <n v="5.26E8"/>
        <n v="5.15E8"/>
        <n v="1.13406E8"/>
        <n v="1.21419E8"/>
        <n v="1.12398E8"/>
        <n v="1.05741E8"/>
        <n v="2.34E8"/>
        <n v="2.15E8"/>
        <n v="9.4969E8"/>
        <n v="6.31466E8"/>
        <n v="9.55455E8"/>
        <n v="9.0069E8"/>
        <n v="2.09E8"/>
        <n v="5.2986E7"/>
        <n v="4.941E7"/>
        <n v="4.409E7"/>
        <n v="3.319E7"/>
        <n v="7.16E7"/>
        <n v="1.013E8"/>
        <n v="2.31226E8"/>
        <n v="2.19101E8"/>
        <n v="2.121E8"/>
        <n v="2.27019E8"/>
        <n v="2.152E9"/>
        <n v="2.382E9"/>
        <n v="2.245E9"/>
        <n v="2.16E9"/>
        <n v="4.16E8"/>
        <n v="3.82E8"/>
        <n v="3.17E8"/>
        <n v="4.77E8"/>
        <n v="4.85E8"/>
        <n v="4.81E8"/>
        <n v="1.152E8"/>
        <n v="1.132E8"/>
        <n v="1.098E8"/>
        <n v="1.207E8"/>
        <n v="1.395E8"/>
        <n v="1.413E8"/>
        <n v="1.402E8"/>
        <n v="1.297E8"/>
        <n v="3.90633E8"/>
        <n v="4.21864E8"/>
        <n v="3.92824E8"/>
        <n v="3.63184E8"/>
        <n v="3.275E8"/>
        <n v="3.596E8"/>
        <n v="3.147E8"/>
        <n v="3.095E8"/>
        <n v="1.29725E8"/>
        <n v="1.22042E8"/>
        <n v="1.08952E8"/>
        <n v="1.19201E8"/>
        <n v="1.15E9"/>
        <n v="1.174E9"/>
        <n v="3.627E8"/>
        <n v="3.261E8"/>
        <n v="3.008E8"/>
        <n v="1.416E8"/>
        <n v="1.521E8"/>
        <n v="1.355E8"/>
        <n v="1.423E8"/>
        <n v="2.525E8"/>
        <n v="2.619E8"/>
        <n v="2.57E8"/>
        <n v="2.329E8"/>
        <n v="7.464E9"/>
        <n v="7.049E9"/>
        <n v="5.852E9"/>
        <n v="8.492E9"/>
        <n v="2.86097E8"/>
        <n v="2.67182E8"/>
        <n v="2.3777E8"/>
        <n v="2.8197E8"/>
        <n v="1.6E9"/>
        <n v="2.552E9"/>
        <n v="2.385E9"/>
        <n v="3.481E9"/>
        <n v="2.037E9"/>
        <n v="2.041E9"/>
        <n v="1.829E9"/>
        <n v="1.9E9"/>
        <n v="1.59E9"/>
        <n v="1.608E9"/>
        <n v="1.788E9"/>
        <n v="1.612E9"/>
        <n v="7.9553E7"/>
        <n v="-2.8175E7"/>
        <n v="-2.7791E7"/>
        <n v="-1.85105E8"/>
        <n v="6.8E7"/>
        <n v="6.4E7"/>
        <n v="2.692E9"/>
        <n v="2.257E9"/>
        <n v="2.03E9"/>
        <n v="2.096E9"/>
        <n v="2.06023E8"/>
        <n v="2.13099E8"/>
        <n v="1.721E8"/>
        <n v="1.64745E8"/>
        <n v="9.55E8"/>
        <n v="8.91E8"/>
        <n v="9.16E8"/>
        <n v="-8000000.0"/>
        <n v="-4000000.0"/>
        <n v="1.1965E9"/>
        <n v="1.2651E9"/>
        <n v="1.2017E9"/>
        <n v="1.1618E9"/>
        <n v="5.012E9"/>
        <n v="4.616E9"/>
        <n v="5.402E9"/>
        <n v="5.112E9"/>
        <n v="6.697E7"/>
        <n v="7.4342E7"/>
        <n v="7.8032E7"/>
        <n v="6.6144E7"/>
        <n v="3.386E9"/>
        <n v="3.314E9"/>
        <n v="3.719E9"/>
        <n v="1.77887E8"/>
        <n v="1.80878E8"/>
        <n v="1.79673E8"/>
        <n v="1.70337E8"/>
        <n v="-8.2E7"/>
        <n v="-6.3E7"/>
        <n v="3.1682E7"/>
        <n v="2.764E7"/>
        <n v="1.8374E7"/>
        <n v="2.0453E7"/>
        <n v="3.20506E8"/>
        <n v="2.72286E8"/>
        <n v="2.71686E8"/>
        <n v="2.79757E8"/>
        <n v="1.048E9"/>
        <n v="9.841E8"/>
        <n v="1.1112E9"/>
        <n v="9.829E8"/>
        <n v="9.3489E7"/>
        <n v="9.0299E7"/>
        <n v="7.8123E7"/>
        <n v="9.3139E7"/>
        <n v="6.18E8"/>
        <n v="5.67E8"/>
        <n v="2.74846E8"/>
        <n v="2.7011E8"/>
        <n v="2.43352E8"/>
        <n v="2.65775E8"/>
        <n v="4.21E8"/>
        <n v="3.97E8"/>
        <n v="4.36E8"/>
        <n v="7.551E8"/>
        <n v="6.774E8"/>
        <n v="9.017E8"/>
        <n v="6.873E8"/>
        <n v="1.902E9"/>
        <n v="1.776E9"/>
        <n v="1.75E9"/>
        <n v="1.61E9"/>
        <n v="7.23E8"/>
        <n v="6.89E8"/>
        <n v="1.065E9"/>
        <n v="2.3813E7"/>
        <n v="2.1849E7"/>
        <n v="2.0796E7"/>
        <n v="1.6674E7"/>
        <n v="1.7789E7"/>
        <n v="1.9187E7"/>
        <n v="2.1287E7"/>
        <n v="2.0512E7"/>
        <n v="4.147E8"/>
        <n v="4.056E8"/>
        <n v="3.985E8"/>
        <n v="7.4E8"/>
        <n v="2.995E8"/>
        <n v="2.654E8"/>
        <n v="3.437E8"/>
        <n v="1.76719E8"/>
        <n v="1.81483E8"/>
        <n v="1.60446E8"/>
        <n v="1.6947E8"/>
        <n v="4.95576E8"/>
        <n v="4.88093E8"/>
        <n v="4.23062E8"/>
        <n v="4.25162E8"/>
        <n v="4.627E8"/>
        <n v="4.716E8"/>
        <n v="4.288E8"/>
        <n v="1.94261E8"/>
        <n v="1.83482E8"/>
        <n v="1.62208E8"/>
        <n v="1.59086E8"/>
        <n v="5.926E8"/>
        <n v="5.933E8"/>
        <n v="1.534E8"/>
        <n v="7.17788E8"/>
        <n v="6.75053E8"/>
        <n v="1.291999E9"/>
        <n v="8.77857E8"/>
        <n v="3.30472E8"/>
        <n v="2.90369E8"/>
        <n v="2.63171E8"/>
        <n v="2.51349E8"/>
        <n v="3.58E8"/>
        <n v="3.1E8"/>
        <n v="3.321E9"/>
        <n v="3.103E9"/>
        <n v="3.206E9"/>
        <n v="2.899E9"/>
        <n v="5.0771E7"/>
        <n v="5.371E7"/>
        <n v="5.1381E7"/>
        <n v="4.7192E7"/>
        <n v="8.0E7"/>
        <n v="8.1E7"/>
        <n v="1.33E8"/>
        <n v="1.36E8"/>
        <n v="1.26E8"/>
        <n v="1.22E8"/>
        <n v="1.896E8"/>
        <n v="1.906E8"/>
        <n v="1.877E8"/>
        <n v="1.95E8"/>
        <n v="1.5E7"/>
        <n v="-2.9E7"/>
        <n v="7.3E8"/>
        <n v="6.96E8"/>
        <n v="6.5E8"/>
        <n v="6.68999E8"/>
        <n v="1.37E9"/>
        <n v="1.4389E9"/>
        <n v="1.3268E9"/>
        <n v="1.465E9"/>
        <n v="9.4211E7"/>
        <n v="7.4518E7"/>
        <n v="7.2061E7"/>
        <n v="8.426E7"/>
        <n v="1.005E8"/>
        <n v="8.51E7"/>
        <n v="7.02E7"/>
        <n v="6.66E7"/>
        <n v="3.156E8"/>
        <n v="3.222E8"/>
        <n v="3.089E8"/>
        <n v="2.945E8"/>
        <n v="-1.42E8"/>
        <n v="-1.43E8"/>
        <n v="-1.04E8"/>
        <n v="1.68E8"/>
        <n v="8.789E8"/>
        <n v="8.274E8"/>
        <n v="8.353E8"/>
        <n v="6.953E8"/>
        <n v="4.949E8"/>
        <n v="4.644E8"/>
        <n v="4.721E8"/>
        <n v="4.39E8"/>
        <n v="1.789E9"/>
        <n v="1.579E9"/>
        <n v="2.52756E8"/>
        <n v="1.9942E8"/>
        <n v="1.7081E8"/>
        <n v="1.71572E8"/>
        <n v="1.505E9"/>
        <n v="1.394E9"/>
        <n v="1.284E9"/>
        <n v="1.188E9"/>
        <n v="5.81082E8"/>
        <n v="5.54026E8"/>
        <n v="4.46535E8"/>
        <n v="4.3317E8"/>
        <n v="7.99E8"/>
        <n v="2.55274E8"/>
        <n v="2.45448E8"/>
        <n v="2.48116E8"/>
        <n v="2.56295E8"/>
        <n v="1.908018E9"/>
        <n v="1.923229E9"/>
        <n v="1.784838E9"/>
        <n v="1.589107E9"/>
        <n v="4.572E9"/>
        <n v="4.66E9"/>
        <n v="4.607E9"/>
        <n v="4.67E9"/>
        <n v="2.314E8"/>
        <n v="2.235E8"/>
        <n v="2.218E8"/>
        <n v="2.043E8"/>
        <n v="2.40401E8"/>
        <n v="2.06298E8"/>
        <n v="2.05062E8"/>
        <n v="2.38489E8"/>
        <n v="8.855E8"/>
        <n v="7.626E8"/>
        <n v="6.014E8"/>
        <n v="4.802E9"/>
        <n v="4.462E9"/>
        <n v="5.446E9"/>
        <n v="4.644E9"/>
        <n v="2.237E8"/>
        <n v="1.683E8"/>
        <n v="1.582E8"/>
        <n v="2.24159E8"/>
        <n v="1.96794E8"/>
        <n v="2.09885E8"/>
        <n v="1.71673E8"/>
        <n v="1.40187E8"/>
        <n v="1.29797E8"/>
        <n v="1.35525E8"/>
        <n v="1.1584E8"/>
        <n v="1.056E9"/>
        <n v="9.69E8"/>
        <n v="9.31E8"/>
        <n v="4.35E8"/>
        <n v="3.64E8"/>
        <n v="2.58E8"/>
        <n v="2.64E8"/>
        <n v="2.37E8"/>
        <n v="2.938E8"/>
        <n v="2.576E8"/>
        <n v="2.642E8"/>
        <n v="1.202E9"/>
        <n v="1.087E9"/>
        <n v="4.68647E8"/>
        <n v="4.94183E8"/>
        <n v="5.04428E8"/>
        <n v="4.73395E8"/>
        <n v="1.076E8"/>
        <n v="1.017E8"/>
        <n v="1.109E8"/>
        <n v="9.76E7"/>
        <n v="1.163E9"/>
        <n v="1.109E9"/>
        <n v="3.149E9"/>
        <n v="2.95E9"/>
        <n v="2.833E9"/>
        <n v="2.452E9"/>
        <n v="1.941E9"/>
        <n v="1.808E9"/>
        <n v="1.647E9"/>
        <n v="2.064992E9"/>
        <n v="5.610468E9"/>
        <n v="1.986128E9"/>
        <n v="1.527768E9"/>
        <n v="7.23749E8"/>
        <n v="6.9319E8"/>
        <n v="6.43522E8"/>
        <n v="6.21129E8"/>
        <n v="6.178E8"/>
        <n v="5.972E8"/>
        <n v="5.634E8"/>
        <n v="5.668E8"/>
        <n v="1.67E8"/>
        <n v="2.248E8"/>
        <n v="2.078E8"/>
        <n v="1.801E8"/>
        <n v="3.211E9"/>
        <n v="3.14E9"/>
        <n v="3.156E9"/>
        <n v="3.093E9"/>
        <n v="4.43384E8"/>
        <n v="3.52119E8"/>
        <n v="2.06403E8"/>
        <n v="3.09861E8"/>
        <n v="7.7961E7"/>
        <n v="6.2736E7"/>
        <n v="6.6819E7"/>
        <n v="6.2521E7"/>
        <n v="5.62E8"/>
        <n v="5.34E8"/>
        <n v="3.024E9"/>
        <n v="2.878E9"/>
        <n v="2.876E9"/>
        <n v="4.65347E8"/>
        <n v="4.46214E8"/>
        <n v="8.47035E8"/>
        <n v="4.16378E8"/>
        <n v="5.45503E8"/>
        <n v="5.16138E8"/>
        <n v="5.81178E8"/>
        <n v="5.55049E8"/>
        <n v="1.39E8"/>
        <n v="8.5E7"/>
        <n v="5.3E7"/>
        <n v="3.01E8"/>
        <n v="2.5E8"/>
        <n v="2.32E8"/>
        <n v="1.0359E10"/>
        <n v="1.0223E10"/>
        <n v="1.1514E10"/>
        <n v="1.0174E10"/>
        <n v="2.9149E7"/>
        <n v="3.1324E7"/>
        <n v="3.1092E7"/>
        <n v="2.8488E7"/>
        <n v="1.94E8"/>
        <n v="3.0588E7"/>
        <n v="4.0309E7"/>
        <n v="2.3411E7"/>
        <n v="3.4228E7"/>
        <n v="4.8822E7"/>
        <n v="4.5935E7"/>
        <n v="5.0401E7"/>
        <n v="4.6498E7"/>
        <n v="1.135E8"/>
        <n v="1.193E8"/>
        <n v="1.074E8"/>
        <n v="9.59E7"/>
        <n v="6.973E9"/>
        <n v="6.822E9"/>
        <n v="7.951E9"/>
        <n v="7.043E9"/>
        <n v="1.94669E8"/>
        <n v="1.92077E8"/>
        <n v="2.11843E8"/>
        <n v="1.84551E8"/>
        <n v="1.099034E9"/>
        <n v="1.155947E9"/>
        <n v="1.195245E9"/>
        <n v="9.9796E8"/>
        <n v="1.434E9"/>
        <n v="1.391E9"/>
        <n v="1.24E9"/>
        <n v="9.814E8"/>
        <n v="9.687E8"/>
        <n v="1.3587E9"/>
        <n v="6.152E8"/>
        <n v="1.678E9"/>
        <n v="1.613E9"/>
        <n v="1.472E9"/>
        <n v="1.537E9"/>
        <n v="3.0602E7"/>
        <n v="4.4186E7"/>
        <n v="3.9122E7"/>
        <n v="3.2407E7"/>
        <n v="1.02338E8"/>
        <n v="9.0264E7"/>
        <n v="1.00205E8"/>
        <n v="8.5805E7"/>
        <n v="1.1429E7"/>
        <n v="1.1264E7"/>
        <n v="1.1161E7"/>
        <n v="1.1016E7"/>
        <n v="6.55E8"/>
        <n v="2.217E8"/>
        <n v="2.323E8"/>
        <n v="2.382E8"/>
        <n v="1.875E8"/>
        <n v="5.997E9"/>
        <n v="5.82E9"/>
        <n v="6.283E9"/>
        <n v="6.307E9"/>
        <n v="2.8511E10"/>
        <n v="2.8129E10"/>
        <n v="3.0331E10"/>
        <n v="2.7991E10"/>
        <n v="3.6E8"/>
        <n v="1.58163E8"/>
        <n v="1.43145E8"/>
        <n v="1.53179E8"/>
        <n v="1.29625E8"/>
        <n v="-2.13E7"/>
        <n v="-2.33E7"/>
        <n v="1200000.0"/>
        <n v="-1.18E7"/>
        <n v="1.195E10"/>
        <n v="1.265E10"/>
        <n v="1.2641E10"/>
        <n v="1.2461E10"/>
        <n v="3.1436E7"/>
        <n v="2.9926E7"/>
        <n v="2.7848E7"/>
        <n v="3.1003E7"/>
        <n v="9.14E7"/>
        <n v="7.92E7"/>
        <n v="7.53E7"/>
        <n v="7.59E7"/>
        <n v="2.65E8"/>
        <n v="2.56E8"/>
        <n v="2.68E8"/>
        <n v="2.828E8"/>
        <n v="2.743E8"/>
        <n v="2.786E8"/>
        <n v="2.462E8"/>
        <n v="4.234E8"/>
        <n v="3.651E8"/>
        <n v="3.645E8"/>
        <n v="1.18E8"/>
        <n v="5.56E8"/>
        <n v="5.01E8"/>
        <n v="1.13E8"/>
        <n v="1.97545E8"/>
        <n v="1.79774E8"/>
        <n v="1.73544E8"/>
        <n v="1.60896E8"/>
        <n v="5.6E7"/>
        <n v="1.2492E8"/>
        <n v="1.27872E8"/>
        <n v="1.36701E8"/>
        <n v="1.13793E8"/>
        <n v="2.96E8"/>
        <n v="2.69E8"/>
        <n v="2.28E8"/>
        <n v="2.4E8"/>
        <n v="8.12E8"/>
        <n v="7.655E8"/>
        <n v="8.072E8"/>
        <n v="7.723E8"/>
        <n v="3.78E8"/>
        <n v="3.63E8"/>
        <n v="4.95E8"/>
        <n v="5.18E8"/>
        <n v="4.19E8"/>
      </sharedItems>
    </cacheField>
    <cacheField name="Gross Profit" numFmtId="0">
      <sharedItems containsSemiMixedTypes="0" containsString="0" containsNumber="1" containsInteger="1">
        <n v="4.089E9"/>
        <n v="4.231E9"/>
        <n v="4.327E9"/>
        <n v="4.246E9"/>
        <n v="3.403E8"/>
        <n v="3.214E8"/>
        <n v="2.886E8"/>
        <n v="3.241E8"/>
        <n v="6.505E9"/>
        <n v="5.786E9"/>
        <n v="6.056E9"/>
        <n v="6.207E9"/>
        <n v="9.998E9"/>
        <n v="9.461E9"/>
        <n v="8.818E9"/>
        <n v="1.0448E10"/>
        <n v="2.04256E8"/>
        <n v="2.07397E8"/>
        <n v="1.95167E8"/>
        <n v="1.90553E8"/>
        <n v="4.466216E9"/>
        <n v="4.404384E9"/>
        <n v="3.595232E9"/>
        <n v="3.898296E9"/>
        <n v="1.543E9"/>
        <n v="1.741E9"/>
        <n v="1.697E9"/>
        <n v="1.595E9"/>
        <n v="1.326E9"/>
        <n v="1.463E9"/>
        <n v="1.548E9"/>
        <n v="1.352E9"/>
        <n v="3.468E9"/>
        <n v="3.391E9"/>
        <n v="3.458E9"/>
        <n v="2.996E9"/>
        <n v="1.189416E9"/>
        <n v="1.487229E9"/>
        <n v="1.3383225E9"/>
        <n v="2.086E9"/>
        <n v="1.83E9"/>
        <n v="1.587E9"/>
        <n v="1.451E9"/>
        <n v="7.6E8"/>
        <n v="7.28E8"/>
        <n v="6.64E8"/>
        <n v="7.24E8"/>
        <n v="2.039E9"/>
        <n v="2.316E9"/>
        <n v="2.497E9"/>
        <n v="8.52E8"/>
        <n v="8.17E8"/>
        <n v="8.38E8"/>
        <n v="7.88E8"/>
        <n v="8.348E8"/>
        <n v="8.028E8"/>
        <n v="7.565E8"/>
        <n v="7.428E8"/>
        <n v="5.43467E8"/>
        <n v="5.32824E8"/>
        <n v="5.36021E8"/>
        <n v="5.4244E8"/>
        <n v="2.49273E8"/>
        <n v="2.48417E8"/>
        <n v="2.63687E8"/>
        <n v="2.6672E8"/>
        <n v="5.62E8"/>
        <n v="2.46E8"/>
        <n v="-3.12E8"/>
        <n v="-2.13E8"/>
        <n v="3.84855E8"/>
        <n v="3.68273E8"/>
        <n v="3.45498E8"/>
        <n v="3.30546E8"/>
        <n v="7.55156E8"/>
        <n v="7.58538E8"/>
        <n v="6.77098E8"/>
        <n v="6.10463E8"/>
        <n v="3.005E8"/>
        <n v="3.205E8"/>
        <n v="2.974E8"/>
        <n v="3.207E8"/>
        <n v="4.8E8"/>
        <n v="3.67E8"/>
        <n v="3.88E8"/>
        <n v="2.99E8"/>
        <n v="2.357E9"/>
        <n v="3.642E9"/>
        <n v="4.643E9"/>
        <n v="4.59E9"/>
        <n v="3.5653E10"/>
        <n v="3.1211E10"/>
        <n v="3.0818E10"/>
        <n v="2.5056E10"/>
        <n v="3.732E9"/>
        <n v="3.273E9"/>
        <n v="3.166E9"/>
        <n v="3.718E9"/>
        <n v="4.8904E10"/>
        <n v="4.6115E10"/>
        <n v="4.6271E10"/>
        <n v="3.9039E10"/>
        <n v="7.45E8"/>
        <n v="6.82E8"/>
        <n v="6.51E8"/>
        <n v="6.54E8"/>
        <n v="6.93E8"/>
        <n v="7.25E8"/>
        <n v="5.98E8"/>
        <n v="8.95E8"/>
        <n v="7.87E8"/>
        <n v="-1.806E9"/>
        <n v="-9.23E8"/>
        <n v="-2.489E9"/>
        <n v="1.8713E9"/>
        <n v="1.8531E9"/>
        <n v="1.5759E9"/>
        <n v="1.9255E9"/>
        <n v="7.705E9"/>
        <n v="7.179E9"/>
        <n v="6.859E9"/>
        <n v="5.823E9"/>
        <n v="2.662E9"/>
        <n v="7.198E9"/>
        <n v="1.491E9"/>
        <n v="2.504E9"/>
        <n v="1.651E9"/>
        <n v="1.5842E9"/>
        <n v="1.5499E9"/>
        <n v="1.4503E9"/>
        <n v="5.68E8"/>
        <n v="4.69E8"/>
        <n v="4.94E8"/>
        <n v="6.6E8"/>
        <n v="1.72E9"/>
        <n v="1.522E9"/>
        <n v="1.183E9"/>
        <n v="7.96E8"/>
        <n v="1.888206E9"/>
        <n v="1.533381E9"/>
        <n v="1.45223E9"/>
        <n v="1.346317E9"/>
        <n v="4.73634E8"/>
        <n v="4.2635E8"/>
        <n v="4.28979E8"/>
        <n v="3.94237E8"/>
        <n v="4.889E9"/>
        <n v="4.411E9"/>
        <n v="5.037E9"/>
        <n v="4.862E9"/>
        <n v="7.275E8"/>
        <n v="7.656E8"/>
        <n v="7.349E8"/>
        <n v="6.038E8"/>
        <n v="1.221184E9"/>
        <n v="1.136637E9"/>
        <n v="1.045371E9"/>
        <n v="1.023084E9"/>
        <n v="3.97521E8"/>
        <n v="3.16072E8"/>
        <n v="5.67198E8"/>
        <n v="3.23491E8"/>
        <n v="9.177E9"/>
        <n v="9.088E9"/>
        <n v="8.686E9"/>
        <n v="7.737E9"/>
        <n v="1.266E9"/>
        <n v="1.812E9"/>
        <n v="1.333E9"/>
        <n v="1.002E9"/>
        <n v="1.196E9"/>
        <n v="1.116E9"/>
        <n v="7.46E8"/>
        <n v="7.32E8"/>
        <n v="3.5255E10"/>
        <n v="3.8079E10"/>
        <n v="4.4328E10"/>
        <n v="2.4689E10"/>
        <n v="2.967E9"/>
        <n v="2.653E9"/>
        <n v="2.361E9"/>
        <n v="2.13E9"/>
        <n v="6.02E8"/>
        <n v="7.27E8"/>
        <n v="8.12E8"/>
        <n v="6.74E8"/>
        <n v="4.54178E8"/>
        <n v="4.25272E8"/>
        <n v="4.14584E8"/>
        <n v="3.84962E8"/>
        <n v="6.869E8"/>
        <n v="8.413E8"/>
        <n v="5.696E8"/>
        <n v="6.141E8"/>
        <n v="3.014E8"/>
        <n v="2.612E8"/>
        <n v="3.294E8"/>
        <n v="1.945E8"/>
        <n v="2.2946E10"/>
        <n v="2.2852E10"/>
        <n v="2.2781E10"/>
        <n v="2.2501E10"/>
        <n v="3.34213E8"/>
        <n v="5.88889E8"/>
        <n v="4.87577E8"/>
        <n v="2.76811E8"/>
        <n v="9.681E8"/>
        <n v="9.069E8"/>
        <n v="9.573E8"/>
        <n v="8.765E8"/>
        <n v="1.631E9"/>
        <n v="1.9239E9"/>
        <n v="1.6734E9"/>
        <n v="1.5399E9"/>
        <n v="2.567839E9"/>
        <n v="1.914946E9"/>
        <n v="1.559383E9"/>
        <n v="1.675617E9"/>
        <n v="3.47692E8"/>
        <n v="3.42152E8"/>
        <n v="3.37684E8"/>
        <n v="3.59605E8"/>
        <n v="5.763E8"/>
        <n v="5.97E8"/>
        <n v="5.711E8"/>
        <n v="4.842E8"/>
        <n v="1.01E9"/>
        <n v="9.76E8"/>
        <n v="8.58E8"/>
        <n v="1.037E9"/>
        <n v="6.99E8"/>
        <n v="6.32E8"/>
        <n v="6.63E8"/>
        <n v="2.339E10"/>
        <n v="2.3087E10"/>
        <n v="2.4681E10"/>
        <n v="2.0046E10"/>
        <n v="1.498E9"/>
        <n v="1.414E9"/>
        <n v="3.069E9"/>
        <n v="1.359E9"/>
        <n v="1.254E9"/>
        <n v="1.174E9"/>
        <n v="1.26E9"/>
        <n v="1.209E9"/>
        <n v="2.161E9"/>
        <n v="2.283E9"/>
        <n v="2.766E9"/>
        <n v="2.509E9"/>
        <n v="2.81E9"/>
        <n v="2.709E9"/>
        <n v="3.53E9"/>
        <n v="2.831E9"/>
        <n v="4.02698E8"/>
        <n v="4.24527E8"/>
        <n v="4.58255E8"/>
        <n v="3.67311E8"/>
        <n v="1.77509E8"/>
        <n v="1.68274E8"/>
        <n v="1.50923E8"/>
        <n v="1.37731E8"/>
        <n v="2.3153E9"/>
        <n v="2.2159E9"/>
        <n v="2.362E9"/>
        <n v="2.927E9"/>
        <n v="2.429E9"/>
        <n v="2.164E9"/>
        <n v="2.349E9"/>
        <n v="2.245E9"/>
        <n v="4.08E9"/>
        <n v="4.046E9"/>
        <n v="4.004E9"/>
        <n v="3.828E9"/>
        <n v="2.925E9"/>
        <n v="1.977E9"/>
        <n v="-4.062E9"/>
        <n v="1.474E9"/>
        <n v="5.89E8"/>
        <n v="7.47E8"/>
        <n v="2.123E9"/>
        <n v="7.62E8"/>
        <n v="8.18E8"/>
        <n v="7.72E8"/>
        <n v="5.17E8"/>
        <n v="4.57565E8"/>
        <n v="4.46779E8"/>
        <n v="3.9312E8"/>
        <n v="4.24219E8"/>
        <n v="2.12E9"/>
        <n v="1.846E9"/>
        <n v="1.778E9"/>
        <n v="9.34E9"/>
        <n v="8.649E9"/>
        <n v="8.833E9"/>
        <n v="8.497E9"/>
        <n v="5.049E9"/>
        <n v="4.911E9"/>
        <n v="4.841E9"/>
        <n v="4.714E9"/>
        <n v="4.293E8"/>
        <n v="2.484E8"/>
        <n v="2.303E8"/>
        <n v="4.777E8"/>
        <n v="3.85528E8"/>
        <n v="2.67038E8"/>
        <n v="3.08629E8"/>
        <n v="2.51642E8"/>
        <n v="3.41545E8"/>
        <n v="3.31318E8"/>
        <n v="2.86369E8"/>
        <n v="3.1397E8"/>
        <n v="6.51526E8"/>
        <n v="6.52061E8"/>
        <n v="6.86373E8"/>
        <n v="5.84323E8"/>
        <n v="1.457E9"/>
        <n v="9.47E8"/>
        <n v="7.12E8"/>
        <n v="7.1E8"/>
        <n v="6.3E8"/>
        <n v="7.81E8"/>
        <n v="8.14E8"/>
        <n v="7.5E8"/>
        <n v="8.534E9"/>
        <n v="7.936E9"/>
        <n v="7.073E9"/>
        <n v="7.05E9"/>
        <n v="1.672E9"/>
        <n v="1.776E9"/>
        <n v="1.715E9"/>
        <n v="1.16624E9"/>
        <n v="8.29589E8"/>
        <n v="8.07875E8"/>
        <n v="8.99338E8"/>
        <n v="-3.59E8"/>
        <n v="-3.28E8"/>
        <n v="-3.51E8"/>
        <n v="-4.0E8"/>
        <n v="1.625E9"/>
        <n v="1.399E9"/>
        <n v="1.3E9"/>
        <n v="1.56E9"/>
        <n v="4.393E8"/>
        <n v="3.656E8"/>
        <n v="2.982E8"/>
        <n v="2.489E8"/>
        <n v="3.331E9"/>
        <n v="2.843E9"/>
        <n v="2.37E9"/>
        <n v="3.506E8"/>
        <n v="3.655E8"/>
        <n v="3.071E8"/>
        <n v="2.92E8"/>
        <n v="1.441854E9"/>
        <n v="1.219333E9"/>
        <n v="1.566071E9"/>
        <n v="1.096263E9"/>
        <n v="8.828E8"/>
        <n v="7.952E8"/>
        <n v="8.809E8"/>
        <n v="8.255E8"/>
        <n v="7.61E8"/>
        <n v="4.85E8"/>
        <n v="3.76E8"/>
        <n v="3.27E8"/>
        <n v="4.97E9"/>
        <n v="4.574E9"/>
        <n v="4.826E9"/>
        <n v="3.945E9"/>
        <n v="7.49E8"/>
        <n v="9.03E8"/>
        <n v="7.41E8"/>
        <n v="7.3E8"/>
        <n v="1.066E8"/>
        <n v="1.052E8"/>
        <n v="9.66E7"/>
        <n v="8.86E7"/>
        <n v="1.19543E9"/>
        <n v="1.157122E9"/>
        <n v="1.160352E9"/>
        <n v="1.136784E9"/>
        <n v="5.03E8"/>
        <n v="2.89E8"/>
        <n v="1.8E8"/>
        <n v="9.4E7"/>
        <n v="3.42414E8"/>
        <n v="3.08841E8"/>
        <n v="3.00631E8"/>
        <n v="2.9018E8"/>
        <n v="4.361E9"/>
        <n v="4.568E9"/>
        <n v="4.049E9"/>
        <n v="2.375E9"/>
        <n v="6.091E9"/>
        <n v="5.776E9"/>
        <n v="5.562E9"/>
        <n v="1.321E9"/>
        <n v="1.5488E10"/>
        <n v="1.3508E10"/>
        <n v="1.1456E10"/>
        <n v="1.0549E10"/>
        <n v="7.54003E8"/>
        <n v="7.50124E8"/>
        <n v="6.83466E8"/>
        <n v="6.01683E8"/>
        <n v="2.79E9"/>
        <n v="3.09E9"/>
        <n v="3.256E9"/>
        <n v="1.81E9"/>
        <n v="5.792E8"/>
        <n v="5.522E8"/>
        <n v="5.509E8"/>
        <n v="5.574E8"/>
        <n v="5.705E9"/>
        <n v="5.732E9"/>
        <n v="5.973E9"/>
        <n v="5.934E9"/>
        <n v="8.03E8"/>
        <n v="1.357E9"/>
        <n v="6.52E8"/>
        <n v="1.189E9"/>
        <n v="9.02756E8"/>
        <n v="8.5905E8"/>
        <n v="8.09516E8"/>
        <n v="8.19884E8"/>
        <n v="8.185E9"/>
        <n v="7.784E9"/>
        <n v="7.581E9"/>
        <n v="7.684E9"/>
        <n v="1.8596E10"/>
        <n v="2.0817E10"/>
        <n v="1.654E10"/>
        <n v="1.5509E10"/>
        <n v="1.822E9"/>
        <n v="1.799E9"/>
        <n v="1.583E9"/>
        <n v="1.363E9"/>
        <n v="6.70924E8"/>
        <n v="6.43306E8"/>
        <n v="6.84118E8"/>
        <n v="6.48177E8"/>
        <n v="6.68E8"/>
        <n v="7.74E8"/>
        <n v="8.37E8"/>
        <n v="9.2E8"/>
        <n v="1.1768E9"/>
        <n v="1.2508E9"/>
        <n v="1.0953E9"/>
        <n v="1.0773E9"/>
        <n v="5.91E8"/>
        <n v="5.83E8"/>
        <n v="8.87E8"/>
        <n v="6.342E9"/>
        <n v="5.515E9"/>
        <n v="5.033E9"/>
        <n v="5.181E9"/>
        <n v="1.722E9"/>
        <n v="1.637E9"/>
        <n v="1.539E9"/>
        <n v="1.617E9"/>
        <n v="2.556E9"/>
        <n v="2.637E9"/>
        <n v="2.643E9"/>
        <n v="2.54E9"/>
        <n v="1.929E10"/>
        <n v="1.8286E10"/>
        <n v="1.827E10"/>
        <n v="1.6967E10"/>
        <n v="8.84E8"/>
        <n v="7.51E8"/>
        <n v="7.05E8"/>
        <n v="7.676E8"/>
        <n v="8.984E8"/>
        <n v="8.206E8"/>
        <n v="9.33E8"/>
        <n v="5.318E9"/>
        <n v="4.138E9"/>
        <n v="1.968E9"/>
        <n v="1.619E9"/>
        <n v="2.061E9"/>
        <n v="1.655E9"/>
        <n v="2.015E9"/>
        <n v="1.559E9"/>
        <n v="1.2296E9"/>
        <n v="1.1219E9"/>
        <n v="1.0433E9"/>
        <n v="1.3162E9"/>
        <n v="3.89696E8"/>
        <n v="3.1594E8"/>
        <n v="3.0581E8"/>
        <n v="2.17717E8"/>
        <n v="1.309E9"/>
        <n v="1.156E9"/>
        <n v="1.273E9"/>
        <n v="1.125E9"/>
        <n v="2.617E9"/>
        <n v="1.758E9"/>
        <n v="1.095E9"/>
        <n v="5.66E8"/>
        <n v="7.942E9"/>
        <n v="5.862E9"/>
        <n v="5.691E9"/>
        <n v="5.75E9"/>
        <n v="2.62146E8"/>
        <n v="3.1934E8"/>
        <n v="2.49079E8"/>
        <n v="1.66115E8"/>
        <n v="1.089E9"/>
        <n v="1.023E9"/>
        <n v="9.91E8"/>
        <n v="9.99E8"/>
        <n v="1.76E9"/>
        <n v="1.689E9"/>
        <n v="1.461E9"/>
        <n v="1.478E9"/>
        <n v="1.486E9"/>
        <n v="1.405E9"/>
        <n v="1.305E9"/>
        <n v="1.2906E10"/>
        <n v="1.2202E10"/>
        <n v="1.1709E10"/>
        <n v="1.1516E10"/>
        <n v="1.9592E9"/>
        <n v="1.6824E9"/>
        <n v="1.5034E9"/>
        <n v="1.5531E9"/>
        <n v="4.397E9"/>
        <n v="4.282E9"/>
        <n v="3.9939E9"/>
        <n v="3.6427E9"/>
        <n v="5.394E8"/>
        <n v="3.374E8"/>
        <n v="3.154E8"/>
        <n v="3.013E8"/>
        <n v="9.2973E8"/>
        <n v="9.51233E8"/>
        <n v="8.81671E8"/>
        <n v="8.48441E8"/>
        <n v="3.615E9"/>
        <n v="2.625E9"/>
        <n v="2.702E9"/>
        <n v="1.695E9"/>
        <n v="4.87E8"/>
        <n v="-1.597E9"/>
        <n v="-9.22E8"/>
        <n v="5.79E8"/>
        <n v="5.821E8"/>
        <n v="4.746E8"/>
        <n v="1.761E8"/>
        <n v="1.291E9"/>
        <n v="5.11E8"/>
        <n v="4.09E8"/>
        <n v="4.171E8"/>
        <n v="3.439E8"/>
        <n v="3.991E8"/>
        <n v="3.404E8"/>
        <n v="9.62E8"/>
        <n v="5.77E8"/>
        <n v="5.22E8"/>
        <n v="2.33E8"/>
        <n v="7.13617E8"/>
        <n v="6.38958E8"/>
        <n v="6.73352E8"/>
        <n v="6.21274E8"/>
        <n v="3.299E9"/>
        <n v="3.051E9"/>
        <n v="2.095E9"/>
        <n v="1.853E9"/>
        <n v="1.823E9"/>
        <n v="1.797E9"/>
        <n v="1.737E9"/>
        <n v="1.601037E9"/>
        <n v="1.536647E9"/>
        <n v="1.615425E9"/>
        <n v="1.526979E9"/>
        <n v="2.755668E9"/>
        <n v="2.736695E9"/>
        <n v="2.56824E9"/>
        <n v="2.818235E9"/>
        <n v="1.967E9"/>
        <n v="2.1604E9"/>
        <n v="1.9353E9"/>
        <n v="1.9276E9"/>
        <n v="1.51E9"/>
        <n v="1.886E9"/>
        <n v="1.762E9"/>
        <n v="1.998E9"/>
        <n v="2.9135E8"/>
        <n v="2.77791E8"/>
        <n v="3.82448E8"/>
        <n v="2.53833E8"/>
        <n v="7.56773E8"/>
        <n v="7.77011E8"/>
        <n v="7.25455E8"/>
        <n v="6.58535E8"/>
        <n v="3.247E9"/>
        <n v="1.82E9"/>
        <n v="1.567E9"/>
        <n v="1.341E9"/>
        <n v="8.85E8"/>
        <n v="1.026E9"/>
        <n v="9.49E8"/>
        <n v="1.061E9"/>
        <n v="2.854E9"/>
        <n v="3.029E9"/>
        <n v="2.564E9"/>
        <n v="3.42E9"/>
        <n v="1.93897E8"/>
        <n v="1.94057E8"/>
        <n v="1.83094E8"/>
        <n v="1.76515E8"/>
        <n v="1.48E9"/>
        <n v="1.464E9"/>
        <n v="1.731E9"/>
        <n v="1.704E9"/>
        <n v="8.86E8"/>
        <n v="1.016E9"/>
        <n v="9.55E8"/>
        <n v="6.81E8"/>
        <n v="5.27E8"/>
        <n v="5.08E8"/>
        <n v="1.67E9"/>
        <n v="1.508E9"/>
        <n v="1.509E9"/>
        <n v="1.475E9"/>
        <n v="1.996E9"/>
        <n v="2.032E9"/>
        <n v="2.126E9"/>
        <n v="1.95E9"/>
        <n v="1.3224E9"/>
        <n v="1.1926E9"/>
        <n v="1.2876E9"/>
        <n v="1.2585E9"/>
        <n v="1.278E9"/>
        <n v="1.103E9"/>
        <n v="1.698E9"/>
        <n v="2.301E9"/>
        <n v="1.0417E9"/>
        <n v="9.232E8"/>
        <n v="8.954E8"/>
        <n v="8.599E8"/>
        <n v="1.236E9"/>
        <n v="1.027E9"/>
        <n v="1.072E9"/>
        <n v="8.65E8"/>
        <n v="4.927E9"/>
        <n v="5.7202E9"/>
        <n v="4.4142E9"/>
        <n v="4.2774E9"/>
        <n v="1.982E9"/>
        <n v="1.862E9"/>
        <n v="1.723E9"/>
        <n v="1.887E9"/>
        <n v="1.22949E8"/>
        <n v="1.21938E8"/>
        <n v="9.4981E7"/>
        <n v="4.8387E7"/>
        <n v="1.118817E9"/>
        <n v="1.213412E9"/>
        <n v="9.68432E8"/>
        <n v="1.421255E9"/>
        <n v="2.912E9"/>
        <n v="2.618E9"/>
        <n v="1.704077E9"/>
        <n v="1.276567E9"/>
        <n v="7.518E8"/>
        <n v="7.297E8"/>
        <n v="6.375E8"/>
        <n v="6.351E8"/>
        <n v="7.92799E8"/>
        <n v="7.84847E8"/>
        <n v="7.4117E8"/>
        <n v="7.49314E8"/>
        <n v="3.68457E8"/>
        <n v="3.50948E8"/>
        <n v="3.89939E8"/>
        <n v="3.93899E8"/>
        <n v="2.52587E8"/>
        <n v="2.52695E8"/>
        <n v="2.53071E8"/>
        <n v="2.64755E8"/>
        <n v="2.951E9"/>
        <n v="2.929E9"/>
        <n v="3.771E9"/>
        <n v="2.74E9"/>
        <n v="3.79931E8"/>
        <n v="4.07729E8"/>
        <n v="4.66575E8"/>
        <n v="3.3131E8"/>
        <n v="7.91956E8"/>
        <n v="3.49312E8"/>
        <n v="1.91376E8"/>
        <n v="2.28367E8"/>
        <n v="6.184E8"/>
        <n v="6.39E8"/>
        <n v="4.76E8"/>
        <n v="8.594E8"/>
        <n v="1.061304E9"/>
        <n v="1.361807E9"/>
        <n v="1.087446E9"/>
        <n v="1.207257E9"/>
        <n v="1.943E9"/>
        <n v="2.259E9"/>
        <n v="3.132E9"/>
        <n v="1.966E9"/>
        <n v="9.35E8"/>
        <n v="6.33E8"/>
        <n v="1.129E9"/>
        <n v="1.77E8"/>
        <n v="4.54151E8"/>
        <n v="3.57761E8"/>
        <n v="3.18282E8"/>
        <n v="3.13109E8"/>
        <n v="2.97313E8"/>
        <n v="2.66285E8"/>
        <n v="2.9377E8"/>
        <n v="2.49118E8"/>
        <n v="2.0506E10"/>
        <n v="1.7011E10"/>
        <n v="1.5973E10"/>
        <n v="1.4643E10"/>
        <n v="5.2109E8"/>
        <n v="5.09638E8"/>
        <n v="5.02849E8"/>
        <n v="4.77212E8"/>
        <n v="2.3678E10"/>
        <n v="2.104E10"/>
        <n v="2.2862E10"/>
        <n v="1.7276E10"/>
        <n v="7.007E8"/>
        <n v="6.434E8"/>
        <n v="6.188E8"/>
        <n v="6.406E8"/>
        <n v="1.59507E8"/>
        <n v="1.38165E8"/>
        <n v="1.47122E8"/>
        <n v="1.34224E8"/>
        <n v="7.594E9"/>
        <n v="5.333E9"/>
        <n v="5.417E9"/>
        <n v="5.386E9"/>
        <n v="1.34E9"/>
        <n v="1.105E9"/>
        <n v="1.206E9"/>
        <n v="1.093E9"/>
        <n v="2.066E9"/>
        <n v="2.125E9"/>
        <n v="1.991E9"/>
        <n v="1.918E9"/>
        <n v="1.21433E9"/>
        <n v="1.149241E9"/>
        <n v="1.045299E9"/>
        <n v="9.72725E8"/>
        <n v="1.798E9"/>
        <n v="1.843E9"/>
        <n v="2.246E9"/>
        <n v="1.819E9"/>
        <n v="2.084E9"/>
        <n v="1.848E9"/>
        <n v="1.978E9"/>
        <n v="1.953E9"/>
        <n v="5.45087E8"/>
        <n v="4.92195E8"/>
        <n v="4.95819E8"/>
        <n v="4.65427E8"/>
        <n v="5.318E8"/>
        <n v="5.124E8"/>
        <n v="5.014E8"/>
        <n v="4.664E8"/>
        <n v="2.864E9"/>
        <n v="5.357E9"/>
        <n v="1.035E9"/>
        <n v="4.83E9"/>
        <n v="6.142E8"/>
        <n v="5.537E8"/>
        <n v="5.81E8"/>
        <n v="5.119E8"/>
        <n v="7.555E8"/>
        <n v="7.119E8"/>
        <n v="-5.68E7"/>
        <n v="9.834E8"/>
        <n v="7.058E8"/>
        <n v="6.474E8"/>
        <n v="6.181E8"/>
        <n v="5.806E8"/>
        <n v="1.252E9"/>
        <n v="1.33E9"/>
        <n v="1.549E9"/>
        <n v="9.135E8"/>
        <n v="8.595E8"/>
        <n v="8.3E8"/>
        <n v="6.79E8"/>
        <n v="2.75E9"/>
        <n v="2.063E9"/>
        <n v="1.864E9"/>
        <n v="1.407E9"/>
        <n v="1.63E9"/>
        <n v="3.043E9"/>
        <n v="1.62E9"/>
        <n v="7.80851E8"/>
        <n v="6.41556E8"/>
        <n v="7.90984E8"/>
        <n v="6.67983E8"/>
        <n v="8.16517E8"/>
        <n v="7.69571E8"/>
        <n v="7.61331E8"/>
        <n v="6.64851E8"/>
        <n v="3.21814E8"/>
        <n v="2.99902E8"/>
        <n v="2.76149E8"/>
        <n v="2.15301E8"/>
        <n v="1.515E9"/>
        <n v="1.497E9"/>
        <n v="1.85E9"/>
        <n v="3.239E9"/>
        <n v="3.722E9"/>
        <n v="6.37E9"/>
        <n v="2.963E9"/>
        <n v="1.5835E9"/>
        <n v="1.5546E9"/>
        <n v="1.7216E9"/>
        <n v="1.5909E9"/>
        <n v="5.057E9"/>
        <n v="5.134E9"/>
        <n v="5.014E9"/>
        <n v="6.098E9"/>
        <n v="1.689105E9"/>
        <n v="1.540815E9"/>
        <n v="1.44811E9"/>
        <n v="1.528066E9"/>
        <n v="4.827E9"/>
        <n v="5.062E9"/>
        <n v="6.904E9"/>
        <n v="5.436E9"/>
        <n v="1.201127E9"/>
        <n v="1.064761E9"/>
        <n v="1.046598E9"/>
        <n v="1.016894E9"/>
        <n v="3.46167E8"/>
        <n v="3.21182E8"/>
        <n v="3.45738E8"/>
        <n v="3.28609E8"/>
        <n v="1.3984E10"/>
        <n v="1.6143E10"/>
        <n v="9.797E9"/>
        <n v="9.252E9"/>
        <n v="4.18E8"/>
        <n v="3.94E8"/>
        <n v="3.05E8"/>
        <n v="6.83529E8"/>
        <n v="6.05488E8"/>
        <n v="7.35275E8"/>
        <n v="6.64349E8"/>
        <n v="7.55E8"/>
        <n v="6.185E8"/>
        <n v="8.28432E8"/>
        <n v="9.04156E8"/>
        <n v="5.67E9"/>
        <n v="5.452E9"/>
        <n v="5.534E9"/>
        <n v="5.086E9"/>
        <n v="2.84487E8"/>
        <n v="2.68863E8"/>
        <n v="2.4606E8"/>
        <n v="2.77861E8"/>
        <n v="8.90851E8"/>
        <n v="8.59711E8"/>
        <n v="7.54299E8"/>
        <n v="4.54294E8"/>
        <n v="1.213E9"/>
        <n v="1.343E9"/>
        <n v="9.04E8"/>
        <n v="2.382E9"/>
        <n v="2.287E9"/>
        <n v="2.288E9"/>
        <n v="2.206E9"/>
        <n v="2.43E8"/>
        <n v="2.42E8"/>
        <n v="2.41E8"/>
        <n v="8.1E7"/>
        <n v="7.697E8"/>
        <n v="1.1526E9"/>
        <n v="1.243E9"/>
        <n v="1.0024E9"/>
        <n v="1.3665E10"/>
        <n v="1.2742E10"/>
        <n v="1.0831E10"/>
        <n v="2.805E9"/>
        <n v="2.745E9"/>
        <n v="2.924E9"/>
        <n v="2.414E9"/>
        <n v="4.38248E8"/>
        <n v="4.82307E8"/>
        <n v="4.6517E8"/>
        <n v="5.37765E8"/>
        <n v="3.0E7"/>
        <n v="-6.6E7"/>
        <n v="-9.6E7"/>
        <n v="-1.85E8"/>
        <n v="0.0"/>
        <n v="4.07E8"/>
        <n v="3.34E8"/>
        <n v="3.388E9"/>
        <n v="3.44E9"/>
        <n v="3.324E9"/>
        <n v="2.679E9"/>
        <n v="3.372E9"/>
        <n v="2.849E9"/>
        <n v="4.464E9"/>
        <n v="4.908E9"/>
        <n v="1.074E9"/>
        <n v="1.42E9"/>
        <n v="1.13E9"/>
        <n v="1.069E9"/>
        <n v="3.22E8"/>
        <n v="3.42E8"/>
        <n v="5.47E8"/>
        <n v="4.36E8"/>
        <n v="9.062E9"/>
        <n v="8.207E9"/>
        <n v="1.0523E10"/>
        <n v="8.431E9"/>
        <n v="3.06072E8"/>
        <n v="2.93287E8"/>
        <n v="2.69168E8"/>
        <n v="2.515E8"/>
        <n v="4.89308E8"/>
        <n v="4.70782E8"/>
        <n v="4.09502E8"/>
        <n v="4.22606E8"/>
        <n v="7.556E8"/>
        <n v="7.047E8"/>
        <n v="7.069E8"/>
        <n v="6.876E8"/>
        <n v="1.505E9"/>
        <n v="1.397E9"/>
        <n v="9.7E8"/>
        <n v="7.7E8"/>
        <n v="6.37E8"/>
        <n v="5.33E8"/>
        <n v="4.35E8"/>
        <n v="3.14327E8"/>
        <n v="2.58118E8"/>
        <n v="3.34812E8"/>
        <n v="1.33223E8"/>
        <n v="5.127E8"/>
        <n v="4.521E8"/>
        <n v="5.269E8"/>
        <n v="4.82E8"/>
        <n v="1.1206E10"/>
        <n v="1.0854E10"/>
        <n v="1.1348E10"/>
        <n v="9.741E9"/>
        <n v="1.707E9"/>
        <n v="1.671E9"/>
        <n v="1.411E9"/>
        <n v="9.36E8"/>
        <n v="5.13819E8"/>
        <n v="5.2453E8"/>
        <n v="1.703E9"/>
        <n v="1.516E9"/>
        <n v="1.58E9"/>
        <n v="1.582E9"/>
        <n v="3.431E8"/>
        <n v="8.877E8"/>
        <n v="3.776E8"/>
        <n v="3.592E9"/>
        <n v="1.223E9"/>
        <n v="1.499E9"/>
        <n v="9.026E8"/>
        <n v="8.958E8"/>
        <n v="7.243E8"/>
        <n v="5.029E8"/>
        <n v="5.632E8"/>
        <n v="5.206E8"/>
        <n v="5.073E8"/>
        <n v="4.473E8"/>
        <n v="1.46879E8"/>
        <n v="1.52792E8"/>
        <n v="1.36449E8"/>
        <n v="1.02876E8"/>
        <n v="1.115E9"/>
        <n v="1.126E9"/>
        <n v="9.86E8"/>
        <n v="6.30131E8"/>
        <n v="6.1043E8"/>
        <n v="6.02142E8"/>
        <n v="5.83194E8"/>
        <n v="4.78139E8"/>
        <n v="4.41932E8"/>
        <n v="4.40276E8"/>
        <n v="3.98897E8"/>
        <n v="1.75369E8"/>
        <n v="1.66006E8"/>
        <n v="1.64579E8"/>
        <n v="1.88871E8"/>
        <n v="8.16935E8"/>
        <n v="7.67013E8"/>
        <n v="6.3206E8"/>
        <n v="6.67249E8"/>
        <n v="6.44E8"/>
        <n v="7.391E8"/>
        <n v="8.094E8"/>
        <n v="8.182E8"/>
        <n v="1.5745E10"/>
        <n v="1.5285E10"/>
        <n v="1.4692E10"/>
        <n v="1.4142E10"/>
        <n v="2.197E9"/>
        <n v="1.728E9"/>
        <n v="1.975E9"/>
        <n v="3.2764E10"/>
        <n v="3.6422E10"/>
        <n v="3.1113E10"/>
        <n v="2.8536E10"/>
        <n v="6.819E8"/>
        <n v="6.156E8"/>
        <n v="7.17E8"/>
        <n v="6.578E8"/>
        <n v="3.803E8"/>
        <n v="3.688E8"/>
        <n v="3.843E8"/>
        <n v="3.632E8"/>
        <n v="1.167E9"/>
        <n v="1.188E9"/>
        <n v="1.201E9"/>
        <n v="1.207E9"/>
        <n v="1.989E9"/>
        <n v="1.836E9"/>
        <n v="1.817E9"/>
        <n v="1.521E9"/>
        <n v="7.37E8"/>
        <n v="7.07E8"/>
        <n v="7.56E8"/>
        <n v="6.06E8"/>
        <n v="1.614E9"/>
        <n v="1.71E9"/>
        <n v="1.837E9"/>
        <n v="1.99532E8"/>
        <n v="1.93817E8"/>
        <n v="1.77826E8"/>
        <n v="1.73778E8"/>
        <n v="2.688E9"/>
        <n v="1.621E9"/>
        <n v="1.513E9"/>
        <n v="1.15323E9"/>
        <n v="1.094144E9"/>
        <n v="9.81137E8"/>
        <n v="9.18058E8"/>
        <n v="2.292E9"/>
        <n v="2.204E9"/>
        <n v="2.521E9"/>
        <n v="2.341E9"/>
        <n v="9.351E9"/>
        <n v="7.934E9"/>
        <n v="6.822E9"/>
        <n v="6.938E9"/>
        <n v="1.417E9"/>
        <n v="1.354E9"/>
        <n v="1.311E9"/>
        <n v="1.599E9"/>
        <n v="1.9614E9"/>
        <n v="1.5594E9"/>
        <n v="7.605E8"/>
        <n v="1.915201E9"/>
        <n v="1.780131E9"/>
        <n v="1.603795E9"/>
        <n v="1.506179E9"/>
        <n v="1.98E8"/>
        <n v="1.967E8"/>
        <n v="2.235E8"/>
        <n v="2.298E8"/>
        <n v="4.68E8"/>
        <n v="1.258E9"/>
        <n v="8.3E7"/>
        <n v="-2.74E8"/>
        <n v="2.475E8"/>
        <n v="2.581E8"/>
        <n v="2.674E8"/>
        <n v="1.463E8"/>
        <n v="4.98E8"/>
        <n v="4.67E8"/>
        <n v="4.91E8"/>
        <n v="1.703804E9"/>
        <n v="1.384255E9"/>
        <n v="1.717361E9"/>
        <n v="1.410208E9"/>
        <n v="3.4E8"/>
        <n v="3.215E9"/>
        <n v="5.46E8"/>
        <n v="3.39E9"/>
        <n v="3.189E9"/>
        <n v="3.186E9"/>
        <n v="3.02E9"/>
        <n v="3.32826E8"/>
        <n v="1.56643E8"/>
        <n v="3.4109E7"/>
        <n v="5.3269E7"/>
        <n v="1.293551E9"/>
        <n v="1.170496E9"/>
        <n v="1.199375E9"/>
        <n v="1.016669E9"/>
        <n v="2.151E9"/>
        <n v="2.222E9"/>
        <n v="2.241E9"/>
        <n v="2.136E9"/>
        <n v="1.768E9"/>
        <n v="1.446E9"/>
        <n v="1.524E9"/>
        <n v="9.312E9"/>
        <n v="8.13E9"/>
        <n v="6.466E9"/>
        <n v="7.3E9"/>
        <n v="2.809E9"/>
        <n v="2.893E9"/>
        <n v="2.894E9"/>
        <n v="2.931E9"/>
        <n v="2.591E9"/>
        <n v="2.885E9"/>
        <n v="1.404E9"/>
        <n v="1.225E9"/>
        <n v="1.470973E9"/>
        <n v="1.511993E9"/>
        <n v="1.46553E9"/>
        <n v="1.313656E9"/>
        <n v="9.66E8"/>
        <n v="9.07E8"/>
        <n v="5.3E8"/>
        <n v="4.52E8"/>
        <n v="2.557E9"/>
        <n v="1.287E9"/>
        <n v="1.25058E8"/>
        <n v="1.3734E8"/>
        <n v="1.25952E8"/>
        <n v="1.18006E8"/>
        <n v="4.01E8"/>
        <n v="3.58E8"/>
        <n v="3.31E8"/>
        <n v="1.41E8"/>
        <n v="1.865E9"/>
        <n v="1.533E9"/>
        <n v="3.853E8"/>
        <n v="1.759E8"/>
        <n v="3.262E8"/>
        <n v="4.046E8"/>
        <n v="7.0E8"/>
        <n v="6.62E8"/>
        <n v="7.52E8"/>
        <n v="6.28E8"/>
        <n v="4.528E9"/>
        <n v="4.155E9"/>
        <n v="4.12E9"/>
        <n v="3.837E9"/>
        <n v="5.14661E8"/>
        <n v="4.88157E8"/>
        <n v="4.81671E8"/>
        <n v="4.69947E8"/>
        <n v="5.996E8"/>
        <n v="6.146E8"/>
        <n v="5.838E8"/>
        <n v="6.607E8"/>
        <n v="3.2195E9"/>
        <n v="2.6683E9"/>
        <n v="2.7802E9"/>
        <n v="2.9047E9"/>
        <n v="3.116E9"/>
        <n v="3.151E9"/>
        <n v="3.0E9"/>
        <n v="2.7E9"/>
        <n v="5.422E9"/>
        <n v="5.568E9"/>
        <n v="5.19E9"/>
        <n v="4.974E9"/>
        <n v="8.373E9"/>
        <n v="8.625E9"/>
        <n v="8.914E9"/>
        <n v="9.108E9"/>
        <n v="7.368E9"/>
        <n v="3.441E9"/>
        <n v="3.588E9"/>
        <n v="4.393E9"/>
        <n v="4.71696E8"/>
        <n v="5.59044E8"/>
        <n v="4.69608E8"/>
        <n v="3.9797E8"/>
        <n v="1.12231E9"/>
        <n v="7.1996E8"/>
        <n v="5.82876E8"/>
        <n v="3.96403E8"/>
        <n v="1.0076E9"/>
        <n v="9.268E8"/>
        <n v="8.458E8"/>
        <n v="8.079E8"/>
        <n v="1.649E9"/>
        <n v="1.736E9"/>
        <n v="2.068E9"/>
        <n v="1.763E9"/>
        <n v="3.2161E10"/>
        <n v="2.8661E10"/>
        <n v="2.8882E10"/>
        <n v="2.6152E10"/>
        <n v="2.54414E8"/>
        <n v="2.49598E8"/>
        <n v="2.50411E8"/>
        <n v="2.40694E8"/>
        <n v="3.183E9"/>
        <n v="-1.96048E8"/>
        <n v="-1.86576E8"/>
        <n v="9.07506E8"/>
        <n v="8.01951E8"/>
        <n v="7.60931E8"/>
        <n v="7.23909E8"/>
        <n v="1.2715E9"/>
        <n v="7.31E8"/>
        <n v="8.952E8"/>
        <n v="1.2025E9"/>
        <n v="2.631E9"/>
        <n v="2.966E9"/>
        <n v="2.872E9"/>
        <n v="2.792E9"/>
        <n v="1.64215E8"/>
        <n v="1.41059E8"/>
        <n v="1.28874E8"/>
        <n v="1.4304E8"/>
        <n v="8.36838E8"/>
        <n v="7.14935E8"/>
        <n v="6.90685E8"/>
        <n v="7.36531E8"/>
        <n v="8.81E8"/>
        <n v="9.92E8"/>
        <n v="1.314E10"/>
        <n v="1.3199E10"/>
        <n v="1.4076E10"/>
        <n v="1.2167E10"/>
        <n v="8.62E8"/>
        <n v="1.151E9"/>
        <n v="9.12E8"/>
        <n v="4.10853E8"/>
        <n v="3.92643E8"/>
        <n v="3.67726E8"/>
        <n v="3.54629E8"/>
        <n v="8.46E8"/>
        <n v="8.51E8"/>
        <n v="7.15E8"/>
        <n v="9.75E8"/>
        <n v="8.72E8"/>
        <n v="3.294771E9"/>
        <n v="2.479282E9"/>
        <n v="2.567886E9"/>
        <n v="2.504579E9"/>
        <n v="8.82E8"/>
        <n v="8.88E8"/>
        <n v="9.14E8"/>
        <n v="1.732E9"/>
        <n v="1.593E9"/>
        <n v="1.777E9"/>
        <n v="1.869E9"/>
        <n v="1.261E9"/>
        <n v="1.149E9"/>
        <n v="1.216E9"/>
        <n v="9.53E8"/>
        <n v="1.958E9"/>
        <n v="1.831E9"/>
        <n v="2.424E9"/>
        <n v="2.752E9"/>
        <n v="5.69E8"/>
        <n v="5.86E8"/>
        <n v="9.6E8"/>
        <n v="9.0E8"/>
        <n v="4.725E9"/>
        <n v="4.877E9"/>
        <n v="4.741E9"/>
        <n v="2.353E9"/>
        <n v="3.949E8"/>
        <n v="5.177E8"/>
        <n v="4.029E8"/>
        <n v="1.332E9"/>
        <n v="1.294E9"/>
        <n v="9.15E8"/>
        <n v="1.6073E9"/>
        <n v="1.6134E9"/>
        <n v="1.5244E9"/>
        <n v="1.4846E9"/>
        <n v="2.043E9"/>
        <n v="1.74E9"/>
        <n v="2.09E9"/>
        <n v="1.84E9"/>
        <n v="5.84E8"/>
        <n v="5.73E8"/>
        <n v="5.52E8"/>
        <n v="5.36E8"/>
        <n v="-1.97755E8"/>
        <n v="-1.97413E8"/>
        <n v="-1.83639E8"/>
        <n v="-2.84723E8"/>
        <n v="1.227E9"/>
        <n v="4.12E8"/>
        <n v="7.75E8"/>
        <n v="8.04E8"/>
        <n v="2.473503E9"/>
        <n v="1.622437E9"/>
        <n v="7.39487E8"/>
        <n v="5.02195E8"/>
        <n v="4.215E9"/>
        <n v="3.629E9"/>
        <n v="3.156E9"/>
        <n v="2.96E9"/>
        <n v="5.36521E8"/>
        <n v="4.46431E8"/>
        <n v="5.03637E8"/>
        <n v="4.33707E8"/>
        <n v="1.422E9"/>
        <n v="1.355E9"/>
        <n v="1.288E9"/>
        <n v="1.102E9"/>
        <n v="1.640795E9"/>
        <n v="1.472138E9"/>
        <n v="1.680468E9"/>
        <n v="1.63718E9"/>
        <n v="3.719E9"/>
        <n v="3.036E9"/>
        <n v="2.2E9"/>
        <n v="2.158E9"/>
        <n v="5.43077E8"/>
        <n v="5.17997E8"/>
        <n v="4.1379E8"/>
        <n v="3.88259E8"/>
        <n v="6.877E8"/>
        <n v="6.746E8"/>
        <n v="5.903E8"/>
        <n v="6.269E8"/>
        <n v="1.087048E9"/>
        <n v="1.021985E9"/>
        <n v="1.073169E9"/>
        <n v="9.43491E8"/>
        <n v="7.625E9"/>
        <n v="9.105E9"/>
        <n v="8.17E9"/>
        <n v="7.861E9"/>
        <n v="1.012E9"/>
        <n v="1.066E9"/>
        <n v="1.242E9"/>
        <n v="1.065E9"/>
        <n v="1.085E9"/>
        <n v="9.93E8"/>
        <n v="6.777E8"/>
        <n v="8.314E8"/>
        <n v="7.992E8"/>
        <n v="7.128E8"/>
        <n v="5.137E8"/>
        <n v="4.508E8"/>
        <n v="4.042E8"/>
        <n v="3.343E8"/>
        <n v="1.050912E9"/>
        <n v="1.131835E9"/>
        <n v="1.034609E9"/>
        <n v="9.0736E8"/>
        <n v="7.704E8"/>
        <n v="7.134E8"/>
        <n v="7.833E8"/>
        <n v="6.638E8"/>
        <n v="2.21428E8"/>
        <n v="2.13373E8"/>
        <n v="2.43125E8"/>
        <n v="1.9482E8"/>
        <n v="2.846E9"/>
        <n v="3.024E9"/>
        <n v="2.913E9"/>
        <n v="7.433E8"/>
        <n v="7.763E8"/>
        <n v="6.24E8"/>
        <n v="5.204E8"/>
        <n v="3.348E8"/>
        <n v="3.41E8"/>
        <n v="3.152E8"/>
        <n v="2.855E8"/>
        <n v="4.586E8"/>
        <n v="5.187E8"/>
        <n v="4.959E8"/>
        <n v="5.454E8"/>
        <n v="1.0804E10"/>
        <n v="1.034E10"/>
        <n v="8.151E9"/>
        <n v="1.2057E10"/>
        <n v="6.41261E8"/>
        <n v="6.87494E8"/>
        <n v="7.88127E8"/>
        <n v="8.36038E8"/>
        <n v="1.4163E10"/>
        <n v="1.1985E10"/>
        <n v="1.041E10"/>
        <n v="8.797E9"/>
        <n v="5.526E9"/>
        <n v="5.241E9"/>
        <n v="5.311E9"/>
        <n v="4.872E9"/>
        <n v="2.717E9"/>
        <n v="1.577E9"/>
        <n v="1.262E9"/>
        <n v="7.56104E8"/>
        <n v="5.00724E8"/>
        <n v="2.68193E8"/>
        <n v="7.5452E7"/>
        <n v="2.697E9"/>
        <n v="2.173E9"/>
        <n v="1.444E9"/>
        <n v="5.4E9"/>
        <n v="4.365E9"/>
        <n v="4.771E9"/>
        <n v="4.462E9"/>
        <n v="4.41899E8"/>
        <n v="5.51685E8"/>
        <n v="3.01131E8"/>
        <n v="2.39095E8"/>
        <n v="1.639E9"/>
        <n v="1.73E9"/>
        <n v="7.57E8"/>
        <n v="5.88E8"/>
        <n v="7.34E8"/>
        <n v="1.6246E9"/>
        <n v="1.6977E9"/>
        <n v="1.8156E9"/>
        <n v="1.7534E9"/>
        <n v="9.973E9"/>
        <n v="9.289E9"/>
        <n v="9.187E9"/>
        <n v="1.0492E10"/>
        <n v="2.66E8"/>
        <n v="1.1235E9"/>
        <n v="1.9736E9"/>
        <n v="2.2282E9"/>
        <n v="9.65871E8"/>
        <n v="9.33029E8"/>
        <n v="8.88031E8"/>
        <n v="9.01146E8"/>
        <n v="5.192E9"/>
        <n v="5.943E9"/>
        <n v="6.726E9"/>
        <n v="4.638E9"/>
        <n v="3.80908E8"/>
        <n v="3.40591E8"/>
        <n v="3.72337E8"/>
        <n v="3.4222E8"/>
        <n v="2.49E8"/>
        <n v="1.082E9"/>
        <n v="6.91057E8"/>
        <n v="6.39795E8"/>
        <n v="5.58295E8"/>
        <n v="5.59854E8"/>
        <n v="9.4565E8"/>
        <n v="9.13238E8"/>
        <n v="7.29746E8"/>
        <n v="8.11261E8"/>
        <n v="1.3336E9"/>
        <n v="1.2291E9"/>
        <n v="1.0583E9"/>
        <n v="1.1013E9"/>
        <n v="6.21553E8"/>
        <n v="5.46183E8"/>
        <n v="5.28475E8"/>
        <n v="5.37752E8"/>
        <n v="5.399E9"/>
        <n v="4.656E9"/>
        <n v="4.503E9"/>
        <n v="4.746E9"/>
        <n v="5.34676E8"/>
        <n v="4.47711E8"/>
        <n v="3.7289E8"/>
        <n v="4.65873E8"/>
        <n v="1.111E9"/>
        <n v="9.97E8"/>
        <n v="1.0117E9"/>
        <n v="9.601E8"/>
        <n v="8.093E8"/>
        <n v="9.374E8"/>
        <n v="2.539E9"/>
        <n v="2.356E9"/>
        <n v="2.27E9"/>
        <n v="2.107E9"/>
        <n v="3.128E9"/>
        <n v="3.226E9"/>
        <n v="2.734E9"/>
        <n v="2.309E9"/>
        <n v="4.62213E8"/>
        <n v="4.32548E8"/>
        <n v="4.14305E8"/>
        <n v="3.90941E8"/>
        <n v="2.42371E8"/>
        <n v="2.05581E8"/>
        <n v="2.04621E8"/>
        <n v="1.87145E8"/>
        <n v="2.3342E9"/>
        <n v="3.7306E9"/>
        <n v="1.4778E9"/>
        <n v="1.1386E9"/>
        <n v="1.767E9"/>
        <n v="1.919E9"/>
        <n v="1.75E9"/>
        <n v="1.1899E9"/>
        <n v="1.1621E9"/>
        <n v="1.0621E9"/>
        <n v="1.112E9"/>
        <n v="5.17348E8"/>
        <n v="5.01758E8"/>
        <n v="4.58182E8"/>
        <n v="4.78879E8"/>
        <n v="7.25327E8"/>
        <n v="6.64872E8"/>
        <n v="5.61711E8"/>
        <n v="5.14327E8"/>
        <n v="7.194E8"/>
        <n v="7.644E8"/>
        <n v="7.674E8"/>
        <n v="6.465E8"/>
        <n v="3.44725E8"/>
        <n v="3.40342E8"/>
        <n v="2.74002E8"/>
        <n v="2.69948E8"/>
        <n v="9.961E8"/>
        <n v="9.938E8"/>
        <n v="9.666E8"/>
        <n v="1.394103E9"/>
        <n v="1.317684E9"/>
        <n v="1.934002E9"/>
        <n v="1.04309E9"/>
        <n v="-3.49683E8"/>
        <n v="-3.69105E8"/>
        <n v="-2.36343E8"/>
        <n v="-2.35306E8"/>
        <n v="1.544E9"/>
        <n v="1.573E9"/>
        <n v="1.489E9"/>
        <n v="1.308E9"/>
        <n v="4.727E9"/>
        <n v="4.408E9"/>
        <n v="4.338E9"/>
        <n v="4.025E9"/>
        <n v="4.43552E8"/>
        <n v="4.32975E8"/>
        <n v="4.13964E8"/>
        <n v="4.03891E8"/>
        <n v="9.85E8"/>
        <n v="8.66E8"/>
        <n v="7.19E8"/>
        <n v="7.04E8"/>
        <n v="9.56E8"/>
        <n v="7.4E8"/>
        <n v="6.96E8"/>
        <n v="4.037E8"/>
        <n v="4.007E8"/>
        <n v="4.011E8"/>
        <n v="4.244E8"/>
        <n v="1.415E9"/>
        <n v="1.163E9"/>
        <n v="1.162E9"/>
        <n v="1.08E9"/>
        <n v="9.71226E8"/>
        <n v="2.1396E9"/>
        <n v="2.4114E9"/>
        <n v="2.112E9"/>
        <n v="2.1287E9"/>
        <n v="1.049169E9"/>
        <n v="1.024342E9"/>
        <n v="1.015965E9"/>
        <n v="9.1745E8"/>
        <n v="6.137E8"/>
        <n v="5.586E8"/>
        <n v="5.784E8"/>
        <n v="7.617E8"/>
        <n v="5.913E8"/>
        <n v="6.119E8"/>
        <n v="5.789E8"/>
        <n v="5.857E8"/>
        <n v="3.07E9"/>
        <n v="2.818E9"/>
        <n v="2.08E9"/>
        <n v="6.88E8"/>
        <n v="-5.44E8"/>
        <n v="-6.01E8"/>
        <n v="1.5457E9"/>
        <n v="1.5695E9"/>
        <n v="1.5683E9"/>
        <n v="1.3833E9"/>
        <n v="2.3236E9"/>
        <n v="1.8523E9"/>
        <n v="1.833E9"/>
        <n v="1.6251E9"/>
        <n v="3.049E9"/>
        <n v="2.959E9"/>
        <n v="2.917E9"/>
        <n v="2.784E9"/>
        <n v="4.26282E8"/>
        <n v="3.86852E8"/>
        <n v="3.53112E8"/>
        <n v="3.34576E8"/>
        <n v="2.772E9"/>
        <n v="2.586E9"/>
        <n v="2.773E9"/>
        <n v="2.461E9"/>
        <n v="1.38508E9"/>
        <n v="1.251696E9"/>
        <n v="1.097323E9"/>
        <n v="8.15294E8"/>
        <n v="2.589E9"/>
        <n v="2.247E9"/>
        <n v="1.944E9"/>
        <n v="1.479E9"/>
        <n v="8.63934E8"/>
        <n v="8.21745E8"/>
        <n v="7.74208E8"/>
        <n v="8.1261E8"/>
        <n v="2.122668E9"/>
        <n v="2.098458E9"/>
        <n v="2.219845E9"/>
        <n v="1.565655E9"/>
        <n v="1.1366E10"/>
        <n v="1.1386E10"/>
        <n v="1.1222E10"/>
        <n v="1.167E10"/>
        <n v="1.1895E9"/>
        <n v="1.1167E9"/>
        <n v="9.777E8"/>
        <n v="9.332E8"/>
        <n v="4.56794E8"/>
        <n v="4.93402E8"/>
        <n v="5.7363E8"/>
        <n v="5.20177E8"/>
        <n v="1.158E9"/>
        <n v="9.119E8"/>
        <n v="1.1737E9"/>
        <n v="8.302E8"/>
        <n v="7.88E9"/>
        <n v="7.481E9"/>
        <n v="7.638E9"/>
        <n v="7.123E9"/>
        <n v="1.268E9"/>
        <n v="1.21E9"/>
        <n v="1.146E9"/>
        <n v="9.69E8"/>
        <n v="4.816E8"/>
        <n v="3.132E8"/>
        <n v="3.031E8"/>
        <n v="2.905E8"/>
        <n v="3.97556E8"/>
        <n v="3.44527E8"/>
        <n v="3.83554E8"/>
        <n v="3.29324E8"/>
        <n v="6.46989E8"/>
        <n v="4.61618E8"/>
        <n v="4.4979E8"/>
        <n v="4.58928E8"/>
        <n v="2.215E9"/>
        <n v="1.267E9"/>
        <n v="3.077E9"/>
        <n v="2.797E9"/>
        <n v="2.646E9"/>
        <n v="2.453E9"/>
        <n v="4.74E8"/>
        <n v="5.38E8"/>
        <n v="3.98E8"/>
        <n v="5.161E8"/>
        <n v="4.871E8"/>
        <n v="4.507E8"/>
        <n v="5.141E8"/>
        <n v="2.379E9"/>
        <n v="1.547E9"/>
        <n v="1.779E9"/>
        <n v="9.26487E8"/>
        <n v="1.052946E9"/>
        <n v="9.6428E8"/>
        <n v="1.080024E9"/>
        <n v="7.293E8"/>
        <n v="4.649E8"/>
        <n v="3.484E8"/>
        <n v="3.741E8"/>
        <n v="2.388E9"/>
        <n v="2.841E9"/>
        <n v="2.182E9"/>
        <n v="5.831E9"/>
        <n v="4.474E9"/>
        <n v="3.694E9"/>
        <n v="3.883E9"/>
        <n v="4.524E9"/>
        <n v="5.217E9"/>
        <n v="5.557E9"/>
        <n v="4.332E9"/>
        <n v="2.831026E9"/>
        <n v="5.966002E9"/>
        <n v="3.055004E9"/>
        <n v="1.493085E9"/>
        <n v="1.287485E9"/>
        <n v="9.8378E8"/>
        <n v="9.9553E8"/>
        <n v="9.47957E8"/>
        <n v="9.501E8"/>
        <n v="1.138E9"/>
        <n v="6.57E8"/>
        <n v="6.15E8"/>
        <n v="5.54E8"/>
        <n v="5.6E8"/>
        <n v="5.476E8"/>
        <n v="5.154E8"/>
        <n v="4.633E8"/>
        <n v="6.084E9"/>
        <n v="5.434E9"/>
        <n v="5.474E9"/>
        <n v="5.151E9"/>
        <n v="7.73495E8"/>
        <n v="6.5501E8"/>
        <n v="8.56117E8"/>
        <n v="5.74845E8"/>
        <n v="1.44207E8"/>
        <n v="1.38669E8"/>
        <n v="1.43509E8"/>
        <n v="1.31203E8"/>
        <n v="1.675E9"/>
        <n v="1.348E9"/>
        <n v="1.297E9"/>
        <n v="1.807E9"/>
        <n v="5.907E9"/>
        <n v="6.237E9"/>
        <n v="5.238E9"/>
        <n v="5.259E9"/>
        <n v="7.97963E8"/>
        <n v="7.53788E8"/>
        <n v="1.156328E9"/>
        <n v="5.45519E8"/>
        <n v="6.69229E8"/>
        <n v="6.28641E8"/>
        <n v="7.05998E8"/>
        <n v="6.8632E8"/>
        <n v="3.314E9"/>
        <n v="2.868E9"/>
        <n v="3.089E9"/>
        <n v="2.897E9"/>
        <n v="5.12E8"/>
        <n v="-1.402E9"/>
        <n v="-9.17E8"/>
        <n v="-1.334E9"/>
        <n v="6.094E9"/>
        <n v="8.97E9"/>
        <n v="-2.065E9"/>
        <n v="5.001E9"/>
        <n v="8.98E8"/>
        <n v="1.7115E10"/>
        <n v="1.772E10"/>
        <n v="1.5763E10"/>
        <n v="1.5544E10"/>
        <n v="1.371912E9"/>
        <n v="1.168104E9"/>
        <n v="1.269541E9"/>
        <n v="1.170784E9"/>
        <n v="1.285E9"/>
        <n v="1.58E8"/>
        <n v="2.76E8"/>
        <n v="1.22E8"/>
        <n v="4.28582E8"/>
        <n v="4.31384E8"/>
        <n v="4.85269E8"/>
        <n v="4.18692E8"/>
        <n v="2.81609E8"/>
        <n v="2.76653E8"/>
        <n v="2.74312E8"/>
        <n v="2.72855E8"/>
        <n v="4.826E8"/>
        <n v="4.637E8"/>
        <n v="4.529E8"/>
        <n v="4.627E8"/>
        <n v="1.9509E10"/>
        <n v="1.9345E10"/>
        <n v="1.987E10"/>
        <n v="1.9209E10"/>
        <n v="1.58308E8"/>
        <n v="1.076003E9"/>
        <n v="9.58135E8"/>
        <n v="8.58592E8"/>
        <n v="1.240406E9"/>
        <n v="1.350573E9"/>
        <n v="1.649017E9"/>
        <n v="1.329118E9"/>
        <n v="2.417E9"/>
        <n v="2.482E9"/>
        <n v="1.9841E9"/>
        <n v="1.8607E9"/>
        <n v="1.3613E9"/>
        <n v="1.2602E9"/>
        <n v="5.944E9"/>
        <n v="5.55E9"/>
        <n v="5.514E9"/>
        <n v="4.91E9"/>
        <n v="2.19447E8"/>
        <n v="2.17228E8"/>
        <n v="2.21255E8"/>
        <n v="1.94431E8"/>
        <n v="3.98364E8"/>
        <n v="2.29267E8"/>
        <n v="3.02741E8"/>
        <n v="3.80498E8"/>
        <n v="9.85741E8"/>
        <n v="9.48987E8"/>
        <n v="1.07232E9"/>
        <n v="8.40151E8"/>
        <n v="1.124E9"/>
        <n v="5.382E8"/>
        <n v="5.265E8"/>
        <n v="5.712E8"/>
        <n v="5.037E8"/>
        <n v="6.781E9"/>
        <n v="6.63E9"/>
        <n v="6.803E9"/>
        <n v="6.438E9"/>
        <n v="3.5865E10"/>
        <n v="3.5038E10"/>
        <n v="3.6818E10"/>
        <n v="3.4369E10"/>
        <n v="1.598E9"/>
        <n v="1.529E9"/>
        <n v="4.01393E8"/>
        <n v="3.54398E8"/>
        <n v="4.66089E8"/>
        <n v="3.31442E8"/>
        <n v="6.865E8"/>
        <n v="9.459E8"/>
        <n v="6.894E8"/>
        <n v="6.695E8"/>
        <n v="2.1493E10"/>
        <n v="1.958E10"/>
        <n v="1.8175E10"/>
        <n v="1.81E10"/>
        <n v="4.90603E8"/>
        <n v="4.12149E8"/>
        <n v="4.19534E8"/>
        <n v="4.17492E8"/>
        <n v="3.151E8"/>
        <n v="2.719E8"/>
        <n v="2.111E8"/>
        <n v="1.946E8"/>
        <n v="8.74E8"/>
        <n v="5.347E8"/>
        <n v="5.04E8"/>
        <n v="5.146E8"/>
        <n v="5.376E8"/>
        <n v="7.496E8"/>
        <n v="7.523E8"/>
        <n v="8.73E8"/>
        <n v="7.658E8"/>
        <n v="1.561E9"/>
        <n v="1.076E9"/>
        <n v="6.71E8"/>
        <n v="7.2E8"/>
        <n v="1.09E9"/>
        <n v="1.148E9"/>
        <n v="1.364E9"/>
        <n v="1.155E9"/>
        <n v="1.299E9"/>
        <n v="1.143E9"/>
        <n v="7.54E8"/>
        <n v="8.22E8"/>
        <n v="5.94118E8"/>
        <n v="4.18774E8"/>
        <n v="4.0241E8"/>
        <n v="1.49845E8"/>
        <n v="1.57E9"/>
        <n v="1.179E9"/>
        <n v="1.249E9"/>
        <n v="1.322E9"/>
        <n v="5.95165E8"/>
        <n v="5.78136E8"/>
        <n v="5.53875E8"/>
        <n v="5.48415E8"/>
        <n v="5.2E8"/>
        <n v="4.9E8"/>
        <n v="5.32E8"/>
        <n v="4.61E8"/>
        <n v="7.86E8"/>
        <n v="8.23E8"/>
        <n v="7.23E8"/>
        <n v="6.58E8"/>
        <n v="6.55E8"/>
        <n v="6.18E8"/>
        <n v="4.93E8"/>
        <n v="1.4532E9"/>
        <n v="1.331E9"/>
        <n v="1.4337E9"/>
        <n v="1.3622E9"/>
        <n v="8.83E8"/>
        <n v="7.78E8"/>
        <n v="6.67E8"/>
        <n v="1.382E9"/>
        <n v="1.323E9"/>
        <n v="1.221E9"/>
        <n v="1.241E9"/>
      </sharedItems>
    </cacheField>
    <cacheField name="Ebit" numFmtId="0">
      <sharedItems containsSemiMixedTypes="0" containsString="0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2.718565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0.0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568E9"/>
        <n v="6.28E8"/>
        <n v="-6.389E9"/>
        <n v="-5.5E7"/>
        <n v="-3.03E8"/>
        <n v="-7.9E7"/>
        <n v="9.29E8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076E9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9.1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073E8"/>
        <n v="4.71E7"/>
        <n v="1.758E8"/>
        <n v="1.263E8"/>
        <n v="2.723E8"/>
        <n v="2.769E8"/>
        <n v="5.6E8"/>
        <n v="4.11E8"/>
        <n v="5.38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4.237E9"/>
        <n v="3.245E9"/>
        <n v="2.769E9"/>
        <n v="2.175E9"/>
        <n v="1.043E9"/>
        <n v="1.011E9"/>
        <n v="2.513E9"/>
        <n v="1.073E9"/>
        <n v="8.93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3.86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1.55334E8"/>
        <n v="1.69918E8"/>
        <n v="1.65864E8"/>
        <n v="1.46861E8"/>
        <n v="8.08E8"/>
        <n v="1.104E9"/>
        <n v="9.17E8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3.74E8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7.26E8"/>
        <n v="7.56E8"/>
        <n v="6.7E8"/>
      </sharedItems>
    </cacheField>
    <cacheField name="Operating Income" numFmtId="0">
      <sharedItems containsString="0" containsBlank="1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2.701E9"/>
        <n v="2.621E9"/>
        <n v="1.995E9"/>
        <n v="1.36E9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8.95E9"/>
        <n v="8.042E9"/>
        <n v="9.166E9"/>
        <n v="6.119E9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181E9"/>
        <n v="1.288E9"/>
        <n v="1.177E9"/>
        <n v="9.29E8"/>
        <n v="1.568E9"/>
        <n v="6.28E8"/>
        <n v="-6.389E9"/>
        <n v="-5.5E7"/>
        <n v="-3.03E8"/>
        <n v="-7.9E7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613E9"/>
        <n v="4.237E9"/>
        <n v="3.401E9"/>
        <n v="3.565E9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1.86E9"/>
        <n v="2.075E9"/>
        <n v="1.899E9"/>
        <n v="8.89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7.348E9"/>
        <n v="1.0309E10"/>
        <n v="4.998E9"/>
        <n v="4.076E9"/>
        <n v="8.31E8"/>
        <n v="5.71E8"/>
        <n v="3.75E8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28E8"/>
        <n v="2.72E8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2.314E9"/>
        <n v="2.079E9"/>
        <n v="1.111E9"/>
        <n v="9.59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9.15E8"/>
        <n v="9.1E8"/>
        <n v="7.57E8"/>
        <n v="7.58E8"/>
        <n v="4.70188E8"/>
        <n v="4.4547E8"/>
        <n v="4.17705E8"/>
        <n v="3.75518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7.066E9"/>
        <n v="8.411E9"/>
        <n v="5.561E9"/>
        <n v="4.555E9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m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6.73E8"/>
        <n v="3.86E8"/>
        <n v="3.74E8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5282E10"/>
        <n v="1.7725E10"/>
        <n v="1.5341E10"/>
        <n v="1.2185E10"/>
        <n v="1.073E8"/>
        <n v="4.71E7"/>
        <n v="1.758E8"/>
        <n v="1.263E8"/>
        <n v="2.723E8"/>
        <n v="2.769E8"/>
        <n v="5.6E8"/>
        <n v="4.11E8"/>
        <n v="5.38E8"/>
        <n v="9.27E8"/>
        <n v="7.8E8"/>
        <n v="7.43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3.245E9"/>
        <n v="2.769E9"/>
        <n v="2.175E9"/>
        <n v="1.043E9"/>
        <n v="1.011E9"/>
        <n v="2.513E9"/>
        <n v="1.073E9"/>
        <n v="8.93E8"/>
        <n v="6.30134E8"/>
        <n v="6.09475E8"/>
        <n v="6.38855E8"/>
        <n v="5.02917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5.908E9"/>
        <n v="5.422E9"/>
        <n v="6.234E9"/>
        <n v="5.572E9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4.865E8"/>
        <n v="4.959E8"/>
        <n v="4.259E8"/>
        <n v="3.899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1.849E8"/>
        <n v="2.413E8"/>
        <n v="2.216E8"/>
        <n v="3.118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1.813E9"/>
        <n v="1.315E9"/>
        <n v="1.754E9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5.65E8"/>
        <n v="4.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8.49E8"/>
        <n v="1.023E9"/>
        <n v="7.82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6.95E8"/>
        <n v="8.45E8"/>
        <n v="7.55E8"/>
        <n v="1.55334E8"/>
        <n v="1.69918E8"/>
        <n v="1.65864E8"/>
        <n v="1.46861E8"/>
        <n v="8.08E8"/>
        <n v="1.104E9"/>
        <n v="9.17E8"/>
        <n v="7.58542E8"/>
        <n v="6.25398E8"/>
        <n v="6.13235E8"/>
        <n v="3.42477E8"/>
        <n v="1.641E9"/>
        <n v="1.321E9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2.543E9"/>
        <n v="2.131E9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2.579E9"/>
        <n v="2.93E9"/>
        <n v="1.739E9"/>
        <n v="2.026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8.227E9"/>
        <n v="5.525E9"/>
        <n v="4.083E9"/>
        <n v="3.589E9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4.61E8"/>
        <n v="4.18E8"/>
        <n v="2.22E8"/>
        <n v="7.26E8"/>
        <n v="7.56E8"/>
        <n v="6.7E8"/>
      </sharedItems>
    </cacheField>
    <cacheField name="Interest Expense" numFmtId="0">
      <sharedItems containsString="0" containsBlank="1" containsNumber="1" containsInteger="1">
        <n v="-1.17E8"/>
        <n v="-1.21E8"/>
        <n v="-1.32E8"/>
        <n v="-1.41E8"/>
        <n v="-1000000.0"/>
        <n v="-900000.0"/>
        <n v="-1.33E8"/>
        <n v="-1.34E8"/>
        <n v="-1.35E8"/>
        <n v="-1.36E8"/>
        <n v="-5.96E8"/>
        <n v="-6.15E8"/>
        <n v="-6.32E8"/>
        <n v="-6.29E8"/>
        <m/>
        <n v="-1.2977E7"/>
        <n v="-2.8739E7"/>
        <n v="-8922000.0"/>
        <n v="-8854000.0"/>
        <n v="-2.7E7"/>
        <n v="-2.8E7"/>
        <n v="-6.1E7"/>
        <n v="-4.0E7"/>
        <n v="-8.7E7"/>
        <n v="-6.9E7"/>
        <n v="-3.0E7"/>
        <n v="-8306000.0"/>
        <n v="-1.1191E7"/>
        <n v="-9748500.0"/>
        <n v="-7000000.0"/>
        <n v="-1.0E7"/>
        <n v="-9000000.0"/>
        <n v="-2.42E8"/>
        <n v="-2.37E8"/>
        <n v="-1.9E8"/>
        <n v="-2.97E8"/>
        <n v="-5.7E7"/>
        <n v="-6.2E7"/>
        <n v="-2.1E7"/>
        <n v="-2.0E7"/>
        <n v="-1.9E7"/>
        <n v="-3.34E7"/>
        <n v="-3.56E7"/>
        <n v="-3.61E7"/>
        <n v="-3.67E7"/>
        <n v="-1.8144E7"/>
        <n v="-1.8037E7"/>
        <n v="-1.7834E7"/>
        <n v="-1.7342E7"/>
        <n v="-5136000.0"/>
        <n v="-5952000.0"/>
        <n v="-1.6084E7"/>
        <n v="-1.9152E7"/>
        <n v="-3.6E7"/>
        <n v="-2.9E7"/>
        <n v="-3.1E7"/>
        <n v="-3.5678E7"/>
        <n v="-3.5158E7"/>
        <n v="-3.6467E7"/>
        <n v="-3.7538E7"/>
        <n v="-1.23E7"/>
        <n v="-1.24E7"/>
        <n v="-7.1E7"/>
        <n v="-7.2E7"/>
        <n v="-7.0E7"/>
        <n v="-9.1E7"/>
        <n v="-8.6E7"/>
        <n v="-8.0E7"/>
        <n v="-7.6E7"/>
        <n v="-5.3E7"/>
        <n v="-4.8E7"/>
        <n v="-3.13E8"/>
        <n v="-3.36E8"/>
        <n v="-3.18E8"/>
        <n v="-4.35E8"/>
        <n v="-3.99E8"/>
        <n v="-4.14E8"/>
        <n v="-4.28E8"/>
        <n v="-3.7E7"/>
        <n v="-4.4E7"/>
        <n v="-9.6E7"/>
        <n v="-1.0E8"/>
        <n v="-1.08E8"/>
        <n v="-1.1E8"/>
        <n v="-4.86E8"/>
        <n v="-3.71E8"/>
        <n v="-3.76E8"/>
        <n v="-3.4E8"/>
        <n v="-3.016E8"/>
        <n v="-2.902E8"/>
        <n v="-2.883E8"/>
        <n v="-2.913E8"/>
        <n v="-3.38E8"/>
        <n v="-3.42E8"/>
        <n v="-3.58E8"/>
        <n v="-3.79E8"/>
        <n v="-2.137E8"/>
        <n v="-2.07E8"/>
        <n v="-1.961E8"/>
        <n v="-1.909E8"/>
        <n v="-1.01E8"/>
        <n v="-9.8E7"/>
        <n v="-9.9E7"/>
        <n v="-1.69E8"/>
        <n v="-2.06E8"/>
        <n v="-1.65E8"/>
        <n v="-2.17E8"/>
        <n v="-5.3011E7"/>
        <n v="-3.5184E7"/>
        <n v="-3.4578E7"/>
        <n v="-3.5761E7"/>
        <n v="-2.0442E7"/>
        <n v="-1.8947E7"/>
        <n v="-1.9465E7"/>
        <n v="-2.1187E7"/>
        <n v="-2.81E8"/>
        <n v="-2.85E8"/>
        <n v="-9.4E7"/>
        <n v="-3.02E8"/>
        <n v="-2.86E7"/>
        <n v="-2.83E7"/>
        <n v="-3.02E7"/>
        <n v="-4.4659E7"/>
        <n v="-4.3066E7"/>
        <n v="-4.2479E7"/>
        <n v="-4.8593E7"/>
        <n v="-3336000.0"/>
        <n v="-3315000.0"/>
        <n v="-2444000.0"/>
        <n v="-1853000.0"/>
        <n v="-2.01E8"/>
        <n v="-2.05E8"/>
        <n v="-1.92E8"/>
        <n v="-7.8E7"/>
        <n v="-7.9E7"/>
        <n v="-8.2E7"/>
        <n v="-1.11E8"/>
        <n v="-1.12E8"/>
        <n v="-6.65E8"/>
        <n v="-6.7E8"/>
        <n v="-6.38E8"/>
        <n v="-6.34E8"/>
        <n v="-5.9E7"/>
        <n v="-3.8E7"/>
        <n v="-3.9E7"/>
        <n v="-5.62E7"/>
        <n v="-4.81E7"/>
        <n v="-4.78E7"/>
        <n v="-2.88E7"/>
        <n v="-2.84E7"/>
        <n v="-2.68E7"/>
        <n v="-2.55E7"/>
        <n v="-1.684E9"/>
        <n v="-1.87E9"/>
        <n v="-1.894E9"/>
        <n v="-1.972E9"/>
        <n v="-2.0962E7"/>
        <n v="-2.6096E7"/>
        <n v="-2.201E7"/>
        <n v="-1.5494E7"/>
        <n v="-1.28E7"/>
        <n v="-1.06E7"/>
        <n v="-6200000.0"/>
        <n v="-1.46E7"/>
        <n v="-1.73E7"/>
        <n v="-1.35E7"/>
        <n v="-1.39E7"/>
        <n v="-1.51E7"/>
        <n v="-6.3537E7"/>
        <n v="-4.5026E7"/>
        <n v="-4.6012E7"/>
        <n v="-4.6179E7"/>
        <n v="-5.6104E7"/>
        <n v="-5.2613E7"/>
        <n v="-5.1589E7"/>
        <n v="-5.3249E7"/>
        <n v="-1.6E7"/>
        <n v="-1.62E7"/>
        <n v="-1.56E7"/>
        <n v="-6.7E7"/>
        <n v="-6.5E7"/>
        <n v="-7.4E7"/>
        <n v="-6.6E7"/>
        <n v="-6.8E7"/>
        <n v="-1.14E8"/>
        <n v="-1.16E8"/>
        <n v="-4.1E7"/>
        <n v="-4.2E7"/>
        <n v="-1.15E8"/>
        <n v="-1.24E8"/>
        <n v="-1.18E8"/>
        <n v="-1.23E8"/>
        <n v="-6000000.0"/>
        <n v="-1.1E7"/>
        <n v="-363000.0"/>
        <n v="-398000.0"/>
        <n v="-4703000.0"/>
        <n v="-5728000.0"/>
        <n v="-3291000.0"/>
        <n v="-2660000.0"/>
        <n v="-3585000.0"/>
        <n v="-4416000.0"/>
        <n v="-5.64E7"/>
        <n v="-6.47E7"/>
        <n v="-5.6E7"/>
        <n v="-5.63E7"/>
        <n v="-5.2E7"/>
        <n v="-5.5E7"/>
        <n v="-5.4E7"/>
        <n v="-6.69E8"/>
        <n v="-6.73E8"/>
        <n v="-6.79E8"/>
        <n v="-6.98E8"/>
        <n v="-8.1E7"/>
        <n v="-2.3E7"/>
        <n v="-1.06319E8"/>
        <n v="-1.07902E8"/>
        <n v="-1.11991E8"/>
        <n v="-1.10993E8"/>
        <n v="-3.2E8"/>
        <n v="-3.45E8"/>
        <n v="-4.15E8"/>
        <n v="-4.66E8"/>
        <n v="-5.7E8"/>
        <n v="-4.2E8"/>
        <n v="-1.2E7"/>
        <n v="-1.21E7"/>
        <n v="-1.5E7"/>
        <n v="-1.6342E7"/>
        <n v="-1.6639E7"/>
        <n v="-1.3234E7"/>
        <n v="-1.3809E7"/>
        <n v="-1.22E7"/>
        <n v="-1.25E7"/>
        <n v="-1.19E7"/>
        <n v="-4316000.0"/>
        <n v="-4217000.0"/>
        <n v="-4873000.0"/>
        <n v="-5325000.0"/>
        <n v="-5.76E8"/>
        <n v="-5.79E8"/>
        <n v="-5.66E8"/>
        <n v="-4.73E8"/>
        <n v="-4.5E7"/>
        <n v="-4.6E7"/>
        <n v="-2.0534E7"/>
        <n v="-2.0289E7"/>
        <n v="-1.9462E7"/>
        <n v="-2.2469E7"/>
        <n v="-4.37E8"/>
        <n v="-3.98E8"/>
        <n v="-3.48E8"/>
        <n v="-3.1E8"/>
        <n v="-7.5E7"/>
        <n v="-8.5E7"/>
        <n v="-9.0E7"/>
        <n v="-3.19E7"/>
        <n v="-2.69E7"/>
        <n v="-2.59E7"/>
        <n v="-2.53E7"/>
        <n v="-1.42E8"/>
        <n v="-1.3E8"/>
        <n v="-9600000.0"/>
        <n v="-1.3772E7"/>
        <n v="-1.0106E7"/>
        <n v="-1.5958E7"/>
        <n v="-1.7829E7"/>
        <n v="-3.55E7"/>
        <n v="-3.71E7"/>
        <n v="-4.02E7"/>
        <n v="-2.4E7"/>
        <n v="-2.5E7"/>
        <n v="-2.6E7"/>
        <n v="-1.7E8"/>
        <n v="-1.63E8"/>
        <n v="-1.77E8"/>
        <n v="-1.19E8"/>
        <n v="-1.28E8"/>
        <n v="-9900000.0"/>
        <n v="-5600000.0"/>
        <n v="-5700000.0"/>
        <n v="-5900000.0"/>
        <n v="-2.908E7"/>
        <n v="-1.619E7"/>
        <n v="-2.9719E7"/>
        <n v="-3.3147E7"/>
        <n v="-1.8867E7"/>
        <n v="-1.016E9"/>
        <n v="-1.004E9"/>
        <n v="-9.83E8"/>
        <n v="-9.65E8"/>
        <n v="-1.85E8"/>
        <n v="-1.98E8"/>
        <n v="-1.99E8"/>
        <n v="-1.64E8"/>
        <n v="-126000.0"/>
        <n v="-2168000.0"/>
        <n v="-554000.0"/>
        <n v="-1.22E8"/>
        <n v="-1.26E8"/>
        <n v="-1.34E7"/>
        <n v="-1.41E7"/>
        <n v="-1.4E7"/>
        <n v="-2.78E8"/>
        <n v="-2.91E8"/>
        <n v="-3.53E8"/>
        <n v="-1.3E7"/>
        <n v="-2.1854E7"/>
        <n v="-2.4551E7"/>
        <n v="-2.4552E7"/>
        <n v="-2.4557E7"/>
        <n v="-1.13E8"/>
        <n v="-2.2905E7"/>
        <n v="-2.436E7"/>
        <n v="-1.6361E7"/>
        <n v="-4.17E7"/>
        <n v="-4.15E7"/>
        <n v="-1.25E8"/>
        <n v="-1.4E8"/>
        <n v="-7.8E8"/>
        <n v="-4.42E8"/>
        <n v="-6.6E8"/>
        <n v="-2000000.0"/>
        <n v="-3000000.0"/>
        <n v="-1.093E9"/>
        <n v="-1.018E9"/>
        <n v="-1.231E9"/>
        <n v="-1.22E9"/>
        <n v="-1.081E8"/>
        <n v="-1.145E8"/>
        <n v="-1.261E8"/>
        <n v="-2.2E8"/>
        <n v="-2.26E8"/>
        <n v="-2.02E8"/>
        <n v="-2.0E8"/>
        <n v="-2.27E8"/>
        <n v="-3.04E8"/>
        <n v="-2.31E8"/>
        <n v="-2.49E8"/>
        <n v="-9.58E7"/>
        <n v="-8.67E7"/>
        <n v="-8.98E7"/>
        <n v="-9.57E7"/>
        <n v="-5346000.0"/>
        <n v="-4849000.0"/>
        <n v="-5032000.0"/>
        <n v="-4902000.0"/>
        <n v="-7.7E7"/>
        <n v="-1.2558E7"/>
        <n v="-1.2377E7"/>
        <n v="-1.0981E7"/>
        <n v="-1.4389E7"/>
        <n v="-1.61E8"/>
        <n v="-1.68E8"/>
        <n v="-1.81E8"/>
        <n v="-1.84E8"/>
        <n v="-1.89E8"/>
        <n v="-6.36E8"/>
        <n v="-6.57E8"/>
        <n v="-6.78E8"/>
        <n v="-7.31E8"/>
        <n v="-5.8E7"/>
        <n v="-7.23E7"/>
        <n v="-7.67E7"/>
        <n v="-1.88E7"/>
        <n v="-1.52E7"/>
        <n v="-1.66E7"/>
        <n v="-7.1451E7"/>
        <n v="-7.1947E7"/>
        <n v="-6.5637E7"/>
        <n v="-5.9092E7"/>
        <n v="-8.3E7"/>
        <n v="-3.14E8"/>
        <n v="-3.61E8"/>
        <n v="-3.65E8"/>
        <n v="-1.53E7"/>
        <n v="-1.45E7"/>
        <n v="-1.05E8"/>
        <n v="-6.4E7"/>
        <n v="-2.52E7"/>
        <n v="-2.48E7"/>
        <n v="-2.46E7"/>
        <n v="-2.44E7"/>
        <n v="7.2E7"/>
        <n v="-7.5014E7"/>
        <n v="-7.5653E7"/>
        <n v="-7.7883E7"/>
        <n v="-8.9499E7"/>
        <n v="-1.73E8"/>
        <n v="-1.71E8"/>
        <n v="-1.72E8"/>
        <n v="-3825000.0"/>
        <n v="-3873000.0"/>
        <n v="6778000.0"/>
        <n v="-4.0392E7"/>
        <n v="-4.0268E7"/>
        <n v="-4.0298E7"/>
        <n v="-3.9326E7"/>
        <n v="-3.3E7"/>
        <n v="-3.42E7"/>
        <n v="-3.81E7"/>
        <n v="-3.48E7"/>
        <n v="-5.18E8"/>
        <n v="-2.72E8"/>
        <n v="-3.06E8"/>
        <n v="-4.5877E7"/>
        <n v="-3.9422E7"/>
        <n v="-5.4479E7"/>
        <n v="-3.8605E7"/>
        <n v="-2.6433E7"/>
        <n v="-2.6661E7"/>
        <n v="-2.6823E7"/>
        <n v="-2.8234E7"/>
        <n v="-1.87E8"/>
        <n v="-1.96E8"/>
        <n v="-2.1E8"/>
        <n v="-1.88E8"/>
        <n v="-1.78E8"/>
        <n v="-5.72E8"/>
        <n v="-5.35E8"/>
        <n v="-5.22E8"/>
        <n v="-2.2507E7"/>
        <n v="-2.4048E7"/>
        <n v="-2.3059E7"/>
        <n v="-2.2841E7"/>
        <n v="-1.29E8"/>
        <n v="-1.46E8"/>
        <n v="-1.94E8"/>
        <n v="-1.97E8"/>
        <n v="-5.1E7"/>
        <n v="-1.62E8"/>
        <n v="-5.17E7"/>
        <n v="-5.38E7"/>
        <n v="-5.14E7"/>
        <n v="-5.59E7"/>
        <n v="-2.75E8"/>
        <n v="-2.48E8"/>
        <n v="-2.52E8"/>
        <n v="-2.68E8"/>
        <n v="-2500000.0"/>
        <n v="-1.58E7"/>
        <n v="-800000.0"/>
        <n v="-2.2E7"/>
        <n v="-8.78E7"/>
        <n v="-8.92E7"/>
        <n v="-8.96E7"/>
        <n v="-8.83E7"/>
        <n v="-4.3E7"/>
        <n v="-7329000.0"/>
        <n v="-5901000.0"/>
        <n v="-5993000.0"/>
        <n v="-2.24968E8"/>
        <n v="-2.10514E8"/>
        <n v="-2.12411E8"/>
        <n v="-2.12439E8"/>
        <n v="-4.7E7"/>
        <n v="-5.3121E7"/>
        <n v="-5.3242E7"/>
        <n v="-3.49E7"/>
        <n v="-3.72E7"/>
        <n v="-3.69E7"/>
        <n v="-3.74E7"/>
        <n v="-8.7231E7"/>
        <n v="-8.9681E7"/>
        <n v="-9.0912E7"/>
        <n v="-9.9736E7"/>
        <n v="-6.9063E7"/>
        <n v="-6.9543E7"/>
        <n v="-1.1941E8"/>
        <n v="-8.2975E7"/>
        <n v="-5.0971E7"/>
        <n v="-5.1649E7"/>
        <n v="-5.5609E7"/>
        <n v="-5.543E7"/>
        <n v="-1882000.0"/>
        <n v="-1685000.0"/>
        <n v="-1.1417E7"/>
        <n v="-1.0615E7"/>
        <n v="-1.5607E7"/>
        <n v="-1.5639E7"/>
        <n v="-1.4846E7"/>
        <n v="-6641000.0"/>
        <n v="-9.38E7"/>
        <n v="-9.34E7"/>
        <n v="-9.48E7"/>
        <n v="-1.45435E8"/>
        <n v="-1.37766E8"/>
        <n v="-1.35385E8"/>
        <n v="-1.34066E8"/>
        <n v="-3.86E8"/>
        <n v="-3.94E8"/>
        <n v="-4.04E8"/>
        <n v="-4.27E8"/>
        <n v="-1.02E8"/>
        <n v="-9.5E7"/>
        <n v="-4.024E7"/>
        <n v="-4.0695E7"/>
        <n v="-4.1016E7"/>
        <n v="-4.3446E7"/>
        <n v="-2.54E8"/>
        <n v="-2.58E8"/>
        <n v="-2.79E8"/>
        <n v="-2600000.0"/>
        <n v="-2400000.0"/>
        <n v="-3.1177E7"/>
        <n v="-3.2085E7"/>
        <n v="-3.7543E7"/>
        <n v="-3.6228E7"/>
        <n v="-1.86E8"/>
        <n v="-8.4E7"/>
        <n v="-2.66E8"/>
        <n v="-2.57E8"/>
        <n v="-1.76E8"/>
        <n v="-1.75E8"/>
        <n v="-3.4685E7"/>
        <n v="-2.8551E7"/>
        <n v="-3.0329E7"/>
        <n v="-3.1383E7"/>
        <n v="-3.26E7"/>
        <n v="-3.24E7"/>
        <n v="-3.43E7"/>
        <n v="-4.53E8"/>
        <n v="-4.76E8"/>
        <n v="-4.72E8"/>
        <n v="-5.07E8"/>
        <n v="-4500000.0"/>
        <n v="-200000.0"/>
        <n v="-2.77E7"/>
        <n v="-1.78E7"/>
        <n v="-4.39E7"/>
        <n v="-2.12E7"/>
        <n v="-2.14E7"/>
        <n v="-1.95E7"/>
        <n v="-2.01E7"/>
        <n v="-2.57E7"/>
        <n v="-1.59E7"/>
        <n v="-2.97E7"/>
        <n v="-1.57E7"/>
        <n v="-1.48E8"/>
        <n v="-1.45E8"/>
        <n v="-1.2E8"/>
        <n v="-6.0E7"/>
        <n v="-3.139E7"/>
        <n v="-1.0349E7"/>
        <n v="-1.8154E7"/>
        <n v="-3.0538E7"/>
        <n v="-7723000.0"/>
        <n v="-7910000.0"/>
        <n v="-8096000.0"/>
        <n v="-7932000.0"/>
        <n v="-1.09E8"/>
        <n v="-2.61E8"/>
        <n v="-2.67E8"/>
        <n v="-1.06E8"/>
        <n v="-1.006E8"/>
        <n v="-1.111E8"/>
        <n v="-2.43E8"/>
        <n v="-2.5E8"/>
        <n v="-3.27E8"/>
        <n v="-1.6107E7"/>
        <n v="-1.9062E7"/>
        <n v="-2.1495E7"/>
        <n v="-2.5788E7"/>
        <n v="-2.56E8"/>
        <n v="-2.36E8"/>
        <n v="-8.12E7"/>
        <n v="-8.25E7"/>
        <n v="-8.21E7"/>
        <n v="-2.1769E7"/>
        <n v="-2.1178E7"/>
        <n v="-2.1409E7"/>
        <n v="-2.1674E7"/>
        <n v="-4.244E7"/>
        <n v="-4.446E7"/>
        <n v="-4.4115E7"/>
        <n v="-4.3868E7"/>
        <n v="-4.61E7"/>
        <n v="-4.79E7"/>
        <n v="-4.8428E7"/>
        <n v="-4.94E7"/>
        <n v="-3.84E8"/>
        <n v="-3.83E8"/>
        <n v="-3.85E8"/>
        <n v="-3.8681E7"/>
        <n v="-4.6843E7"/>
        <n v="-5.4088E7"/>
        <n v="-5.6235E7"/>
        <n v="-6485000.0"/>
        <n v="-1.1968E7"/>
        <n v="-1.1111E7"/>
        <n v="-1.0486E7"/>
        <n v="-1.03E8"/>
        <n v="-2.16E7"/>
        <n v="-2.13E7"/>
        <n v="-2.81E7"/>
        <n v="-3.26E8"/>
        <n v="-3.39E8"/>
        <n v="-3.37E8"/>
        <n v="-1.1703E7"/>
        <n v="-7788000.0"/>
        <n v="-8227000.0"/>
        <n v="-8271000.0"/>
        <n v="-1.56E8"/>
        <n v="-1.44E8"/>
        <n v="-6.3E7"/>
        <n v="-1.8E7"/>
        <n v="-2.8E8"/>
        <n v="-3.17E8"/>
        <n v="-3.23E8"/>
        <n v="-1.1205E7"/>
        <n v="-1.0776E7"/>
        <n v="-1.0788E7"/>
        <n v="-1.0642E7"/>
        <n v="-7613000.0"/>
        <n v="-7584000.0"/>
        <n v="-7828000.0"/>
        <n v="-8110000.0"/>
        <n v="-5.54E7"/>
        <n v="-5.55E7"/>
        <n v="-5.77E7"/>
        <n v="-358000.0"/>
        <n v="-359000.0"/>
        <n v="-428000.0"/>
        <n v="-544000.0"/>
        <n v="-2.27E7"/>
        <n v="-2.31E7"/>
        <n v="-1.6E8"/>
        <n v="-1.07E8"/>
        <n v="-8.9E7"/>
        <n v="-3.2756E7"/>
        <n v="-3.4844E7"/>
        <n v="-4.26E7"/>
        <n v="-4.96E7"/>
        <n v="-4.68E7"/>
        <n v="-5.08E7"/>
        <n v="-8000000.0"/>
        <n v="-6.77E7"/>
        <n v="-7.56E7"/>
        <n v="-1.06993E8"/>
        <n v="-1.06948E8"/>
        <n v="-1.06779E8"/>
        <n v="-1.06023E8"/>
        <n v="-1.2059E7"/>
        <n v="-1.2024E7"/>
        <n v="-1.0831E7"/>
        <n v="-1.1895E7"/>
        <n v="-619000.0"/>
        <n v="-290000.0"/>
        <n v="-117000.0"/>
        <n v="-2.0011E7"/>
        <n v="-1.5464E7"/>
        <n v="-1.7313E7"/>
        <n v="-1.4043E7"/>
        <n v="-4.31E7"/>
        <n v="-4.24E7"/>
        <n v="-4.35E7"/>
        <n v="-4.51E7"/>
        <n v="-1.26E7"/>
        <n v="-1.37E7"/>
        <n v="-1.85E7"/>
        <n v="-1.91E7"/>
        <n v="-3.91E7"/>
        <n v="-3.95E7"/>
        <n v="-4.6812E7"/>
        <n v="-4.7716E7"/>
        <n v="-4.5887E7"/>
        <n v="-4.6942E7"/>
        <n v="-3.77E8"/>
        <n v="-3.81E8"/>
        <n v="-3.95E8"/>
        <n v="-3.997E7"/>
        <n v="-3.9092E7"/>
        <n v="-3.888E7"/>
        <n v="-3.9386E7"/>
        <n v="-6.13E8"/>
        <n v="-3.28E8"/>
        <n v="-4.85E7"/>
        <n v="-4.83E7"/>
        <n v="-5.27E7"/>
        <n v="-5.1695E7"/>
        <n v="-5.2236E7"/>
        <n v="-5.2551E7"/>
        <n v="-5.2115E7"/>
        <n v="-2.87E7"/>
        <n v="-2.93E7"/>
        <n v="-3.03E7"/>
        <n v="-1.54E8"/>
        <n v="-1.5E8"/>
        <n v="-1.37E8"/>
        <n v="-1.93E7"/>
        <n v="-2.09E7"/>
        <n v="-4.9E7"/>
        <n v="-2.2401E7"/>
        <n v="-6.8909E7"/>
        <n v="-7.083E7"/>
        <n v="-6.4051E7"/>
        <n v="-6.6093E7"/>
        <n v="-2.4718E7"/>
        <n v="-1.9012E7"/>
        <n v="-2.7878E7"/>
        <n v="-2.8412E7"/>
        <n v="-1.49E8"/>
        <n v="-2.14E8"/>
        <n v="-3.89E8"/>
        <n v="-3.96E8"/>
        <n v="-4.09E8"/>
        <n v="-1.31E8"/>
        <n v="-3.34E8"/>
        <n v="-3.44E8"/>
        <n v="-171000.0"/>
        <n v="-191000.0"/>
        <n v="-96000.0"/>
        <n v="-1046000.0"/>
        <n v="-1.27E8"/>
        <n v="-2.74E7"/>
        <n v="-3.4E7"/>
        <n v="-3.5E7"/>
        <n v="-3.2219E7"/>
        <n v="-3.1838E7"/>
        <n v="-4.3306E7"/>
        <n v="-4.3189E7"/>
        <n v="-3.39E7"/>
        <n v="-3.38E7"/>
        <n v="-2.965E8"/>
        <n v="-3.0E8"/>
        <n v="-3.089E8"/>
        <n v="-3.101E8"/>
        <n v="-5.0E7"/>
        <n v="-1.43E8"/>
        <n v="-4.7E8"/>
        <n v="-2.03E8"/>
        <n v="-2.28E8"/>
        <n v="-2.3E8"/>
        <n v="-2.29E8"/>
        <n v="-9471000.0"/>
        <n v="-9505000.0"/>
        <n v="-9310000.0"/>
        <n v="-9582000.0"/>
        <n v="-2.08772E8"/>
        <n v="-1.60295E8"/>
        <n v="-1.85679E8"/>
        <n v="-1.73808E8"/>
        <n v="-8.65E7"/>
        <n v="-9.33E7"/>
        <n v="-5.49E8"/>
        <n v="-6.28E8"/>
        <n v="-5.68E8"/>
        <n v="-5.85E8"/>
        <n v="-3.8867E7"/>
        <n v="-3.9672E7"/>
        <n v="-4.0952E7"/>
        <n v="-4.101E7"/>
        <n v="-5000000.0"/>
        <n v="-3508000.0"/>
        <n v="-2834000.0"/>
        <n v="-1.4894E7"/>
        <n v="-1.5241E7"/>
        <n v="-1.5898E7"/>
        <n v="-1.4854E7"/>
        <n v="-7.07E7"/>
        <n v="-6.82E7"/>
        <n v="-5.68E7"/>
        <n v="-1.04E8"/>
        <n v="-5000.0"/>
        <n v="-4000.0"/>
        <n v="-1268000.0"/>
        <n v="-3.9557E7"/>
        <n v="-3.7584E7"/>
        <n v="-3.733E7"/>
        <n v="-3.7536E7"/>
        <n v="-1.9444E8"/>
        <n v="-1.97186E8"/>
        <n v="-1.97079E8"/>
        <n v="-1.89151E8"/>
        <n v="-7.3E7"/>
        <n v="-7.57E8"/>
        <n v="-2.08E8"/>
        <n v="-9.2E7"/>
        <n v="-8.45E7"/>
        <n v="-8.46E7"/>
        <n v="-9.29E7"/>
        <n v="-9.52E7"/>
        <n v="-1.55E8"/>
        <n v="-3.2E7"/>
        <n v="-1.50422E8"/>
        <n v="-1.59205E8"/>
        <n v="-1.33028E8"/>
        <n v="-9.3378E7"/>
        <n v="-3.578E7"/>
        <n v="-4.097E7"/>
        <n v="-3.7887E7"/>
        <n v="-4.2281E7"/>
        <n v="-1.285E7"/>
        <n v="-1.3006E7"/>
        <n v="-1.2769E7"/>
        <n v="-1.1309E7"/>
        <n v="-3.7506E7"/>
        <n v="-3.8349E7"/>
        <n v="-4.1668E7"/>
        <n v="-4.1723E7"/>
        <n v="-6.08E8"/>
        <n v="4000000.0"/>
        <n v="-2.6E8"/>
        <n v="-2.65E8"/>
        <n v="-371000.0"/>
        <n v="-465000.0"/>
        <n v="-507000.0"/>
        <n v="-846000.0"/>
        <n v="-5.07E7"/>
        <n v="-8.03E7"/>
        <n v="-1.84049E8"/>
        <n v="-1.84957E8"/>
        <n v="-1.85523E8"/>
        <n v="-1.76931E8"/>
        <n v="-7.05E8"/>
        <n v="-6.94E8"/>
        <n v="-5.8E8"/>
        <n v="-6.01E8"/>
        <n v="-9400000.0"/>
        <n v="-1.04E7"/>
        <n v="-2.39E7"/>
        <n v="-2.49E7"/>
        <n v="-2.35E7"/>
        <n v="-5.935E7"/>
        <n v="-6.0258E7"/>
        <n v="-6.083E7"/>
        <n v="-6.299E7"/>
        <n v="-9200000.0"/>
        <n v="-8100000.0"/>
        <n v="-8800000.0"/>
        <n v="158000.0"/>
        <n v="49000.0"/>
        <n v="656000.0"/>
        <n v="-1.452E8"/>
        <n v="-1.382E8"/>
        <n v="-1.359E8"/>
        <n v="-1.363E8"/>
        <n v="-3800000.0"/>
        <n v="-5100000.0"/>
        <n v="-3900000.0"/>
        <n v="-2.32E8"/>
        <n v="-4.3531E7"/>
        <n v="-1.675E7"/>
        <n v="-1.4126E7"/>
        <n v="-1.1904E7"/>
        <n v="-3.25E8"/>
        <n v="-3.16E8"/>
        <n v="-3.47E8"/>
        <n v="-2.11E8"/>
        <n v="-2.09E8"/>
        <n v="-1.51E8"/>
        <n v="-1.39E8"/>
        <n v="-6.4067E7"/>
        <n v="-6.2777E7"/>
        <n v="-6.1938E7"/>
        <n v="-6.408E7"/>
        <n v="-2317000.0"/>
        <n v="-1963000.0"/>
        <n v="-2582000.0"/>
        <n v="-1361000.0"/>
        <n v="-1.83E8"/>
        <n v="-4.74E8"/>
        <n v="-1.53E8"/>
        <n v="-2.51E8"/>
        <n v="-5.42E7"/>
        <n v="-6.3638E7"/>
        <n v="-6.8412E7"/>
        <n v="-7.1281E7"/>
        <n v="-7.6856E7"/>
        <n v="-1.3178E7"/>
        <n v="-1.2925E7"/>
        <n v="-1.1518E7"/>
        <n v="-1.47E8"/>
        <n v="-2.3736E7"/>
        <n v="-2.1994E7"/>
        <n v="-1.525E7"/>
        <n v="-1.6036E7"/>
        <n v="-115000.0"/>
        <n v="-138000.0"/>
        <n v="-135000.0"/>
        <n v="-226000.0"/>
        <n v="-2.73E7"/>
        <n v="-3.05E7"/>
        <n v="-3.59E7"/>
        <n v="-3.44E7"/>
        <n v="-1.5327E7"/>
        <n v="-1.5279E7"/>
        <n v="-1.8339E7"/>
        <n v="-1.7453E7"/>
        <n v="-1.38E8"/>
        <n v="-1.7259E7"/>
        <n v="-1.3109E7"/>
        <n v="-1.2475E7"/>
        <n v="-1.1304E7"/>
        <n v="-1.36E7"/>
        <n v="-1.33E7"/>
        <n v="-3.46E8"/>
        <n v="-3.57E8"/>
        <n v="-3.67E8"/>
        <n v="-7.6156E7"/>
        <n v="-7.3674E7"/>
        <n v="-7.3075E7"/>
        <n v="-7.8764E7"/>
        <n v="-3.6148E7"/>
        <n v="-3.5962E7"/>
        <n v="-3.7094E7"/>
        <n v="-3.8301E7"/>
        <n v="-1.42E7"/>
        <n v="-1.44E7"/>
        <n v="-1.48E7"/>
        <n v="-7.81E7"/>
        <n v="-7.84E7"/>
        <n v="-7.06E7"/>
        <n v="-5360000.0"/>
        <n v="-5345000.0"/>
        <n v="-5878000.0"/>
        <n v="-5924000.0"/>
        <n v="-151000.0"/>
        <n v="-2.63E7"/>
        <n v="-2.24E7"/>
        <n v="-2.33E7"/>
        <n v="-2.26E7"/>
        <n v="-222000.0"/>
        <n v="-506000.0"/>
        <n v="-606000.0"/>
        <n v="-591000.0"/>
        <n v="-5.82E7"/>
        <n v="-6.06E7"/>
        <n v="-6.37E7"/>
        <n v="-1.8906E7"/>
        <n v="-1.9285E7"/>
        <n v="-1.938E7"/>
        <n v="-2.907E7"/>
        <n v="-4.30661E8"/>
        <n v="-3.04811E8"/>
        <n v="-2.72514E8"/>
        <n v="-2.73089E8"/>
        <n v="-1.05953E8"/>
        <n v="-1.07221E8"/>
        <n v="-1.0679E8"/>
        <n v="-1.03196E8"/>
        <n v="-4.44E7"/>
        <n v="-4.41E7"/>
        <n v="-2.59E8"/>
        <n v="-2.63E8"/>
        <n v="-7708000.0"/>
        <n v="-8.31E7"/>
        <n v="-8.35E7"/>
        <n v="-8.32E7"/>
        <n v="-8.28E7"/>
        <n v="-1.99772E8"/>
        <n v="-2.00419E8"/>
        <n v="-2.02016E8"/>
        <n v="-1.97855E8"/>
        <n v="-1.08E7"/>
        <n v="-1.32E7"/>
        <n v="-1.43E7"/>
        <n v="-4.55E8"/>
        <n v="-4.54E8"/>
        <n v="-4.82E8"/>
        <n v="-4.65E7"/>
        <n v="-4.75E7"/>
        <n v="-5.34E7"/>
        <n v="-1.134E8"/>
        <n v="-1.186E8"/>
        <n v="-1.207E8"/>
        <n v="-1.249E8"/>
        <n v="-2.1812E7"/>
        <n v="-1.0124E7"/>
        <n v="-8899000.0"/>
        <n v="-8665000.0"/>
        <n v="-757000.0"/>
        <n v="-807000.0"/>
        <n v="-739000.0"/>
        <n v="-750000.0"/>
        <n v="-1.45773E8"/>
        <n v="-1.46498E8"/>
        <n v="-1.46717E8"/>
        <n v="-1.64269E8"/>
        <n v="-8.52E8"/>
        <n v="-8.38E8"/>
        <n v="-7.98E8"/>
        <n v="-8.09E8"/>
        <n v="-113000.0"/>
        <n v="-145000.0"/>
        <n v="-5902000.0"/>
        <n v="-141000.0"/>
        <n v="-1.71E7"/>
        <n v="-1.74E7"/>
        <n v="-1.94E7"/>
        <n v="-2.02E7"/>
        <n v="-3.57E7"/>
        <n v="-3400000.0"/>
        <n v="-4100000.0"/>
        <n v="-1.6171E7"/>
        <n v="-1.6798E7"/>
        <n v="-1.8721E7"/>
        <n v="-1.6652E7"/>
        <n v="-5566000.0"/>
        <n v="-6004000.0"/>
        <n v="-6351000.0"/>
        <n v="-6237000.0"/>
        <n v="-2.41E8"/>
        <n v="-6100000.0"/>
        <n v="-6400000.0"/>
        <n v="-6700000.0"/>
        <n v="-3.1684E7"/>
        <n v="-3.7046E7"/>
        <n v="-3.872E7"/>
        <n v="-3.8056E7"/>
        <n v="-4.38E7"/>
        <n v="-4.75E8"/>
        <n v="-4.56E8"/>
        <n v="-4.5888E7"/>
        <n v="-4.8854E7"/>
        <n v="-6701000.0"/>
        <n v="-7221000.0"/>
        <n v="-8086000.0"/>
        <n v="-7208000.0"/>
        <n v="-5.93E7"/>
        <n v="-6.07E7"/>
        <n v="-6.19E7"/>
        <n v="-6.24E7"/>
        <n v="-1.69E7"/>
        <n v="-1.79E7"/>
        <n v="-1.96E7"/>
        <n v="-1.3893E7"/>
        <n v="-1.3185E7"/>
        <n v="-4.0166E7"/>
        <n v="-3.9614E7"/>
        <n v="-379000.0"/>
        <n v="-610000.0"/>
        <n v="-425000.0"/>
        <n v="-463000.0"/>
        <n v="-1383000.0"/>
        <n v="-1.3307E7"/>
        <n v="-1.4137E7"/>
        <n v="-1.5008E7"/>
        <n v="-1.4955E7"/>
        <n v="-2.82E8"/>
        <n v="-2.9E8"/>
        <n v="-2.95E8"/>
        <n v="-3.29E8"/>
        <n v="-1.67E8"/>
        <n v="-4.1E8"/>
        <n v="-3.97E8"/>
        <n v="-4.01E8"/>
        <n v="-2.1709E7"/>
        <n v="-2.2861E7"/>
        <n v="-2.1823E7"/>
        <n v="-2.5095E7"/>
        <n v="-1.10051E8"/>
        <n v="-1.10767E8"/>
        <n v="-1.14208E8"/>
        <n v="-1.15505E8"/>
        <n v="-2.3064E7"/>
        <n v="-2.2534E7"/>
        <n v="-2.2537E7"/>
        <n v="-3.15E7"/>
        <n v="-3.54E7"/>
        <n v="-3.53E7"/>
        <n v="-8.44E8"/>
        <n v="-1.101E9"/>
        <n v="-1.08E9"/>
        <n v="-1.044E9"/>
        <n v="-1.5478E7"/>
        <n v="-1.5678E7"/>
        <n v="-1.6288E7"/>
        <n v="-1.3856E7"/>
        <n v="-3.4917E7"/>
        <n v="-3.7971E7"/>
        <n v="-3.4315E7"/>
        <n v="-3.4107E7"/>
        <n v="-1.671E8"/>
        <n v="-1.444E8"/>
        <n v="-1.173E8"/>
        <n v="-5.1894E7"/>
        <n v="-5.0064E7"/>
        <n v="-5.4633E7"/>
        <n v="-5.7371E7"/>
        <n v="-4.1696E7"/>
        <n v="-3.3118E7"/>
        <n v="-3.5451E7"/>
        <n v="-3.5782E7"/>
        <n v="-3.8096E7"/>
        <n v="-3.6651E7"/>
        <n v="-3.5663E7"/>
        <n v="-3.9768E7"/>
        <n v="-4.76E7"/>
        <n v="-4.86E7"/>
        <n v="-4.56E7"/>
        <n v="-5.15E8"/>
        <n v="-5.24E8"/>
        <n v="-5.41E8"/>
        <n v="-9.7E7"/>
        <n v="-1.2027E7"/>
        <n v="-1.0946E7"/>
        <n v="-1.1058E7"/>
        <n v="-1.0915E7"/>
        <n v="-1.203E8"/>
        <n v="-1.198E8"/>
        <n v="-1.182E8"/>
        <n v="-1.223E8"/>
        <n v="-1.22341E8"/>
        <n v="-1.23142E8"/>
        <n v="-1.21173E8"/>
        <n v="-1.24851E8"/>
        <n v="-1900000.0"/>
        <n v="-2100000.0"/>
        <n v="-2.56E7"/>
        <n v="-2.82E7"/>
        <n v="-9.49E7"/>
        <n v="-1.055E8"/>
        <n v="-1.647E8"/>
        <n v="-9.84E7"/>
        <n v="-2.98E8"/>
        <n v="-2.94E8"/>
        <n v="-2.92E8"/>
        <n v="-1.50424E8"/>
        <n v="-1.52852E8"/>
        <n v="-1.49287E8"/>
        <n v="-1.45142E8"/>
        <n v="-2.12E8"/>
        <n v="-1.0276E7"/>
        <n v="-1.3578E7"/>
        <n v="-1.4228E7"/>
        <n v="-1.4226E7"/>
        <n v="-5.47E7"/>
        <n v="-5.23E7"/>
        <n v="-5.31E7"/>
      </sharedItems>
    </cacheField>
    <cacheField name="Income Tax Expense" numFmtId="0">
      <sharedItems containsSemiMixedTypes="0" containsString="0" containsNumber="1" containsInteger="1">
        <n v="3.24E8"/>
        <n v="4.15E8"/>
        <n v="3.19E8"/>
        <n v="3.16E8"/>
        <n v="3.48E7"/>
        <n v="3.31E7"/>
        <n v="2.84E7"/>
        <n v="3.19E7"/>
        <n v="3.93E8"/>
        <n v="1.59E8"/>
        <n v="2.5E8"/>
        <n v="2.3E8"/>
        <n v="5.08E8"/>
        <n v="3.94E8"/>
        <n v="3.12E8"/>
        <n v="-1.545E9"/>
        <n v="1.0318E7"/>
        <n v="1.7175E7"/>
        <n v="1.6638E7"/>
        <n v="1.8867E7"/>
        <n v="4.80382E8"/>
        <n v="5.24429E8"/>
        <n v="3.0095E8"/>
        <n v="4.6481E8"/>
        <n v="1.2E8"/>
        <n v="1.26E8"/>
        <n v="1.46E8"/>
        <n v="5.4E7"/>
        <n v="1.13E8"/>
        <n v="1.31E8"/>
        <n v="6.3E7"/>
        <n v="2.06E8"/>
        <n v="2.7E8"/>
        <n v="1.72E8"/>
        <n v="-1.053E9"/>
        <n v="5.9069E7"/>
        <n v="0.0"/>
        <n v="5.9844E7"/>
        <n v="8.2E7"/>
        <n v="8.9E7"/>
        <n v="-1.232E9"/>
        <n v="-5.9E7"/>
        <n v="8000000.0"/>
        <n v="1.61E8"/>
        <n v="2.25E8"/>
        <n v="2.68E8"/>
        <n v="3.1E8"/>
        <n v="2.65E8"/>
        <n v="5.7E7"/>
        <n v="2.4E7"/>
        <n v="6.1E7"/>
        <n v="1.253E8"/>
        <n v="1.017E8"/>
        <n v="1.219E8"/>
        <n v="1.139E8"/>
        <n v="1.3648E7"/>
        <n v="1.8009E7"/>
        <n v="1.1898E7"/>
        <n v="4158000.0"/>
        <n v="-1.1467E8"/>
        <n v="1.06985E8"/>
        <n v="2.2107E7"/>
        <n v="-1.0101E7"/>
        <n v="5.1E7"/>
        <n v="-4.2E7"/>
        <n v="-1.96E8"/>
        <n v="8.1019E7"/>
        <n v="6.9088E7"/>
        <n v="6.1245E7"/>
        <n v="5.5554E7"/>
        <n v="-2800000.0"/>
        <n v="1.74E7"/>
        <n v="1.43E7"/>
        <n v="1.24E7"/>
        <n v="-2.1E7"/>
        <n v="-1.7E7"/>
        <n v="-2.8E7"/>
        <n v="-1.0E7"/>
        <n v="2.0E7"/>
        <n v="3.62E8"/>
        <n v="6.26E8"/>
        <n v="6.86E8"/>
        <n v="3.46E9"/>
        <n v="3.353E9"/>
        <n v="3.462E9"/>
        <n v="2.112E9"/>
        <n v="7.59E8"/>
        <n v="5.16E8"/>
        <n v="6.19E8"/>
        <n v="6.32E8"/>
        <n v="8.68E8"/>
        <n v="2.156E9"/>
        <n v="5.65E8"/>
        <n v="5.69E8"/>
        <n v="7.4E7"/>
        <n v="7.1E7"/>
        <n v="5.5E7"/>
        <n v="3.1E7"/>
        <n v="2.7E7"/>
        <n v="2.1E7"/>
        <n v="-3.23E8"/>
        <n v="-6.31E8"/>
        <n v="-6.96E8"/>
        <n v="6.12E7"/>
        <n v="5.45E7"/>
        <n v="-1.74E7"/>
        <n v="-1200000.0"/>
        <n v="6.6E8"/>
        <n v="7.58E8"/>
        <n v="4.2E8"/>
        <n v="2.91E8"/>
        <n v="-3000000.0"/>
        <n v="7.98E8"/>
        <n v="-5.42E8"/>
        <n v="7.28E7"/>
        <n v="5.03E7"/>
        <n v="5.81E7"/>
        <n v="3.93E7"/>
        <n v="4.4E7"/>
        <n v="2.2E7"/>
        <n v="3.6E7"/>
        <n v="8.8E7"/>
        <n v="1.3E8"/>
        <n v="5.6E7"/>
        <n v="1.3E7"/>
        <n v="-4.4E7"/>
        <n v="2.78082E8"/>
        <n v="1.32506E8"/>
        <n v="1.49175E8"/>
        <n v="-1.298952E9"/>
        <n v="6.0076E7"/>
        <n v="5.3223E7"/>
        <n v="5.5682E7"/>
        <n v="4.3494E7"/>
        <n v="9.4E7"/>
        <n v="2.11E8"/>
        <n v="2.62E8"/>
        <n v="1.85E8"/>
        <n v="1.041E8"/>
        <n v="1.0E8"/>
        <n v="9.93E7"/>
        <n v="6.8E7"/>
        <n v="6.8967E7"/>
        <n v="5.308E7"/>
        <n v="4.8099E7"/>
        <n v="3.0784E7"/>
        <n v="3.5144E7"/>
        <n v="-2.4775E7"/>
        <n v="4.224E7"/>
        <n v="1.4517E7"/>
        <n v="4.94E8"/>
        <n v="5.52E8"/>
        <n v="5.09E8"/>
        <n v="6.0E7"/>
        <n v="2.03E8"/>
        <n v="2.34E8"/>
        <n v="9.2E7"/>
        <n v="8.7E7"/>
        <n v="1.7E8"/>
        <n v="1.5E7"/>
        <n v="2.625E9"/>
        <n v="4.381E9"/>
        <n v="4.824E9"/>
        <n v="2.228E9"/>
        <n v="2.64E8"/>
        <n v="2.15E8"/>
        <n v="1.1E8"/>
        <n v="1.12E8"/>
        <n v="2.8E7"/>
        <n v="4.8E7"/>
        <n v="-2000000.0"/>
        <n v="2.4196E7"/>
        <n v="2.7501E7"/>
        <n v="1.7222E7"/>
        <n v="3.3244E7"/>
        <n v="2.05E7"/>
        <n v="1.47E7"/>
        <n v="-1.94E7"/>
        <n v="2.17E7"/>
        <n v="5.19E7"/>
        <n v="4.46E7"/>
        <n v="4.44E7"/>
        <n v="2.64E7"/>
        <n v="7.51E8"/>
        <n v="2.122E9"/>
        <n v="-2.038E9"/>
        <n v="7.66E8"/>
        <n v="1.5904E7"/>
        <n v="6.1788E7"/>
        <n v="6.5224E7"/>
        <n v="1.8056E7"/>
        <n v="2.32E7"/>
        <n v="-2.42E7"/>
        <n v="-7.402E8"/>
        <n v="2.39E7"/>
        <n v="1.589E8"/>
        <n v="2.555E8"/>
        <n v="1.851E8"/>
        <n v="1.631E8"/>
        <n v="2.00139E8"/>
        <n v="1.62315E8"/>
        <n v="8.9809E7"/>
        <n v="1.26613E8"/>
        <n v="10000.0"/>
        <n v="-755000.0"/>
        <n v="-2178000.0"/>
        <n v="-27000.0"/>
        <n v="7.04E7"/>
        <n v="6.29E7"/>
        <n v="4.63E7"/>
        <n v="1.93E8"/>
        <n v="1.43E8"/>
        <n v="6.9E7"/>
        <n v="1.16E8"/>
        <n v="3.2E7"/>
        <n v="7000000.0"/>
        <n v="7.3E7"/>
        <n v="1.259E9"/>
        <n v="-1.182E9"/>
        <n v="1.116E9"/>
        <n v="6.49E8"/>
        <n v="1.25E8"/>
        <n v="7.6E7"/>
        <n v="2.95E8"/>
        <n v="7.9E7"/>
        <n v="9.1E7"/>
        <n v="3.9E7"/>
        <n v="-1.1E7"/>
        <n v="6000000.0"/>
        <n v="1.54E8"/>
        <n v="6.4E7"/>
        <n v="2.27E8"/>
        <n v="1.64E8"/>
        <n v="2.42661E8"/>
        <n v="3.19789E8"/>
        <n v="2.39431E8"/>
        <n v="3.69637E8"/>
        <n v="-7531000.0"/>
        <n v="-48000.0"/>
        <n v="1.0224E7"/>
        <n v="5944000.0"/>
        <n v="-4.091E8"/>
        <n v="4.42E7"/>
        <n v="1.33E7"/>
        <n v="2.408E8"/>
        <n v="6.54E8"/>
        <n v="3.18E8"/>
        <n v="4.27E8"/>
        <n v="4.64E8"/>
        <n v="2.19E8"/>
        <n v="2.41E8"/>
        <n v="2.21E8"/>
        <n v="1.48E8"/>
        <n v="-1.78E8"/>
        <n v="-1.8E7"/>
        <n v="-1.86E8"/>
        <n v="-2.23E8"/>
        <n v="4.1E8"/>
        <n v="3.4E7"/>
        <n v="4.2E7"/>
        <n v="-3.7E7"/>
        <n v="-1.6E7"/>
        <n v="9.6E7"/>
        <n v="-7.2E7"/>
        <n v="4.92E8"/>
        <n v="5.01E8"/>
        <n v="-4.24E8"/>
        <n v="3.79E8"/>
        <n v="-1.5E8"/>
        <n v="-7000000.0"/>
        <n v="-1.87E8"/>
        <n v="1.31E7"/>
        <n v="7800000.0"/>
        <n v="6.5E7"/>
        <n v="3.9463E7"/>
        <n v="3.3596E7"/>
        <n v="2.4549E7"/>
        <n v="3.2617E7"/>
        <n v="3.8764E7"/>
        <n v="4.6962E7"/>
        <n v="2.4245E7"/>
        <n v="3.4637E7"/>
        <n v="2.7365E7"/>
        <n v="1.5252E7"/>
        <n v="1.2451E7"/>
        <n v="4083000.0"/>
        <n v="-1000000.0"/>
        <n v="-7.6E7"/>
        <n v="6.2E7"/>
        <n v="1.35E8"/>
        <n v="5.3E7"/>
        <n v="1.02E8"/>
        <n v="9.7E7"/>
        <n v="1.031E9"/>
        <n v="8.69E8"/>
        <n v="4.96E8"/>
        <n v="1.096E9"/>
        <n v="4000000.0"/>
        <n v="3.2E8"/>
        <n v="-2.03E8"/>
        <n v="-4.1E8"/>
        <n v="1.30568E8"/>
        <n v="5.2304E7"/>
        <n v="7.5203E7"/>
        <n v="9.1645E7"/>
        <n v="1.2E7"/>
        <n v="-6000000.0"/>
        <n v="-1.5E7"/>
        <n v="1.04E8"/>
        <n v="2.89E8"/>
        <n v="2.61E8"/>
        <n v="3.91E7"/>
        <n v="8.53E7"/>
        <n v="2.06E7"/>
        <n v="4.75E8"/>
        <n v="1.67E8"/>
        <n v="1.87E8"/>
        <n v="7.37E7"/>
        <n v="5.57E7"/>
        <n v="3.56E7"/>
        <n v="5.35E7"/>
        <n v="1.33445E8"/>
        <n v="7.6327E7"/>
        <n v="9.5054E7"/>
        <n v="4.9062E7"/>
        <n v="9.71E7"/>
        <n v="5.63E7"/>
        <n v="5.67E7"/>
        <n v="5.69E7"/>
        <n v="8.5E7"/>
        <n v="1.17E8"/>
        <n v="3.0E7"/>
        <n v="1.39E8"/>
        <n v="2.44E8"/>
        <n v="-5.5E7"/>
        <n v="-1.2E7"/>
        <n v="6600000.0"/>
        <n v="-1.03E7"/>
        <n v="-5500000.0"/>
        <n v="1.5175E7"/>
        <n v="4.7012E7"/>
        <n v="3.4627E7"/>
        <n v="1.03164E8"/>
        <n v="1.8E7"/>
        <n v="-1.3E7"/>
        <n v="3.758E7"/>
        <n v="2367000.0"/>
        <n v="2.8237E7"/>
        <n v="3.2665E7"/>
        <n v="4.54E8"/>
        <n v="4.76E8"/>
        <n v="3.41E8"/>
        <n v="1.91E8"/>
        <n v="3.47E8"/>
        <n v="2.81E8"/>
        <n v="2.16E8"/>
        <n v="2.54E8"/>
        <n v="1.328E9"/>
        <n v="7.79E8"/>
        <n v="-3.01E8"/>
        <n v="1.65E8"/>
        <n v="3.512E7"/>
        <n v="5.8402E7"/>
        <n v="3.2173E7"/>
        <n v="-7.3227E7"/>
        <n v="3.17E8"/>
        <n v="3.38E8"/>
        <n v="3.34E8"/>
        <n v="1.42E8"/>
        <n v="5.89E7"/>
        <n v="7.03E7"/>
        <n v="2.67E7"/>
        <n v="4.22E8"/>
        <n v="3.42E8"/>
        <n v="1.236E9"/>
        <n v="4.06E8"/>
        <n v="2.67E8"/>
        <n v="2.36E8"/>
        <n v="4.1124E7"/>
        <n v="6.4271E7"/>
        <n v="4.3619E7"/>
        <n v="4.3676E7"/>
        <n v="7.28E8"/>
        <n v="7.1E8"/>
        <n v="5.07E8"/>
        <n v="6.7E8"/>
        <n v="1.155E9"/>
        <n v="2.332E9"/>
        <n v="1.003E9"/>
        <n v="8.15E8"/>
        <n v="1.83E8"/>
        <n v="1.15E8"/>
        <n v="5913000.0"/>
        <n v="-8858000.0"/>
        <n v="7057000.0"/>
        <n v="1.7771E7"/>
        <n v="1000000.0"/>
        <n v="1.09E8"/>
        <n v="2.155E8"/>
        <n v="1.775E8"/>
        <n v="1.102E8"/>
        <n v="2.6E7"/>
        <n v="3.5E7"/>
        <n v="9.94E8"/>
        <n v="8.87E8"/>
        <n v="4.41E8"/>
        <n v="1.84E8"/>
        <n v="1.6E8"/>
        <n v="1.52E8"/>
        <n v="2.76E8"/>
        <n v="2.12E8"/>
        <n v="2.29E8"/>
        <n v="2.02E8"/>
        <n v="2.22E8"/>
        <n v="2.0E9"/>
        <n v="1.119E9"/>
        <n v="9.79E8"/>
        <n v="7.39E8"/>
        <n v="9.3E7"/>
        <n v="9.8E7"/>
        <n v="1.016E8"/>
        <n v="8.07E7"/>
        <n v="8.67E7"/>
        <n v="5.98E7"/>
        <n v="9.89E8"/>
        <n v="7.32E8"/>
        <n v="-3.14E8"/>
        <n v="-6.2E7"/>
        <n v="7.8E7"/>
        <n v="-9.3E7"/>
        <n v="1.19E8"/>
        <n v="9000000.0"/>
        <n v="1.313E8"/>
        <n v="-1.35E7"/>
        <n v="9.47E7"/>
        <n v="1.766E8"/>
        <n v="3.6739E7"/>
        <n v="5.9012E7"/>
        <n v="4.653E7"/>
        <n v="3.635E7"/>
        <n v="6.7E7"/>
        <n v="2.26E8"/>
        <n v="2.3E7"/>
        <n v="2.84E8"/>
        <n v="1.78E8"/>
        <n v="-1.69E8"/>
        <n v="-1.17E8"/>
        <n v="5.97E8"/>
        <n v="4.17E8"/>
        <n v="3.48E8"/>
        <n v="2.39E8"/>
        <n v="1.084E7"/>
        <n v="3.6661E7"/>
        <n v="2.0647E7"/>
        <n v="-7018000.0"/>
        <n v="5000000.0"/>
        <n v="3.11E8"/>
        <n v="3.57E8"/>
        <n v="2.31E8"/>
        <n v="1.82E8"/>
        <n v="9.44E8"/>
        <n v="7.46E8"/>
        <n v="5.87E8"/>
        <n v="2.991E8"/>
        <n v="2.46E8"/>
        <n v="2.391E8"/>
        <n v="2.249E8"/>
        <n v="3.44E8"/>
        <n v="3.81E8"/>
        <n v="3.014E8"/>
        <n v="1.38E8"/>
        <n v="-6.3E7"/>
        <n v="3100000.0"/>
        <n v="8800000.0"/>
        <n v="-4800000.0"/>
        <n v="7.4704E7"/>
        <n v="8.1309E7"/>
        <n v="8.5211E7"/>
        <n v="7.3368E7"/>
        <n v="4.91E8"/>
        <n v="5.29E8"/>
        <n v="3.08E8"/>
        <n v="3.3E8"/>
        <n v="1.24E8"/>
        <n v="-3.38E8"/>
        <n v="-3.53E8"/>
        <n v="2.43E7"/>
        <n v="1.25E7"/>
        <n v="-2.4E7"/>
        <n v="4.3E7"/>
        <n v="-2.48E8"/>
        <n v="-9.0E7"/>
        <n v="1.38E7"/>
        <n v="-1.91E7"/>
        <n v="-2.739E8"/>
        <n v="2900000.0"/>
        <n v="-2.02E8"/>
        <n v="-3.04E8"/>
        <n v="-6.81E8"/>
        <n v="4.7582E7"/>
        <n v="7547000.0"/>
        <n v="3322000.0"/>
        <n v="1.6053E7"/>
        <n v="5.24E8"/>
        <n v="4.86E8"/>
        <n v="1.88E8"/>
        <n v="1.06E8"/>
        <n v="1.56E8"/>
        <n v="2.17538E8"/>
        <n v="2.15849E8"/>
        <n v="2.28411E8"/>
        <n v="2.73514E8"/>
        <n v="1.90709E8"/>
        <n v="1.89213E8"/>
        <n v="1.58572E8"/>
        <n v="2.157E8"/>
        <n v="1.124E8"/>
        <n v="1.446E8"/>
        <n v="9.73E7"/>
        <n v="7.84E7"/>
        <n v="-4.7E7"/>
        <n v="-1.1E8"/>
        <n v="2.8474E7"/>
        <n v="3.1877E7"/>
        <n v="3.7668E7"/>
        <n v="2.4644E7"/>
        <n v="6.3763E7"/>
        <n v="5.8836E7"/>
        <n v="5.6481E7"/>
        <n v="3.8302E7"/>
        <n v="5.62E8"/>
        <n v="4.9E7"/>
        <n v="8.4E7"/>
        <n v="-1.62E8"/>
        <n v="1.05E8"/>
        <n v="5184000.0"/>
        <n v="-3946000.0"/>
        <n v="-956000.0"/>
        <n v="-150000.0"/>
        <n v="1.51E8"/>
        <n v="-1.23E8"/>
        <n v="1.1E7"/>
        <n v="8.75E8"/>
        <n v="-6.0E7"/>
        <n v="3.7E7"/>
        <n v="-9000000.0"/>
        <n v="2.5E7"/>
        <n v="1.14E8"/>
        <n v="7.7E7"/>
        <n v="1.07E8"/>
        <n v="3.28E8"/>
        <n v="1.53E8"/>
        <n v="8.61E7"/>
        <n v="6.61E7"/>
        <n v="7.31E7"/>
        <n v="4.24E7"/>
        <n v="-3.6E7"/>
        <n v="5.0E7"/>
        <n v="-2.75E8"/>
        <n v="5.11E7"/>
        <n v="4.66E7"/>
        <n v="-4.6E7"/>
        <n v="1.211E8"/>
        <n v="3.523E8"/>
        <n v="2.288E8"/>
        <n v="2.317E8"/>
        <n v="1.69E8"/>
        <n v="1.11E8"/>
        <n v="-3.3364E7"/>
        <n v="-1639000.0"/>
        <n v="5483000.0"/>
        <n v="-6561000.0"/>
        <n v="-1.8416E7"/>
        <n v="6.5942E7"/>
        <n v="-2.88872E8"/>
        <n v="1.49444E8"/>
        <n v="2.17E8"/>
        <n v="2.04E8"/>
        <n v="9.0294E7"/>
        <n v="-1.0088E7"/>
        <n v="6.56E7"/>
        <n v="7.54E7"/>
        <n v="-1.8527E7"/>
        <n v="3.2628E7"/>
        <n v="4.1304E7"/>
        <n v="2.9903E7"/>
        <n v="242000.0"/>
        <n v="153000.0"/>
        <n v="350000.0"/>
        <n v="262000.0"/>
        <n v="1.22E8"/>
        <n v="-1.25E7"/>
        <n v="1.3962E7"/>
        <n v="4769000.0"/>
        <n v="-1368000.0"/>
        <n v="8.0199E7"/>
        <n v="3.1233E7"/>
        <n v="5.5794E7"/>
        <n v="2.9451E7"/>
        <n v="1.96E7"/>
        <n v="8400000.0"/>
        <n v="8.6389E7"/>
        <n v="1.1398E8"/>
        <n v="7.0565E7"/>
        <n v="1.08242E8"/>
        <n v="-1.9E7"/>
        <n v="2.32E8"/>
        <n v="-1.04E8"/>
        <n v="-2.13E8"/>
        <n v="1.02511E8"/>
        <n v="8.4382E7"/>
        <n v="6.271E7"/>
        <n v="6.6794E7"/>
        <n v="5421000.0"/>
        <n v="4137000.0"/>
        <n v="3797000.0"/>
        <n v="4657000.0"/>
        <n v="1.526E9"/>
        <n v="7.96E8"/>
        <n v="-6.01E9"/>
        <n v="3.37E8"/>
        <n v="8883000.0"/>
        <n v="2.9387E7"/>
        <n v="1.986E7"/>
        <n v="1.789E7"/>
        <n v="2.119E9"/>
        <n v="2.006E9"/>
        <n v="1.836E9"/>
        <n v="2.87E8"/>
        <n v="7.55E7"/>
        <n v="6.73E7"/>
        <n v="7.45E8"/>
        <n v="1.57E8"/>
        <n v="1.8E8"/>
        <n v="3.61E8"/>
        <n v="3.02E8"/>
        <n v="-9.7E7"/>
        <n v="2000000.0"/>
        <n v="1.21E8"/>
        <n v="1.89E8"/>
        <n v="7.8459E7"/>
        <n v="9.4012E7"/>
        <n v="8.3695E7"/>
        <n v="7.1378E7"/>
        <n v="6.6E7"/>
        <n v="2.28E8"/>
        <n v="6.6272E7"/>
        <n v="5.1441E7"/>
        <n v="5.3337E7"/>
        <n v="4.6593E7"/>
        <n v="3.34E7"/>
        <n v="3.22E7"/>
        <n v="6.86E7"/>
        <n v="1.84E7"/>
        <n v="6.8E8"/>
        <n v="-1.019E9"/>
        <n v="3.66E8"/>
        <n v="7500000.0"/>
        <n v="1.22E7"/>
        <n v="2.55E7"/>
        <n v="-3.58E7"/>
        <n v="5.78E7"/>
        <n v="4.59E7"/>
        <n v="4.71E7"/>
        <n v="1.96E8"/>
        <n v="8.38E7"/>
        <n v="1.281E8"/>
        <n v="1.425E8"/>
        <n v="6.03E8"/>
        <n v="4.43E8"/>
        <n v="6.11E8"/>
        <n v="2.97E8"/>
        <n v="1.01E8"/>
        <n v="-1.57E8"/>
        <n v="5.5062E7"/>
        <n v="3.0485E7"/>
        <n v="5.7918E7"/>
        <n v="2.33E7"/>
        <n v="1.07951E8"/>
        <n v="5.0653E7"/>
        <n v="3.6548E7"/>
        <n v="-2797000.0"/>
        <n v="3.5368E7"/>
        <n v="3.9006E7"/>
        <n v="3.205E7"/>
        <n v="1.8473E7"/>
        <n v="1.44E8"/>
        <n v="1.37E8"/>
        <n v="-4.66E8"/>
        <n v="1.41E8"/>
        <n v="1.63E8"/>
        <n v="-5.01E8"/>
        <n v="1.069E8"/>
        <n v="1.62E8"/>
        <n v="1.894E8"/>
        <n v="1.708E8"/>
        <n v="9.71E8"/>
        <n v="1.177E9"/>
        <n v="6.42E8"/>
        <n v="7.3111E7"/>
        <n v="6.8149E7"/>
        <n v="5.3914E7"/>
        <n v="6.4747E7"/>
        <n v="3.0E8"/>
        <n v="5.42E8"/>
        <n v="4.72E8"/>
        <n v="6.0808E7"/>
        <n v="2.0675E7"/>
        <n v="1.798E7"/>
        <n v="4.2834E7"/>
        <n v="4.5625E7"/>
        <n v="4.0277E7"/>
        <n v="4.5744E7"/>
        <n v="4.2593E7"/>
        <n v="1.354E9"/>
        <n v="1.501E9"/>
        <n v="1.035E9"/>
        <n v="9.32E8"/>
        <n v="5.2E7"/>
        <n v="2.5236E7"/>
        <n v="1.4697E7"/>
        <n v="-1.6197E8"/>
        <n v="2.2116E7"/>
        <n v="3.2308E7"/>
        <n v="7.9215E7"/>
        <n v="4.53E8"/>
        <n v="3.78E8"/>
        <n v="2.09E8"/>
        <n v="-763000.0"/>
        <n v="8000.0"/>
        <n v="-2631000.0"/>
        <n v="2.4174E7"/>
        <n v="5.6685E7"/>
        <n v="2.9409E7"/>
        <n v="2.9005E7"/>
        <n v="-950000.0"/>
        <n v="1.23E8"/>
        <n v="7.2E7"/>
        <n v="1.4E7"/>
        <n v="2.9E7"/>
        <n v="-3.2E7"/>
        <n v="-3.5E7"/>
        <n v="-1.24E8"/>
        <n v="-3.3E7"/>
        <n v="6.94E7"/>
        <n v="1.611E8"/>
        <n v="1.79E8"/>
        <n v="1.235E8"/>
        <n v="1.511E9"/>
        <n v="1.303E9"/>
        <n v="8.99E8"/>
        <n v="1.091E9"/>
        <n v="4.34E8"/>
        <n v="4.13E8"/>
        <n v="3.31E8"/>
        <n v="3.67E8"/>
        <n v="2.7164E7"/>
        <n v="6.4699E7"/>
        <n v="5.4687E7"/>
        <n v="4.4207E7"/>
        <n v="-6.4E7"/>
        <n v="-7.3E7"/>
        <n v="-4.8E7"/>
        <n v="2.18E8"/>
        <n v="1.08E8"/>
        <n v="2.33E8"/>
        <n v="4.5E8"/>
        <n v="7.83E8"/>
        <n v="5.9E7"/>
        <n v="-5.1E7"/>
        <n v="1.28E8"/>
        <n v="2.7697E7"/>
        <n v="3.2947E7"/>
        <n v="2.8803E7"/>
        <n v="1.7427E7"/>
        <n v="4.9125E7"/>
        <n v="3.5801E7"/>
        <n v="2478000.0"/>
        <n v="1.7633E7"/>
        <n v="5.76E7"/>
        <n v="3.03E7"/>
        <n v="-3.56E7"/>
        <n v="3.99E7"/>
        <n v="1.94E8"/>
        <n v="1.18E8"/>
        <n v="2.2177E7"/>
        <n v="1.5787E7"/>
        <n v="1.8252E7"/>
        <n v="1.1695E7"/>
        <n v="1.06E7"/>
        <n v="-4.22E7"/>
        <n v="1.82E7"/>
        <n v="6.84E8"/>
        <n v="5.45E8"/>
        <n v="1.631E9"/>
        <n v="7.65E8"/>
        <n v="6.79E8"/>
        <n v="-1.4E7"/>
        <n v="1.2734E7"/>
        <n v="1.9269E7"/>
        <n v="9.9E7"/>
        <n v="2.38E7"/>
        <n v="-8.63E7"/>
        <n v="4.57E8"/>
        <n v="4.1E7"/>
        <n v="1.36E7"/>
        <n v="7.29E7"/>
        <n v="3.84E7"/>
        <n v="1.542E8"/>
        <n v="1.065E8"/>
        <n v="6.89E7"/>
        <n v="9.19E7"/>
        <n v="1.592E7"/>
        <n v="6992000.0"/>
        <n v="1.1148E7"/>
        <n v="1.1294E7"/>
        <n v="1.464E7"/>
        <n v="-3695000.0"/>
        <n v="1.3934E7"/>
        <n v="9683000.0"/>
        <n v="5.7325E7"/>
        <n v="4.9022E7"/>
        <n v="4.334E7"/>
        <n v="3.8112E7"/>
        <n v="1.8821E7"/>
        <n v="1.9528E7"/>
        <n v="2.1585E7"/>
        <n v="2.6323E7"/>
        <n v="1.09186E8"/>
        <n v="-2.0772E7"/>
        <n v="8.7023E7"/>
        <n v="-1.9721E7"/>
        <n v="5.13E7"/>
        <n v="7.27E7"/>
        <n v="3.84E8"/>
        <n v="1.232E9"/>
        <n v="-9.1E7"/>
        <n v="8.47E8"/>
        <n v="3.149E9"/>
        <n v="3.397E9"/>
        <n v="2.929E9"/>
        <n v="2.218E9"/>
        <n v="1.28E7"/>
        <n v="-6700000.0"/>
        <n v="-3.38E7"/>
        <n v="-8.16E7"/>
        <n v="5.85E7"/>
        <n v="6.96E7"/>
        <n v="4.85E7"/>
        <n v="1.47E8"/>
        <n v="1.66E8"/>
        <n v="1.99E8"/>
        <n v="1275000.0"/>
        <n v="1308000.0"/>
        <n v="496000.0"/>
        <n v="388000.0"/>
        <n v="3.51E8"/>
        <n v="1.77E8"/>
        <n v="1.4E8"/>
        <n v="7.5785E7"/>
        <n v="7.3233E7"/>
        <n v="7.0419E7"/>
        <n v="6.3664E7"/>
        <n v="1.36E8"/>
        <n v="2.52E8"/>
        <n v="-3.4E7"/>
        <n v="2.517E8"/>
        <n v="3.041E8"/>
        <n v="2.434E8"/>
        <n v="6.54E7"/>
        <n v="1.64104E8"/>
        <n v="8.8867E7"/>
        <n v="1.10554E8"/>
        <n v="9.8821E7"/>
        <n v="1.63E7"/>
        <n v="-5.4E7"/>
        <n v="2.18E7"/>
        <n v="2.77E7"/>
        <n v="8500000.0"/>
        <n v="2.60113E8"/>
        <n v="3.10105E8"/>
        <n v="2.73737E8"/>
        <n v="1.8969E8"/>
        <n v="2.53E8"/>
        <n v="2285000.0"/>
        <n v="6389000.0"/>
        <n v="2.0542E7"/>
        <n v="-1.6904E7"/>
        <n v="9.2969E7"/>
        <n v="6.8708E7"/>
        <n v="7.851E7"/>
        <n v="4.1869E7"/>
        <n v="3.55E8"/>
        <n v="3.74E8"/>
        <n v="3.95E8"/>
        <n v="3.03E8"/>
        <n v="9.76E8"/>
        <n v="7.13E8"/>
        <n v="1.68E8"/>
        <n v="8.1E7"/>
        <n v="4.52E8"/>
        <n v="5.06E8"/>
        <n v="7.0E7"/>
        <n v="1.47559E8"/>
        <n v="1.453E8"/>
        <n v="1.49382E8"/>
        <n v="1.14746E8"/>
        <n v="1.0E7"/>
        <n v="-1.93E8"/>
        <n v="-4.36E8"/>
        <n v="1.8765E7"/>
        <n v="2.1344E7"/>
        <n v="1.7358E7"/>
        <n v="2.0189E7"/>
        <n v="2.07E8"/>
        <n v="6.23E7"/>
        <n v="1.59E7"/>
        <n v="2.52E7"/>
        <n v="8.15E7"/>
        <n v="4.12E8"/>
        <n v="3.83E8"/>
        <n v="4.02E8"/>
        <n v="3.732E7"/>
        <n v="-1.7747E7"/>
        <n v="2.5617E7"/>
        <n v="2.3568E7"/>
        <n v="3.15E7"/>
        <n v="4.54E7"/>
        <n v="5.86E7"/>
        <n v="5.75E7"/>
        <n v="1.567E8"/>
        <n v="4.155E8"/>
        <n v="4.528E8"/>
        <n v="4.545E8"/>
        <n v="-1.189E9"/>
        <n v="1.5E8"/>
        <n v="2.0E8"/>
        <n v="5.03E8"/>
        <n v="4.83E8"/>
        <n v="1.075E9"/>
        <n v="2.14E8"/>
        <n v="3.5751E7"/>
        <n v="5.2885E7"/>
        <n v="4.4042E7"/>
        <n v="2.8693E7"/>
        <n v="3.4826E7"/>
        <n v="-9.4698E7"/>
        <n v="-1.06904E8"/>
        <n v="-7.6734E7"/>
        <n v="1.52E7"/>
        <n v="2.947E9"/>
        <n v="1.779E9"/>
        <n v="2.874E9"/>
        <n v="2.231E9"/>
        <n v="2045000.0"/>
        <n v="999000.0"/>
        <n v="795000.0"/>
        <n v="665000.0"/>
        <n v="2.83E8"/>
        <n v="1473000.0"/>
        <n v="864000.0"/>
        <n v="6.4245E7"/>
        <n v="6.769E7"/>
        <n v="2.518E7"/>
        <n v="4.3163E7"/>
        <n v="1.323E8"/>
        <n v="4.43E7"/>
        <n v="3.66E7"/>
        <n v="3.98E8"/>
        <n v="3.91E8"/>
        <n v="8490000.0"/>
        <n v="3260000.0"/>
        <n v="1555000.0"/>
        <n v="6907000.0"/>
        <n v="1.23085E8"/>
        <n v="9.8193E7"/>
        <n v="-7.094E7"/>
        <n v="1.06379E8"/>
        <n v="1.81E8"/>
        <n v="8.6E7"/>
        <n v="1.32E8"/>
        <n v="1.15E9"/>
        <n v="1.054E9"/>
        <n v="1.176E9"/>
        <n v="1.018E9"/>
        <n v="4.6E7"/>
        <n v="4.5E7"/>
        <n v="3.0272E7"/>
        <n v="1.9209E7"/>
        <n v="3.895E7"/>
        <n v="6685000.0"/>
        <n v="3.8E7"/>
        <n v="3.27787E8"/>
        <n v="-3.5739E7"/>
        <n v="7.1484E7"/>
        <n v="3.15406E8"/>
        <n v="-2.6E7"/>
        <n v="2.35E8"/>
        <n v="2.58E8"/>
        <n v="3.05E8"/>
        <n v="-9.2E7"/>
        <n v="-1.4E8"/>
        <n v="1.29E8"/>
        <n v="2.05E8"/>
        <n v="1.97E8"/>
        <n v="1.32E7"/>
        <n v="6.26E7"/>
        <n v="5.68E7"/>
        <n v="-6.49E7"/>
        <n v="1.55E8"/>
        <n v="1.184E8"/>
        <n v="1.208E8"/>
        <n v="1.325E8"/>
        <n v="9.54E7"/>
        <n v="8.21E8"/>
        <n v="-2.5E7"/>
        <n v="8.0E7"/>
        <n v="1728000.0"/>
        <n v="3.1524E7"/>
        <n v="-3761000.0"/>
        <n v="-9123000.0"/>
        <n v="-8.5E7"/>
        <n v="4.54289E8"/>
        <n v="3.10732E8"/>
        <n v="-2.081E8"/>
        <n v="6.7788E7"/>
        <n v="9.617E7"/>
        <n v="6.3244E7"/>
        <n v="8.0366E7"/>
        <n v="6.4991E7"/>
        <n v="4.0E7"/>
        <n v="-5.7E7"/>
        <n v="1.54218E8"/>
        <n v="1.06984E8"/>
        <n v="1.59154E8"/>
        <n v="1.68743E8"/>
        <n v="1.6E7"/>
        <n v="-2.76E8"/>
        <n v="-4.03E8"/>
        <n v="9.6317E7"/>
        <n v="9.4812E7"/>
        <n v="6.9949E7"/>
        <n v="6.3491E7"/>
        <n v="1.232E8"/>
        <n v="1.119E8"/>
        <n v="1.415E8"/>
        <n v="1.21899E8"/>
        <n v="1.10069E8"/>
        <n v="1.22132E8"/>
        <n v="9.5207E7"/>
        <n v="2.24E8"/>
        <n v="-1.745E9"/>
        <n v="5.3E8"/>
        <n v="1.056E8"/>
        <n v="1.441E8"/>
        <n v="1.372E8"/>
        <n v="8.32E7"/>
        <n v="6.74E7"/>
        <n v="5.31E7"/>
        <n v="4.18E7"/>
        <n v="1.20282E8"/>
        <n v="1.51884E8"/>
        <n v="1.25619E8"/>
        <n v="1.29015E8"/>
        <n v="1.103E8"/>
        <n v="8.29E7"/>
        <n v="1.121E8"/>
        <n v="7.72E7"/>
        <n v="1.317E7"/>
        <n v="-5042000.0"/>
        <n v="3.0559E7"/>
        <n v="1.2234E7"/>
        <n v="-2.25E8"/>
        <n v="2.92E8"/>
        <n v="3.64E7"/>
        <n v="7100000.0"/>
        <n v="2.21E7"/>
        <n v="2.51E7"/>
        <n v="1.09E7"/>
        <n v="2.97E7"/>
        <n v="4.49E7"/>
        <n v="3.77E7"/>
        <n v="4.52E7"/>
        <n v="8.02E8"/>
        <n v="4.51E8"/>
        <n v="4.98E8"/>
        <n v="3.3883E7"/>
        <n v="8.0089E7"/>
        <n v="1.01139E8"/>
        <n v="9.2657E7"/>
        <n v="-3.31E8"/>
        <n v="1.043E9"/>
        <n v="8.05E8"/>
        <n v="-1.7E8"/>
        <n v="7.35E8"/>
        <n v="6.46E8"/>
        <n v="6.97E8"/>
        <n v="6.13E8"/>
        <n v="-4.0E7"/>
        <n v="-1.32E8"/>
        <n v="-1.97E8"/>
        <n v="7.1863E7"/>
        <n v="4.656E7"/>
        <n v="-4350000.0"/>
        <n v="-1.9913E7"/>
        <n v="-4.3E7"/>
        <n v="3.23E8"/>
        <n v="3.71E8"/>
        <n v="2.98E8"/>
        <n v="5.0386E7"/>
        <n v="7.6985E7"/>
        <n v="2.7869E7"/>
        <n v="1.2163E7"/>
        <n v="3.45E8"/>
        <n v="6.38E7"/>
        <n v="9.76E7"/>
        <n v="1.001E8"/>
        <n v="9.09E8"/>
        <n v="6.56E8"/>
        <n v="6.28E8"/>
        <n v="9.9E8"/>
        <n v="2.091E8"/>
        <n v="3.879E8"/>
        <n v="4.219E8"/>
        <n v="5.9435E7"/>
        <n v="4.9195E7"/>
        <n v="2.5717E7"/>
        <n v="4.088E7"/>
        <n v="2.59E8"/>
        <n v="6.09E8"/>
        <n v="6.36E8"/>
        <n v="-8.8E7"/>
        <n v="-1.23421E8"/>
        <n v="7266000.0"/>
        <n v="-2.2905E7"/>
        <n v="5.3892E7"/>
        <n v="-6.82E8"/>
        <n v="1.44853E8"/>
        <n v="1.36074E8"/>
        <n v="8.9945E7"/>
        <n v="8.5639E7"/>
        <n v="7.09E7"/>
        <n v="6.83E7"/>
        <n v="4.99E7"/>
        <n v="1.91E7"/>
        <n v="3.2598E7"/>
        <n v="1.2988E7"/>
        <n v="-1.1951E7"/>
        <n v="2.2481E7"/>
        <n v="4.87E8"/>
        <n v="1.49E8"/>
        <n v="6.1581E7"/>
        <n v="4.0951E7"/>
        <n v="1.3724E7"/>
        <n v="-239000.0"/>
        <n v="4.48E7"/>
        <n v="4.53E7"/>
        <n v="3.88E7"/>
        <n v="3000000.0"/>
        <n v="6079000.0"/>
        <n v="9225000.0"/>
        <n v="6225000.0"/>
        <n v="4500000.0"/>
        <n v="-355000.0"/>
        <n v="1.844E8"/>
        <n v="6.539E8"/>
        <n v="1.378E8"/>
        <n v="1.199E8"/>
        <n v="1.037E8"/>
        <n v="5.5175E7"/>
        <n v="4.4111E7"/>
        <n v="2.96486E8"/>
        <n v="3.1078E7"/>
        <n v="5.6787E7"/>
        <n v="5.4649E7"/>
        <n v="3.9508E7"/>
        <n v="3.5169E7"/>
        <n v="-7.03E7"/>
        <n v="4.45E7"/>
        <n v="9.74E7"/>
        <n v="3.3219E7"/>
        <n v="3.5085E7"/>
        <n v="2.7209E7"/>
        <n v="2.4279E7"/>
        <n v="7.79E7"/>
        <n v="6.17E7"/>
        <n v="1.6335E8"/>
        <n v="1.47103E8"/>
        <n v="1.44871E8"/>
        <n v="5296000.0"/>
        <n v="2.13E8"/>
        <n v="2.48E8"/>
        <n v="1.58E8"/>
        <n v="-1.0834E7"/>
        <n v="4.725E7"/>
        <n v="-2.0922E7"/>
        <n v="3.4347E7"/>
        <n v="4.58E7"/>
        <n v="5.46E7"/>
        <n v="4.74E7"/>
        <n v="-3.42E8"/>
        <n v="1.7E7"/>
        <n v="-3288000.0"/>
        <n v="1.093E8"/>
        <n v="1.706E8"/>
        <n v="9.94E7"/>
        <n v="9.69E7"/>
        <n v="6.7262E7"/>
        <n v="4.7003E7"/>
        <n v="-5898000.0"/>
        <n v="-1572000.0"/>
        <n v="-1.01E7"/>
        <n v="-1600000.0"/>
        <n v="5.05E7"/>
        <n v="6.16E7"/>
        <n v="6.09E7"/>
        <n v="5.91E7"/>
        <n v="5.82E7"/>
        <n v="3.72E8"/>
        <n v="1.9E8"/>
        <n v="-5.0E7"/>
        <n v="-4.23E8"/>
        <n v="1.195E8"/>
        <n v="2.571E8"/>
        <n v="2.305E8"/>
        <n v="1.861E8"/>
        <n v="4.97E7"/>
        <n v="1.75E8"/>
        <n v="-7075000.0"/>
        <n v="4.9369E7"/>
        <n v="2.4842E7"/>
        <n v="2.7778E7"/>
        <n v="1.03E8"/>
        <n v="1.87315E8"/>
        <n v="1.48096E8"/>
        <n v="1.62265E8"/>
        <n v="8.7869E7"/>
        <n v="3.99E8"/>
        <n v="2.9E8"/>
        <n v="1.4945E7"/>
        <n v="2.1193E7"/>
        <n v="1.5076E7"/>
        <n v="-4989000.0"/>
        <n v="1.3925E7"/>
        <n v="1.3831E7"/>
        <n v="4.1838E7"/>
        <n v="-1.17826E8"/>
        <n v="2.77E8"/>
        <n v="4.07E8"/>
        <n v="2.593E8"/>
        <n v="2.164E8"/>
        <n v="2.219E8"/>
        <n v="9677000.0"/>
        <n v="1.9188E7"/>
        <n v="3.4779E7"/>
        <n v="3.4198E7"/>
        <n v="3700000.0"/>
        <n v="6.33E7"/>
        <n v="-4.63E7"/>
        <n v="5.53E8"/>
        <n v="5.12E8"/>
        <n v="3.5E8"/>
        <n v="2.74E7"/>
        <n v="1.66E7"/>
        <n v="2.58E7"/>
        <n v="1.6412E7"/>
        <n v="1.2428E7"/>
        <n v="-40000.0"/>
        <n v="-951000.0"/>
        <n v="5.5707E7"/>
        <n v="1.8481E7"/>
        <n v="2.6594E7"/>
        <n v="4.1013E7"/>
        <n v="8.3E7"/>
        <n v="1.86E8"/>
        <n v="1.9E7"/>
        <n v="-5.218E8"/>
        <n v="1.89E7"/>
        <n v="-1.9616E9"/>
        <n v="1.17186E8"/>
        <n v="1.17323E8"/>
        <n v="-2.793E7"/>
        <n v="1.1525E8"/>
        <n v="1.159E8"/>
        <n v="5.97E7"/>
        <n v="-4.809E8"/>
        <n v="3.81E7"/>
        <n v="3.06E8"/>
        <n v="4.16E8"/>
        <n v="1.87416E8"/>
        <n v="1.82615E8"/>
        <n v="1.49336E8"/>
        <n v="1.22201E8"/>
        <n v="1.0916E8"/>
        <n v="4.1961E7"/>
        <n v="4.0488E7"/>
        <n v="5.4359E7"/>
        <n v="1.228E8"/>
        <n v="4.84E7"/>
        <n v="7.24E7"/>
        <n v="8.99E7"/>
        <n v="2.35E7"/>
        <n v="2.28E7"/>
        <n v="-5.24E7"/>
        <n v="1.16E7"/>
        <n v="2.55E8"/>
        <n v="1.5651E7"/>
        <n v="-1.8001E7"/>
        <n v="1903000.0"/>
        <n v="1024000.0"/>
        <n v="1320000.0"/>
        <n v="-5682000.0"/>
        <n v="1.0652E7"/>
        <n v="-1.2081E7"/>
        <n v="5.51E8"/>
        <n v="6.07E8"/>
        <n v="8.0989E7"/>
        <n v="7.4677E7"/>
        <n v="5.2315E7"/>
        <n v="2.5096E7"/>
        <n v="1.0027E7"/>
        <n v="9881000.0"/>
        <n v="3.4691E7"/>
        <n v="-3714000.0"/>
        <n v="5.18E8"/>
        <n v="-1.3E8"/>
        <n v="-3.94E8"/>
        <n v="-4.76E8"/>
        <n v="-4.91E8"/>
        <n v="7.6E8"/>
        <n v="1.412E9"/>
        <n v="-9.41E8"/>
        <n v="5.68E8"/>
        <n v="9.0E7"/>
        <n v="1.196E9"/>
        <n v="1.364E9"/>
        <n v="7.64E8"/>
        <n v="1.0E9"/>
        <n v="1.01522E8"/>
        <n v="6.3807E7"/>
        <n v="9.4644E7"/>
        <n v="7.9172E7"/>
        <n v="-1.48E8"/>
        <n v="-2.89E8"/>
        <n v="-3.37E8"/>
        <n v="3641000.0"/>
        <n v="2153000.0"/>
        <n v="-679000.0"/>
        <n v="-3195000.0"/>
        <n v="4.0102E7"/>
        <n v="3.7963E7"/>
        <n v="2.5582E7"/>
        <n v="1.3908E7"/>
        <n v="4.87E7"/>
        <n v="3.98E7"/>
        <n v="5.42E7"/>
        <n v="1.875E9"/>
        <n v="1.7E9"/>
        <n v="1.535E9"/>
        <n v="1.347E9"/>
        <n v="-1.11179E8"/>
        <n v="1.67822E8"/>
        <n v="2.84433E8"/>
        <n v="7.8437E7"/>
        <n v="2.5178E7"/>
        <n v="2.7306E7"/>
        <n v="5.9048E7"/>
        <n v="5.0415E7"/>
        <n v="6.01E7"/>
        <n v="5.963E8"/>
        <n v="-9.77E7"/>
        <n v="5.59E7"/>
        <n v="1.814E9"/>
        <n v="6.02E8"/>
        <n v="6.22E8"/>
        <n v="9.18E8"/>
        <n v="2841000.0"/>
        <n v="1984000.0"/>
        <n v="-1801000.0"/>
        <n v="2.3781E7"/>
        <n v="5.7283E7"/>
        <n v="6.0638E7"/>
        <n v="2.5273E7"/>
        <n v="5.6984E7"/>
        <n v="6.2262E7"/>
        <n v="6.4352E7"/>
        <n v="8.6917E7"/>
        <n v="5.4048E7"/>
        <n v="4.35E7"/>
        <n v="4.69E7"/>
        <n v="2.85E7"/>
        <n v="-2.07E8"/>
        <n v="2.08E8"/>
        <n v="1.559E9"/>
        <n v="1.033E9"/>
        <n v="1.415E9"/>
        <n v="1.914E9"/>
        <n v="3.0122E7"/>
        <n v="2.5657E7"/>
        <n v="3.894E7"/>
        <n v="2.3668E7"/>
        <n v="5.41E7"/>
        <n v="7.49E7"/>
        <n v="3.72E7"/>
        <n v="1.445E9"/>
        <n v="9.01E8"/>
        <n v="6.45E8"/>
        <n v="-2221000.0"/>
        <n v="3943000.0"/>
        <n v="290000.0"/>
        <n v="2003000.0"/>
        <n v="3.23E7"/>
        <n v="2.87E7"/>
        <n v="2.04E7"/>
        <n v="2.11E7"/>
        <n v="3.76E7"/>
        <n v="2.19E7"/>
        <n v="3.24E7"/>
        <n v="3.05E7"/>
        <n v="1.92E7"/>
        <n v="7.5E7"/>
        <n v="697000.0"/>
        <n v="493000.0"/>
        <n v="568000.0"/>
        <n v="4.07365E8"/>
        <n v="-3.8E7"/>
        <n v="-2.2E7"/>
        <n v="-3.0E7"/>
        <n v="5022000.0"/>
        <n v="7653000.0"/>
        <n v="5162000.0"/>
        <n v="830000.0"/>
        <n v="3.3E7"/>
        <n v="3.14E7"/>
        <n v="2.29E7"/>
        <n v="-1.382E8"/>
        <n v="9700000.0"/>
      </sharedItems>
    </cacheField>
    <cacheField name="Total Revenue" numFmtId="0">
      <sharedItems containsSemiMixedTypes="0" containsString="0" containsNumber="1" containsInteger="1">
        <n v="8.942E9"/>
        <n v="8.95E9"/>
        <n v="8.851E9"/>
        <n v="8.583E9"/>
        <n v="9.146E8"/>
        <n v="8.598E8"/>
        <n v="7.69E8"/>
        <n v="8.345E8"/>
        <n v="1.0928E10"/>
        <n v="1.0223E10"/>
        <n v="1.0456E10"/>
        <n v="1.0701E10"/>
        <n v="1.4342E10"/>
        <n v="1.3959E10"/>
        <n v="1.301E10"/>
        <n v="1.3858E10"/>
        <n v="2.48142E8"/>
        <n v="2.52585E8"/>
        <n v="2.41245E8"/>
        <n v="2.31663E8"/>
        <n v="1.3419284E10"/>
        <n v="1.3263795E10"/>
        <n v="1.2088125E10"/>
        <n v="1.1762185E10"/>
        <n v="2.07E9"/>
        <n v="2.296E9"/>
        <n v="2.275E9"/>
        <n v="2.412E9"/>
        <n v="2.034E10"/>
        <n v="2.2926E10"/>
        <n v="1.8893E10"/>
        <n v="1.7978E10"/>
        <n v="3.935E9"/>
        <n v="3.835E9"/>
        <n v="3.905E9"/>
        <n v="3.424E9"/>
        <n v="2.649415E9"/>
        <n v="3.33037E9"/>
        <n v="2.9898925E9"/>
        <n v="4.313E9"/>
        <n v="3.85E9"/>
        <n v="3.445E9"/>
        <n v="3.244E9"/>
        <n v="3.036E9"/>
        <n v="2.7E9"/>
        <n v="2.635E9"/>
        <n v="2.56E9"/>
        <n v="5.237E9"/>
        <n v="5.564E9"/>
        <n v="5.869E9"/>
        <n v="5.913E9"/>
        <n v="1.586E9"/>
        <n v="1.525E9"/>
        <n v="1.548E9"/>
        <n v="1.483E9"/>
        <n v="2.8411E9"/>
        <n v="2.6047E9"/>
        <n v="2.502E9"/>
        <n v="2.3752E9"/>
        <n v="8.60333E8"/>
        <n v="8.52824E8"/>
        <n v="8.42708E8"/>
        <n v="8.46287E8"/>
        <n v="8.30566E8"/>
        <n v="7.73896E8"/>
        <n v="8.29291E8"/>
        <n v="8.79147E8"/>
        <n v="1.953E9"/>
        <n v="1.527E9"/>
        <n v="7.97E8"/>
        <n v="8.08E8"/>
        <n v="5.5085E8"/>
        <n v="5.12228E8"/>
        <n v="4.83386E8"/>
        <n v="4.67313E8"/>
        <n v="1.015906E9"/>
        <n v="1.010808E9"/>
        <n v="8.94771E8"/>
        <n v="8.3452E8"/>
        <n v="7.17E8"/>
        <n v="7.469E8"/>
        <n v="6.943E8"/>
        <n v="7.273E8"/>
        <n v="1.024E9"/>
        <n v="8.17E8"/>
        <n v="9.01E8"/>
        <n v="1.248E10"/>
        <n v="1.2646E10"/>
        <n v="1.2451E10"/>
        <n v="1.2018E10"/>
        <n v="6.188E10"/>
        <n v="5.5314E10"/>
        <n v="5.6898E10"/>
        <n v="4.6173E10"/>
        <n v="5.614E9"/>
        <n v="4.88E9"/>
        <n v="5.055E9"/>
        <n v="5.678E9"/>
        <n v="1.1308E11"/>
        <n v="1.08518E11"/>
        <n v="1.25555E11"/>
        <n v="9.6145E10"/>
        <n v="3.454E9"/>
        <n v="3.207E9"/>
        <n v="3.103E9"/>
        <n v="3.097E9"/>
        <n v="1.41E9"/>
        <n v="1.496E9"/>
        <n v="1.272E9"/>
        <n v="1.557E9"/>
        <n v="7.478E9"/>
        <n v="4.008E9"/>
        <n v="4.028E9"/>
        <n v="3.173E9"/>
        <n v="3.8265E9"/>
        <n v="4.2811E9"/>
        <n v="3.6106E9"/>
        <n v="4.0664E9"/>
        <n v="1.0849E10"/>
        <n v="9.739E9"/>
        <n v="9.462E9"/>
        <n v="8.086E9"/>
        <n v="1.0533E10"/>
        <n v="1.4509E10"/>
        <n v="9.332E9"/>
        <n v="9.965E9"/>
        <n v="2.2989E9"/>
        <n v="2.1585E9"/>
        <n v="2.1225E9"/>
        <n v="2.0129E9"/>
        <n v="9.99E8"/>
        <n v="8.88E8"/>
        <n v="9.23E8"/>
        <n v="1.079E9"/>
        <n v="3.42E9"/>
        <n v="3.355E9"/>
        <n v="3.189E9"/>
        <n v="3.013E9"/>
        <n v="5.3405695E10"/>
        <n v="4.9154171E10"/>
        <n v="5.2516556E10"/>
        <n v="4.9244768E10"/>
        <n v="1.386346E9"/>
        <n v="1.215742E9"/>
        <n v="1.198947E9"/>
        <n v="1.126942E9"/>
        <n v="6.526E9"/>
        <n v="5.901E9"/>
        <n v="6.634E9"/>
        <n v="6.423E9"/>
        <n v="2.3771E9"/>
        <n v="2.426E9"/>
        <n v="2.3234E9"/>
        <n v="1.9875E9"/>
        <n v="1.758853E9"/>
        <n v="1.661407E9"/>
        <n v="1.558458E9"/>
        <n v="1.526295E9"/>
        <n v="4.46654E8"/>
        <n v="3.63226E8"/>
        <n v="6.23686E8"/>
        <n v="3.66965E8"/>
        <n v="3.5822E10"/>
        <n v="3.3851E10"/>
        <n v="3.2385E10"/>
        <n v="3.1825E10"/>
        <n v="2.886E9"/>
        <n v="3.525E9"/>
        <n v="2.965E9"/>
        <n v="2.385E9"/>
        <n v="1.83E9"/>
        <n v="1.932E9"/>
        <n v="1.136E9"/>
        <n v="1.129E9"/>
        <n v="8.1434E10"/>
        <n v="8.9584E10"/>
        <n v="1.11439E11"/>
        <n v="6.4698E10"/>
        <n v="6.196E9"/>
        <n v="5.582E9"/>
        <n v="5.162E9"/>
        <n v="4.688E9"/>
        <n v="3.807E9"/>
        <n v="4.023E9"/>
        <n v="4.212E9"/>
        <n v="3.668E9"/>
        <n v="7.07319E8"/>
        <n v="6.67562E8"/>
        <n v="6.48482E8"/>
        <n v="6.05431E8"/>
        <n v="1.8781E9"/>
        <n v="2.1114E9"/>
        <n v="1.6513E9"/>
        <n v="1.7857E9"/>
        <n v="2.5423E9"/>
        <n v="2.4326E9"/>
        <n v="2.5551E9"/>
        <n v="2.5025E9"/>
        <n v="4.4045E10"/>
        <n v="4.3939E10"/>
        <n v="4.5691E10"/>
        <n v="4.234E10"/>
        <n v="6.05553E8"/>
        <n v="1.319073E9"/>
        <n v="9.1448E8"/>
        <n v="4.74914E8"/>
        <n v="1.0597E9"/>
        <n v="9.893E8"/>
        <n v="1.0392E9"/>
        <n v="9.524E8"/>
        <n v="3.737E9"/>
        <n v="4.102E9"/>
        <n v="3.6957E9"/>
        <n v="3.4707E9"/>
        <n v="4.913484E9"/>
        <n v="3.651023E9"/>
        <n v="2.910818E9"/>
        <n v="3.154261E9"/>
        <n v="5.61743E8"/>
        <n v="5.51196E8"/>
        <n v="5.4871E8"/>
        <n v="5.73015E8"/>
        <n v="2.102E9"/>
        <n v="2.0513E9"/>
        <n v="1.9909E9"/>
        <n v="1.7291E9"/>
        <n v="5.093E9"/>
        <n v="5.142E9"/>
        <n v="4.782E9"/>
        <n v="5.495E9"/>
        <n v="3.459E9"/>
        <n v="3.125E9"/>
        <n v="3.102E9"/>
        <n v="3.093E9"/>
        <n v="2.339E10"/>
        <n v="2.3087E10"/>
        <n v="2.4681E10"/>
        <n v="2.0046E10"/>
        <n v="3.318E9"/>
        <n v="3.024E9"/>
        <n v="4.818E9"/>
        <n v="3.055E9"/>
        <n v="3.098E9"/>
        <n v="2.946E9"/>
        <n v="3.181E9"/>
        <n v="2.972E9"/>
        <n v="4.89E9"/>
        <n v="4.907E9"/>
        <n v="5.315E9"/>
        <n v="4.784E9"/>
        <n v="1.1849E10"/>
        <n v="1.1637E10"/>
        <n v="1.6937E10"/>
        <n v="1.1853E10"/>
        <n v="7.15931E8"/>
        <n v="7.26796E8"/>
        <n v="7.89839E8"/>
        <n v="6.47263E8"/>
        <n v="2.59028E8"/>
        <n v="2.43552E8"/>
        <n v="2.24253E8"/>
        <n v="2.04199E8"/>
        <n v="2.775E9"/>
        <n v="2.694E9"/>
        <n v="2.8526E9"/>
        <n v="3.3761E9"/>
        <n v="4.82E9"/>
        <n v="4.398E9"/>
        <n v="4.478E9"/>
        <n v="4.369E9"/>
        <n v="4.08E9"/>
        <n v="4.046E9"/>
        <n v="4.004E9"/>
        <n v="3.828E9"/>
        <n v="1.5278E10"/>
        <n v="1.6998E10"/>
        <n v="1.5217E10"/>
        <n v="1.5304E10"/>
        <n v="2.16E9"/>
        <n v="1.141E9"/>
        <n v="1.238E9"/>
        <n v="2.64E9"/>
        <n v="3.758E9"/>
        <n v="4.009E9"/>
        <n v="3.926E9"/>
        <n v="2.534E9"/>
        <n v="7.09015E8"/>
        <n v="7.0655E8"/>
        <n v="6.50769E8"/>
        <n v="6.85951E8"/>
        <n v="3.077E9"/>
        <n v="2.752E9"/>
        <n v="2.709E9"/>
        <n v="2.659E9"/>
        <n v="1.1703E10"/>
        <n v="1.1073E10"/>
        <n v="1.1068E10"/>
        <n v="1.054E10"/>
        <n v="6.778E9"/>
        <n v="6.61E9"/>
        <n v="6.655E9"/>
        <n v="6.467E9"/>
        <n v="1.3898E9"/>
        <n v="1.0549E9"/>
        <n v="1.0174E9"/>
        <n v="1.3619E9"/>
        <n v="8.15026E8"/>
        <n v="6.44508E8"/>
        <n v="6.71396E8"/>
        <n v="5.98157E8"/>
        <n v="4.803869E9"/>
        <n v="4.549452E9"/>
        <n v="4.2248E9"/>
        <n v="3.627846E9"/>
        <n v="7.28285E8"/>
        <n v="7.36028E8"/>
        <n v="7.59909E8"/>
        <n v="6.66607E8"/>
        <n v="1.792E9"/>
        <n v="1.489E9"/>
        <n v="1.377E9"/>
        <n v="1.984E9"/>
        <n v="2.279E9"/>
        <n v="2.34E9"/>
        <n v="2.108E9"/>
        <n v="8.534E9"/>
        <n v="7.936E9"/>
        <n v="7.073E9"/>
        <n v="7.05E9"/>
        <n v="4.2586E10"/>
        <n v="3.9275E10"/>
        <n v="4.1541E10"/>
        <n v="3.9065E10"/>
        <n v="8.007899E9"/>
        <n v="5.455157E9"/>
        <n v="5.473444E9"/>
        <n v="5.652266E9"/>
        <n v="4.9E7"/>
        <n v="2.6E7"/>
        <n v="3.3E7"/>
        <n v="3.1E7"/>
        <n v="5.44E9"/>
        <n v="4.699E9"/>
        <n v="4.594E9"/>
        <n v="5.002E9"/>
        <n v="1.1882E9"/>
        <n v="1.0533E9"/>
        <n v="9.108E8"/>
        <n v="8.457E8"/>
        <n v="1.1887E10"/>
        <n v="1.1235E10"/>
        <n v="9.881E9"/>
        <n v="9.997E9"/>
        <n v="8.008E8"/>
        <n v="1.0108E9"/>
        <n v="8.442E8"/>
        <n v="7.927E8"/>
        <n v="6.458613E9"/>
        <n v="5.938879E9"/>
        <n v="6.910501E9"/>
        <n v="5.645142E9"/>
        <n v="5.1464E9"/>
        <n v="4.8375E9"/>
        <n v="4.9562E9"/>
        <n v="4.7564E9"/>
        <n v="2.198E9"/>
        <n v="1.798E9"/>
        <n v="1.591E9"/>
        <n v="1.411E9"/>
        <n v="3.04E10"/>
        <n v="2.8963E10"/>
        <n v="2.8217E10"/>
        <n v="2.655E10"/>
        <n v="1.742E9"/>
        <n v="2.547E9"/>
        <n v="2.054E9"/>
        <n v="1.622E9"/>
        <n v="2.504E8"/>
        <n v="2.345E8"/>
        <n v="2.228E8"/>
        <n v="2.044E8"/>
        <n v="1.456755E9"/>
        <n v="1.387778E9"/>
        <n v="1.395025E9"/>
        <n v="1.368673E9"/>
        <n v="1.588E9"/>
        <n v="1.048E9"/>
        <n v="1.102E9"/>
        <n v="8.47E8"/>
        <n v="9.14607E8"/>
        <n v="8.24566E8"/>
        <n v="7.9099E8"/>
        <n v="7.433E8"/>
        <n v="4.527E9"/>
        <n v="4.715E9"/>
        <n v="4.176E9"/>
        <n v="2.448E9"/>
        <n v="1.3146E10"/>
        <n v="1.2802E10"/>
        <n v="1.2522E10"/>
        <n v="1.2624E10"/>
        <n v="3.6117E10"/>
        <n v="3.1076E10"/>
        <n v="2.4843E10"/>
        <n v="2.3997E10"/>
        <n v="1.952315E9"/>
        <n v="1.892538E9"/>
        <n v="1.741575E9"/>
        <n v="1.60771E9"/>
        <n v="9.679E9"/>
        <n v="9.975E9"/>
        <n v="9.898E9"/>
        <n v="9.488E9"/>
        <n v="1.3114E9"/>
        <n v="1.2711E9"/>
        <n v="1.2389E9"/>
        <n v="1.2953E9"/>
        <n v="4.319E10"/>
        <n v="4.0972E10"/>
        <n v="4.1879E10"/>
        <n v="4.0987E10"/>
        <n v="2.227E9"/>
        <n v="2.714E9"/>
        <n v="1.89695E9"/>
        <n v="1.835662E9"/>
        <n v="1.777056E9"/>
        <n v="1.757048E9"/>
        <n v="1.2803E10"/>
        <n v="1.196E10"/>
        <n v="1.1929E10"/>
        <n v="1.2154E10"/>
        <n v="1.8596E10"/>
        <n v="2.0817E10"/>
        <n v="1.654E10"/>
        <n v="1.5509E10"/>
        <n v="1.822E9"/>
        <n v="1.799E9"/>
        <n v="1.583E9"/>
        <n v="1.363E9"/>
        <n v="8.12111E8"/>
        <n v="7.75766E8"/>
        <n v="8.09656E8"/>
        <n v="7.6717E8"/>
        <n v="1.802E9"/>
        <n v="1.781E9"/>
        <n v="1.842E9"/>
        <n v="1.916E9"/>
        <n v="1.1768E9"/>
        <n v="1.2508E9"/>
        <n v="1.0953E9"/>
        <n v="1.0773E9"/>
        <n v="1.725E9"/>
        <n v="1.558E9"/>
        <n v="2.013E9"/>
        <n v="1.0129E10"/>
        <n v="9.02E9"/>
        <n v="8.611E9"/>
        <n v="8.652E9"/>
        <n v="4.585E9"/>
        <n v="4.401E9"/>
        <n v="4.184E9"/>
        <n v="4.243E9"/>
        <n v="4.26E9"/>
        <n v="4.344E9"/>
        <n v="4.324E9"/>
        <n v="4.153E9"/>
        <n v="2.8546E10"/>
        <n v="2.7205E10"/>
        <n v="2.7708E10"/>
        <n v="2.5532E10"/>
        <n v="8.84E8"/>
        <n v="8.95E8"/>
        <n v="7.51E8"/>
        <n v="7.05E8"/>
        <n v="2.7711E9"/>
        <n v="2.9952E9"/>
        <n v="2.6789E9"/>
        <n v="3.2879E9"/>
        <n v="9.695E9"/>
        <n v="9.948E9"/>
        <n v="5.577E9"/>
        <n v="4.421E9"/>
        <n v="3.677E9"/>
        <n v="2.96E9"/>
        <n v="3.333E9"/>
        <n v="2.719E9"/>
        <n v="2.3711E9"/>
        <n v="2.0265E9"/>
        <n v="2.4381E9"/>
        <n v="7.3391E8"/>
        <n v="6.17031E8"/>
        <n v="5.9294E8"/>
        <n v="5.25659E8"/>
        <n v="3.501E9"/>
        <n v="3.29E9"/>
        <n v="3.35E9"/>
        <n v="3.001E9"/>
        <n v="5.627E9"/>
        <n v="4.178E9"/>
        <n v="1.863E9"/>
        <n v="6.2675E10"/>
        <n v="4.5277E10"/>
        <n v="4.4769E10"/>
        <n v="4.3208E10"/>
        <n v="4.11788E8"/>
        <n v="4.72918E8"/>
        <n v="4.13157E8"/>
        <n v="3.33294E8"/>
        <n v="1.485E9"/>
        <n v="1.493E9"/>
        <n v="1.486E9"/>
        <n v="3.292E9"/>
        <n v="2.99E9"/>
        <n v="2.813E9"/>
        <n v="2.825E9"/>
        <n v="6.111E9"/>
        <n v="6.092E9"/>
        <n v="5.83E9"/>
        <n v="5.118E9"/>
        <n v="7.2327E10"/>
        <n v="6.88E10"/>
        <n v="6.9306E10"/>
        <n v="6.6852E10"/>
        <n v="7.2846E9"/>
        <n v="6.4469E9"/>
        <n v="5.9334E9"/>
        <n v="6.4003E9"/>
        <n v="7.218E9"/>
        <n v="6.858E9"/>
        <n v="6.7603E9"/>
        <n v="5.8832E9"/>
        <n v="2.2792E9"/>
        <n v="1.733E9"/>
        <n v="1.6565E9"/>
        <n v="1.5274E9"/>
        <n v="2.938319E9"/>
        <n v="2.91651E9"/>
        <n v="2.820001E9"/>
        <n v="2.905322E9"/>
        <n v="1.15E10"/>
        <n v="1.2085E10"/>
        <n v="9.112E9"/>
        <n v="9.713E9"/>
        <n v="9.154E9"/>
        <n v="7.126E9"/>
        <n v="4.15E9"/>
        <n v="3.973E9"/>
        <n v="1.027E9"/>
        <n v="1.0823E9"/>
        <n v="8.948E8"/>
        <n v="4.906E8"/>
        <n v="2.977E9"/>
        <n v="2.461E9"/>
        <n v="1.35E9"/>
        <n v="1.112E9"/>
        <n v="5.951E8"/>
        <n v="5.05E8"/>
        <n v="5.689E8"/>
        <n v="5.009E8"/>
        <n v="1.123E9"/>
        <n v="7.29E8"/>
        <n v="6.83E8"/>
        <n v="4.04E8"/>
        <n v="1.145331E9"/>
        <n v="1.06736E9"/>
        <n v="1.093664E9"/>
        <n v="1.022612E9"/>
        <n v="3.444E9"/>
        <n v="3.16E9"/>
        <n v="2.293E9"/>
        <n v="1.964E9"/>
        <n v="2.792E9"/>
        <n v="2.561E9"/>
        <n v="2.541E9"/>
        <n v="4.48696E9"/>
        <n v="4.497853E9"/>
        <n v="4.557365E9"/>
        <n v="4.531591E9"/>
        <n v="8.400964E9"/>
        <n v="8.414524E9"/>
        <n v="8.199625E9"/>
        <n v="8.684241E9"/>
        <n v="6.4797E9"/>
        <n v="6.7679E9"/>
        <n v="6.177E9"/>
        <n v="6.2776E9"/>
        <n v="3.038E9"/>
        <n v="3.87E9"/>
        <n v="3.521E9"/>
        <n v="3.607E9"/>
        <n v="1.032472E9"/>
        <n v="9.83698E8"/>
        <n v="1.356567E9"/>
        <n v="9.67719E8"/>
        <n v="2.018269E9"/>
        <n v="2.031676E9"/>
        <n v="1.867901E9"/>
        <n v="1.78039E9"/>
        <n v="1.3885E10"/>
        <n v="1.1882E10"/>
        <n v="1.0706E10"/>
        <n v="9.712E9"/>
        <n v="3.229E9"/>
        <n v="3.778E9"/>
        <n v="3.288E9"/>
        <n v="3.284E9"/>
        <n v="5.758E9"/>
        <n v="6.15E9"/>
        <n v="5.777E9"/>
        <n v="6.721E9"/>
        <n v="2.9266E8"/>
        <n v="2.69241E8"/>
        <n v="2.64956E8"/>
        <n v="2.41241E8"/>
        <n v="4.135E9"/>
        <n v="3.976E9"/>
        <n v="5.252E9"/>
        <n v="5.096E9"/>
        <n v="4.141E9"/>
        <n v="4.385E9"/>
        <n v="4.288E9"/>
        <n v="4.554E9"/>
        <n v="2.653E9"/>
        <n v="2.409E9"/>
        <n v="2.186E9"/>
        <n v="2.122E9"/>
        <n v="5.215E9"/>
        <n v="4.692E9"/>
        <n v="4.687E9"/>
        <n v="4.526E9"/>
        <n v="2.668E9"/>
        <n v="2.638E9"/>
        <n v="2.868E9"/>
        <n v="2.606E9"/>
        <n v="3.1627E9"/>
        <n v="2.885E9"/>
        <n v="3.0653E9"/>
        <n v="3.0186E9"/>
        <n v="3.315E9"/>
        <n v="3.157E9"/>
        <n v="4.644E9"/>
        <n v="1.376E9"/>
        <n v="1.2166E9"/>
        <n v="1.1917E9"/>
        <n v="1.1409E9"/>
        <n v="1.551E9"/>
        <n v="1.346E9"/>
        <n v="1.673E9"/>
        <n v="1.151E9"/>
        <n v="6.8056E9"/>
        <n v="7.44E9"/>
        <n v="5.7406E9"/>
        <n v="5.4994E9"/>
        <n v="4.697E9"/>
        <n v="4.431E9"/>
        <n v="4.161E9"/>
        <n v="4.558E9"/>
        <n v="3.01754E8"/>
        <n v="2.64839E8"/>
        <n v="1.78503E8"/>
        <n v="1.25538E8"/>
        <n v="2.82207E9"/>
        <n v="2.844838E9"/>
        <n v="2.370102E9"/>
        <n v="2.903568E9"/>
        <n v="4.515E9"/>
        <n v="4.067E9"/>
        <n v="2.901794E9"/>
        <n v="2.320438E9"/>
        <n v="1.2348E9"/>
        <n v="1.213E9"/>
        <n v="1.1184E9"/>
        <n v="1.0683E9"/>
        <n v="1.657919E9"/>
        <n v="1.596064E9"/>
        <n v="1.571905E9"/>
        <n v="1.517293E9"/>
        <n v="5.98059E8"/>
        <n v="5.97602E8"/>
        <n v="6.13435E8"/>
        <n v="6.22433E8"/>
        <n v="3.69226E8"/>
        <n v="3.72136E8"/>
        <n v="3.69733E8"/>
        <n v="3.85771E8"/>
        <n v="3.936E9"/>
        <n v="3.864E9"/>
        <n v="4.853E9"/>
        <n v="3.562E9"/>
        <n v="5.289E8"/>
        <n v="5.50646E8"/>
        <n v="6.17355E8"/>
        <n v="4.51478E8"/>
        <n v="3.07669E9"/>
        <n v="2.691973E9"/>
        <n v="2.806599E9"/>
        <n v="2.548784E9"/>
        <n v="1.2362E9"/>
        <n v="1.6119E9"/>
        <n v="1.0944E9"/>
        <n v="1.5176E9"/>
        <n v="2.122538E9"/>
        <n v="2.82584E9"/>
        <n v="2.233933E9"/>
        <n v="2.343642E9"/>
        <n v="9.89E9"/>
        <n v="8.114E9"/>
        <n v="8.853E9"/>
        <n v="7.325E9"/>
        <n v="1.246E9"/>
        <n v="9.2E8"/>
        <n v="1.504E9"/>
        <n v="5.66E8"/>
        <n v="3.35754E9"/>
        <n v="3.169188E9"/>
        <n v="2.464797E9"/>
        <n v="2.580632E9"/>
        <n v="3.93203E8"/>
        <n v="3.65813E8"/>
        <n v="3.60159E8"/>
        <n v="3.48629E8"/>
        <n v="6.6306E10"/>
        <n v="5.7674E10"/>
        <n v="4.6203E10"/>
        <n v="4.5696E10"/>
        <n v="6.45287E8"/>
        <n v="6.24617E8"/>
        <n v="6.14816E8"/>
        <n v="5.83252E8"/>
        <n v="2.9077E10"/>
        <n v="2.6171E10"/>
        <n v="2.8072E10"/>
        <n v="2.147E10"/>
        <n v="1.5077E9"/>
        <n v="1.417E9"/>
        <n v="1.358E9"/>
        <n v="1.4133E9"/>
        <n v="2.31748E8"/>
        <n v="2.16823E8"/>
        <n v="2.18108E8"/>
        <n v="2.06576E8"/>
        <n v="2.2565E10"/>
        <n v="2.151E10"/>
        <n v="2.0563E10"/>
        <n v="1.9321E10"/>
        <n v="3.475E9"/>
        <n v="3.223E9"/>
        <n v="3.316E9"/>
        <n v="3.197E9"/>
        <n v="2.066E9"/>
        <n v="2.125E9"/>
        <n v="1.991E9"/>
        <n v="1.918E9"/>
        <n v="1.21433E9"/>
        <n v="1.149241E9"/>
        <n v="1.045299E9"/>
        <n v="9.72725E8"/>
        <n v="2.726E9"/>
        <n v="2.354E9"/>
        <n v="3.022E9"/>
        <n v="2.522E9"/>
        <n v="4.051E9"/>
        <n v="3.755E9"/>
        <n v="3.832E9"/>
        <n v="3.786E9"/>
        <n v="6.67381E8"/>
        <n v="6.08623E8"/>
        <n v="6.17333E8"/>
        <n v="5.85283E8"/>
        <n v="1.242E9"/>
        <n v="1.1956E9"/>
        <n v="1.1522E9"/>
        <n v="1.0846E9"/>
        <n v="2.6752E10"/>
        <n v="3.6228E10"/>
        <n v="3.5952E10"/>
        <n v="3.7501E10"/>
        <n v="8.011E8"/>
        <n v="7.103E8"/>
        <n v="7.48E8"/>
        <n v="6.511E8"/>
        <n v="1.3197E9"/>
        <n v="1.2592E9"/>
        <n v="-5.526E8"/>
        <n v="1.9023E9"/>
        <n v="1.9361E9"/>
        <n v="1.771E9"/>
        <n v="1.6597E9"/>
        <n v="1.6521E9"/>
        <n v="2.89E9"/>
        <n v="3.215E9"/>
        <n v="4.087E9"/>
        <n v="2.717E9"/>
        <n v="2.1729E9"/>
        <n v="2.0765E9"/>
        <n v="1.9951E9"/>
        <n v="1.6274E9"/>
        <n v="5.748E9"/>
        <n v="4.85E9"/>
        <n v="4.495E9"/>
        <n v="3.851E9"/>
        <n v="4.211E9"/>
        <n v="3.991E9"/>
        <n v="4.424E9"/>
        <n v="3.994E9"/>
        <n v="1.326905E9"/>
        <n v="1.072327E9"/>
        <n v="1.351405E9"/>
        <n v="1.109194E9"/>
        <n v="1.167319E9"/>
        <n v="1.104038E9"/>
        <n v="1.112759E9"/>
        <n v="9.94618E8"/>
        <n v="8.07434E8"/>
        <n v="7.61082E8"/>
        <n v="7.01355E8"/>
        <n v="5.46848E8"/>
        <n v="9.22E9"/>
        <n v="9.389E9"/>
        <n v="1.0481E10"/>
        <n v="9.431E9"/>
        <n v="1.8279E10"/>
        <n v="1.7118E10"/>
        <n v="2.1929E10"/>
        <n v="1.9417E10"/>
        <n v="4.5236E9"/>
        <n v="4.52E9"/>
        <n v="4.7194E9"/>
        <n v="4.364E9"/>
        <n v="3.4167E10"/>
        <n v="3.2474E10"/>
        <n v="3.7518E10"/>
        <n v="3.548E10"/>
        <n v="4.783738E9"/>
        <n v="4.464714E9"/>
        <n v="4.251594E9"/>
        <n v="4.370086E9"/>
        <n v="6.217E9"/>
        <n v="7.421E9"/>
        <n v="6.577E9"/>
        <n v="2.137437E9"/>
        <n v="1.990007E9"/>
        <n v="1.930193E9"/>
        <n v="1.917815E9"/>
        <n v="1.271111E9"/>
        <n v="1.26656E9"/>
        <n v="1.228941E9"/>
        <n v="1.195042E9"/>
        <n v="1.548E10"/>
        <n v="1.7774E10"/>
        <n v="1.1448E10"/>
        <n v="1.0503E10"/>
        <n v="3.707E9"/>
        <n v="3.451E9"/>
        <n v="3.237E9"/>
        <n v="2.975E9"/>
        <n v="1.751311E9"/>
        <n v="1.508029E9"/>
        <n v="1.800843E9"/>
        <n v="1.808266E9"/>
        <n v="1.3222E9"/>
        <n v="1.1148E9"/>
        <n v="1.722971E9"/>
        <n v="1.776623E9"/>
        <n v="1.4435E10"/>
        <n v="1.3977E10"/>
        <n v="1.4293E10"/>
        <n v="1.3311E10"/>
        <n v="4.76238E8"/>
        <n v="4.55276E8"/>
        <n v="4.31697E8"/>
        <n v="5.97739E8"/>
        <n v="2.924961E9"/>
        <n v="3.165725E9"/>
        <n v="2.840146E9"/>
        <n v="1.684399E9"/>
        <n v="1.535E9"/>
        <n v="1.861E9"/>
        <n v="1.289E9"/>
        <n v="1.125E9"/>
        <n v="6.897E9"/>
        <n v="6.7E9"/>
        <n v="6.833E9"/>
        <n v="7.208E9"/>
        <n v="3.53E8"/>
        <n v="3.84E8"/>
        <n v="3.85E8"/>
        <n v="1.76E8"/>
        <n v="1.1683E9"/>
        <n v="1.5376E9"/>
        <n v="1.6098E9"/>
        <n v="1.3469E9"/>
        <n v="4.1118E10"/>
        <n v="3.75E10"/>
        <n v="3.2261E10"/>
        <n v="3.3536E10"/>
        <n v="8.808E9"/>
        <n v="8.454E9"/>
        <n v="8.9E9"/>
        <n v="7.797E9"/>
        <n v="2.86367E9"/>
        <n v="2.606621E9"/>
        <n v="2.461147E9"/>
        <n v="2.420105E9"/>
        <n v="4.08E8"/>
        <n v="2.63E8"/>
        <n v="1.93E8"/>
        <n v="7.8E7"/>
        <n v="0.0"/>
        <n v="1.134E9"/>
        <n v="1.253E9"/>
        <n v="1.5289E10"/>
        <n v="1.5877E10"/>
        <n v="1.5646E10"/>
        <n v="1.5258E10"/>
        <n v="2.0668E10"/>
        <n v="1.9062E10"/>
        <n v="2.0075E10"/>
        <n v="1.9083E10"/>
        <n v="1.074E9"/>
        <n v="1.42E9"/>
        <n v="1.13E9"/>
        <n v="1.069E9"/>
        <n v="2.231E9"/>
        <n v="2.278E9"/>
        <n v="2.757E9"/>
        <n v="2.314E9"/>
        <n v="1.8745E10"/>
        <n v="1.7729E10"/>
        <n v="2.0368E10"/>
        <n v="1.7561E10"/>
        <n v="6.85947E8"/>
        <n v="6.52036E8"/>
        <n v="6.14822E8"/>
        <n v="5.81113E8"/>
        <n v="8.26142E8"/>
        <n v="7.77707E8"/>
        <n v="7.20938E8"/>
        <n v="7.21789E8"/>
        <n v="1.1814E9"/>
        <n v="1.1199E9"/>
        <n v="1.1072E9"/>
        <n v="1.0732E9"/>
        <n v="3.544E9"/>
        <n v="3.307E9"/>
        <n v="2.564E9"/>
        <n v="1.093E9"/>
        <n v="9.53E8"/>
        <n v="7.94E8"/>
        <n v="6.33E8"/>
        <n v="7.05709E8"/>
        <n v="6.04718E8"/>
        <n v="7.89509E8"/>
        <n v="6.20643E8"/>
        <n v="1.2791E9"/>
        <n v="1.1295E9"/>
        <n v="1.5107E9"/>
        <n v="1.3352E9"/>
        <n v="1.9631E10"/>
        <n v="1.9673E10"/>
        <n v="1.9978E10"/>
        <n v="1.8333E10"/>
        <n v="1.707E9"/>
        <n v="1.797E9"/>
        <n v="1.671E9"/>
        <n v="3.089E9"/>
        <n v="2.465E9"/>
        <n v="1.270073E9"/>
        <n v="1.268076E9"/>
        <n v="5.616E9"/>
        <n v="5.363E9"/>
        <n v="5.239E9"/>
        <n v="5.123E9"/>
        <n v="2.2696E9"/>
        <n v="2.0277E9"/>
        <n v="2.2844E9"/>
        <n v="1.9546E9"/>
        <n v="4.173E9"/>
        <n v="1.576E9"/>
        <n v="1.323E9"/>
        <n v="1.816E9"/>
        <n v="1.2921E9"/>
        <n v="1.3291E9"/>
        <n v="1.0777E9"/>
        <n v="8.521E8"/>
        <n v="1.7214E9"/>
        <n v="1.6301E9"/>
        <n v="1.4976E9"/>
        <n v="3.3663E8"/>
        <n v="3.18441E8"/>
        <n v="2.96411E8"/>
        <n v="2.49242E8"/>
        <n v="3.438E9"/>
        <n v="3.409E9"/>
        <n v="3.298E9"/>
        <n v="2.786E9"/>
        <n v="1.08204E9"/>
        <n v="1.059653E9"/>
        <n v="1.036647E9"/>
        <n v="9.82239E8"/>
        <n v="2.90837E9"/>
        <n v="2.618149E9"/>
        <n v="2.737652E9"/>
        <n v="2.472523E9"/>
        <n v="4.50287E8"/>
        <n v="4.33776E8"/>
        <n v="4.22361E8"/>
        <n v="4.518E8"/>
        <n v="3.576436E9"/>
        <n v="3.547873E9"/>
        <n v="3.381836E9"/>
        <n v="3.519689E9"/>
        <n v="1.858E9"/>
        <n v="1.9202E9"/>
        <n v="2.0767E9"/>
        <n v="2.034E9"/>
        <n v="2.3312E10"/>
        <n v="2.2321E10"/>
        <n v="2.2475E10"/>
        <n v="2.1082E10"/>
        <n v="6.341E9"/>
        <n v="5.594E9"/>
        <n v="5.341E9"/>
        <n v="5.954E9"/>
        <n v="3.2764E10"/>
        <n v="3.6422E10"/>
        <n v="3.1113E10"/>
        <n v="2.8536E10"/>
        <n v="1.1723E9"/>
        <n v="1.0744E9"/>
        <n v="1.2226E9"/>
        <n v="1.1382E9"/>
        <n v="7.495E8"/>
        <n v="7.06E8"/>
        <n v="6.934E8"/>
        <n v="6.596E8"/>
        <n v="3.584E9"/>
        <n v="3.464E9"/>
        <n v="3.429E9"/>
        <n v="3.465E9"/>
        <n v="1.989E9"/>
        <n v="1.836E9"/>
        <n v="1.817E9"/>
        <n v="1.521E9"/>
        <n v="1.221E9"/>
        <n v="1.18E9"/>
        <n v="1.22E9"/>
        <n v="1.011E9"/>
        <n v="4.743E9"/>
        <n v="4.836E9"/>
        <n v="4.683E9"/>
        <n v="4.612E9"/>
        <n v="2.89016E8"/>
        <n v="2.82308E8"/>
        <n v="2.69441E8"/>
        <n v="2.59792E8"/>
        <n v="5.211E9"/>
        <n v="3.115E9"/>
        <n v="2.919E9"/>
        <n v="1.925471E9"/>
        <n v="1.803773E9"/>
        <n v="1.65087E9"/>
        <n v="1.53862E9"/>
        <n v="6.615E9"/>
        <n v="6.394E9"/>
        <n v="6.939E9"/>
        <n v="6.441E9"/>
        <n v="4.1298E10"/>
        <n v="3.0737E10"/>
        <n v="2.9723E10"/>
        <n v="3.0489E10"/>
        <n v="4.668E9"/>
        <n v="4.567E9"/>
        <n v="4.66E9"/>
        <n v="4.463E9"/>
        <n v="4.1615E9"/>
        <n v="4.4898E9"/>
        <n v="3.8961E9"/>
        <n v="2.7688E9"/>
        <n v="4.145179E9"/>
        <n v="3.847654E9"/>
        <n v="3.456237E9"/>
        <n v="3.17708E9"/>
        <n v="1.0075E9"/>
        <n v="8.958E8"/>
        <n v="8.961E8"/>
        <n v="8.715E8"/>
        <n v="1.196E9"/>
        <n v="1.146E9"/>
        <n v="5.86E8"/>
        <n v="9.8E7"/>
        <n v="1.1509E9"/>
        <n v="1.182E9"/>
        <n v="1.2076E9"/>
        <n v="8.451E8"/>
        <n v="3.448E9"/>
        <n v="3.252E9"/>
        <n v="3.242E9"/>
        <n v="6.430245E9"/>
        <n v="5.325468E9"/>
        <n v="6.82589E9"/>
        <n v="5.870254E9"/>
        <n v="4.851E9"/>
        <n v="4.534E9"/>
        <n v="4.136E9"/>
        <n v="5.361E9"/>
        <n v="7.584E9"/>
        <n v="7.243E9"/>
        <n v="7.272E9"/>
        <n v="6.855E9"/>
        <n v="5.75946E8"/>
        <n v="2.90609E8"/>
        <n v="2.37383E8"/>
        <n v="1.84018E8"/>
        <n v="3.170786E9"/>
        <n v="2.953888E9"/>
        <n v="3.047684E9"/>
        <n v="2.626323E9"/>
        <n v="1.7029E10"/>
        <n v="1.6258E10"/>
        <n v="1.7032E10"/>
        <n v="1.6495E10"/>
        <n v="4.003E9"/>
        <n v="3.622E9"/>
        <n v="3.675E9"/>
        <n v="2.757E10"/>
        <n v="2.4422E10"/>
        <n v="2.0311E10"/>
        <n v="2.2309E10"/>
        <n v="4.924E9"/>
        <n v="5.029E9"/>
        <n v="5.125E9"/>
        <n v="5.167E9"/>
        <n v="1.27E10"/>
        <n v="1.1561E10"/>
        <n v="9.082E9"/>
        <n v="7.937E9"/>
        <n v="1.470973E9"/>
        <n v="1.511993E9"/>
        <n v="1.46553E9"/>
        <n v="1.313656E9"/>
        <n v="1.259E9"/>
        <n v="8.31E8"/>
        <n v="7.64E8"/>
        <n v="2.9734E10"/>
        <n v="2.2788E10"/>
        <n v="1.802E10"/>
        <n v="1.743E10"/>
        <n v="1.76334E8"/>
        <n v="1.95464E8"/>
        <n v="1.71346E8"/>
        <n v="1.64006E8"/>
        <n v="5.36E8"/>
        <n v="5.08E8"/>
        <n v="4.65E8"/>
        <n v="2.62E8"/>
        <n v="5.083E9"/>
        <n v="4.416E9"/>
        <n v="3.968E9"/>
        <n v="4.189E9"/>
        <n v="9.219E8"/>
        <n v="1.1109E9"/>
        <n v="1.2407E9"/>
        <n v="1.97E9"/>
        <n v="1.86E9"/>
        <n v="1.983E9"/>
        <n v="1.764E9"/>
        <n v="4.528E9"/>
        <n v="4.155E9"/>
        <n v="4.12E9"/>
        <n v="3.837E9"/>
        <n v="7.0776E8"/>
        <n v="6.67612E8"/>
        <n v="6.51407E8"/>
        <n v="6.3977E8"/>
        <n v="1.5494E9"/>
        <n v="1.5567E9"/>
        <n v="1.4815E9"/>
        <n v="1.5579E9"/>
        <n v="5.8879E9"/>
        <n v="5.1246E9"/>
        <n v="5.3138E9"/>
        <n v="5.4181E9"/>
        <n v="5.9142E10"/>
        <n v="6.2599E10"/>
        <n v="6.0808E10"/>
        <n v="5.5679E10"/>
        <n v="7.987E9"/>
        <n v="8.188E9"/>
        <n v="7.775E9"/>
        <n v="7.647E9"/>
        <n v="1.1402E10"/>
        <n v="1.208E10"/>
        <n v="1.2515E10"/>
        <n v="1.2551E10"/>
        <n v="1.8524E10"/>
        <n v="1.5562E10"/>
        <n v="1.9418E10"/>
        <n v="1.6015E10"/>
        <n v="8.0439E8"/>
        <n v="9.37985E8"/>
        <n v="8.07357E8"/>
        <n v="6.90673E8"/>
        <n v="2.192829E9"/>
        <n v="1.589686E9"/>
        <n v="1.395287E9"/>
        <n v="1.093603E9"/>
        <n v="1.5694E9"/>
        <n v="1.4671E9"/>
        <n v="1.3521E9"/>
        <n v="1.3095E9"/>
        <n v="6.236E9"/>
        <n v="5.773E9"/>
        <n v="6.056E9"/>
        <n v="5.438E9"/>
        <n v="4.6152E10"/>
        <n v="4.1706E10"/>
        <n v="4.3076E10"/>
        <n v="3.7154E10"/>
        <n v="4.36927E8"/>
        <n v="4.25005E8"/>
        <n v="4.23661E8"/>
        <n v="4.23199E8"/>
        <n v="4.354E9"/>
        <n v="1.937E9"/>
        <n v="5.70745E8"/>
        <n v="1.5791E8"/>
        <n v="2.953833E9"/>
        <n v="2.669026E9"/>
        <n v="2.641764E9"/>
        <n v="2.57487E9"/>
        <n v="2.9394E9"/>
        <n v="1.8984E9"/>
        <n v="2.2943E9"/>
        <n v="2.7535E9"/>
        <n v="6.642E9"/>
        <n v="7.238E9"/>
        <n v="7.298E9"/>
        <n v="6.665E9"/>
        <n v="2.93317E8"/>
        <n v="2.54455E8"/>
        <n v="2.33043E8"/>
        <n v="2.59422E8"/>
        <n v="1.461934E9"/>
        <n v="1.243816E9"/>
        <n v="1.196283E9"/>
        <n v="1.246362E9"/>
        <n v="1.553E9"/>
        <n v="1.6E9"/>
        <n v="1.29E9"/>
        <n v="1.356E9"/>
        <n v="1.4753E10"/>
        <n v="1.4759E10"/>
        <n v="1.5719E10"/>
        <n v="1.364E10"/>
        <n v="1.971E9"/>
        <n v="1.773E9"/>
        <n v="2.273E9"/>
        <n v="1.868E9"/>
        <n v="4.9818E8"/>
        <n v="4.78423E8"/>
        <n v="4.43661E8"/>
        <n v="4.25333E8"/>
        <n v="1.412E9"/>
        <n v="1.652E9"/>
        <n v="1.462E9"/>
        <n v="1.414E9"/>
        <n v="1.555E9"/>
        <n v="1.47E9"/>
        <n v="1.416E9"/>
        <n v="1.303E9"/>
        <n v="7.163282E9"/>
        <n v="6.644442E9"/>
        <n v="6.435637E9"/>
        <n v="6.148286E9"/>
        <n v="2.288E9"/>
        <n v="2.689E9"/>
        <n v="2.699E9"/>
        <n v="3.065E9"/>
        <n v="2.872E9"/>
        <n v="3.381E9"/>
        <n v="3.17E9"/>
        <n v="2.492E9"/>
        <n v="2.335E9"/>
        <n v="2.414E9"/>
        <n v="2.117E9"/>
        <n v="3.927E9"/>
        <n v="3.726E9"/>
        <n v="4.395E9"/>
        <n v="4.785E9"/>
        <n v="8.61E8"/>
        <n v="8.63E8"/>
        <n v="1.672E9"/>
        <n v="1.563E9"/>
        <n v="1.0357E10"/>
        <n v="1.1243E10"/>
        <n v="1.0594E10"/>
        <n v="6.313E9"/>
        <n v="9.86E8"/>
        <n v="1.5456E9"/>
        <n v="1.211E9"/>
        <n v="9.025E8"/>
        <n v="2.639E9"/>
        <n v="2.573E9"/>
        <n v="2.506E9"/>
        <n v="2.085E9"/>
        <n v="1.6073E9"/>
        <n v="1.6134E9"/>
        <n v="1.5244E9"/>
        <n v="1.4846E9"/>
        <n v="9.151E9"/>
        <n v="9.157E9"/>
        <n v="1.0212E10"/>
        <n v="9.083E9"/>
        <n v="6.86E8"/>
        <n v="6.72E8"/>
        <n v="6.39E8"/>
        <n v="6.26E8"/>
        <n v="3100000.0"/>
        <n v="9579000.0"/>
        <n v="6518000.0"/>
        <n v="1.6929E7"/>
        <n v="8.091E9"/>
        <n v="2.027E9"/>
        <n v="2.809E9"/>
        <n v="2.238E9"/>
        <n v="8.789164E9"/>
        <n v="7.01714E9"/>
        <n v="5.260055E9"/>
        <n v="4.92796E9"/>
        <n v="6.507E9"/>
        <n v="5.661E9"/>
        <n v="5.003E9"/>
        <n v="4.726E9"/>
        <n v="2.287439E9"/>
        <n v="2.045064E9"/>
        <n v="2.353606E9"/>
        <n v="1.994222E9"/>
        <n v="2.596E9"/>
        <n v="2.567E9"/>
        <n v="2.507E9"/>
        <n v="2.267E9"/>
        <n v="3.090899E9"/>
        <n v="2.828773E9"/>
        <n v="3.207638E9"/>
        <n v="3.091595E9"/>
        <n v="5.958E9"/>
        <n v="5.293E9"/>
        <n v="4.16E9"/>
        <n v="4.108E9"/>
        <n v="1.400046E9"/>
        <n v="1.319409E9"/>
        <n v="1.126515E9"/>
        <n v="1.073389E9"/>
        <n v="3.435E9"/>
        <n v="3.5716E9"/>
        <n v="3.4269E9"/>
        <n v="3.757E9"/>
        <n v="4.536175E9"/>
        <n v="3.388964E9"/>
        <n v="3.194679E9"/>
        <n v="2.570577E9"/>
        <n v="9.728E9"/>
        <n v="1.1227E10"/>
        <n v="1.0085E10"/>
        <n v="9.8E9"/>
        <n v="1.595E9"/>
        <n v="1.506E9"/>
        <n v="1.526E9"/>
        <n v="1.78E9"/>
        <n v="3.62E9"/>
        <n v="3.701E9"/>
        <n v="3.408E9"/>
        <n v="3.493E9"/>
        <n v="5.1468E9"/>
        <n v="5.8439E9"/>
        <n v="5.8455E9"/>
        <n v="5.5686E9"/>
        <n v="2.0001E9"/>
        <n v="1.8799E9"/>
        <n v="1.8072E9"/>
        <n v="1.7142E9"/>
        <n v="3.762809E9"/>
        <n v="3.958869E9"/>
        <n v="3.746326E9"/>
        <n v="3.411905E9"/>
        <n v="1.0829E9"/>
        <n v="1.0292E9"/>
        <n v="1.1117E9"/>
        <n v="9.837E8"/>
        <n v="2.56194E8"/>
        <n v="2.42146E8"/>
        <n v="2.72198E8"/>
        <n v="2.20947E8"/>
        <n v="6.182E9"/>
        <n v="6.238E9"/>
        <n v="6.033E9"/>
        <n v="6.116E9"/>
        <n v="1.5118E9"/>
        <n v="1.5458E9"/>
        <n v="1.2749E9"/>
        <n v="1.0274E9"/>
        <n v="9.692E8"/>
        <n v="9.411E8"/>
        <n v="8.659E8"/>
        <n v="7.96E8"/>
        <n v="4.586E8"/>
        <n v="5.187E8"/>
        <n v="4.959E8"/>
        <n v="5.454E8"/>
        <n v="2.0189E10"/>
        <n v="1.9217E10"/>
        <n v="1.482E10"/>
        <n v="2.2455E10"/>
        <n v="1.166684E9"/>
        <n v="1.228471E9"/>
        <n v="1.307689E9"/>
        <n v="1.354606E9"/>
        <n v="2.4094E10"/>
        <n v="1.8977E10"/>
        <n v="1.4582E10"/>
        <n v="1.1684E10"/>
        <n v="8.122E9"/>
        <n v="7.594E9"/>
        <n v="7.585E9"/>
        <n v="7.444E9"/>
        <n v="3.0246E10"/>
        <n v="2.7035E10"/>
        <n v="2.1642E10"/>
        <n v="1.6412E10"/>
        <n v="1.308254E9"/>
        <n v="1.000249E9"/>
        <n v="6.96475E8"/>
        <n v="7.40961E8"/>
        <n v="4.961E9"/>
        <n v="4.269E9"/>
        <n v="3.064E9"/>
        <n v="2.016E9"/>
        <n v="5.4E9"/>
        <n v="4.365E9"/>
        <n v="4.771E9"/>
        <n v="4.462E9"/>
        <n v="1.411448E9"/>
        <n v="1.787833E9"/>
        <n v="1.060745E9"/>
        <n v="8.39261E8"/>
        <n v="4.372E9"/>
        <n v="4.359E9"/>
        <n v="3.881E9"/>
        <n v="1.512E9"/>
        <n v="1.288E9"/>
        <n v="1.498E9"/>
        <n v="1.929E9"/>
        <n v="3.4237E9"/>
        <n v="3.5394E9"/>
        <n v="3.2085E9"/>
        <n v="3.7651E9"/>
        <n v="2.0338E10"/>
        <n v="1.8946E10"/>
        <n v="1.8109E10"/>
        <n v="1.9745E10"/>
        <n v="1.18526E10"/>
        <n v="1.18992E10"/>
        <n v="1.14396E10"/>
        <n v="1.14103E10"/>
        <n v="1.274867E9"/>
        <n v="1.223261E9"/>
        <n v="1.215365E9"/>
        <n v="1.192123E9"/>
        <n v="2.1641E10"/>
        <n v="1.5857E10"/>
        <n v="1.6949E10"/>
        <n v="1.6048E10"/>
        <n v="4.80656E8"/>
        <n v="4.35668E8"/>
        <n v="4.61785E8"/>
        <n v="4.2905E8"/>
        <n v="1.903E9"/>
        <n v="1.874E9"/>
        <n v="2.889E9"/>
        <n v="2.402E9"/>
        <n v="9.27791E8"/>
        <n v="8.58381E8"/>
        <n v="7.86718E8"/>
        <n v="7.65378E8"/>
        <n v="3.47905E9"/>
        <n v="3.359484E9"/>
        <n v="2.729791E9"/>
        <n v="3.192364E9"/>
        <n v="2.3132E9"/>
        <n v="2.0793E9"/>
        <n v="2.0898E9"/>
        <n v="2.1181E9"/>
        <n v="1.255248E9"/>
        <n v="1.110351E9"/>
        <n v="1.07273E9"/>
        <n v="1.094834E9"/>
        <n v="9.336E9"/>
        <n v="8.06E9"/>
        <n v="7.935E9"/>
        <n v="8.235E9"/>
        <n v="3.353278E9"/>
        <n v="2.999816E9"/>
        <n v="2.703581E9"/>
        <n v="2.912185E9"/>
        <n v="2.774E9"/>
        <n v="2.55E9"/>
        <n v="2.72E9"/>
        <n v="3.002E9"/>
        <n v="1.5041E9"/>
        <n v="1.3763E9"/>
        <n v="1.287E9"/>
        <n v="1.4328E9"/>
        <n v="2.69E9"/>
        <n v="2.499E9"/>
        <n v="2.408E9"/>
        <n v="2.234E9"/>
        <n v="1.6213E10"/>
        <n v="1.588E10"/>
        <n v="1.5251E10"/>
        <n v="1.6419E10"/>
        <n v="4.91875E8"/>
        <n v="4.64282E8"/>
        <n v="4.42804E8"/>
        <n v="4.18076E8"/>
        <n v="3.21618E8"/>
        <n v="2.87594E8"/>
        <n v="2.86369E8"/>
        <n v="2.67858E8"/>
        <n v="3.4528E9"/>
        <n v="5.1385E9"/>
        <n v="2.5287E9"/>
        <n v="2.2362E9"/>
        <n v="1.767E9"/>
        <n v="1.919E9"/>
        <n v="1.75E9"/>
        <n v="1.722E9"/>
        <n v="2.9339E9"/>
        <n v="2.8128E9"/>
        <n v="2.5964E9"/>
        <n v="2.5732E9"/>
        <n v="9.04015E8"/>
        <n v="8.76103E8"/>
        <n v="7.68767E8"/>
        <n v="8.00011E8"/>
        <n v="1.712566E9"/>
        <n v="1.580581E9"/>
        <n v="1.39838E9"/>
        <n v="1.304086E9"/>
        <n v="1.8078E9"/>
        <n v="1.8482E9"/>
        <n v="1.7761E9"/>
        <n v="1.5653E9"/>
        <n v="6.50199E8"/>
        <n v="6.38204E8"/>
        <n v="5.35554E8"/>
        <n v="5.36292E8"/>
        <n v="1.4628E9"/>
        <n v="1.5286E9"/>
        <n v="1.5053E9"/>
        <n v="4.804974E9"/>
        <n v="4.51608E9"/>
        <n v="4.249671E9"/>
        <n v="3.754509E9"/>
        <n v="4.56958E8"/>
        <n v="5.0914E7"/>
        <n v="4.2014E7"/>
        <n v="3.4138E7"/>
        <n v="2.087E9"/>
        <n v="2.106E9"/>
        <n v="1.867E9"/>
        <n v="6.34E9"/>
        <n v="5.963E9"/>
        <n v="5.817E9"/>
        <n v="5.419E9"/>
        <n v="5.89305E8"/>
        <n v="5.75528E8"/>
        <n v="5.48739E8"/>
        <n v="5.35907E8"/>
        <n v="5.847E9"/>
        <n v="5.634E9"/>
        <n v="5.223E9"/>
        <n v="5.532E9"/>
        <n v="2.731E9"/>
        <n v="2.623E9"/>
        <n v="1.4067E9"/>
        <n v="1.3285E9"/>
        <n v="1.2671E9"/>
        <n v="1.3409E9"/>
        <n v="2.741E9"/>
        <n v="3.259E9"/>
        <n v="3.171E9"/>
        <n v="1.409E9"/>
        <n v="1.36E9"/>
        <n v="1.25033E9"/>
        <n v="5.1467E9"/>
        <n v="5.3798E9"/>
        <n v="4.656E9"/>
        <n v="4.4888E9"/>
        <n v="1.296554E9"/>
        <n v="1.254146E9"/>
        <n v="1.239951E9"/>
        <n v="1.132568E9"/>
        <n v="1.3109E9"/>
        <n v="1.1164E9"/>
        <n v="1.1718E9"/>
        <n v="1.51E9"/>
        <n v="1.1132E9"/>
        <n v="1.1678E9"/>
        <n v="5.198E9"/>
        <n v="5.91E9"/>
        <n v="5.117E9"/>
        <n v="4.679E9"/>
        <n v="2.052E9"/>
        <n v="4.3009E9"/>
        <n v="4.1971E9"/>
        <n v="4.4076E9"/>
        <n v="3.8502E9"/>
        <n v="7.4965E9"/>
        <n v="6.668E9"/>
        <n v="6.7494E9"/>
        <n v="6.2031E9"/>
        <n v="3.049E9"/>
        <n v="2.959E9"/>
        <n v="2.917E9"/>
        <n v="2.784E9"/>
        <n v="9.68422E8"/>
        <n v="8.73531E8"/>
        <n v="8.08924E8"/>
        <n v="7.56132E8"/>
        <n v="4.294E9"/>
        <n v="3.953E9"/>
        <n v="4.262E9"/>
        <n v="1.38508E9"/>
        <n v="1.251696E9"/>
        <n v="1.097323E9"/>
        <n v="8.15294E8"/>
        <n v="2.589E9"/>
        <n v="2.247E9"/>
        <n v="1.944E9"/>
        <n v="1.479E9"/>
        <n v="1.05713E9"/>
        <n v="1.024323E9"/>
        <n v="9.70321E8"/>
        <n v="1.025439E9"/>
        <n v="1.1824589E10"/>
        <n v="1.1558982E10"/>
        <n v="1.1777379E10"/>
        <n v="8.866564E9"/>
        <n v="1.995E10"/>
        <n v="1.9759E10"/>
        <n v="2.0341E10"/>
        <n v="1.9272E10"/>
        <n v="1.9293E9"/>
        <n v="1.8268E9"/>
        <n v="1.7329E9"/>
        <n v="1.5958E9"/>
        <n v="8.58198E8"/>
        <n v="8.13346E8"/>
        <n v="8.39431E8"/>
        <n v="8.60889E8"/>
        <n v="1.6154E9"/>
        <n v="1.2733E9"/>
        <n v="1.6854E9"/>
        <n v="1.1722E9"/>
        <n v="2.516E10"/>
        <n v="2.4197E10"/>
        <n v="2.8339E10"/>
        <n v="2.2632E10"/>
        <n v="3.845E9"/>
        <n v="3.738E9"/>
        <n v="3.522E9"/>
        <n v="3.261E9"/>
        <n v="1.121E9"/>
        <n v="8.057E8"/>
        <n v="8.093E8"/>
        <n v="7.49E8"/>
        <n v="7.13473E8"/>
        <n v="6.33925E8"/>
        <n v="7.11179E8"/>
        <n v="6.28301E8"/>
        <n v="1.085728E9"/>
        <n v="7.81606E8"/>
        <n v="7.58969E8"/>
        <n v="8.19484E8"/>
        <n v="1.0389E10"/>
        <n v="1.0744E10"/>
        <n v="8.771E9"/>
        <n v="6.036E9"/>
        <n v="4.58E9"/>
        <n v="4.289E9"/>
        <n v="4.076E9"/>
        <n v="3.817E9"/>
        <n v="3.191E9"/>
        <n v="2.879E9"/>
        <n v="3.667E9"/>
        <n v="2.735E9"/>
        <n v="7.634E8"/>
        <n v="7.195E8"/>
        <n v="6.805E8"/>
        <n v="6.816E8"/>
        <n v="5.579E9"/>
        <n v="5.289E9"/>
        <n v="5.318E9"/>
        <n v="1.989422E9"/>
        <n v="2.295948E9"/>
        <n v="2.185244E9"/>
        <n v="2.219829E9"/>
        <n v="2.8007E9"/>
        <n v="2.2971E9"/>
        <n v="2.4574E9"/>
        <n v="2.3815E9"/>
        <n v="8.687E9"/>
        <n v="8.313E9"/>
        <n v="8.397E9"/>
        <n v="8.275E9"/>
        <n v="1.5613E10"/>
        <n v="1.6249E10"/>
        <n v="1.4707E10"/>
        <n v="1.1779E10"/>
        <n v="9.273E9"/>
        <n v="9.906E9"/>
        <n v="1.055E10"/>
        <n v="8.521E9"/>
        <n v="1.0086661E10"/>
        <n v="1.094321E10"/>
        <n v="1.0117289E10"/>
        <n v="6.667575E9"/>
        <n v="3.601559E9"/>
        <n v="2.792336E9"/>
        <n v="2.878265E9"/>
        <n v="2.606572E9"/>
        <n v="3.8297E9"/>
        <n v="3.0176E9"/>
        <n v="3.1791E9"/>
        <n v="3.4955E9"/>
        <n v="1.218E9"/>
        <n v="1.194E9"/>
        <n v="1.108E9"/>
        <n v="1.173E9"/>
        <n v="9.452E8"/>
        <n v="8.865E8"/>
        <n v="8.297E8"/>
        <n v="7.921E8"/>
        <n v="6.084E9"/>
        <n v="5.434E9"/>
        <n v="5.474E9"/>
        <n v="5.151E9"/>
        <n v="1.190427E9"/>
        <n v="1.036018E9"/>
        <n v="1.289041E9"/>
        <n v="9.36233E8"/>
        <n v="2.94802E8"/>
        <n v="2.83285E8"/>
        <n v="2.85746E8"/>
        <n v="2.71091E8"/>
        <n v="1.2478E10"/>
        <n v="1.13E10"/>
        <n v="1.046E10"/>
        <n v="1.146E10"/>
        <n v="5.907E9"/>
        <n v="6.237E9"/>
        <n v="5.238E9"/>
        <n v="5.259E9"/>
        <n v="1.967207E9"/>
        <n v="1.938519E9"/>
        <n v="2.198701E9"/>
        <n v="1.552033E9"/>
        <n v="1.351534E9"/>
        <n v="1.257195E9"/>
        <n v="1.403766E9"/>
        <n v="1.433021E9"/>
        <n v="5.504E9"/>
        <n v="5.001E9"/>
        <n v="5.141E9"/>
        <n v="4.919E9"/>
        <n v="5.471E9"/>
        <n v="3.221E9"/>
        <n v="3.412E9"/>
        <n v="2.489E9"/>
        <n v="2.3424E10"/>
        <n v="2.2908E10"/>
        <n v="2.4896E10"/>
        <n v="2.1238E10"/>
        <n v="2.287E9"/>
        <n v="2.057E9"/>
        <n v="2.187E9"/>
        <n v="7.1321E10"/>
        <n v="7.0196E10"/>
        <n v="6.5467E10"/>
        <n v="6.5115E10"/>
        <n v="3.19788E9"/>
        <n v="3.012987E9"/>
        <n v="3.086935E9"/>
        <n v="2.912541E9"/>
        <n v="2.6326E10"/>
        <n v="1.9686E10"/>
        <n v="1.5298E10"/>
        <n v="1.447E10"/>
        <n v="9.23376E8"/>
        <n v="9.097E8"/>
        <n v="9.38226E8"/>
        <n v="9.19233E8"/>
        <n v="3.29405E8"/>
        <n v="3.23621E8"/>
        <n v="3.20284E8"/>
        <n v="3.17879E8"/>
        <n v="7.475E8"/>
        <n v="7.261E8"/>
        <n v="7.134E8"/>
        <n v="7.027E8"/>
        <n v="3.3764E10"/>
        <n v="3.2867E10"/>
        <n v="3.4692E10"/>
        <n v="3.1543E10"/>
        <n v="1.79337E9"/>
        <n v="1.724305E9"/>
        <n v="1.62782E9"/>
        <n v="1.538271E9"/>
        <n v="2.194557E9"/>
        <n v="2.582672E9"/>
        <n v="2.971541E9"/>
        <n v="2.608324E9"/>
        <n v="7.412E9"/>
        <n v="6.225E9"/>
        <n v="6.275E9"/>
        <n v="4.5778E9"/>
        <n v="4.4303E9"/>
        <n v="3.6235E9"/>
        <n v="2.9721E9"/>
        <n v="6.13E9"/>
        <n v="5.729E9"/>
        <n v="5.687E9"/>
        <n v="5.101E9"/>
        <n v="4.10367E8"/>
        <n v="4.0905E8"/>
        <n v="4.00998E8"/>
        <n v="3.90076E8"/>
        <n v="1.361047E9"/>
        <n v="1.068344E9"/>
        <n v="1.175119E9"/>
        <n v="1.30989E9"/>
        <n v="2.296086E9"/>
        <n v="2.156869E9"/>
        <n v="2.312471E9"/>
        <n v="2.039819E9"/>
        <n v="3.084E9"/>
        <n v="2.941E9"/>
        <n v="3.018E9"/>
        <n v="1.8302E9"/>
        <n v="2.0237E9"/>
        <n v="1.8651E9"/>
        <n v="1.7374E9"/>
        <n v="3.2779E10"/>
        <n v="3.1438E10"/>
        <n v="3.4746E10"/>
        <n v="3.4631E10"/>
        <n v="1.41048E11"/>
        <n v="1.3831E11"/>
        <n v="1.52079E11"/>
        <n v="1.34708E11"/>
        <n v="4.476E9"/>
        <n v="4.112E9"/>
        <n v="3.861E9"/>
        <n v="6.81647E8"/>
        <n v="6.08545E8"/>
        <n v="7.86658E8"/>
        <n v="5.93784E8"/>
        <n v="1.6762E9"/>
        <n v="2.6914E9"/>
        <n v="1.9334E9"/>
        <n v="1.651E9"/>
        <n v="2.1493E10"/>
        <n v="1.958E10"/>
        <n v="1.8175E10"/>
        <n v="1.81E10"/>
        <n v="1.140992E9"/>
        <n v="1.052062E9"/>
        <n v="1.122016E9"/>
        <n v="1.036874E9"/>
        <n v="7.236E8"/>
        <n v="6.707E8"/>
        <n v="5.802E8"/>
        <n v="5.48E8"/>
        <n v="4.137E9"/>
        <n v="3.943E9"/>
        <n v="3.922E9"/>
        <n v="4.287E9"/>
        <n v="1.2897E9"/>
        <n v="1.21E9"/>
        <n v="1.2718E9"/>
        <n v="1.2585E9"/>
        <n v="4.4378E9"/>
        <n v="4.4015E9"/>
        <n v="4.4715E9"/>
        <n v="4.2363E9"/>
        <n v="3.144E9"/>
        <n v="2.063E9"/>
        <n v="2.11E9"/>
        <n v="5.324E9"/>
        <n v="5.358E9"/>
        <n v="5.798E9"/>
        <n v="5.291E9"/>
        <n v="2.283E9"/>
        <n v="2.612E9"/>
        <n v="2.092E9"/>
        <n v="1.933E9"/>
        <n v="2.59E9"/>
        <n v="2.764E9"/>
        <n v="2.009E9"/>
        <n v="2.113E9"/>
        <n v="9.90113E8"/>
        <n v="7.36682E8"/>
        <n v="6.85995E8"/>
        <n v="3.70452E8"/>
        <n v="3.467E9"/>
        <n v="3.068E9"/>
        <n v="3.541E9"/>
        <n v="2.947E9"/>
        <n v="8.78606E8"/>
        <n v="8.50987E8"/>
        <n v="8.03404E8"/>
        <n v="7.66535E8"/>
        <n v="1.351E9"/>
        <n v="1.256E9"/>
        <n v="1.373E9"/>
        <n v="1.602E9"/>
        <n v="1.743E9"/>
        <n v="1.448E9"/>
        <n v="1.347E9"/>
        <n v="1.308E9"/>
        <n v="1.132E9"/>
        <n v="2.0269E9"/>
        <n v="1.8474E9"/>
        <n v="2.0853E9"/>
        <n v="8.83E8"/>
        <n v="8.37E8"/>
        <n v="7.78E8"/>
        <n v="6.67E8"/>
        <n v="1.948E9"/>
        <n v="1.871E9"/>
        <n v="1.807E9"/>
        <n v="1.786E9"/>
      </sharedItems>
    </cacheField>
    <cacheField name="Total Operating Expenses" numFmtId="0">
      <sharedItems containsSemiMixedTypes="0" containsString="0" containsNumber="1" containsInteger="1">
        <n v="7.074E9"/>
        <n v="6.899E9"/>
        <n v="6.764E9"/>
        <n v="6.6E9"/>
        <n v="7.486E8"/>
        <n v="7.082E8"/>
        <n v="6.469E8"/>
        <n v="6.951E8"/>
        <n v="8.314E9"/>
        <n v="8.253E9"/>
        <n v="8.279E9"/>
        <n v="8.17E9"/>
        <n v="9.445E9"/>
        <n v="9.263E9"/>
        <n v="8.664E9"/>
        <n v="8.33E9"/>
        <n v="1.87706E8"/>
        <n v="1.85509E8"/>
        <n v="1.79051E8"/>
        <n v="1.59413E8"/>
        <n v="1.1460595E10"/>
        <n v="1.1145139E10"/>
        <n v="1.043461E10"/>
        <n v="9.871516E9"/>
        <n v="1.243E9"/>
        <n v="1.324E9"/>
        <n v="1.45E9"/>
        <n v="1.762E9"/>
        <n v="1.9733E10"/>
        <n v="2.2284E10"/>
        <n v="1.805E10"/>
        <n v="1.7363E10"/>
        <n v="2.494E9"/>
        <n v="2.429E9"/>
        <n v="2.451E9"/>
        <n v="2.209E9"/>
        <n v="2.392792E9"/>
        <n v="0.0"/>
        <n v="3.043279E9"/>
        <n v="3.357E9"/>
        <n v="3.009E9"/>
        <n v="2.768E9"/>
        <n v="2.674E9"/>
        <n v="2.315E9"/>
        <n v="2.017E9"/>
        <n v="1.883E9"/>
        <n v="4.067E9"/>
        <n v="4.129E9"/>
        <n v="4.204E9"/>
        <n v="4.635E9"/>
        <n v="1.237E9"/>
        <n v="1.211E9"/>
        <n v="1.139E9"/>
        <n v="2.2244E9"/>
        <n v="2.0063E9"/>
        <n v="1.9462E9"/>
        <n v="1.8127E9"/>
        <n v="6.53187E8"/>
        <n v="6.55364E8"/>
        <n v="6.53164E8"/>
        <n v="6.80708E8"/>
        <n v="6.90281E8"/>
        <n v="6.52848E8"/>
        <n v="6.65829E8"/>
        <n v="7.4281E8"/>
        <n v="1.696E9"/>
        <n v="1.563E9"/>
        <n v="1.37E9"/>
        <n v="1.257E9"/>
        <n v="4.14768E8"/>
        <n v="3.71887E8"/>
        <n v="3.52797E8"/>
        <n v="3.47207E8"/>
        <n v="7.54746E8"/>
        <n v="7.41906E8"/>
        <n v="6.69325E8"/>
        <n v="6.21336E8"/>
        <n v="5.765E8"/>
        <n v="5.995E8"/>
        <n v="5.611E8"/>
        <n v="5.632E8"/>
        <n v="7.35E8"/>
        <n v="6.41E8"/>
        <n v="7.03E8"/>
        <n v="7.29E8"/>
        <n v="1.2162E10"/>
        <n v="1.0658E10"/>
        <n v="9.26E9"/>
        <n v="8.589E9"/>
        <n v="4.2519E10"/>
        <n v="3.8877E10"/>
        <n v="4.1247E10"/>
        <n v="3.496E10"/>
        <n v="2.374E9"/>
        <n v="2.074E9"/>
        <n v="2.323E9"/>
        <n v="2.48E9"/>
        <n v="1.05378E11"/>
        <n v="9.9653E10"/>
        <n v="1.18682E11"/>
        <n v="8.9951E10"/>
        <n v="2.998E9"/>
        <n v="2.857E9"/>
        <n v="2.776E9"/>
        <n v="2.792E9"/>
        <n v="1.09E9"/>
        <n v="1.146E9"/>
        <n v="1.03E9"/>
        <n v="1.031E9"/>
        <n v="8.407E9"/>
        <n v="7.159E9"/>
        <n v="6.094E9"/>
        <n v="6.889E9"/>
        <n v="2.9869E9"/>
        <n v="3.4412E9"/>
        <n v="3.0106E9"/>
        <n v="3.0935E9"/>
        <n v="8.148E9"/>
        <n v="7.118E9"/>
        <n v="7.467E9"/>
        <n v="6.726E9"/>
        <n v="9.963E9"/>
        <n v="9.325E9"/>
        <n v="9.895E9"/>
        <n v="9.352E9"/>
        <n v="1.4114E9"/>
        <n v="1.2826E9"/>
        <n v="1.2627E9"/>
        <n v="1.2102E9"/>
        <n v="6.5E8"/>
        <n v="6.39E8"/>
        <n v="6.48E8"/>
        <n v="6.34E8"/>
        <n v="2.523E9"/>
        <n v="2.656E9"/>
        <n v="2.834E9"/>
        <n v="2.979E9"/>
        <n v="5.2558004E10"/>
        <n v="4.8451668E10"/>
        <n v="5.1898947E10"/>
        <n v="4.8666816E10"/>
        <n v="1.069735E9"/>
        <n v="9.27832E8"/>
        <n v="9.05812E8"/>
        <n v="8.61187E8"/>
        <n v="4.193E9"/>
        <n v="3.772E9"/>
        <n v="4.599E9"/>
        <n v="3.97E9"/>
        <n v="1.9123E9"/>
        <n v="1.933E9"/>
        <n v="1.8476E9"/>
        <n v="1.6301E9"/>
        <n v="1.139845E9"/>
        <n v="1.118406E9"/>
        <n v="1.07896E9"/>
        <n v="1.037676E9"/>
        <n v="3.2856E8"/>
        <n v="3.11234E8"/>
        <n v="3.61974E8"/>
        <n v="2.75331E8"/>
        <n v="3.3625E10"/>
        <n v="3.1288E10"/>
        <n v="3.0017E10"/>
        <n v="3.102E10"/>
        <n v="2.168E9"/>
        <n v="2.239E9"/>
        <n v="2.22E9"/>
        <n v="1.897E9"/>
        <n v="1.32E9"/>
        <n v="1.187E9"/>
        <n v="5.246E9"/>
        <n v="9.5E8"/>
        <n v="5.7308E10"/>
        <n v="6.2081E10"/>
        <n v="7.7905E10"/>
        <n v="4.9923E10"/>
        <n v="4.178E9"/>
        <n v="3.831E9"/>
        <n v="3.691E9"/>
        <n v="3.379E9"/>
        <n v="3.517E9"/>
        <n v="3.593E9"/>
        <n v="3.746E9"/>
        <n v="3.292E9"/>
        <n v="4.87954E8"/>
        <n v="4.6127E8"/>
        <n v="4.59144E8"/>
        <n v="4.17036E8"/>
        <n v="1.574E9"/>
        <n v="1.642E9"/>
        <n v="1.3843E9"/>
        <n v="1.5029E9"/>
        <n v="2.2769E9"/>
        <n v="2.2111E9"/>
        <n v="2.3256E9"/>
        <n v="2.3372E9"/>
        <n v="3.525E10"/>
        <n v="3.2193E10"/>
        <n v="4.2755E10"/>
        <n v="3.5117E10"/>
        <n v="4.82296E8"/>
        <n v="9.38521E8"/>
        <n v="6.16893E8"/>
        <n v="3.72203E8"/>
        <n v="9.068E8"/>
        <n v="8.436E8"/>
        <n v="8.447E8"/>
        <n v="7.799E8"/>
        <n v="3.0558E9"/>
        <n v="3.0256E9"/>
        <n v="2.8667E9"/>
        <n v="2.7019E9"/>
        <n v="3.872454E9"/>
        <n v="2.847518E9"/>
        <n v="2.389151E9"/>
        <n v="2.539036E9"/>
        <n v="4.17635E8"/>
        <n v="4.10606E8"/>
        <n v="3.99763E8"/>
        <n v="4.02743E8"/>
        <n v="1.8327E9"/>
        <n v="1.7666E9"/>
        <n v="1.7108E9"/>
        <n v="1.5032E9"/>
        <n v="4.69E9"/>
        <n v="4.862E9"/>
        <n v="4.521E9"/>
        <n v="5.032E9"/>
        <n v="3.098E9"/>
        <n v="2.818E9"/>
        <n v="2.779E9"/>
        <n v="2.711E9"/>
        <n v="1.444E10"/>
        <n v="1.5045E10"/>
        <n v="1.5515E10"/>
        <n v="1.3927E10"/>
        <n v="2.719E9"/>
        <n v="2.452E9"/>
        <n v="3.48E9"/>
        <n v="2.504E9"/>
        <n v="2.635E9"/>
        <n v="2.524E9"/>
        <n v="2.459E9"/>
        <n v="4.311E9"/>
        <n v="4.085E9"/>
        <n v="3.984E9"/>
        <n v="3.787E9"/>
        <n v="1.1048E10"/>
        <n v="1.0916E10"/>
        <n v="1.5775E10"/>
        <n v="1.1145E10"/>
        <n v="5.99949E8"/>
        <n v="5.50834E8"/>
        <n v="6.13997E8"/>
        <n v="5.38763E8"/>
        <n v="1.87931E8"/>
        <n v="1.73195E8"/>
        <n v="1.68814E8"/>
        <n v="1.55257E8"/>
        <n v="2.271E9"/>
        <n v="1.7539E9"/>
        <n v="3.1488E9"/>
        <n v="2.2994E9"/>
        <n v="2.888E9"/>
        <n v="2.85E9"/>
        <n v="2.63E9"/>
        <n v="2.612E9"/>
        <n v="2.899E9"/>
        <n v="2.758E9"/>
        <n v="2.827E9"/>
        <n v="1.4785E10"/>
        <n v="1.543E10"/>
        <n v="1.4589E10"/>
        <n v="2.1693E10"/>
        <n v="2.215E9"/>
        <n v="1.444E9"/>
        <n v="1.317E9"/>
        <n v="1.711E9"/>
        <n v="3.345E9"/>
        <n v="3.554E9"/>
        <n v="3.503E9"/>
        <n v="4.63193E8"/>
        <n v="4.75495E8"/>
        <n v="4.56715E8"/>
        <n v="4.5605E8"/>
        <n v="2.556E9"/>
        <n v="2.386E9"/>
        <n v="2.075E9"/>
        <n v="2.377E9"/>
        <n v="9.037E9"/>
        <n v="8.829E9"/>
        <n v="9.82E9"/>
        <n v="8.501E9"/>
        <n v="4.625E9"/>
        <n v="4.609E9"/>
        <n v="4.732E9"/>
        <n v="5.008E9"/>
        <n v="1.1505E9"/>
        <n v="9.755E8"/>
        <n v="9.388E8"/>
        <n v="1.0631E9"/>
        <n v="5.6081E8"/>
        <n v="5.05113E8"/>
        <n v="4.87876E8"/>
        <n v="4.54992E8"/>
        <n v="4.58054E9"/>
        <n v="4.34265E9"/>
        <n v="4.056561E9"/>
        <n v="3.439059E9"/>
        <n v="5.43316E8"/>
        <n v="5.32368E8"/>
        <n v="5.64386E8"/>
        <n v="4.97322E8"/>
        <n v="1.84E9"/>
        <n v="1.556E9"/>
        <n v="1.387E9"/>
        <n v="1.422E9"/>
        <n v="1.697E9"/>
        <n v="1.856E9"/>
        <n v="1.873E9"/>
        <n v="1.922E9"/>
        <n v="3.921E9"/>
        <n v="3.699E9"/>
        <n v="3.672E9"/>
        <n v="3.485E9"/>
        <n v="4.2149E10"/>
        <n v="3.8694E10"/>
        <n v="4.1028E10"/>
        <n v="3.8605E10"/>
        <n v="7.445618E9"/>
        <n v="5.181622E9"/>
        <n v="5.144366E9"/>
        <n v="5.243136E9"/>
        <n v="1.616E9"/>
        <n v="1.549E9"/>
        <n v="1.588E9"/>
        <n v="1.452E9"/>
        <n v="4.701E9"/>
        <n v="4.13E9"/>
        <n v="4.331E9"/>
        <n v="4.181E9"/>
        <n v="9.351E8"/>
        <n v="8.597E8"/>
        <n v="7.774E8"/>
        <n v="7.608E8"/>
        <n v="9.887E9"/>
        <n v="1.0035E10"/>
        <n v="8.771E9"/>
        <n v="9.085E9"/>
        <n v="6.09E8"/>
        <n v="8.028E8"/>
        <n v="6.806E8"/>
        <n v="6.405E8"/>
        <n v="6.09306E9"/>
        <n v="5.669951E9"/>
        <n v="6.343613E9"/>
        <n v="5.431131E9"/>
        <n v="4.7765E9"/>
        <n v="4.5141E9"/>
        <n v="4.624E9"/>
        <n v="4.4301E9"/>
        <n v="1.587E9"/>
        <n v="1.438E9"/>
        <n v="1.442E9"/>
        <n v="2.9698E10"/>
        <n v="2.7989E10"/>
        <n v="2.6958E10"/>
        <n v="2.6276E10"/>
        <n v="2.092E9"/>
        <n v="1.772E9"/>
        <n v="2.648E8"/>
        <n v="2.278E8"/>
        <n v="2.174E8"/>
        <n v="2.036E8"/>
        <n v="1.237195E9"/>
        <n v="1.14972E9"/>
        <n v="1.173206E9"/>
        <n v="1.173722E9"/>
        <n v="8.12E8"/>
        <n v="9.73E8"/>
        <n v="8.01E8"/>
        <n v="7.59919E8"/>
        <n v="6.92457E8"/>
        <n v="6.62102E8"/>
        <n v="6.09927E8"/>
        <n v="2.667E9"/>
        <n v="2.64E9"/>
        <n v="2.277E9"/>
        <n v="1.559E9"/>
        <n v="1.0243E10"/>
        <n v="1.0063E10"/>
        <n v="1.0134E10"/>
        <n v="1.0099E10"/>
        <n v="3.2986E10"/>
        <n v="2.9693E10"/>
        <n v="2.2349E10"/>
        <n v="2.4325E10"/>
        <n v="1.707977E9"/>
        <n v="1.642747E9"/>
        <n v="1.574465E9"/>
        <n v="1.476561E9"/>
        <n v="7.749E9"/>
        <n v="7.712E9"/>
        <n v="7.604E9"/>
        <n v="1.051E9"/>
        <n v="1.0104E9"/>
        <n v="9.553E8"/>
        <n v="1.1267E9"/>
        <n v="4.0988E10"/>
        <n v="3.9035E10"/>
        <n v="4.0111E10"/>
        <n v="3.8753E10"/>
        <n v="1.446E9"/>
        <n v="1.364E9"/>
        <n v="1.6E9"/>
        <n v="1.555E9"/>
        <n v="1.502849E9"/>
        <n v="1.474102E9"/>
        <n v="1.450588E9"/>
        <n v="1.404176E9"/>
        <n v="9.296E9"/>
        <n v="8.503E9"/>
        <n v="8.753E9"/>
        <n v="8.772E9"/>
        <n v="1.1248E10"/>
        <n v="1.0508E10"/>
        <n v="1.1542E10"/>
        <n v="1.1433E10"/>
        <n v="9.91E8"/>
        <n v="1.018E9"/>
        <n v="1.012E9"/>
        <n v="9.88E8"/>
        <n v="7.27134E8"/>
        <n v="6.67933E8"/>
        <n v="6.74371E8"/>
        <n v="6.38865E8"/>
        <n v="1.701E9"/>
        <n v="1.486E9"/>
        <n v="5.021E8"/>
        <n v="5.257E8"/>
        <n v="5.443E8"/>
        <n v="5.523E8"/>
        <n v="1.425E9"/>
        <n v="1.266E9"/>
        <n v="1.545E9"/>
        <n v="1.418E9"/>
        <n v="6.731E9"/>
        <n v="6.114E9"/>
        <n v="6.166E9"/>
        <n v="5.938E9"/>
        <n v="3.889E9"/>
        <n v="3.732E9"/>
        <n v="3.687E9"/>
        <n v="3.568E9"/>
        <n v="3.282E9"/>
        <n v="3.358E9"/>
        <n v="3.399E9"/>
        <n v="3.15E9"/>
        <n v="2.3039E10"/>
        <n v="2.2166E10"/>
        <n v="2.379E10"/>
        <n v="2.1456E10"/>
        <n v="4.56E8"/>
        <n v="4.39E8"/>
        <n v="4.59E8"/>
        <n v="4.33E8"/>
        <n v="2.2828E9"/>
        <n v="2.4296E9"/>
        <n v="2.1286E9"/>
        <n v="2.7639E9"/>
        <n v="6.902E9"/>
        <n v="8.465E9"/>
        <n v="6.625E9"/>
        <n v="4.696E9"/>
        <n v="2.378E9"/>
        <n v="2.567E9"/>
        <n v="2.334E9"/>
        <n v="1.6328E9"/>
        <n v="1.282E9"/>
        <n v="1.3629E9"/>
        <n v="1.5732E9"/>
        <n v="4.05799E8"/>
        <n v="3.5881E8"/>
        <n v="3.44346E8"/>
        <n v="3.19944E8"/>
        <n v="2.905E9"/>
        <n v="2.76E9"/>
        <n v="2.794E9"/>
        <n v="2.569E9"/>
        <n v="4.153E9"/>
        <n v="3.229E9"/>
        <n v="2.247E9"/>
        <n v="6.04E10"/>
        <n v="4.3614E10"/>
        <n v="4.3429E10"/>
        <n v="4.1778E10"/>
        <n v="3.517E8"/>
        <n v="2.95151E8"/>
        <n v="2.49913E8"/>
        <n v="3.40858E8"/>
        <n v="1.071E9"/>
        <n v="1.034E9"/>
        <n v="1.088E9"/>
        <n v="1.047E9"/>
        <n v="1.899E9"/>
        <n v="1.649E9"/>
        <n v="1.589E9"/>
        <n v="5.536E9"/>
        <n v="5.421E9"/>
        <n v="5.29E9"/>
        <n v="4.515E9"/>
        <n v="6.8249E10"/>
        <n v="6.5479E10"/>
        <n v="6.6894E10"/>
        <n v="6.375E10"/>
        <n v="5.8541E9"/>
        <n v="5.2623E9"/>
        <n v="4.9064E9"/>
        <n v="5.3379E9"/>
        <n v="5.202E9"/>
        <n v="4.811E9"/>
        <n v="5.117E9"/>
        <n v="4.375E9"/>
        <n v="1.99E9"/>
        <n v="1.5819E9"/>
        <n v="1.5358E9"/>
        <n v="1.4305E9"/>
        <n v="2.472146E9"/>
        <n v="2.433057E9"/>
        <n v="2.385457E9"/>
        <n v="2.522886E9"/>
        <n v="9.297E9"/>
        <n v="9.525E9"/>
        <n v="7.325E9"/>
        <n v="8.173E9"/>
        <n v="8.625E9"/>
        <n v="7.692E9"/>
        <n v="6.671E9"/>
        <n v="8.27E9"/>
        <n v="8.7E8"/>
        <n v="8.535E8"/>
        <n v="7.795E8"/>
        <n v="5.927E8"/>
        <n v="2.657E9"/>
        <n v="2.259E9"/>
        <n v="-1.469E9"/>
        <n v="1.207E9"/>
        <n v="4.941E8"/>
        <n v="4.591E8"/>
        <n v="4.649E8"/>
        <n v="4.068E8"/>
        <n v="7.68E8"/>
        <n v="6.81E8"/>
        <n v="5.92E8"/>
        <n v="8.9E8"/>
        <n v="9.00485E8"/>
        <n v="8.97872E8"/>
        <n v="8.83056E8"/>
        <n v="8.5883E8"/>
        <n v="1.13E9"/>
        <n v="1.081E9"/>
        <n v="1.182E9"/>
        <n v="1.005E9"/>
        <n v="2.25E9"/>
        <n v="1.976E9"/>
        <n v="1.773E9"/>
        <n v="3.580222E9"/>
        <n v="3.633277E9"/>
        <n v="3.567726E9"/>
        <n v="3.720343E9"/>
        <n v="7.492114E9"/>
        <n v="7.5396E9"/>
        <n v="7.426495E9"/>
        <n v="7.641614E9"/>
        <n v="5.9598E9"/>
        <n v="6.0498E9"/>
        <n v="5.6652E9"/>
        <n v="5.7691E9"/>
        <n v="2.252E9"/>
        <n v="2.613E9"/>
        <n v="2.771E9"/>
        <n v="8.4157E8"/>
        <n v="7.9716E8"/>
        <n v="1.112523E9"/>
        <n v="8.05538E8"/>
        <n v="1.670135E9"/>
        <n v="1.676797E9"/>
        <n v="1.5476E9"/>
        <n v="1.514844E9"/>
        <n v="1.132E10"/>
        <n v="1.0648E10"/>
        <n v="9.859E9"/>
        <n v="9.01E9"/>
        <n v="2.841E9"/>
        <n v="3.246E9"/>
        <n v="2.835E9"/>
        <n v="2.687E9"/>
        <n v="4.46E9"/>
        <n v="4.7E9"/>
        <n v="4.755E9"/>
        <n v="4.842E9"/>
        <n v="2.20656E8"/>
        <n v="1.86188E8"/>
        <n v="1.87727E8"/>
        <n v="1.68516E8"/>
        <n v="3.416E9"/>
        <n v="3.279E9"/>
        <n v="4.794E9"/>
        <n v="4.64E9"/>
        <n v="3.954E9"/>
        <n v="4.679E9"/>
        <n v="4.126E9"/>
        <n v="4.427E9"/>
        <n v="2.2E9"/>
        <n v="2.013E9"/>
        <n v="2.099E9"/>
        <n v="1.805E9"/>
        <n v="4.559E9"/>
        <n v="4.112E9"/>
        <n v="4.091E9"/>
        <n v="3.943E9"/>
        <n v="1.936E9"/>
        <n v="2.191E9"/>
        <n v="1.927E9"/>
        <n v="2.6765E9"/>
        <n v="2.5383E9"/>
        <n v="2.5723E9"/>
        <n v="2.5476E9"/>
        <n v="2.643E9"/>
        <n v="2.475E9"/>
        <n v="2.369E9"/>
        <n v="3.613E9"/>
        <n v="9.341E8"/>
        <n v="8.312E8"/>
        <n v="8.309E8"/>
        <n v="7.837E8"/>
        <n v="1.206E9"/>
        <n v="1.162E9"/>
        <n v="1.002E9"/>
        <n v="5.066E9"/>
        <n v="5.0544E9"/>
        <n v="4.2469E9"/>
        <n v="4.0249E9"/>
        <n v="3.856E9"/>
        <n v="3.648E9"/>
        <n v="3.632E9"/>
        <n v="2.37268E8"/>
        <n v="1.85725E8"/>
        <n v="1.26744E8"/>
        <n v="1.14684E8"/>
        <n v="2.457461E9"/>
        <n v="2.365307E9"/>
        <n v="1.971373E9"/>
        <n v="2.197432E9"/>
        <n v="3.394E9"/>
        <n v="3.128E9"/>
        <n v="2.048968E9"/>
        <n v="2.252176E9"/>
        <n v="9.288E8"/>
        <n v="9.064E8"/>
        <n v="9.268E8"/>
        <n v="8.659E8"/>
        <n v="1.372735E9"/>
        <n v="1.2955E9"/>
        <n v="1.310934E9"/>
        <n v="1.220056E9"/>
        <n v="4.44953E8"/>
        <n v="4.61999E8"/>
        <n v="4.36418E8"/>
        <n v="4.39998E8"/>
        <n v="2.57597E8"/>
        <n v="2.5784E8"/>
        <n v="2.69933E8"/>
        <n v="2.64528E8"/>
        <n v="3.589E9"/>
        <n v="2.985E9"/>
        <n v="3.681E9"/>
        <n v="2.851E9"/>
        <n v="4.29851E8"/>
        <n v="4.00009E8"/>
        <n v="4.55917E8"/>
        <n v="3.32917E8"/>
        <n v="2.300902E9"/>
        <n v="2.355039E9"/>
        <n v="2.627157E9"/>
        <n v="2.331035E9"/>
        <n v="9.409E8"/>
        <n v="1.3019E9"/>
        <n v="9.453E8"/>
        <n v="9.809E8"/>
        <n v="1.648833E9"/>
        <n v="2.220172E9"/>
        <n v="1.766605E9"/>
        <n v="1.769512E9"/>
        <n v="9.388E9"/>
        <n v="7.27E9"/>
        <n v="7.179E9"/>
        <n v="6.758E9"/>
        <n v="1.343E9"/>
        <n v="1.484E9"/>
        <n v="2.972025E9"/>
        <n v="2.887377E9"/>
        <n v="2.212852E9"/>
        <n v="2.333006E9"/>
        <n v="1.81801E8"/>
        <n v="1.81667E8"/>
        <n v="1.75816E8"/>
        <n v="1.79817E8"/>
        <n v="6.1171E10"/>
        <n v="5.4647E10"/>
        <n v="4.7379E10"/>
        <n v="4.6292E10"/>
        <n v="5.51061E8"/>
        <n v="5.04169E8"/>
        <n v="5.16203E8"/>
        <n v="4.95631E8"/>
        <n v="1.671E10"/>
        <n v="1.4793E10"/>
        <n v="1.5297E10"/>
        <n v="1.343E10"/>
        <n v="1.1899E9"/>
        <n v="1.1367E9"/>
        <n v="1.0939E9"/>
        <n v="1.1242E9"/>
        <n v="1.52762E8"/>
        <n v="1.5279E8"/>
        <n v="1.54149E8"/>
        <n v="1.47291E8"/>
        <n v="1.9232E10"/>
        <n v="2.0293E10"/>
        <n v="1.8948E10"/>
        <n v="1.753E10"/>
        <n v="3.112E9"/>
        <n v="3.115E9"/>
        <n v="1.151E9"/>
        <n v="1.215E9"/>
        <n v="1.234E9"/>
        <n v="1.16E9"/>
        <n v="7.44142E8"/>
        <n v="7.03771E8"/>
        <n v="6.27594E8"/>
        <n v="5.97207E8"/>
        <n v="2.159E9"/>
        <n v="1.665E9"/>
        <n v="2.301E9"/>
        <n v="2.007E9"/>
        <n v="3.407E9"/>
        <n v="3.274E9"/>
        <n v="3.233E9"/>
        <n v="3.241E9"/>
        <n v="3.69769E8"/>
        <n v="3.42658E8"/>
        <n v="3.231E8"/>
        <n v="3.20751E8"/>
        <n v="9.429E8"/>
        <n v="9.313E8"/>
        <n v="9.036E8"/>
        <n v="8.633E8"/>
        <n v="2.5744E10"/>
        <n v="3.3102E10"/>
        <n v="3.8221E10"/>
        <n v="3.4493E10"/>
        <n v="6.548E8"/>
        <n v="5.898E8"/>
        <n v="5.798E8"/>
        <n v="5.253E8"/>
        <n v="1.1091E9"/>
        <n v="1.0624E9"/>
        <n v="-4.825E8"/>
        <n v="1.5927E9"/>
        <n v="1.6409E9"/>
        <n v="1.5117E9"/>
        <n v="1.4157E9"/>
        <n v="1.4098E9"/>
        <n v="2.262E9"/>
        <n v="2.4E9"/>
        <n v="3.858E9"/>
        <n v="1.624E9"/>
        <n v="1.6518E9"/>
        <n v="1.5631E9"/>
        <n v="1.5082E9"/>
        <n v="1.2176E9"/>
        <n v="3.615E9"/>
        <n v="3.318E9"/>
        <n v="3.16E9"/>
        <n v="2.935E9"/>
        <n v="3.786E9"/>
        <n v="3.69E9"/>
        <n v="4.34E9"/>
        <n v="3.823E9"/>
        <n v="9.55733E8"/>
        <n v="8.22668E8"/>
        <n v="9.80138E8"/>
        <n v="7.92093E8"/>
        <n v="8.91303E8"/>
        <n v="8.71486E8"/>
        <n v="9.31184E8"/>
        <n v="9.06446E8"/>
        <n v="6.1831E8"/>
        <n v="5.90328E8"/>
        <n v="5.45718E8"/>
        <n v="4.50977E8"/>
        <n v="8.18E9"/>
        <n v="8.394E9"/>
        <n v="9.245E9"/>
        <n v="8.316E9"/>
        <n v="1.8292E10"/>
        <n v="1.6616E10"/>
        <n v="2.0695E10"/>
        <n v="1.9372E10"/>
        <n v="3.7298E9"/>
        <n v="3.6483E9"/>
        <n v="3.769E9"/>
        <n v="3.476E9"/>
        <n v="3.0643E10"/>
        <n v="2.866E10"/>
        <n v="3.4592E10"/>
        <n v="3.0612E10"/>
        <n v="4.437303E9"/>
        <n v="4.18807E9"/>
        <n v="3.994482E9"/>
        <n v="4.050601E9"/>
        <n v="3.875E9"/>
        <n v="3.46E9"/>
        <n v="3.505E9"/>
        <n v="3.405E9"/>
        <n v="1.696579E9"/>
        <n v="1.622948E9"/>
        <n v="1.622111E9"/>
        <n v="1.561696E9"/>
        <n v="1.004099E9"/>
        <n v="1.02176E9"/>
        <n v="9.57548E8"/>
        <n v="9.4183E8"/>
        <n v="8.414E9"/>
        <n v="9.363E9"/>
        <n v="5.887E9"/>
        <n v="5.948E9"/>
        <n v="3.273E9"/>
        <n v="3.081E9"/>
        <n v="2.975E9"/>
        <n v="1.525382E9"/>
        <n v="1.307875E9"/>
        <n v="1.593893E9"/>
        <n v="1.590272E9"/>
        <n v="1.1438E9"/>
        <n v="9.675E8"/>
        <n v="1.488288E9"/>
        <n v="1.434116E9"/>
        <n v="1.195E10"/>
        <n v="1.1643E10"/>
        <n v="1.1903E10"/>
        <n v="1.117E10"/>
        <n v="3.87298E8"/>
        <n v="3.6639E8"/>
        <n v="3.58319E8"/>
        <n v="5.15169E8"/>
        <n v="2.692102E9"/>
        <n v="3.001345E9"/>
        <n v="2.645483E9"/>
        <n v="1.675898E9"/>
        <n v="1.281E9"/>
        <n v="1.284E9"/>
        <n v="1.157E9"/>
        <n v="6.298E9"/>
        <n v="6.187E9"/>
        <n v="6.281E9"/>
        <n v="6.706E9"/>
        <n v="3.33E8"/>
        <n v="2.82E8"/>
        <n v="3.68E8"/>
        <n v="4.28E8"/>
        <n v="8.061E8"/>
        <n v="7.516E8"/>
        <n v="7.173E8"/>
        <n v="6.968E8"/>
        <n v="3.4455E10"/>
        <n v="3.1641E10"/>
        <n v="2.7713E10"/>
        <n v="2.8271E10"/>
        <n v="6.883E9"/>
        <n v="6.618E9"/>
        <n v="7.017E9"/>
        <n v="6.235E9"/>
        <n v="2.624244E9"/>
        <n v="2.32428E9"/>
        <n v="2.192357E9"/>
        <n v="2.073137E9"/>
        <n v="5.67E8"/>
        <n v="5.17E8"/>
        <n v="4.73E8"/>
        <n v="9.6E8"/>
        <n v="1.04E9"/>
        <n v="1.075E9"/>
        <n v="1.3828E10"/>
        <n v="1.4424E10"/>
        <n v="1.4158E10"/>
        <n v="1.4252E10"/>
        <n v="1.9445E10"/>
        <n v="1.9377E10"/>
        <n v="1.8283E10"/>
        <n v="1.6648E10"/>
        <n v="7.87E8"/>
        <n v="7.47E8"/>
        <n v="7.44E8"/>
        <n v="6.95E8"/>
        <n v="2.069E9"/>
        <n v="2.096E9"/>
        <n v="2.435E9"/>
        <n v="1.6642E10"/>
        <n v="1.6308E10"/>
        <n v="1.6756E10"/>
        <n v="1.5441E10"/>
        <n v="5.24555E8"/>
        <n v="4.92545E8"/>
        <n v="4.69589E8"/>
        <n v="4.46471E8"/>
        <n v="5.66889E8"/>
        <n v="5.30085E8"/>
        <n v="5.35843E8"/>
        <n v="5.49933E8"/>
        <n v="8.648E8"/>
        <n v="8.724E8"/>
        <n v="8.468E8"/>
        <n v="7.912E8"/>
        <n v="2.633E9"/>
        <n v="2.588E9"/>
        <n v="2.515E9"/>
        <n v="2.112E9"/>
        <n v="9.0E8"/>
        <n v="8.22E8"/>
        <n v="6.57E8"/>
        <n v="5.37E8"/>
        <n v="5.60241E8"/>
        <n v="5.00744E8"/>
        <n v="6.21925E8"/>
        <n v="6.08445E8"/>
        <n v="1.1126E9"/>
        <n v="1.0148E9"/>
        <n v="1.3437E9"/>
        <n v="1.2122E9"/>
        <n v="1.3739E10"/>
        <n v="1.377E10"/>
        <n v="1.4042E10"/>
        <n v="1.3299E10"/>
        <n v="8.98E8"/>
        <n v="8.87E8"/>
        <n v="8.71E8"/>
        <n v="7.08E8"/>
        <n v="2.733E9"/>
        <n v="2.133E9"/>
        <n v="1.12101E9"/>
        <n v="1.069382E9"/>
        <n v="5.092E9"/>
        <n v="4.914E9"/>
        <n v="4.835E9"/>
        <n v="4.631E9"/>
        <n v="1.8841E9"/>
        <n v="1.782E9"/>
        <n v="1.8061E9"/>
        <n v="1.6579E9"/>
        <n v="1.575E9"/>
        <n v="1.114E9"/>
        <n v="1.333E9"/>
        <n v="8.753E8"/>
        <n v="9.145E8"/>
        <n v="8.073E8"/>
        <n v="7.715E8"/>
        <n v="1.302E9"/>
        <n v="1.2674E9"/>
        <n v="1.2393E9"/>
        <n v="1.1556E9"/>
        <n v="2.66203E8"/>
        <n v="2.43729E8"/>
        <n v="2.35271E8"/>
        <n v="2.24011E8"/>
        <n v="3.148E9"/>
        <n v="3.058E9"/>
        <n v="2.98E9"/>
        <n v="2.579E9"/>
        <n v="8.76274E8"/>
        <n v="8.54046E8"/>
        <n v="8.23852E8"/>
        <n v="8.03205E8"/>
        <n v="2.666824E9"/>
        <n v="2.410497E9"/>
        <n v="2.53816E9"/>
        <n v="2.29702E9"/>
        <n v="3.53991E8"/>
        <n v="3.42573E8"/>
        <n v="3.28729E8"/>
        <n v="3.34212E8"/>
        <n v="3.324212E9"/>
        <n v="3.30161E9"/>
        <n v="3.136195E9"/>
        <n v="3.195616E9"/>
        <n v="1.5975E9"/>
        <n v="1.659E9"/>
        <n v="1.6987E9"/>
        <n v="1.6584E9"/>
        <n v="1.69E10"/>
        <n v="1.5477E10"/>
        <n v="1.8529E10"/>
        <n v="1.5116E10"/>
        <n v="5.296E9"/>
        <n v="4.925E9"/>
        <n v="4.911E9"/>
        <n v="5.072E9"/>
        <n v="1.7482E10"/>
        <n v="1.8697E10"/>
        <n v="1.5772E10"/>
        <n v="1.6351E10"/>
        <n v="1.065E9"/>
        <n v="1.0273E9"/>
        <n v="1.0468E9"/>
        <n v="1.0119E9"/>
        <n v="4.604E8"/>
        <n v="4.337E8"/>
        <n v="4.165E8"/>
        <n v="3.856E8"/>
        <n v="3.024E9"/>
        <n v="3.025E9"/>
        <n v="3.018E9"/>
        <n v="2.927E9"/>
        <n v="1.062E9"/>
        <n v="1.056E9"/>
        <n v="1.074E9"/>
        <n v="1.017E9"/>
        <n v="9.97E8"/>
        <n v="9.61E8"/>
        <n v="9.42E8"/>
        <n v="8.11E8"/>
        <n v="3.93E9"/>
        <n v="4.021E9"/>
        <n v="3.9E9"/>
        <n v="3.612E9"/>
        <n v="1.86811E8"/>
        <n v="1.87845E8"/>
        <n v="1.78111E8"/>
        <n v="1.86513E8"/>
        <n v="3.329E9"/>
        <n v="2.19E9"/>
        <n v="2.089E9"/>
        <n v="1.837E9"/>
        <n v="1.20753E9"/>
        <n v="1.131626E9"/>
        <n v="1.080706E9"/>
        <n v="1.012231E9"/>
        <n v="5.189E9"/>
        <n v="5.005E9"/>
        <n v="5.159E9"/>
        <n v="4.939E9"/>
        <n v="4.0388E10"/>
        <n v="3.0733E10"/>
        <n v="2.8865E10"/>
        <n v="2.9607E10"/>
        <n v="4.008E9"/>
        <n v="3.882E9"/>
        <n v="3.974E9"/>
        <n v="3.843E9"/>
        <n v="3.0437E9"/>
        <n v="3.0872E9"/>
        <n v="2.8121E9"/>
        <n v="2.4521E9"/>
        <n v="2.829252E9"/>
        <n v="2.652346E9"/>
        <n v="2.446513E9"/>
        <n v="2.216016E9"/>
        <n v="9.079E8"/>
        <n v="7.942E8"/>
        <n v="7.515E8"/>
        <n v="7.158E8"/>
        <n v="1.289E9"/>
        <n v="1.345E9"/>
        <n v="1.138E9"/>
        <n v="1.015E9"/>
        <n v="1.0252E9"/>
        <n v="1.0434E9"/>
        <n v="1.0617E9"/>
        <n v="8.122E8"/>
        <n v="3.173E9"/>
        <n v="3.007E9"/>
        <n v="2.95E9"/>
        <n v="2.976E9"/>
        <n v="5.394254E9"/>
        <n v="4.449005E9"/>
        <n v="5.668991E9"/>
        <n v="5.001089E9"/>
        <n v="3.993E9"/>
        <n v="4.194E9"/>
        <n v="3.938E9"/>
        <n v="4.815E9"/>
        <n v="6.192E9"/>
        <n v="5.993E9"/>
        <n v="6.066E9"/>
        <n v="5.8E9"/>
        <n v="7.03259E8"/>
        <n v="5.93643E8"/>
        <n v="6.41873E8"/>
        <n v="6.88251E8"/>
        <n v="2.800957E9"/>
        <n v="2.671173E9"/>
        <n v="2.734922E9"/>
        <n v="2.415494E9"/>
        <n v="1.4775E10"/>
        <n v="1.3929E10"/>
        <n v="1.4774E10"/>
        <n v="1.4294E10"/>
        <n v="2.891E9"/>
        <n v="3.09E9"/>
        <n v="3.044E9"/>
        <n v="3.135E9"/>
        <n v="2.3333E10"/>
        <n v="2.1177E10"/>
        <n v="1.7542E10"/>
        <n v="2.0134E10"/>
        <n v="3.881E9"/>
        <n v="4.018E9"/>
        <n v="4.139E9"/>
        <n v="4.281E9"/>
        <n v="1.0466E10"/>
        <n v="9.048E9"/>
        <n v="8.009E9"/>
        <n v="7.044E9"/>
        <n v="8.40839E8"/>
        <n v="9.02518E8"/>
        <n v="8.26675E8"/>
        <n v="8.10739E8"/>
        <n v="1.205E9"/>
        <n v="1.093E9"/>
        <n v="1.046E9"/>
        <n v="1.003E9"/>
        <n v="2.8918E10"/>
        <n v="2.2665E10"/>
        <n v="1.764E10"/>
        <n v="1.783E10"/>
        <n v="8.9157E7"/>
        <n v="9.1985E7"/>
        <n v="7.8529E7"/>
        <n v="7.6203E7"/>
        <n v="4.51E8"/>
        <n v="3.63E8"/>
        <n v="2.12E8"/>
        <n v="3.95E8"/>
        <n v="3.631E9"/>
        <n v="3.656E9"/>
        <n v="3.368E9"/>
        <n v="9.851E8"/>
        <n v="8.152E8"/>
        <n v="8.716E8"/>
        <n v="9.067E8"/>
        <n v="1.551E9"/>
        <n v="1.568E9"/>
        <n v="1.433E9"/>
        <n v="2.12E9"/>
        <n v="1.958E9"/>
        <n v="2.009E9"/>
        <n v="1.732E9"/>
        <n v="4.94346E8"/>
        <n v="4.74354E8"/>
        <n v="4.38825E8"/>
        <n v="4.39603E8"/>
        <n v="1.2756E9"/>
        <n v="1.2973E9"/>
        <n v="1.2172E9"/>
        <n v="1.2648E9"/>
        <n v="3.3239E9"/>
        <n v="3.0161E9"/>
        <n v="3.2978E9"/>
        <n v="3.0169E9"/>
        <n v="5.825E10"/>
        <n v="6.1739E10"/>
        <n v="6.0045E10"/>
        <n v="5.5076E10"/>
        <n v="6.322E9"/>
        <n v="6.208E9"/>
        <n v="6.123E9"/>
        <n v="6.513E9"/>
        <n v="7.784E9"/>
        <n v="8.246E9"/>
        <n v="9.211E9"/>
        <n v="8.091E9"/>
        <n v="1.381E10"/>
        <n v="1.5043E10"/>
        <n v="1.9025E10"/>
        <n v="1.4863E10"/>
        <n v="6.05065E8"/>
        <n v="6.56672E8"/>
        <n v="5.88399E8"/>
        <n v="5.24967E8"/>
        <n v="2.041313E9"/>
        <n v="1.784726E9"/>
        <n v="1.729636E9"/>
        <n v="1.605304E9"/>
        <n v="1.1895E9"/>
        <n v="1.1654E9"/>
        <n v="1.1025E9"/>
        <n v="1.0793E9"/>
        <n v="5.573E9"/>
        <n v="4.907E9"/>
        <n v="4.852E9"/>
        <n v="4.546E9"/>
        <n v="2.7057E10"/>
        <n v="2.4658E10"/>
        <n v="2.5179E10"/>
        <n v="2.1278E10"/>
        <n v="3.27451E8"/>
        <n v="3.19889E8"/>
        <n v="3.14512E8"/>
        <n v="3.21544E8"/>
        <n v="1.292E9"/>
        <n v="6.71E8"/>
        <n v="8.45783E8"/>
        <n v="3.93027E8"/>
        <n v="2.542629E9"/>
        <n v="2.340327E9"/>
        <n v="2.332912E9"/>
        <n v="2.285652E9"/>
        <n v="2.3366E9"/>
        <n v="1.6973E9"/>
        <n v="2.0398E9"/>
        <n v="2.1779E9"/>
        <n v="5.568E9"/>
        <n v="5.825E9"/>
        <n v="6.076E9"/>
        <n v="5.369E9"/>
        <n v="2.31093E8"/>
        <n v="2.06741E8"/>
        <n v="1.91541E8"/>
        <n v="1.97602E8"/>
        <n v="9.35959E8"/>
        <n v="8.2967E8"/>
        <n v="7.93982E8"/>
        <n v="7.87761E8"/>
        <n v="7.46E8"/>
        <n v="7.45E8"/>
        <n v="8.0E8"/>
        <n v="6.92E8"/>
        <n v="8.845E9"/>
        <n v="9.337E9"/>
        <n v="9.485E9"/>
        <n v="8.068E9"/>
        <n v="1.497E9"/>
        <n v="1.681E9"/>
        <n v="1.478E9"/>
        <n v="2.24634E8"/>
        <n v="2.24048E8"/>
        <n v="2.1099E8"/>
        <n v="1.97713E8"/>
        <n v="9.96E8"/>
        <n v="1.225E9"/>
        <n v="1.103E9"/>
        <n v="1.068E9"/>
        <n v="1.254E9"/>
        <n v="1.209E9"/>
        <n v="1.189E9"/>
        <n v="1.154E9"/>
        <n v="5.203426E9"/>
        <n v="5.6902E9"/>
        <n v="5.120774E9"/>
        <n v="4.790358E9"/>
        <n v="2.397E9"/>
        <n v="2.09E9"/>
        <n v="2.441E9"/>
        <n v="2.33E9"/>
        <n v="2.053E9"/>
        <n v="1.967E9"/>
        <n v="2.127E9"/>
        <n v="2.453E9"/>
        <n v="2.207E9"/>
        <n v="2.081E9"/>
        <n v="2.011E9"/>
        <n v="3.346E9"/>
        <n v="3.295E9"/>
        <n v="3.716E9"/>
        <n v="6.36E8"/>
        <n v="6.1E8"/>
        <n v="1.381E9"/>
        <n v="1.331E9"/>
        <n v="8.65E9"/>
        <n v="9.526E9"/>
        <n v="8.688E9"/>
        <n v="7.151E9"/>
        <n v="8.353E8"/>
        <n v="1.0912E9"/>
        <n v="9.691E8"/>
        <n v="7.498E8"/>
        <n v="1.599E9"/>
        <n v="1.566E9"/>
        <n v="1.643E9"/>
        <n v="1.1208E9"/>
        <n v="1.1175E9"/>
        <n v="1.0985E9"/>
        <n v="1.0947E9"/>
        <n v="7.74E9"/>
        <n v="7.948E9"/>
        <n v="9.803E9"/>
        <n v="7.796E9"/>
        <n v="3.92E8"/>
        <n v="3.87E8"/>
        <n v="3.58E8"/>
        <n v="3.57E8"/>
        <n v="5.74464E8"/>
        <n v="5.56561E8"/>
        <n v="5.24301E8"/>
        <n v="6.1234E8"/>
        <n v="8.122E9"/>
        <n v="1.98E9"/>
        <n v="2.387E9"/>
        <n v="1.754E9"/>
        <n v="6.702731E9"/>
        <n v="5.685827E9"/>
        <n v="4.722646E9"/>
        <n v="4.574878E9"/>
        <n v="4.063E9"/>
        <n v="3.705E9"/>
        <n v="3.495E9"/>
        <n v="3.328E9"/>
        <n v="1.864324E9"/>
        <n v="1.720052E9"/>
        <n v="1.962367E9"/>
        <n v="1.666256E9"/>
        <n v="2.022E9"/>
        <n v="2.214E9"/>
        <n v="2.399794E9"/>
        <n v="2.291101E9"/>
        <n v="2.482625E9"/>
        <n v="2.355105E9"/>
        <n v="5.386E9"/>
        <n v="5.248E9"/>
        <n v="4.512E9"/>
        <n v="4.492E9"/>
        <n v="1.016636E9"/>
        <n v="9.53365E8"/>
        <n v="8.56858E8"/>
        <n v="8.19087E8"/>
        <n v="2.8934E9"/>
        <n v="3.0537E9"/>
        <n v="2.9615E9"/>
        <n v="3.2852E9"/>
        <n v="3.874648E9"/>
        <n v="2.784941E9"/>
        <n v="2.535169E9"/>
        <n v="2.03413E9"/>
        <n v="6.258E9"/>
        <n v="6.59E9"/>
        <n v="6.138E9"/>
        <n v="6.12E9"/>
        <n v="7.95E8"/>
        <n v="3.075E9"/>
        <n v="3.131E9"/>
        <n v="2.876E9"/>
        <n v="4.6568E9"/>
        <n v="5.2101E9"/>
        <n v="5.2362E9"/>
        <n v="5.0482E9"/>
        <n v="1.629E9"/>
        <n v="1.5724E9"/>
        <n v="1.5463E9"/>
        <n v="1.5109E9"/>
        <n v="3.10253E9"/>
        <n v="3.248898E9"/>
        <n v="3.104541E9"/>
        <n v="2.867729E9"/>
        <n v="6.4E8"/>
        <n v="6.754E8"/>
        <n v="6.431E8"/>
        <n v="6.294E8"/>
        <n v="2.12889E8"/>
        <n v="1.95056E8"/>
        <n v="1.77652E8"/>
        <n v="1.847E8"/>
        <n v="5.139E9"/>
        <n v="5.11E9"/>
        <n v="4.933E9"/>
        <n v="5.109E9"/>
        <n v="1.2589E9"/>
        <n v="1.1644E9"/>
        <n v="1.0583E9"/>
        <n v="8.992E8"/>
        <n v="7.979E8"/>
        <n v="7.732E8"/>
        <n v="7.077E8"/>
        <n v="6.729E8"/>
        <n v="2.737E8"/>
        <n v="2.774E8"/>
        <n v="2.743E8"/>
        <n v="2.336E8"/>
        <n v="1.6849E10"/>
        <n v="1.5925E10"/>
        <n v="1.252E10"/>
        <n v="1.9599E10"/>
        <n v="8.80128E8"/>
        <n v="8.73983E8"/>
        <n v="8.17548E8"/>
        <n v="8.57361E8"/>
        <n v="1.5251E10"/>
        <n v="1.2746E10"/>
        <n v="9.44E9"/>
        <n v="1.0052E10"/>
        <n v="4.651E9"/>
        <n v="4.413E9"/>
        <n v="4.121E9"/>
        <n v="4.49E9"/>
        <n v="2.956E10"/>
        <n v="2.7297E10"/>
        <n v="2.2354E10"/>
        <n v="1.7211E10"/>
        <n v="8.50746E8"/>
        <n v="6.93688E8"/>
        <n v="6.2115E8"/>
        <n v="6.95943E8"/>
        <n v="3.577E9"/>
        <n v="3.677E9"/>
        <n v="2.895E9"/>
        <n v="2.116E9"/>
        <n v="3.587E9"/>
        <n v="3.05E9"/>
        <n v="2.574E9"/>
        <n v="2.708E9"/>
        <n v="1.175572E9"/>
        <n v="1.449247E9"/>
        <n v="9.31714E8"/>
        <n v="7.64911E8"/>
        <n v="3.839E9"/>
        <n v="3.343E9"/>
        <n v="1.01E9"/>
        <n v="1.079E9"/>
        <n v="1.163E9"/>
        <n v="2.9956E9"/>
        <n v="3.1068E9"/>
        <n v="2.5946E9"/>
        <n v="3.1735E9"/>
        <n v="1.5377E10"/>
        <n v="1.4273E10"/>
        <n v="1.4324E10"/>
        <n v="1.4365E10"/>
        <n v="1.16594E10"/>
        <n v="1.08436E10"/>
        <n v="9.5153E9"/>
        <n v="9.2479E9"/>
        <n v="7.71185E8"/>
        <n v="7.64504E8"/>
        <n v="8.06385E8"/>
        <n v="7.78624E8"/>
        <n v="1.9835E10"/>
        <n v="1.3144E10"/>
        <n v="1.3537E10"/>
        <n v="1.5129E10"/>
        <n v="3.63726E8"/>
        <n v="3.616E8"/>
        <n v="3.49316E8"/>
        <n v="3.34565E8"/>
        <n v="1.855E9"/>
        <n v="2.066E9"/>
        <n v="1.907E9"/>
        <n v="4.56968E8"/>
        <n v="4.19054E8"/>
        <n v="3.94856E8"/>
        <n v="3.67483E8"/>
        <n v="2.856006E9"/>
        <n v="2.722651E9"/>
        <n v="2.274225E9"/>
        <n v="2.663568E9"/>
        <n v="2.0276E9"/>
        <n v="1.8343E9"/>
        <n v="2.1427E9"/>
        <n v="1.9997E9"/>
        <n v="8.92388E8"/>
        <n v="8.12049E8"/>
        <n v="7.50472E8"/>
        <n v="7.94636E8"/>
        <n v="6.434E9"/>
        <n v="5.865E9"/>
        <n v="5.769E9"/>
        <n v="5.709E9"/>
        <n v="3.11622E9"/>
        <n v="2.843506E9"/>
        <n v="2.595398E9"/>
        <n v="2.733417E9"/>
        <n v="2.109E9"/>
        <n v="1.996E9"/>
        <n v="2.039E9"/>
        <n v="2.167E9"/>
        <n v="1.2526E9"/>
        <n v="1.1461E9"/>
        <n v="1.246E9"/>
        <n v="1.2439E9"/>
        <n v="2.125E9"/>
        <n v="2.01E9"/>
        <n v="1.957E9"/>
        <n v="1.797E9"/>
        <n v="1.4359E10"/>
        <n v="1.4052E10"/>
        <n v="1.3708E10"/>
        <n v="1.5862E10"/>
        <n v="2.52307E8"/>
        <n v="2.41372E8"/>
        <n v="2.2728E8"/>
        <n v="2.1885E8"/>
        <n v="1.73307E8"/>
        <n v="1.76594E8"/>
        <n v="1.80992E8"/>
        <n v="1.95936E8"/>
        <n v="1.6056E9"/>
        <n v="1.7913E9"/>
        <n v="1.416E9"/>
        <n v="1.3509E9"/>
        <n v="9.18E8"/>
        <n v="8.96E8"/>
        <n v="9.2E8"/>
        <n v="9.4E8"/>
        <n v="2.3651E9"/>
        <n v="2.2739E9"/>
        <n v="2.1023E9"/>
        <n v="2.0929E9"/>
        <n v="6.42102E8"/>
        <n v="6.34465E8"/>
        <n v="5.45341E8"/>
        <n v="5.6439E8"/>
        <n v="1.483387E9"/>
        <n v="1.404378E9"/>
        <n v="1.260307E9"/>
        <n v="1.215138E9"/>
        <n v="1.5511E9"/>
        <n v="1.5554E9"/>
        <n v="1.4375E9"/>
        <n v="1.3008E9"/>
        <n v="5.23352E8"/>
        <n v="5.0465E8"/>
        <n v="4.47356E8"/>
        <n v="4.47833E8"/>
        <n v="1.0593E9"/>
        <n v="1.1281E9"/>
        <n v="1.1382E9"/>
        <n v="4.128659E9"/>
        <n v="3.873449E9"/>
        <n v="3.607668E9"/>
        <n v="3.589276E9"/>
        <n v="1.46302E9"/>
        <n v="1.033827E9"/>
        <n v="8.51694E8"/>
        <n v="8.38821E8"/>
        <n v="8.88E8"/>
        <n v="8.75E8"/>
        <n v="9.95E8"/>
        <n v="5.954E9"/>
        <n v="5.609E9"/>
        <n v="5.624E9"/>
        <n v="5.195E9"/>
        <n v="3.68076E8"/>
        <n v="3.72289E8"/>
        <n v="3.70677E8"/>
        <n v="3.59987E8"/>
        <n v="5.082E9"/>
        <n v="4.972E9"/>
        <n v="4.72E9"/>
        <n v="5.028E9"/>
        <n v="2.528E9"/>
        <n v="2.499E9"/>
        <n v="2.347E9"/>
        <n v="2.273E9"/>
        <n v="1.2023E9"/>
        <n v="1.0634E9"/>
        <n v="1.121E9"/>
        <n v="2.575E9"/>
        <n v="2.304E9"/>
        <n v="2.257E9"/>
        <n v="2.489E9"/>
        <n v="1.358E9"/>
        <n v="1.263E9"/>
        <n v="1.2324E9"/>
        <n v="4.4538E9"/>
        <n v="4.4876E9"/>
        <n v="3.9525E9"/>
        <n v="3.9206E9"/>
        <n v="6.8423E8"/>
        <n v="6.49423E8"/>
        <n v="6.35339E8"/>
        <n v="6.69381E8"/>
        <n v="9.75E8"/>
        <n v="7.761E8"/>
        <n v="7.971E8"/>
        <n v="9.393E8"/>
        <n v="8.493E8"/>
        <n v="8.786E8"/>
        <n v="8.432E8"/>
        <n v="8.766E8"/>
        <n v="4.498E9"/>
        <n v="4.359E9"/>
        <n v="4.165E9"/>
        <n v="4.31E9"/>
        <n v="4.738E9"/>
        <n v="4.169E9"/>
        <n v="3.32E9"/>
        <n v="3.213E9"/>
        <n v="3.6798E9"/>
        <n v="3.4479E9"/>
        <n v="3.6545E9"/>
        <n v="3.2359E9"/>
        <n v="6.0935E9"/>
        <n v="5.7345E9"/>
        <n v="5.8464E9"/>
        <n v="5.48E9"/>
        <n v="2.037E9"/>
        <n v="2.264E9"/>
        <n v="2.072E9"/>
        <n v="2.029E9"/>
        <n v="8.13088E8"/>
        <n v="7.03613E8"/>
        <n v="6.4306E8"/>
        <n v="6.09271E8"/>
        <n v="3.486E9"/>
        <n v="3.23E9"/>
        <n v="3.158E9"/>
        <n v="2.82E9"/>
        <n v="6.26538E8"/>
        <n v="6.26298E8"/>
        <n v="4.84088E8"/>
        <n v="4.72817E8"/>
        <n v="9.48E8"/>
        <n v="9.32E8"/>
        <n v="6.23E8"/>
        <n v="1.023E9"/>
        <n v="8.40056E8"/>
        <n v="8.30092E8"/>
        <n v="8.21973E8"/>
        <n v="8.29694E8"/>
        <n v="1.1597796E10"/>
        <n v="1.1383753E10"/>
        <n v="1.1342372E10"/>
        <n v="8.900688E9"/>
        <n v="1.7233E10"/>
        <n v="1.7322E10"/>
        <n v="1.7945E10"/>
        <n v="1.6422E10"/>
        <n v="9.712E8"/>
        <n v="9.336E8"/>
        <n v="9.77E8"/>
        <n v="8.669E8"/>
        <n v="7.59494E8"/>
        <n v="6.31001E8"/>
        <n v="5.69902E8"/>
        <n v="6.79636E8"/>
        <n v="1.3429E9"/>
        <n v="1.0904E9"/>
        <n v="1.2743E9"/>
        <n v="9.434E8"/>
        <n v="2.2646E10"/>
        <n v="2.1776E10"/>
        <n v="2.6717E10"/>
        <n v="2.0694E10"/>
        <n v="3.108E9"/>
        <n v="3.101E9"/>
        <n v="2.914E9"/>
        <n v="8.959E8"/>
        <n v="6.608E8"/>
        <n v="6.644E8"/>
        <n v="6.233E8"/>
        <n v="5.73359E8"/>
        <n v="5.16139E8"/>
        <n v="5.71279E8"/>
        <n v="4.99868E8"/>
        <n v="6.96456E8"/>
        <n v="5.56133E8"/>
        <n v="5.51757E8"/>
        <n v="5.77615E8"/>
        <n v="9.896E9"/>
        <n v="1.0169E10"/>
        <n v="8.005E9"/>
        <n v="2.361E9"/>
        <n v="2.229E9"/>
        <n v="2.216E9"/>
        <n v="2.939E9"/>
        <n v="2.663E9"/>
        <n v="3.393E9"/>
        <n v="6.041E8"/>
        <n v="5.696E8"/>
        <n v="5.435E8"/>
        <n v="4.914E8"/>
        <n v="4.41E9"/>
        <n v="4.915E9"/>
        <n v="4.634E9"/>
        <n v="4.48E9"/>
        <n v="1.531582E9"/>
        <n v="1.737185E9"/>
        <n v="1.762969E9"/>
        <n v="1.6132E9"/>
        <n v="2.1816E9"/>
        <n v="1.9389E9"/>
        <n v="2.1933E9"/>
        <n v="2.232E9"/>
        <n v="7.473E9"/>
        <n v="7.34E9"/>
        <n v="6.698E9"/>
        <n v="7.202E9"/>
        <n v="1.4203E10"/>
        <n v="1.6023E10"/>
        <n v="1.5181E10"/>
        <n v="1.1725E10"/>
        <n v="7.033E9"/>
        <n v="6.817E9"/>
        <n v="7.465E9"/>
        <n v="6.132E9"/>
        <n v="9.320627E9"/>
        <n v="1.0587676E10"/>
        <n v="9.048413E9"/>
        <n v="6.702258E9"/>
        <n v="3.102676E9"/>
        <n v="2.5618E9"/>
        <n v="2.584747E9"/>
        <n v="2.334395E9"/>
        <n v="3.176E9"/>
        <n v="2.6598E9"/>
        <n v="2.7924E9"/>
        <n v="2.9243E9"/>
        <n v="7.62E8"/>
        <n v="7.63E8"/>
        <n v="8.21E8"/>
        <n v="7.957E8"/>
        <n v="7.441E8"/>
        <n v="6.822E8"/>
        <n v="6.777E8"/>
        <n v="3.541E9"/>
        <n v="3.303E9"/>
        <n v="3.321E9"/>
        <n v="3.315E9"/>
        <n v="1.160175E9"/>
        <n v="9.83836E8"/>
        <n v="8.87267E8"/>
        <n v="8.80126E8"/>
        <n v="2.55781E8"/>
        <n v="2.35249E8"/>
        <n v="2.3609E8"/>
        <n v="2.2975E8"/>
        <n v="1.1365E10"/>
        <n v="1.0486E10"/>
        <n v="9.638E9"/>
        <n v="1.0215E10"/>
        <n v="3.307E9"/>
        <n v="3.499E9"/>
        <n v="1.635948E9"/>
        <n v="1.635534E9"/>
        <n v="1.891626E9"/>
        <n v="1.427132E9"/>
        <n v="1.227808E9"/>
        <n v="1.144692E9"/>
        <n v="1.285946E9"/>
        <n v="1.30175E9"/>
        <n v="3.002E9"/>
        <n v="3.122E9"/>
        <n v="6.675E9"/>
        <n v="6.205E9"/>
        <n v="5.864E9"/>
        <n v="5.181E9"/>
        <n v="1.9849E10"/>
        <n v="1.6398E10"/>
        <n v="3.0395E10"/>
        <n v="1.849E10"/>
        <n v="1.794E9"/>
        <n v="1.673E9"/>
        <n v="1.749E9"/>
        <n v="1.618E9"/>
        <n v="6.5343E10"/>
        <n v="6.3457E10"/>
        <n v="6.195E10"/>
        <n v="6.0464E10"/>
        <n v="2.758912E9"/>
        <n v="2.717318E9"/>
        <n v="2.671976E9"/>
        <n v="2.562871E9"/>
        <n v="2.5802E10"/>
        <n v="2.0338E10"/>
        <n v="1.5758E10"/>
        <n v="1.5053E10"/>
        <n v="7.59082E8"/>
        <n v="7.54273E8"/>
        <n v="8.67834E8"/>
        <n v="7.84135E8"/>
        <n v="1.16426E8"/>
        <n v="1.13214E8"/>
        <n v="1.15776E8"/>
        <n v="1.1123E8"/>
        <n v="4.822E8"/>
        <n v="4.752E8"/>
        <n v="4.611E8"/>
        <n v="4.268E8"/>
        <n v="2.5248E10"/>
        <n v="2.4518E10"/>
        <n v="2.697E10"/>
        <n v="2.3569E10"/>
        <n v="1.829731E9"/>
        <n v="8.40379E8"/>
        <n v="8.81528E8"/>
        <n v="8.6423E8"/>
        <n v="2.053185E9"/>
        <n v="2.388046E9"/>
        <n v="2.517769E9"/>
        <n v="2.277166E9"/>
        <n v="5.896E9"/>
        <n v="5.307E9"/>
        <n v="5.124E9"/>
        <n v="4.824E9"/>
        <n v="3.7189E9"/>
        <n v="3.7013E9"/>
        <n v="3.7742E9"/>
        <n v="2.4531E9"/>
        <n v="2.068E9"/>
        <n v="2.145E9"/>
        <n v="1.842E9"/>
        <n v="1.924E9"/>
        <n v="3.11299E8"/>
        <n v="3.31362E8"/>
        <n v="3.25949E8"/>
        <n v="3.35065E8"/>
        <n v="1.068193E9"/>
        <n v="9.34467E8"/>
        <n v="9.81048E8"/>
        <n v="1.017056E9"/>
        <n v="1.951272E9"/>
        <n v="1.826127E9"/>
        <n v="1.844753E9"/>
        <n v="1.788559E9"/>
        <n v="2.873E9"/>
        <n v="2.726E9"/>
        <n v="2.629E9"/>
        <n v="2.644E9"/>
        <n v="1.6209E9"/>
        <n v="1.8387E9"/>
        <n v="1.6389E9"/>
        <n v="1.5317E9"/>
        <n v="3.1995E10"/>
        <n v="3.0628E10"/>
        <n v="3.4226E10"/>
        <n v="3.45E10"/>
        <n v="1.33694E11"/>
        <n v="1.31401E11"/>
        <n v="1.45592E11"/>
        <n v="1.2833E11"/>
        <n v="3.444E9"/>
        <n v="3.296E9"/>
        <n v="3.167E9"/>
        <n v="4.85175E8"/>
        <n v="4.37224E8"/>
        <n v="5.16097E8"/>
        <n v="4.29595E8"/>
        <n v="1.2861E9"/>
        <n v="2.0388E9"/>
        <n v="1.5459E9"/>
        <n v="1.269E9"/>
        <n v="1.3266E10"/>
        <n v="1.4055E10"/>
        <n v="1.4092E10"/>
        <n v="1.4511E10"/>
        <n v="9.2271E8"/>
        <n v="9.14265E8"/>
        <n v="9.73063E8"/>
        <n v="9.05917E8"/>
        <n v="5.122E8"/>
        <n v="4.924E8"/>
        <n v="4.592E8"/>
        <n v="4.413E8"/>
        <n v="3.855E9"/>
        <n v="3.783E9"/>
        <n v="3.859E9"/>
        <n v="4.099E9"/>
        <n v="1.0378E9"/>
        <n v="9.803E8"/>
        <n v="1.0358E9"/>
        <n v="9.671E8"/>
        <n v="4.2002E9"/>
        <n v="4.124E9"/>
        <n v="4.0626E9"/>
        <n v="3.9346E9"/>
        <n v="1.712E9"/>
        <n v="1.553E9"/>
        <n v="1.534E9"/>
        <n v="1.524E9"/>
        <n v="4.743E9"/>
        <n v="4.717E9"/>
        <n v="5.006E9"/>
        <n v="4.653E9"/>
        <n v="1.682E9"/>
        <n v="1.392E9"/>
        <n v="1.293E9"/>
        <n v="2.038E9"/>
        <n v="1.966E9"/>
        <n v="1.818E9"/>
        <n v="1.864E9"/>
        <n v="1.016034E9"/>
        <n v="9.09314E8"/>
        <n v="8.05906E8"/>
        <n v="6.46159E8"/>
        <n v="2.642E9"/>
        <n v="3.034E9"/>
        <n v="6.68243E8"/>
        <n v="6.51205E8"/>
        <n v="6.30979E8"/>
        <n v="5.61118E8"/>
        <n v="1.193E9"/>
        <n v="1.12E9"/>
        <n v="1.186E9"/>
        <n v="1.073E9"/>
        <n v="1.042E9"/>
        <n v="9.54E8"/>
        <n v="1.247E9"/>
        <n v="9.46E8"/>
        <n v="1.126E9"/>
        <n v="9.62E8"/>
        <n v="1.7208E9"/>
        <n v="1.5318E9"/>
        <n v="1.7114E9"/>
        <n v="4.22E8"/>
        <n v="4.19E8"/>
        <n v="3.82E8"/>
        <n v="4.45E8"/>
        <n v="1.222E9"/>
        <n v="1.115E9"/>
        <n v="1.277E9"/>
        <n v="1.116E9"/>
      </sharedItems>
    </cacheField>
    <cacheField name="Cost Of Revenue" numFmtId="0">
      <sharedItems containsSemiMixedTypes="0" containsString="0" containsNumber="1" containsInteger="1">
        <n v="4.853E9"/>
        <n v="4.719E9"/>
        <n v="4.524E9"/>
        <n v="4.337E9"/>
        <n v="5.743E8"/>
        <n v="5.384E8"/>
        <n v="4.804E8"/>
        <n v="5.104E8"/>
        <n v="4.423E9"/>
        <n v="4.437E9"/>
        <n v="4.4E9"/>
        <n v="4.494E9"/>
        <n v="4.344E9"/>
        <n v="4.498E9"/>
        <n v="4.192E9"/>
        <n v="3.41E9"/>
        <n v="4.3886E7"/>
        <n v="4.5188E7"/>
        <n v="4.6078E7"/>
        <n v="4.111E7"/>
        <n v="8.953068E9"/>
        <n v="8.859411E9"/>
        <n v="8.492893E9"/>
        <n v="7.863889E9"/>
        <n v="5.27E8"/>
        <n v="5.55E8"/>
        <n v="5.78E8"/>
        <n v="8.17E8"/>
        <n v="1.9014E10"/>
        <n v="2.1463E10"/>
        <n v="1.7345E10"/>
        <n v="1.6626E10"/>
        <n v="4.67E8"/>
        <n v="4.44E8"/>
        <n v="4.47E8"/>
        <n v="4.28E8"/>
        <n v="1.459999E9"/>
        <n v="0.0"/>
        <n v="1.843141E9"/>
        <n v="2.227E9"/>
        <n v="2.02E9"/>
        <n v="1.858E9"/>
        <n v="1.793E9"/>
        <n v="2.276E9"/>
        <n v="1.972E9"/>
        <n v="1.971E9"/>
        <n v="1.836E9"/>
        <n v="3.198E9"/>
        <n v="3.248E9"/>
        <n v="3.372E9"/>
        <n v="3.597E9"/>
        <n v="7.34E8"/>
        <n v="7.08E8"/>
        <n v="7.1E8"/>
        <n v="6.95E8"/>
        <n v="2.0063E9"/>
        <n v="1.8019E9"/>
        <n v="1.7455E9"/>
        <n v="1.6324E9"/>
        <n v="3.16866E8"/>
        <n v="3.2E8"/>
        <n v="3.06687E8"/>
        <n v="3.03847E8"/>
        <n v="5.81293E8"/>
        <n v="5.25479E8"/>
        <n v="5.65604E8"/>
        <n v="6.12427E8"/>
        <n v="1.391E9"/>
        <n v="1.281E9"/>
        <n v="1.109E9"/>
        <n v="1.021E9"/>
        <n v="1.65995E8"/>
        <n v="1.43955E8"/>
        <n v="1.37888E8"/>
        <n v="1.36767E8"/>
        <n v="2.6075E8"/>
        <n v="2.5227E8"/>
        <n v="2.17673E8"/>
        <n v="2.24057E8"/>
        <n v="4.165E8"/>
        <n v="4.264E8"/>
        <n v="3.969E8"/>
        <n v="4.066E8"/>
        <n v="5.44E8"/>
        <n v="4.5E8"/>
        <n v="5.13E8"/>
        <n v="5.18E8"/>
        <n v="1.0123E10"/>
        <n v="9.004E9"/>
        <n v="7.808E9"/>
        <n v="7.428E9"/>
        <n v="2.6227E10"/>
        <n v="2.4103E10"/>
        <n v="2.608E10"/>
        <n v="2.1117E10"/>
        <n v="1.882E9"/>
        <n v="1.607E9"/>
        <n v="1.889E9"/>
        <n v="1.96E9"/>
        <n v="6.4176E10"/>
        <n v="6.2403E10"/>
        <n v="7.9284E10"/>
        <n v="5.7106E10"/>
        <n v="2.709E9"/>
        <n v="2.525E9"/>
        <n v="2.452E9"/>
        <n v="2.443E9"/>
        <n v="7.17E8"/>
        <n v="7.71E8"/>
        <n v="6.74E8"/>
        <n v="6.62E8"/>
        <n v="6.691E9"/>
        <n v="5.814E9"/>
        <n v="4.951E9"/>
        <n v="5.662E9"/>
        <n v="1.9552E9"/>
        <n v="2.428E9"/>
        <n v="2.0347E9"/>
        <n v="2.1409E9"/>
        <n v="3.144E9"/>
        <n v="2.56E9"/>
        <n v="2.603E9"/>
        <n v="2.263E9"/>
        <n v="7.871E9"/>
        <n v="7.311E9"/>
        <n v="7.841E9"/>
        <n v="7.461E9"/>
        <n v="6.479E8"/>
        <n v="5.726E8"/>
        <n v="5.626E8"/>
        <n v="4.31E8"/>
        <n v="4.19E8"/>
        <n v="4.29E8"/>
        <n v="1.7E9"/>
        <n v="1.833E9"/>
        <n v="2.006E9"/>
        <n v="2.217E9"/>
        <n v="5.1517489E10"/>
        <n v="4.762079E10"/>
        <n v="5.1064326E10"/>
        <n v="4.7898451E10"/>
        <n v="9.12712E8"/>
        <n v="7.89392E8"/>
        <n v="7.69968E8"/>
        <n v="7.32705E8"/>
        <n v="1.637E9"/>
        <n v="1.49E9"/>
        <n v="1.597E9"/>
        <n v="1.561E9"/>
        <n v="1.6496E9"/>
        <n v="1.6604E9"/>
        <n v="1.5885E9"/>
        <n v="1.3837E9"/>
        <n v="5.37669E8"/>
        <n v="5.2477E8"/>
        <n v="5.13087E8"/>
        <n v="5.03211E8"/>
        <n v="4.9133E7"/>
        <n v="4.7154E7"/>
        <n v="5.6488E7"/>
        <n v="4.3474E7"/>
        <n v="2.6645E10"/>
        <n v="2.4763E10"/>
        <n v="2.3699E10"/>
        <n v="2.4088E10"/>
        <n v="1.62E9"/>
        <n v="1.713E9"/>
        <n v="1.632E9"/>
        <n v="1.383E9"/>
        <n v="6.34E8"/>
        <n v="8.16E8"/>
        <n v="3.9E8"/>
        <n v="3.97E8"/>
        <n v="4.6179E10"/>
        <n v="5.1505E10"/>
        <n v="6.7111E10"/>
        <n v="4.0009E10"/>
        <n v="3.229E9"/>
        <n v="2.929E9"/>
        <n v="2.801E9"/>
        <n v="2.558E9"/>
        <n v="3.205E9"/>
        <n v="3.296E9"/>
        <n v="3.4E9"/>
        <n v="2.994E9"/>
        <n v="2.53141E8"/>
        <n v="2.4229E8"/>
        <n v="2.33898E8"/>
        <n v="2.20469E8"/>
        <n v="1.1912E9"/>
        <n v="1.2701E9"/>
        <n v="1.0817E9"/>
        <n v="1.1716E9"/>
        <n v="2.2409E9"/>
        <n v="2.1714E9"/>
        <n v="2.2257E9"/>
        <n v="2.308E9"/>
        <n v="2.1099E10"/>
        <n v="2.1087E10"/>
        <n v="2.291E10"/>
        <n v="1.9839E10"/>
        <n v="2.7134E8"/>
        <n v="7.30184E8"/>
        <n v="4.26903E8"/>
        <n v="1.98103E8"/>
        <n v="9.16E7"/>
        <n v="8.24E7"/>
        <n v="8.19E7"/>
        <n v="7.59E7"/>
        <n v="2.106E9"/>
        <n v="2.1781E9"/>
        <n v="2.0223E9"/>
        <n v="1.9308E9"/>
        <n v="2.345645E9"/>
        <n v="1.736077E9"/>
        <n v="1.351435E9"/>
        <n v="1.478644E9"/>
        <n v="2.14051E8"/>
        <n v="2.09044E8"/>
        <n v="2.11026E8"/>
        <n v="2.1341E8"/>
        <n v="1.5257E9"/>
        <n v="1.4543E9"/>
        <n v="1.4198E9"/>
        <n v="1.2449E9"/>
        <n v="4.083E9"/>
        <n v="4.166E9"/>
        <n v="3.924E9"/>
        <n v="4.458E9"/>
        <n v="2.76E9"/>
        <n v="2.493E9"/>
        <n v="2.448E9"/>
        <n v="2.43E9"/>
        <n v="1.82E9"/>
        <n v="1.61E9"/>
        <n v="1.749E9"/>
        <n v="1.696E9"/>
        <n v="1.844E9"/>
        <n v="1.772E9"/>
        <n v="1.921E9"/>
        <n v="1.763E9"/>
        <n v="2.729E9"/>
        <n v="2.624E9"/>
        <n v="2.549E9"/>
        <n v="2.275E9"/>
        <n v="9.039E9"/>
        <n v="8.928E9"/>
        <n v="1.3407E10"/>
        <n v="9.022E9"/>
        <n v="3.13233E8"/>
        <n v="3.02269E8"/>
        <n v="3.31584E8"/>
        <n v="2.79952E8"/>
        <n v="8.1519E7"/>
        <n v="7.5278E7"/>
        <n v="7.333E7"/>
        <n v="6.6468E7"/>
        <n v="4.597E8"/>
        <n v="4.781E8"/>
        <n v="4.906E8"/>
        <n v="4.491E8"/>
        <n v="2.391E9"/>
        <n v="2.234E9"/>
        <n v="2.129E9"/>
        <n v="2.124E9"/>
        <n v="1.3148E10"/>
        <n v="1.4073E10"/>
        <n v="1.324E10"/>
        <n v="1.9366E10"/>
        <n v="6.86E8"/>
        <n v="5.52E8"/>
        <n v="4.91E8"/>
        <n v="5.17E8"/>
        <n v="2.996E9"/>
        <n v="3.191E9"/>
        <n v="3.154E9"/>
        <n v="2.017E9"/>
        <n v="2.5145E8"/>
        <n v="2.59771E8"/>
        <n v="2.57649E8"/>
        <n v="2.61732E8"/>
        <n v="9.57E8"/>
        <n v="9.06E8"/>
        <n v="6.23E8"/>
        <n v="8.81E8"/>
        <n v="2.363E9"/>
        <n v="2.424E9"/>
        <n v="2.235E9"/>
        <n v="2.043E9"/>
        <n v="1.729E9"/>
        <n v="1.699E9"/>
        <n v="1.814E9"/>
        <n v="1.753E9"/>
        <n v="9.605E8"/>
        <n v="8.065E8"/>
        <n v="7.871E8"/>
        <n v="8.842E8"/>
        <n v="4.29498E8"/>
        <n v="3.7747E8"/>
        <n v="3.62767E8"/>
        <n v="3.46515E8"/>
        <n v="4.462324E9"/>
        <n v="4.218134E9"/>
        <n v="3.938431E9"/>
        <n v="3.313876E9"/>
        <n v="7.6759E7"/>
        <n v="8.3967E7"/>
        <n v="7.3536E7"/>
        <n v="8.2284E7"/>
        <n v="1.045E9"/>
        <n v="8.45E8"/>
        <n v="7.77E8"/>
        <n v="6.67E8"/>
        <n v="1.354E9"/>
        <n v="1.498E9"/>
        <n v="1.526E9"/>
        <n v="1.358E9"/>
        <n v="4.0914E10"/>
        <n v="3.7463E10"/>
        <n v="3.9765E10"/>
        <n v="3.735E10"/>
        <n v="6.841659E9"/>
        <n v="4.625568E9"/>
        <n v="4.665569E9"/>
        <n v="4.752928E9"/>
        <n v="4.08E8"/>
        <n v="3.54E8"/>
        <n v="3.84E8"/>
        <n v="3.815E9"/>
        <n v="3.3E9"/>
        <n v="3.294E9"/>
        <n v="3.442E9"/>
        <n v="7.489E8"/>
        <n v="6.877E8"/>
        <n v="6.126E8"/>
        <n v="5.968E8"/>
        <n v="8.556E9"/>
        <n v="8.392E9"/>
        <n v="7.511E9"/>
        <n v="7.752E9"/>
        <n v="4.502E8"/>
        <n v="6.453E8"/>
        <n v="5.371E8"/>
        <n v="5.007E8"/>
        <n v="5.016759E9"/>
        <n v="4.719546E9"/>
        <n v="5.34443E9"/>
        <n v="4.548879E9"/>
        <n v="4.2636E9"/>
        <n v="4.0423E9"/>
        <n v="4.0753E9"/>
        <n v="3.9309E9"/>
        <n v="1.437E9"/>
        <n v="1.313E9"/>
        <n v="1.215E9"/>
        <n v="1.084E9"/>
        <n v="2.543E10"/>
        <n v="2.4389E10"/>
        <n v="2.3391E10"/>
        <n v="2.2605E10"/>
        <n v="9.93E8"/>
        <n v="1.644E9"/>
        <n v="8.92E8"/>
        <n v="1.438E8"/>
        <n v="1.293E8"/>
        <n v="1.262E8"/>
        <n v="1.158E8"/>
        <n v="2.61325E8"/>
        <n v="2.30656E8"/>
        <n v="2.34673E8"/>
        <n v="2.31889E8"/>
        <n v="1.085E9"/>
        <n v="7.59E8"/>
        <n v="9.22E8"/>
        <n v="7.53E8"/>
        <n v="5.72193E8"/>
        <n v="5.15725E8"/>
        <n v="4.90359E8"/>
        <n v="4.5312E8"/>
        <n v="1.66E8"/>
        <n v="1.47E8"/>
        <n v="1.27E8"/>
        <n v="7.3E7"/>
        <n v="7.055E9"/>
        <n v="7.026E9"/>
        <n v="6.96E9"/>
        <n v="1.1303E10"/>
        <n v="2.0629E10"/>
        <n v="1.7568E10"/>
        <n v="1.3387E10"/>
        <n v="1.3448E10"/>
        <n v="1.198312E9"/>
        <n v="1.142414E9"/>
        <n v="1.058109E9"/>
        <n v="1.006027E9"/>
        <n v="6.889E9"/>
        <n v="6.885E9"/>
        <n v="6.642E9"/>
        <n v="7.678E9"/>
        <n v="7.322E8"/>
        <n v="7.189E8"/>
        <n v="6.88E8"/>
        <n v="7.379E8"/>
        <n v="3.7485E10"/>
        <n v="3.524E10"/>
        <n v="3.5906E10"/>
        <n v="3.5053E10"/>
        <n v="1.424E9"/>
        <n v="1.337E9"/>
        <n v="1.575E9"/>
        <n v="1.525E9"/>
        <n v="9.94194E8"/>
        <n v="9.76612E8"/>
        <n v="9.6754E8"/>
        <n v="9.37164E8"/>
        <n v="4.618E9"/>
        <n v="4.176E9"/>
        <n v="4.348E9"/>
        <n v="4.47E9"/>
        <n v="1.41187E8"/>
        <n v="1.3246E8"/>
        <n v="1.25538E8"/>
        <n v="1.18993E8"/>
        <n v="1.134E9"/>
        <n v="1.007E9"/>
        <n v="1.005E9"/>
        <n v="9.96E8"/>
        <n v="9.75E8"/>
        <n v="1.126E9"/>
        <n v="1.07E9"/>
        <n v="3.787E9"/>
        <n v="3.505E9"/>
        <n v="3.578E9"/>
        <n v="3.471E9"/>
        <n v="2.863E9"/>
        <n v="2.764E9"/>
        <n v="2.645E9"/>
        <n v="2.626E9"/>
        <n v="1.704E9"/>
        <n v="1.707E9"/>
        <n v="1.681E9"/>
        <n v="1.613E9"/>
        <n v="9.256E9"/>
        <n v="8.919E9"/>
        <n v="9.438E9"/>
        <n v="8.565E9"/>
        <n v="2.0035E9"/>
        <n v="2.0968E9"/>
        <n v="1.8583E9"/>
        <n v="2.3549E9"/>
        <n v="4.377E9"/>
        <n v="5.81E9"/>
        <n v="3.609E9"/>
        <n v="2.802E9"/>
        <n v="1.616E9"/>
        <n v="1.305E9"/>
        <n v="1.318E9"/>
        <n v="1.16E9"/>
        <n v="1.1415E9"/>
        <n v="9.046E8"/>
        <n v="9.097E8"/>
        <n v="1.1219E9"/>
        <n v="3.44214E8"/>
        <n v="3.01091E8"/>
        <n v="2.8713E8"/>
        <n v="3.07942E8"/>
        <n v="2.192E9"/>
        <n v="2.134E9"/>
        <n v="2.077E9"/>
        <n v="1.876E9"/>
        <n v="3.01E9"/>
        <n v="2.42E9"/>
        <n v="2.112E9"/>
        <n v="1.297E9"/>
        <n v="5.4733E10"/>
        <n v="3.9415E10"/>
        <n v="3.9078E10"/>
        <n v="3.7458E10"/>
        <n v="1.49642E8"/>
        <n v="1.53578E8"/>
        <n v="1.64078E8"/>
        <n v="1.67179E8"/>
        <n v="4.94E8"/>
        <n v="4.62E8"/>
        <n v="5.02E8"/>
        <n v="4.87E8"/>
        <n v="1.532E9"/>
        <n v="1.301E9"/>
        <n v="1.352E9"/>
        <n v="1.242E9"/>
        <n v="4.633E9"/>
        <n v="4.606E9"/>
        <n v="4.425E9"/>
        <n v="3.813E9"/>
        <n v="5.9421E10"/>
        <n v="5.6598E10"/>
        <n v="5.7597E10"/>
        <n v="5.5336E10"/>
        <n v="5.3254E9"/>
        <n v="4.7645E9"/>
        <n v="4.43E9"/>
        <n v="4.8472E9"/>
        <n v="2.821E9"/>
        <n v="2.576E9"/>
        <n v="2.7664E9"/>
        <n v="2.2405E9"/>
        <n v="1.7398E9"/>
        <n v="1.3956E9"/>
        <n v="1.3411E9"/>
        <n v="1.2261E9"/>
        <n v="2.008589E9"/>
        <n v="1.965277E9"/>
        <n v="1.93833E9"/>
        <n v="2.056881E9"/>
        <n v="8.244E9"/>
        <n v="8.47E9"/>
        <n v="6.487E9"/>
        <n v="7.011E9"/>
        <n v="7.459E9"/>
        <n v="6.639E9"/>
        <n v="5.747E9"/>
        <n v="4.895E9"/>
        <n v="4.48E8"/>
        <n v="5.002E8"/>
        <n v="4.202E8"/>
        <n v="3.145E8"/>
        <n v="1.322E9"/>
        <n v="1.17E9"/>
        <n v="8.39E8"/>
        <n v="7.03E8"/>
        <n v="1.78E8"/>
        <n v="1.611E8"/>
        <n v="1.698E8"/>
        <n v="1.605E8"/>
        <n v="1.61E8"/>
        <n v="1.52E8"/>
        <n v="1.71E8"/>
        <n v="4.31714E8"/>
        <n v="4.28402E8"/>
        <n v="4.20312E8"/>
        <n v="4.01338E8"/>
        <n v="1.45E8"/>
        <n v="1.09E8"/>
        <n v="1.98E8"/>
        <n v="1.11E8"/>
        <n v="9.69E8"/>
        <n v="1.089E9"/>
        <n v="1.002E9"/>
        <n v="8.04E8"/>
        <n v="2.885923E9"/>
        <n v="2.961206E9"/>
        <n v="2.94194E9"/>
        <n v="3.004612E9"/>
        <n v="5.645296E9"/>
        <n v="5.677829E9"/>
        <n v="5.631385E9"/>
        <n v="5.866006E9"/>
        <n v="4.5127E9"/>
        <n v="4.6075E9"/>
        <n v="4.2417E9"/>
        <n v="4.35E9"/>
        <n v="1.528E9"/>
        <n v="1.984E9"/>
        <n v="1.759E9"/>
        <n v="1.609E9"/>
        <n v="7.41122E8"/>
        <n v="7.05907E8"/>
        <n v="9.74119E8"/>
        <n v="7.13886E8"/>
        <n v="1.261496E9"/>
        <n v="1.254665E9"/>
        <n v="1.142446E9"/>
        <n v="1.121855E9"/>
        <n v="1.0638E10"/>
        <n v="1.0062E10"/>
        <n v="9.139E9"/>
        <n v="8.371E9"/>
        <n v="2.344E9"/>
        <n v="2.752E9"/>
        <n v="2.339E9"/>
        <n v="2.223E9"/>
        <n v="2.904E9"/>
        <n v="3.121E9"/>
        <n v="3.213E9"/>
        <n v="3.301E9"/>
        <n v="9.8763E7"/>
        <n v="7.5184E7"/>
        <n v="8.1862E7"/>
        <n v="6.4726E7"/>
        <n v="2.655E9"/>
        <n v="2.512E9"/>
        <n v="3.521E9"/>
        <n v="3.392E9"/>
        <n v="3.255E9"/>
        <n v="3.369E9"/>
        <n v="3.333E9"/>
        <n v="3.563E9"/>
        <n v="1.807E9"/>
        <n v="1.659E9"/>
        <n v="1.614E9"/>
        <n v="3.545E9"/>
        <n v="3.184E9"/>
        <n v="3.178E9"/>
        <n v="3.051E9"/>
        <n v="6.72E8"/>
        <n v="6.06E8"/>
        <n v="7.42E8"/>
        <n v="6.56E8"/>
        <n v="1.8403E9"/>
        <n v="1.6924E9"/>
        <n v="1.7777E9"/>
        <n v="1.7601E9"/>
        <n v="2.037E9"/>
        <n v="1.857E9"/>
        <n v="1.459E9"/>
        <n v="2.343E9"/>
        <n v="3.343E8"/>
        <n v="2.934E8"/>
        <n v="2.963E8"/>
        <n v="2.81E8"/>
        <n v="3.15E8"/>
        <n v="3.19E8"/>
        <n v="6.01E8"/>
        <n v="2.86E8"/>
        <n v="1.8786E9"/>
        <n v="1.7198E9"/>
        <n v="1.3264E9"/>
        <n v="1.222E9"/>
        <n v="2.715E9"/>
        <n v="2.569E9"/>
        <n v="2.438E9"/>
        <n v="2.671E9"/>
        <n v="1.78805E8"/>
        <n v="1.42901E8"/>
        <n v="8.3522E7"/>
        <n v="7.7151E7"/>
        <n v="1.703253E9"/>
        <n v="1.631426E9"/>
        <n v="1.40167E9"/>
        <n v="1.482313E9"/>
        <n v="1.603E9"/>
        <n v="1.449E9"/>
        <n v="1.197717E9"/>
        <n v="1.043871E9"/>
        <n v="4.83E8"/>
        <n v="4.833E8"/>
        <n v="4.809E8"/>
        <n v="4.332E8"/>
        <n v="8.6512E8"/>
        <n v="8.11217E8"/>
        <n v="8.30735E8"/>
        <n v="7.67979E8"/>
        <n v="2.29602E8"/>
        <n v="2.46654E8"/>
        <n v="2.23496E8"/>
        <n v="2.28534E8"/>
        <n v="1.16639E8"/>
        <n v="1.19441E8"/>
        <n v="1.16662E8"/>
        <n v="1.21016E8"/>
        <n v="9.85E8"/>
        <n v="9.35E8"/>
        <n v="1.082E9"/>
        <n v="8.22E8"/>
        <n v="1.48969E8"/>
        <n v="1.42917E8"/>
        <n v="1.5078E8"/>
        <n v="1.20168E8"/>
        <n v="2.284734E9"/>
        <n v="2.342661E9"/>
        <n v="2.615223E9"/>
        <n v="2.320417E9"/>
        <n v="6.178E8"/>
        <n v="9.729E8"/>
        <n v="6.184E8"/>
        <n v="6.582E8"/>
        <n v="1.061234E9"/>
        <n v="1.464033E9"/>
        <n v="1.146487E9"/>
        <n v="1.136385E9"/>
        <n v="7.947E9"/>
        <n v="5.855E9"/>
        <n v="5.721E9"/>
        <n v="5.359E9"/>
        <n v="3.11E8"/>
        <n v="2.87E8"/>
        <n v="3.75E8"/>
        <n v="3.89E8"/>
        <n v="2.903389E9"/>
        <n v="2.811427E9"/>
        <n v="2.146515E9"/>
        <n v="2.267523E9"/>
        <n v="9.589E7"/>
        <n v="9.9528E7"/>
        <n v="6.6389E7"/>
        <n v="9.9511E7"/>
        <n v="4.58E10"/>
        <n v="4.0663E10"/>
        <n v="3.023E10"/>
        <n v="3.1053E10"/>
        <n v="1.24197E8"/>
        <n v="1.14979E8"/>
        <n v="1.11967E8"/>
        <n v="1.0604E8"/>
        <n v="5.399E9"/>
        <n v="5.131E9"/>
        <n v="5.21E9"/>
        <n v="4.194E9"/>
        <n v="8.07E8"/>
        <n v="7.736E8"/>
        <n v="7.392E8"/>
        <n v="7.727E8"/>
        <n v="7.2241E7"/>
        <n v="7.8658E7"/>
        <n v="7.0986E7"/>
        <n v="7.2352E7"/>
        <n v="1.4971E10"/>
        <n v="1.6177E10"/>
        <n v="1.5146E10"/>
        <n v="1.3935E10"/>
        <n v="2.135E9"/>
        <n v="2.118E9"/>
        <n v="2.11E9"/>
        <n v="2.104E9"/>
        <n v="9.28E8"/>
        <n v="5.11E8"/>
        <n v="7.76E8"/>
        <n v="1.967E9"/>
        <n v="1.907E9"/>
        <n v="1.854E9"/>
        <n v="1.22294E8"/>
        <n v="1.16428E8"/>
        <n v="1.21514E8"/>
        <n v="1.19856E8"/>
        <n v="7.102E8"/>
        <n v="6.832E8"/>
        <n v="6.508E8"/>
        <n v="6.182E8"/>
        <n v="2.3888E10"/>
        <n v="3.0871E10"/>
        <n v="3.4917E10"/>
        <n v="3.2671E10"/>
        <n v="1.869E8"/>
        <n v="1.566E8"/>
        <n v="1.67E8"/>
        <n v="1.392E8"/>
        <n v="5.642E8"/>
        <n v="5.473E8"/>
        <n v="-4.958E8"/>
        <n v="9.189E8"/>
        <n v="1.2303E9"/>
        <n v="1.1236E9"/>
        <n v="1.0416E9"/>
        <n v="1.0715E9"/>
        <n v="1.638E9"/>
        <n v="1.885E9"/>
        <n v="3.346E9"/>
        <n v="1.168E9"/>
        <n v="1.2594E9"/>
        <n v="1.217E9"/>
        <n v="1.1651E9"/>
        <n v="9.484E8"/>
        <n v="2.998E9"/>
        <n v="2.787E9"/>
        <n v="2.631E9"/>
        <n v="2.444E9"/>
        <n v="2.388E9"/>
        <n v="2.361E9"/>
        <n v="1.381E9"/>
        <n v="2.374E9"/>
        <n v="5.46054E8"/>
        <n v="4.30771E8"/>
        <n v="5.60421E8"/>
        <n v="4.41211E8"/>
        <n v="3.50802E8"/>
        <n v="3.34467E8"/>
        <n v="3.51428E8"/>
        <n v="3.29767E8"/>
        <n v="4.8562E8"/>
        <n v="4.6118E8"/>
        <n v="4.25206E8"/>
        <n v="3.31547E8"/>
        <n v="7.705E9"/>
        <n v="7.892E9"/>
        <n v="8.631E9"/>
        <n v="7.836E9"/>
        <n v="1.504E10"/>
        <n v="1.3396E10"/>
        <n v="1.5559E10"/>
        <n v="1.6454E10"/>
        <n v="2.9401E9"/>
        <n v="2.9654E9"/>
        <n v="2.9978E9"/>
        <n v="2.7731E9"/>
        <n v="2.911E10"/>
        <n v="2.734E10"/>
        <n v="3.2504E10"/>
        <n v="2.9382E10"/>
        <n v="3.094633E9"/>
        <n v="2.923899E9"/>
        <n v="2.803484E9"/>
        <n v="2.84202E9"/>
        <n v="1.39E9"/>
        <n v="1.361E9"/>
        <n v="1.141E9"/>
        <n v="9.3631E8"/>
        <n v="9.25246E8"/>
        <n v="8.83595E8"/>
        <n v="9.00921E8"/>
        <n v="9.24944E8"/>
        <n v="9.45378E8"/>
        <n v="8.83203E8"/>
        <n v="8.66433E8"/>
        <n v="1.496E9"/>
        <n v="1.631E9"/>
        <n v="1.651E9"/>
        <n v="1.251E9"/>
        <n v="3.222E9"/>
        <n v="3.033E9"/>
        <n v="2.843E9"/>
        <n v="2.67E9"/>
        <n v="1.067782E9"/>
        <n v="9.02541E8"/>
        <n v="1.065568E9"/>
        <n v="1.143917E9"/>
        <n v="5.672E8"/>
        <n v="4.963E8"/>
        <n v="8.94539E8"/>
        <n v="8.72467E8"/>
        <n v="8.765E9"/>
        <n v="8.525E9"/>
        <n v="8.759E9"/>
        <n v="8.225E9"/>
        <n v="1.91751E8"/>
        <n v="1.86413E8"/>
        <n v="1.85637E8"/>
        <n v="3.19878E8"/>
        <n v="2.03411E9"/>
        <n v="2.306014E9"/>
        <n v="2.085847E9"/>
        <n v="1.230105E9"/>
        <n v="3.22E8"/>
        <n v="2.28E8"/>
        <n v="2.21E8"/>
        <n v="4.515E9"/>
        <n v="4.413E9"/>
        <n v="4.545E9"/>
        <n v="5.002E9"/>
        <n v="1.1E8"/>
        <n v="1.42E8"/>
        <n v="1.44E8"/>
        <n v="9.5E7"/>
        <n v="3.986E8"/>
        <n v="3.85E8"/>
        <n v="3.668E8"/>
        <n v="3.445E8"/>
        <n v="2.7453E10"/>
        <n v="2.4758E10"/>
        <n v="2.143E10"/>
        <n v="2.208E10"/>
        <n v="6.003E9"/>
        <n v="5.709E9"/>
        <n v="5.976E9"/>
        <n v="5.383E9"/>
        <n v="2.425422E9"/>
        <n v="2.124314E9"/>
        <n v="1.995977E9"/>
        <n v="1.88234E9"/>
        <n v="3.78E8"/>
        <n v="3.29E8"/>
        <n v="2.89E8"/>
        <n v="2.63E8"/>
        <n v="8.31E8"/>
        <n v="8.93E8"/>
        <n v="9.19E8"/>
        <n v="1.1901E10"/>
        <n v="1.2437E10"/>
        <n v="1.2322E10"/>
        <n v="1.2579E10"/>
        <n v="1.7296E10"/>
        <n v="1.6213E10"/>
        <n v="1.5611E10"/>
        <n v="1.4175E10"/>
        <n v="1.909E9"/>
        <n v="1.936E9"/>
        <n v="2.21E9"/>
        <n v="1.878E9"/>
        <n v="9.683E9"/>
        <n v="9.522E9"/>
        <n v="9.845E9"/>
        <n v="9.13E9"/>
        <n v="3.79875E8"/>
        <n v="3.58749E8"/>
        <n v="3.45654E8"/>
        <n v="3.29613E8"/>
        <n v="3.36834E8"/>
        <n v="3.06925E8"/>
        <n v="3.11436E8"/>
        <n v="2.99183E8"/>
        <n v="4.258E8"/>
        <n v="4.152E8"/>
        <n v="4.003E8"/>
        <n v="3.856E8"/>
        <n v="2.039E9"/>
        <n v="2.0E9"/>
        <n v="1.91E9"/>
        <n v="1.594E9"/>
        <n v="3.23E8"/>
        <n v="3.16E8"/>
        <n v="2.61E8"/>
        <n v="3.91382E8"/>
        <n v="3.466E8"/>
        <n v="4.54697E8"/>
        <n v="4.8742E8"/>
        <n v="7.664E8"/>
        <n v="6.774E8"/>
        <n v="9.838E8"/>
        <n v="8.532E8"/>
        <n v="8.425E9"/>
        <n v="8.819E9"/>
        <n v="8.63E9"/>
        <n v="8.592E9"/>
        <n v="1.529E9"/>
        <n v="7.56254E8"/>
        <n v="7.43546E8"/>
        <n v="3.913E9"/>
        <n v="3.847E9"/>
        <n v="3.659E9"/>
        <n v="3.541E9"/>
        <n v="1.7846E9"/>
        <n v="1.6846E9"/>
        <n v="1.3967E9"/>
        <n v="1.577E9"/>
        <n v="5.81E8"/>
        <n v="3.53E8"/>
        <n v="2.49E8"/>
        <n v="3.17E8"/>
        <n v="3.895E8"/>
        <n v="4.333E8"/>
        <n v="3.534E8"/>
        <n v="3.492E8"/>
        <n v="1.1582E9"/>
        <n v="1.1391E9"/>
        <n v="1.1228E9"/>
        <n v="1.0503E9"/>
        <n v="1.89751E8"/>
        <n v="1.65649E8"/>
        <n v="1.59962E8"/>
        <n v="1.46366E8"/>
        <n v="2.323E9"/>
        <n v="2.293E9"/>
        <n v="2.172E9"/>
        <n v="1.8E9"/>
        <n v="4.51909E8"/>
        <n v="4.49223E8"/>
        <n v="4.34505E8"/>
        <n v="3.99045E8"/>
        <n v="2.430231E9"/>
        <n v="2.176217E9"/>
        <n v="2.297376E9"/>
        <n v="2.073626E9"/>
        <n v="2.74918E8"/>
        <n v="2.6777E8"/>
        <n v="2.57782E8"/>
        <n v="2.62929E8"/>
        <n v="2.759501E9"/>
        <n v="2.78086E9"/>
        <n v="2.749776E9"/>
        <n v="2.85244E9"/>
        <n v="1.214E9"/>
        <n v="1.1811E9"/>
        <n v="1.2673E9"/>
        <n v="1.2158E9"/>
        <n v="7.567E9"/>
        <n v="7.036E9"/>
        <n v="7.783E9"/>
        <n v="6.94E9"/>
        <n v="4.144E9"/>
        <n v="3.651E9"/>
        <n v="3.613E9"/>
        <n v="3.979E9"/>
        <n v="4.904E8"/>
        <n v="4.588E8"/>
        <n v="5.056E8"/>
        <n v="3.692E8"/>
        <n v="3.372E8"/>
        <n v="3.091E8"/>
        <n v="2.964E8"/>
        <n v="2.417E9"/>
        <n v="2.228E9"/>
        <n v="2.258E9"/>
        <n v="4.84E8"/>
        <n v="4.73E8"/>
        <n v="4.64E8"/>
        <n v="4.05E8"/>
        <n v="3.129E9"/>
        <n v="3.126E9"/>
        <n v="2.986E9"/>
        <n v="2.775E9"/>
        <n v="8.9484E7"/>
        <n v="8.8491E7"/>
        <n v="9.1615E7"/>
        <n v="8.6014E7"/>
        <n v="2.523E9"/>
        <n v="1.392E9"/>
        <n v="1.298E9"/>
        <n v="1.047E9"/>
        <n v="7.72241E8"/>
        <n v="7.09629E8"/>
        <n v="6.69733E8"/>
        <n v="6.20562E8"/>
        <n v="4.323E9"/>
        <n v="4.19E9"/>
        <n v="4.418E9"/>
        <n v="4.1E9"/>
        <n v="3.1947E10"/>
        <n v="2.2803E10"/>
        <n v="2.2901E10"/>
        <n v="2.3551E10"/>
        <n v="3.251E9"/>
        <n v="3.261E9"/>
        <n v="3.152E9"/>
        <n v="2.5625E9"/>
        <n v="2.5284E9"/>
        <n v="2.3367E9"/>
        <n v="2.0083E9"/>
        <n v="2.229978E9"/>
        <n v="2.067523E9"/>
        <n v="1.852442E9"/>
        <n v="1.670901E9"/>
        <n v="8.095E8"/>
        <n v="6.991E8"/>
        <n v="6.726E8"/>
        <n v="6.417E8"/>
        <n v="7.28E8"/>
        <n v="-1.12E8"/>
        <n v="5.03E8"/>
        <n v="3.72E8"/>
        <n v="9.034E8"/>
        <n v="9.239E8"/>
        <n v="9.402E8"/>
        <n v="6.988E8"/>
        <n v="2.95E9"/>
        <n v="2.848E9"/>
        <n v="2.761E9"/>
        <n v="2.774E9"/>
        <n v="4.726441E9"/>
        <n v="3.941213E9"/>
        <n v="5.108529E9"/>
        <n v="4.460046E9"/>
        <n v="3.993E9"/>
        <n v="9.21E8"/>
        <n v="4.815E9"/>
        <n v="4.054E9"/>
        <n v="4.086E9"/>
        <n v="3.835E9"/>
        <n v="2.4312E8"/>
        <n v="1.33966E8"/>
        <n v="2.03274E8"/>
        <n v="1.30749E8"/>
        <n v="1.877235E9"/>
        <n v="1.783392E9"/>
        <n v="1.848309E9"/>
        <n v="1.609654E9"/>
        <n v="1.4878E10"/>
        <n v="1.4036E10"/>
        <n v="1.4791E10"/>
        <n v="1.4359E10"/>
        <n v="2.176E9"/>
        <n v="2.151E9"/>
        <n v="2.269E9"/>
        <n v="1.8258E10"/>
        <n v="1.6292E10"/>
        <n v="1.3845E10"/>
        <n v="1.5009E10"/>
        <n v="2.115E9"/>
        <n v="2.136E9"/>
        <n v="2.231E9"/>
        <n v="2.236E9"/>
        <n v="1.0109E10"/>
        <n v="8.676E9"/>
        <n v="6.712E9"/>
        <n v="2.93E8"/>
        <n v="2.73E8"/>
        <n v="3.01E8"/>
        <n v="3.12E8"/>
        <n v="2.7177E10"/>
        <n v="2.1084E10"/>
        <n v="1.6031E10"/>
        <n v="1.6143E10"/>
        <n v="5.1276E7"/>
        <n v="5.8124E7"/>
        <n v="4.5394E7"/>
        <n v="4.6E7"/>
        <n v="1.35E8"/>
        <n v="1.5E8"/>
        <n v="1.34E8"/>
        <n v="1.21E8"/>
        <n v="2.734E9"/>
        <n v="2.551E9"/>
        <n v="2.435E9"/>
        <n v="2.366E9"/>
        <n v="9.1E8"/>
        <n v="7.46E8"/>
        <n v="7.847E8"/>
        <n v="8.361E8"/>
        <n v="1.27E9"/>
        <n v="1.198E9"/>
        <n v="1.231E9"/>
        <n v="1.136E9"/>
        <n v="1.93099E8"/>
        <n v="1.79455E8"/>
        <n v="1.69736E8"/>
        <n v="1.69823E8"/>
        <n v="9.498E8"/>
        <n v="9.421E8"/>
        <n v="8.977E8"/>
        <n v="8.972E8"/>
        <n v="2.6684E9"/>
        <n v="2.4563E9"/>
        <n v="2.5336E9"/>
        <n v="2.5134E9"/>
        <n v="5.6026E10"/>
        <n v="5.9448E10"/>
        <n v="5.7808E10"/>
        <n v="5.2979E10"/>
        <n v="2.565E9"/>
        <n v="2.62E9"/>
        <n v="2.585E9"/>
        <n v="2.673E9"/>
        <n v="3.029E9"/>
        <n v="3.455E9"/>
        <n v="3.601E9"/>
        <n v="3.443E9"/>
        <n v="1.1156E10"/>
        <n v="1.2121E10"/>
        <n v="1.583E10"/>
        <n v="1.1622E10"/>
        <n v="3.32694E8"/>
        <n v="3.78941E8"/>
        <n v="3.37749E8"/>
        <n v="2.92703E8"/>
        <n v="1.070519E9"/>
        <n v="8.69726E8"/>
        <n v="8.12411E8"/>
        <n v="6.972E8"/>
        <n v="5.618E8"/>
        <n v="5.403E8"/>
        <n v="5.063E8"/>
        <n v="5.016E8"/>
        <n v="4.587E9"/>
        <n v="4.037E9"/>
        <n v="3.988E9"/>
        <n v="3.675E9"/>
        <n v="1.3991E10"/>
        <n v="1.3045E10"/>
        <n v="1.4194E10"/>
        <n v="1.1002E10"/>
        <n v="1.82513E8"/>
        <n v="1.75407E8"/>
        <n v="1.7325E8"/>
        <n v="1.82505E8"/>
        <n v="1.171E9"/>
        <n v="5.94E8"/>
        <n v="7.66793E8"/>
        <n v="3.44486E8"/>
        <n v="2.046327E9"/>
        <n v="1.867075E9"/>
        <n v="1.880833E9"/>
        <n v="1.850961E9"/>
        <n v="1.6679E9"/>
        <n v="1.1674E9"/>
        <n v="1.3991E9"/>
        <n v="1.551E9"/>
        <n v="4.011E9"/>
        <n v="4.272E9"/>
        <n v="4.426E9"/>
        <n v="3.873E9"/>
        <n v="1.29102E8"/>
        <n v="1.13396E8"/>
        <n v="1.04169E8"/>
        <n v="1.16382E8"/>
        <n v="6.25096E8"/>
        <n v="5.28881E8"/>
        <n v="5.05598E8"/>
        <n v="5.09831E8"/>
        <n v="3.65E8"/>
        <n v="3.93E8"/>
        <n v="4.09E8"/>
        <n v="3.64E8"/>
        <n v="1.56E9"/>
        <n v="1.643E9"/>
        <n v="1.473E9"/>
        <n v="1.016E9"/>
        <n v="9.11E8"/>
        <n v="1.122E9"/>
        <n v="9.56E8"/>
        <n v="8.7327E7"/>
        <n v="8.578E7"/>
        <n v="7.5935E7"/>
        <n v="7.0704E7"/>
        <n v="5.66E8"/>
        <n v="8.01E8"/>
        <n v="6.99E8"/>
        <n v="5.2E8"/>
        <n v="4.95E8"/>
        <n v="3.868511E9"/>
        <n v="4.16516E9"/>
        <n v="3.867751E9"/>
        <n v="3.643707E9"/>
        <n v="1.827E9"/>
        <n v="1.557E9"/>
        <n v="1.801E9"/>
        <n v="1.785E9"/>
        <n v="1.333E9"/>
        <n v="1.279E9"/>
        <n v="1.604E9"/>
        <n v="1.186E9"/>
        <n v="1.164E9"/>
        <n v="1.969E9"/>
        <n v="1.895E9"/>
        <n v="2.033E9"/>
        <n v="2.92E8"/>
        <n v="2.77E8"/>
        <n v="7.12E8"/>
        <n v="6.63E8"/>
        <n v="5.632E9"/>
        <n v="6.366E9"/>
        <n v="5.853E9"/>
        <n v="3.96E9"/>
        <n v="5.911E8"/>
        <n v="8.337E8"/>
        <n v="6.933E8"/>
        <n v="4.996E8"/>
        <n v="1.307E9"/>
        <n v="1.35E9"/>
        <n v="7.108E9"/>
        <n v="7.417E9"/>
        <n v="8.122E9"/>
        <n v="7.243E9"/>
        <n v="1.02E8"/>
        <n v="9.9E7"/>
        <n v="8.7E7"/>
        <n v="9.0E7"/>
        <n v="2.00855E8"/>
        <n v="2.06992E8"/>
        <n v="1.90157E8"/>
        <n v="3.01652E8"/>
        <n v="6.864E9"/>
        <n v="1.615E9"/>
        <n v="2.034E9"/>
        <n v="1.434E9"/>
        <n v="6.315661E9"/>
        <n v="5.394703E9"/>
        <n v="4.520568E9"/>
        <n v="4.425765E9"/>
        <n v="2.292E9"/>
        <n v="2.032E9"/>
        <n v="1.847E9"/>
        <n v="1.766E9"/>
        <n v="1.750918E9"/>
        <n v="1.598633E9"/>
        <n v="1.849969E9"/>
        <n v="1.560515E9"/>
        <n v="1.174E9"/>
        <n v="1.212E9"/>
        <n v="1.219E9"/>
        <n v="1.165E9"/>
        <n v="1.450104E9"/>
        <n v="1.356635E9"/>
        <n v="1.52717E9"/>
        <n v="1.454415E9"/>
        <n v="2.239E9"/>
        <n v="2.257E9"/>
        <n v="1.95E9"/>
        <n v="8.56969E8"/>
        <n v="8.01412E8"/>
        <n v="7.12725E8"/>
        <n v="6.8513E8"/>
        <n v="2.7473E9"/>
        <n v="2.897E9"/>
        <n v="2.8366E9"/>
        <n v="3.1301E9"/>
        <n v="3.449127E9"/>
        <n v="2.366979E9"/>
        <n v="2.12151E9"/>
        <n v="1.627086E9"/>
        <n v="2.103E9"/>
        <n v="2.122E9"/>
        <n v="1.915E9"/>
        <n v="1.939E9"/>
        <n v="5.83E8"/>
        <n v="5.91E8"/>
        <n v="4.6E8"/>
        <n v="5.38E8"/>
        <n v="2.555E9"/>
        <n v="2.616E9"/>
        <n v="2.385E9"/>
        <n v="2.5E9"/>
        <n v="4.4691E9"/>
        <n v="5.0125E9"/>
        <n v="5.0463E9"/>
        <n v="4.8558E9"/>
        <n v="1.4864E9"/>
        <n v="1.4291E9"/>
        <n v="1.403E9"/>
        <n v="1.3799E9"/>
        <n v="2.711897E9"/>
        <n v="2.827034E9"/>
        <n v="2.711717E9"/>
        <n v="2.504545E9"/>
        <n v="3.125E8"/>
        <n v="3.158E8"/>
        <n v="3.284E8"/>
        <n v="3.199E8"/>
        <n v="3.4766E7"/>
        <n v="2.8773E7"/>
        <n v="2.9073E7"/>
        <n v="2.6127E7"/>
        <n v="3.336E9"/>
        <n v="3.214E9"/>
        <n v="3.066E9"/>
        <n v="3.203E9"/>
        <n v="7.685E8"/>
        <n v="7.695E8"/>
        <n v="6.509E8"/>
        <n v="5.07E8"/>
        <n v="6.344E8"/>
        <n v="6.001E8"/>
        <n v="5.507E8"/>
        <n v="5.105E8"/>
        <n v="9.385E9"/>
        <n v="8.877E9"/>
        <n v="6.669E9"/>
        <n v="1.0398E10"/>
        <n v="5.25423E8"/>
        <n v="5.40977E8"/>
        <n v="5.19562E8"/>
        <n v="5.18568E8"/>
        <n v="9.931E9"/>
        <n v="6.992E9"/>
        <n v="4.172E9"/>
        <n v="2.887E9"/>
        <n v="2.596E9"/>
        <n v="2.353E9"/>
        <n v="2.274E9"/>
        <n v="2.572E9"/>
        <n v="2.7529E10"/>
        <n v="2.5218E10"/>
        <n v="2.0065E10"/>
        <n v="1.515E10"/>
        <n v="5.5215E8"/>
        <n v="4.99525E8"/>
        <n v="4.28282E8"/>
        <n v="6.65509E8"/>
        <n v="2.264E9"/>
        <n v="2.096E9"/>
        <n v="1.271E9"/>
        <n v="9.69549E8"/>
        <n v="1.236148E9"/>
        <n v="7.59614E8"/>
        <n v="6.00166E8"/>
        <n v="2.733E9"/>
        <n v="2.629E9"/>
        <n v="2.232E9"/>
        <n v="7.55E8"/>
        <n v="7.0E8"/>
        <n v="7.64E8"/>
        <n v="8.14E8"/>
        <n v="1.7991E9"/>
        <n v="1.8417E9"/>
        <n v="1.3929E9"/>
        <n v="2.0117E9"/>
        <n v="1.0365E10"/>
        <n v="9.657E9"/>
        <n v="8.922E9"/>
        <n v="9.253E9"/>
        <n v="1.15866E10"/>
        <n v="1.07757E10"/>
        <n v="9.466E9"/>
        <n v="9.1821E9"/>
        <n v="3.08996E8"/>
        <n v="2.90232E8"/>
        <n v="3.27334E8"/>
        <n v="2.90977E8"/>
        <n v="1.6449E10"/>
        <n v="9.914E9"/>
        <n v="1.0223E10"/>
        <n v="1.141E10"/>
        <n v="9.9748E7"/>
        <n v="9.5077E7"/>
        <n v="8.9448E7"/>
        <n v="8.683E7"/>
        <n v="1.654E9"/>
        <n v="1.389E9"/>
        <n v="1.641E9"/>
        <n v="2.36734E8"/>
        <n v="2.18586E8"/>
        <n v="2.28423E8"/>
        <n v="2.05524E8"/>
        <n v="2.5334E9"/>
        <n v="2.446246E9"/>
        <n v="2.000045E9"/>
        <n v="2.381103E9"/>
        <n v="9.796E8"/>
        <n v="8.502E8"/>
        <n v="1.0315E9"/>
        <n v="1.0168E9"/>
        <n v="6.33695E8"/>
        <n v="5.64168E8"/>
        <n v="5.44255E8"/>
        <n v="5.57082E8"/>
        <n v="3.937E9"/>
        <n v="3.404E9"/>
        <n v="3.432E9"/>
        <n v="3.489E9"/>
        <n v="2.818602E9"/>
        <n v="2.552105E9"/>
        <n v="2.330691E9"/>
        <n v="2.446312E9"/>
        <n v="1.663E9"/>
        <n v="1.553E9"/>
        <n v="1.708E9"/>
        <n v="4.924E8"/>
        <n v="4.162E8"/>
        <n v="4.777E8"/>
        <n v="4.954E8"/>
        <n v="1.51E8"/>
        <n v="1.43E8"/>
        <n v="1.38E8"/>
        <n v="1.3085E10"/>
        <n v="1.2654E10"/>
        <n v="1.2517E10"/>
        <n v="1.411E10"/>
        <n v="2.9662E7"/>
        <n v="3.1734E7"/>
        <n v="2.8499E7"/>
        <n v="2.7135E7"/>
        <n v="7.9247E7"/>
        <n v="8.2013E7"/>
        <n v="8.1748E7"/>
        <n v="8.0713E7"/>
        <n v="1.1186E9"/>
        <n v="1.4079E9"/>
        <n v="1.0509E9"/>
        <n v="1.0976E9"/>
        <n v="1.744E9"/>
        <n v="1.6507E9"/>
        <n v="1.5343E9"/>
        <n v="1.4612E9"/>
        <n v="3.86667E8"/>
        <n v="3.74345E8"/>
        <n v="3.10585E8"/>
        <n v="3.21132E8"/>
        <n v="9.87239E8"/>
        <n v="9.15709E8"/>
        <n v="8.36669E8"/>
        <n v="7.89759E8"/>
        <n v="1.0884E9"/>
        <n v="1.0838E9"/>
        <n v="1.0087E9"/>
        <n v="9.188E8"/>
        <n v="3.05474E8"/>
        <n v="2.97862E8"/>
        <n v="2.61552E8"/>
        <n v="2.66344E8"/>
        <n v="4.667E8"/>
        <n v="5.348E8"/>
        <n v="5.387E8"/>
        <n v="3.410871E9"/>
        <n v="3.198396E9"/>
        <n v="2.315669E9"/>
        <n v="2.711419E9"/>
        <n v="8.06641E8"/>
        <n v="4.20019E8"/>
        <n v="2.78357E8"/>
        <n v="2.69444E8"/>
        <n v="5.43E8"/>
        <n v="5.33E8"/>
        <n v="5.59E8"/>
        <n v="1.555E9"/>
        <n v="1.479E9"/>
        <n v="1.394E9"/>
        <n v="1.45753E8"/>
        <n v="1.42553E8"/>
        <n v="1.34775E8"/>
        <n v="1.32016E8"/>
        <n v="4.862E9"/>
        <n v="4.768E9"/>
        <n v="4.504E9"/>
        <n v="4.828E9"/>
        <n v="2.159E9"/>
        <n v="2.128E9"/>
        <n v="1.991E9"/>
        <n v="1.927E9"/>
        <n v="1.003E9"/>
        <n v="9.278E8"/>
        <n v="8.66E8"/>
        <n v="9.165E8"/>
        <n v="2.038E9"/>
        <n v="1.826E9"/>
        <n v="2.008E9"/>
        <n v="3.5E8"/>
        <n v="2.99E8"/>
        <n v="2.79104E8"/>
        <n v="3.0071E9"/>
        <n v="2.9684E9"/>
        <n v="2.544E9"/>
        <n v="2.3601E9"/>
        <n v="2.47385E8"/>
        <n v="2.29804E8"/>
        <n v="2.23986E8"/>
        <n v="2.15118E8"/>
        <n v="5.578E8"/>
        <n v="5.934E8"/>
        <n v="7.483E8"/>
        <n v="5.337E8"/>
        <n v="5.564E8"/>
        <n v="5.343E8"/>
        <n v="5.821E8"/>
        <n v="3.168E9"/>
        <n v="2.837E9"/>
        <n v="3.092E9"/>
        <n v="3.037E9"/>
        <n v="3.807E9"/>
        <n v="3.32E9"/>
        <n v="2.614E9"/>
        <n v="2.7552E9"/>
        <n v="2.6276E9"/>
        <n v="2.8393E9"/>
        <n v="2.4669E9"/>
        <n v="5.1729E9"/>
        <n v="4.8157E9"/>
        <n v="4.9164E9"/>
        <n v="4.578E9"/>
        <n v="5.4214E8"/>
        <n v="4.86679E8"/>
        <n v="4.55812E8"/>
        <n v="4.21556E8"/>
        <n v="1.522E9"/>
        <n v="1.367E9"/>
        <n v="1.489E9"/>
        <n v="1.276E9"/>
        <n v="1.93196E8"/>
        <n v="2.02578E8"/>
        <n v="1.96113E8"/>
        <n v="2.12829E8"/>
        <n v="9.701921E9"/>
        <n v="9.460524E9"/>
        <n v="9.557534E9"/>
        <n v="7.300909E9"/>
        <n v="8.584E9"/>
        <n v="8.373E9"/>
        <n v="9.119E9"/>
        <n v="7.602E9"/>
        <n v="7.398E8"/>
        <n v="7.101E8"/>
        <n v="7.552E8"/>
        <n v="6.626E8"/>
        <n v="4.01404E8"/>
        <n v="3.19944E8"/>
        <n v="2.65801E8"/>
        <n v="3.40712E8"/>
        <n v="4.574E8"/>
        <n v="3.614E8"/>
        <n v="5.117E8"/>
        <n v="3.42E8"/>
        <n v="1.728E10"/>
        <n v="1.6716E10"/>
        <n v="2.0701E10"/>
        <n v="1.5509E10"/>
        <n v="2.577E9"/>
        <n v="2.528E9"/>
        <n v="2.376E9"/>
        <n v="6.394E8"/>
        <n v="4.925E8"/>
        <n v="5.062E8"/>
        <n v="4.585E8"/>
        <n v="3.15917E8"/>
        <n v="2.89398E8"/>
        <n v="3.27625E8"/>
        <n v="2.98977E8"/>
        <n v="4.38739E8"/>
        <n v="3.19988E8"/>
        <n v="3.09179E8"/>
        <n v="3.60556E8"/>
        <n v="8.174E9"/>
        <n v="8.678E9"/>
        <n v="6.708E9"/>
        <n v="4.769E9"/>
        <n v="1.503E9"/>
        <n v="1.492E9"/>
        <n v="1.43E9"/>
        <n v="1.364E9"/>
        <n v="2.664E9"/>
        <n v="2.405E9"/>
        <n v="2.337E9"/>
        <n v="2.473E8"/>
        <n v="2.324E8"/>
        <n v="2.298E8"/>
        <n v="1.675E8"/>
        <n v="3.2E9"/>
        <n v="3.742E9"/>
        <n v="3.499E9"/>
        <n v="3.383E9"/>
        <n v="1.062935E9"/>
        <n v="1.243002E9"/>
        <n v="1.220964E9"/>
        <n v="1.139805E9"/>
        <n v="2.0714E9"/>
        <n v="1.8322E9"/>
        <n v="2.109E9"/>
        <n v="2.0074E9"/>
        <n v="6.299E9"/>
        <n v="6.177E9"/>
        <n v="5.556E9"/>
        <n v="6.093E9"/>
        <n v="9.782E9"/>
        <n v="1.1775E10"/>
        <n v="1.1013E10"/>
        <n v="7.896E9"/>
        <n v="4.749E9"/>
        <n v="4.689E9"/>
        <n v="4.993E9"/>
        <n v="4.189E9"/>
        <n v="7.255635E9"/>
        <n v="4.977208E9"/>
        <n v="7.062285E9"/>
        <n v="5.17449E9"/>
        <n v="2.314074E9"/>
        <n v="1.808556E9"/>
        <n v="1.882735E9"/>
        <n v="1.658615E9"/>
        <n v="2.5582E9"/>
        <n v="2.0626E9"/>
        <n v="2.229E9"/>
        <n v="2.3575E9"/>
        <n v="5.61E8"/>
        <n v="5.79E8"/>
        <n v="5.54E8"/>
        <n v="6.13E8"/>
        <n v="3.976E8"/>
        <n v="3.711E8"/>
        <n v="3.387E8"/>
        <n v="3.288E8"/>
        <n v="4.16932E8"/>
        <n v="3.81008E8"/>
        <n v="4.32924E8"/>
        <n v="3.61388E8"/>
        <n v="1.50595E8"/>
        <n v="1.44616E8"/>
        <n v="1.42237E8"/>
        <n v="1.39888E8"/>
        <n v="1.0803E10"/>
        <n v="9.952E9"/>
        <n v="9.163E9"/>
        <n v="9.653E9"/>
        <n v="1.169244E9"/>
        <n v="1.184731E9"/>
        <n v="1.042373E9"/>
        <n v="1.006514E9"/>
        <n v="6.82305E8"/>
        <n v="6.28554E8"/>
        <n v="6.97768E8"/>
        <n v="7.46701E8"/>
        <n v="2.19E9"/>
        <n v="2.133E9"/>
        <n v="2.052E9"/>
        <n v="2.022E9"/>
        <n v="4.959E9"/>
        <n v="4.623E9"/>
        <n v="4.329E9"/>
        <n v="3.823E9"/>
        <n v="1.733E10"/>
        <n v="1.3938E10"/>
        <n v="2.6961E10"/>
        <n v="1.6237E10"/>
        <n v="1.332E9"/>
        <n v="1.395E9"/>
        <n v="1.289E9"/>
        <n v="5.4206E10"/>
        <n v="5.2476E10"/>
        <n v="4.9704E10"/>
        <n v="4.9571E10"/>
        <n v="1.825968E9"/>
        <n v="1.844883E9"/>
        <n v="1.817394E9"/>
        <n v="1.741757E9"/>
        <n v="2.5041E10"/>
        <n v="1.9528E10"/>
        <n v="1.5022E10"/>
        <n v="1.4348E10"/>
        <n v="4.94794E8"/>
        <n v="4.78316E8"/>
        <n v="4.52957E8"/>
        <n v="5.00541E8"/>
        <n v="4.7796E7"/>
        <n v="4.6968E7"/>
        <n v="4.5972E7"/>
        <n v="4.5024E7"/>
        <n v="2.649E8"/>
        <n v="2.624E8"/>
        <n v="2.605E8"/>
        <n v="2.4E8"/>
        <n v="1.4255E10"/>
        <n v="1.3522E10"/>
        <n v="1.4822E10"/>
        <n v="1.2334E10"/>
        <n v="1.635062E9"/>
        <n v="6.48302E8"/>
        <n v="6.69685E8"/>
        <n v="6.79679E8"/>
        <n v="9.54151E8"/>
        <n v="1.232099E9"/>
        <n v="1.322524E9"/>
        <n v="1.279206E9"/>
        <n v="4.363E9"/>
        <n v="3.808E9"/>
        <n v="3.634E9"/>
        <n v="3.485E9"/>
        <n v="2.5937E9"/>
        <n v="2.5696E9"/>
        <n v="2.2622E9"/>
        <n v="1.7119E9"/>
        <n v="1.86E8"/>
        <n v="1.79E8"/>
        <n v="1.73E8"/>
        <n v="1.91E8"/>
        <n v="1.9092E8"/>
        <n v="1.91822E8"/>
        <n v="1.79743E8"/>
        <n v="1.95645E8"/>
        <n v="9.62683E8"/>
        <n v="8.39077E8"/>
        <n v="8.72378E8"/>
        <n v="9.29392E8"/>
        <n v="1.310345E9"/>
        <n v="1.207882E9"/>
        <n v="1.240151E9"/>
        <n v="1.199668E9"/>
        <n v="2.083E9"/>
        <n v="1.914E9"/>
        <n v="1.944E9"/>
        <n v="1.292E9"/>
        <n v="1.4972E9"/>
        <n v="1.2939E9"/>
        <n v="1.2337E9"/>
        <n v="2.5998E10"/>
        <n v="2.4808E10"/>
        <n v="2.7943E10"/>
        <n v="2.8193E10"/>
        <n v="1.05183E11"/>
        <n v="1.03272E11"/>
        <n v="1.15261E11"/>
        <n v="1.00339E11"/>
        <n v="2.736E9"/>
        <n v="2.514E9"/>
        <n v="2.332E9"/>
        <n v="2.80254E8"/>
        <n v="2.54147E8"/>
        <n v="3.20569E8"/>
        <n v="2.62342E8"/>
        <n v="9.897E8"/>
        <n v="1.244E9"/>
        <n v="9.815E8"/>
        <n v="6.50389E8"/>
        <n v="6.39913E8"/>
        <n v="7.02482E8"/>
        <n v="6.19382E8"/>
        <n v="4.085E8"/>
        <n v="3.988E8"/>
        <n v="3.691E8"/>
        <n v="3.013E9"/>
        <n v="2.983E9"/>
        <n v="3.048E9"/>
        <n v="3.285E9"/>
        <n v="7.06E8"/>
        <n v="7.572E8"/>
        <n v="7.209E8"/>
        <n v="3.6882E9"/>
        <n v="3.6492E9"/>
        <n v="3.5985E9"/>
        <n v="3.4705E9"/>
        <n v="1.583E9"/>
        <n v="4.234E9"/>
        <n v="4.21E9"/>
        <n v="4.434E9"/>
        <n v="4.136E9"/>
        <n v="1.094E9"/>
        <n v="8.5E8"/>
        <n v="7.37E8"/>
        <n v="1.447E9"/>
        <n v="1.342E9"/>
        <n v="1.255E9"/>
        <n v="1.291E9"/>
        <n v="3.95995E8"/>
        <n v="3.17908E8"/>
        <n v="2.83585E8"/>
        <n v="2.20607E8"/>
        <n v="1.897E9"/>
        <n v="1.625E9"/>
        <n v="2.83441E8"/>
        <n v="2.72851E8"/>
        <n v="2.49529E8"/>
        <n v="2.1812E8"/>
        <n v="7.66E8"/>
        <n v="8.41E8"/>
        <n v="7.58E8"/>
        <n v="9.2E8"/>
        <n v="7.25E8"/>
        <n v="7.19E8"/>
        <n v="6.92E8"/>
        <n v="6.9E8"/>
        <n v="6.39E8"/>
        <n v="5.737E8"/>
        <n v="5.164E8"/>
        <n v="6.516E8"/>
        <n v="5.671E8"/>
        <n v="5.48E8"/>
        <n v="5.86E8"/>
        <n v="5.45E8"/>
      </sharedItems>
    </cacheField>
    <cacheField name="Total Other Income Expense Net" numFmtId="0">
      <sharedItems containsSemiMixedTypes="0" containsString="0" containsNumber="1" containsInteger="1">
        <n v="-1.07E8"/>
        <n v="-1.11E8"/>
        <n v="-1.41E8"/>
        <n v="-2.77E8"/>
        <n v="400000.0"/>
        <n v="-300000.0"/>
        <n v="4000000.0"/>
        <n v="1.25E7"/>
        <n v="-1.21E8"/>
        <n v="-6.22E8"/>
        <n v="-1.34E8"/>
        <n v="-1.43E8"/>
        <n v="-1.209E9"/>
        <n v="-3.533E9"/>
        <n v="-4.79E8"/>
        <n v="-7.035E9"/>
        <n v="6835000.0"/>
        <n v="-7.6426E7"/>
        <n v="1.13E7"/>
        <n v="8485000.0"/>
        <n v="-4.0884E7"/>
        <n v="-2.4655E7"/>
        <n v="1.08928E8"/>
        <n v="9.6198E7"/>
        <n v="-6.8E7"/>
        <n v="3.0E7"/>
        <n v="-6.0E7"/>
        <n v="-8.7E7"/>
        <n v="4.6E7"/>
        <n v="1.83E8"/>
        <n v="-1.9E7"/>
        <n v="1.41E8"/>
        <n v="-2.3E7"/>
        <n v="-2.0E7"/>
        <n v="-2.1E7"/>
        <n v="-1.8E7"/>
        <n v="-1.8858E7"/>
        <n v="0.0"/>
        <n v="-4.1317E7"/>
        <n v="4.9E7"/>
        <n v="-3.3E7"/>
        <n v="-1.1E8"/>
        <n v="-8.23E8"/>
        <n v="-6.39E8"/>
        <n v="-1.15E8"/>
        <n v="-5.7E7"/>
        <n v="-6.2E7"/>
        <n v="-6.1E7"/>
        <n v="-2.2E7"/>
        <n v="-1.5E7"/>
        <n v="-2.5E7"/>
        <n v="7.56E7"/>
        <n v="2.74E7"/>
        <n v="4.32E7"/>
        <n v="2.78E7"/>
        <n v="-1.4582E7"/>
        <n v="-2.2954E7"/>
        <n v="-2.1951E7"/>
        <n v="-4.8051E7"/>
        <n v="-6.29388E8"/>
        <n v="4.32145E8"/>
        <n v="-2.3657E7"/>
        <n v="-4.4261E7"/>
        <n v="-1.2E7"/>
        <n v="5.64E8"/>
        <n v="4.0E8"/>
        <n v="-1.94E8"/>
        <n v="-1.1649E7"/>
        <n v="2.64179E8"/>
        <n v="-1.05056E8"/>
        <n v="3.37027E8"/>
        <n v="828000.0"/>
        <n v="-100000.0"/>
        <n v="3.6175E7"/>
        <n v="1358000.0"/>
        <n v="300000.0"/>
        <n v="-1.12E7"/>
        <n v="-1.07E7"/>
        <n v="-5.83E7"/>
        <n v="-5.4E7"/>
        <n v="-4.9E7"/>
        <n v="-5.5E7"/>
        <n v="-3.4E7"/>
        <n v="-9.2E7"/>
        <n v="-1.91E8"/>
        <n v="-1.59E8"/>
        <n v="-1.19E8"/>
        <n v="2.624E9"/>
        <n v="4.846E9"/>
        <n v="3.038E9"/>
        <n v="2.146E9"/>
        <n v="-3.31E8"/>
        <n v="-8.69E8"/>
        <n v="-3.522E9"/>
        <n v="9.44E8"/>
        <n v="1.398E9"/>
        <n v="9.14E8"/>
        <n v="7.06E8"/>
        <n v="-1.23E8"/>
        <n v="-9000000.0"/>
        <n v="-5.0E7"/>
        <n v="-4.4E7"/>
        <n v="-8.1E7"/>
        <n v="-8.8E7"/>
        <n v="-1.05E8"/>
        <n v="-9.4E7"/>
        <n v="9.38E8"/>
        <n v="1.578E9"/>
        <n v="-7.43E8"/>
        <n v="6.21E8"/>
        <n v="-2.046E8"/>
        <n v="-2.066E8"/>
        <n v="-1.827E8"/>
        <n v="-2.259E8"/>
        <n v="2.39E8"/>
        <n v="3.72E8"/>
        <n v="-1.37E8"/>
        <n v="-4.23E8"/>
        <n v="-4.56E8"/>
        <n v="5000000.0"/>
        <n v="-2.45E8"/>
        <n v="-6.68E7"/>
        <n v="-1.733E8"/>
        <n v="-4.401E8"/>
        <n v="-3.005E8"/>
        <n v="-9.8E7"/>
        <n v="-9.3E7"/>
        <n v="-1.76E8"/>
        <n v="-2.06E8"/>
        <n v="-1.65E8"/>
        <n v="-2.18E8"/>
        <n v="-2.74161E8"/>
        <n v="-1.35992E8"/>
        <n v="-8.9727E7"/>
        <n v="-6.721409E9"/>
        <n v="-2.4856E7"/>
        <n v="-1.5454E7"/>
        <n v="-1.6428E7"/>
        <n v="-1.768E7"/>
        <n v="-1.775E9"/>
        <n v="-2.72E8"/>
        <n v="-1.58E8"/>
        <n v="-2.47E8"/>
        <n v="-2.89E7"/>
        <n v="-3.28E7"/>
        <n v="-2.7E7"/>
        <n v="-4.673E7"/>
        <n v="-6.7016E7"/>
        <n v="-4.288E7"/>
        <n v="-7.1309E7"/>
        <n v="1.0766E7"/>
        <n v="-4369000.0"/>
        <n v="-3840000.0"/>
        <n v="-1490000.0"/>
        <n v="-2.01E8"/>
        <n v="-2.1E8"/>
        <n v="-1.92E8"/>
        <n v="-1.22E8"/>
        <n v="-1.25E8"/>
        <n v="4.18E9"/>
        <n v="2.43E8"/>
        <n v="5.08E8"/>
        <n v="4.5E7"/>
        <n v="1.26E8"/>
        <n v="-3.8E7"/>
        <n v="-2.31E8"/>
        <n v="-6.6E7"/>
        <n v="-9.6E7"/>
        <n v="-8.2E7"/>
        <n v="-7.3E7"/>
        <n v="1719000.0"/>
        <n v="1575000.0"/>
        <n v="1.0842E7"/>
        <n v="1.3224E7"/>
        <n v="-8.18E7"/>
        <n v="-1.333E8"/>
        <n v="-7.33E7"/>
        <n v="-2.88E7"/>
        <n v="-2.84E7"/>
        <n v="-4.61E7"/>
        <n v="-1.694E8"/>
        <n v="-6.17E9"/>
        <n v="-1.682E9"/>
        <n v="-1.8489E10"/>
        <n v="-3.289E9"/>
        <n v="-4942000.0"/>
        <n v="-2.201E7"/>
        <n v="-1.4685E7"/>
        <n v="-1.9322E7"/>
        <n v="-1.41E7"/>
        <n v="-1.43E7"/>
        <n v="-2.34E7"/>
        <n v="-1.64E7"/>
        <n v="1.59E7"/>
        <n v="-1.02E7"/>
        <n v="3600000.0"/>
        <n v="-3600000.0"/>
        <n v="-5.512E7"/>
        <n v="-4.5026E7"/>
        <n v="-8.5912E7"/>
        <n v="-4.6179E7"/>
        <n v="3.03879E8"/>
        <n v="889000.0"/>
        <n v="1.89989E8"/>
        <n v="-2.2582E7"/>
        <n v="-1.51E7"/>
        <n v="-1.71E7"/>
        <n v="-2.57E7"/>
        <n v="-2.91E7"/>
        <n v="-2.14E8"/>
        <n v="-7.97E8"/>
        <n v="1.057E9"/>
        <n v="-4.3E7"/>
        <n v="-7.5E7"/>
        <n v="-8.9E7"/>
        <n v="-6.9E7"/>
        <n v="-1.0E8"/>
        <n v="-2.19E8"/>
        <n v="-1.83E8"/>
        <n v="-7.1E7"/>
        <n v="-2.97E8"/>
        <n v="-6.5E7"/>
        <n v="-5.17E8"/>
        <n v="-1.74E8"/>
        <n v="-8.54E8"/>
        <n v="-3000000.0"/>
        <n v="-1.53E8"/>
        <n v="1.040793E9"/>
        <n v="1.121241E9"/>
        <n v="9.02691E8"/>
        <n v="1.575961E9"/>
        <n v="-6.3984E7"/>
        <n v="-2.5003E7"/>
        <n v="929000.0"/>
        <n v="-9603000.0"/>
        <n v="1.124E8"/>
        <n v="-4.913E8"/>
        <n v="6.671E8"/>
        <n v="-1.32E8"/>
        <n v="2.69E8"/>
        <n v="4.3E7"/>
        <n v="3.19E8"/>
        <n v="2.24E8"/>
        <n v="-2.4E7"/>
        <n v="-2.6E7"/>
        <n v="-8.03E8"/>
        <n v="-1.019E9"/>
        <n v="-1.2E9"/>
        <n v="-2.236E9"/>
        <n v="1.4E7"/>
        <n v="2.5E7"/>
        <n v="3.24E8"/>
        <n v="-3.19E8"/>
        <n v="1.73E8"/>
        <n v="-4.7E7"/>
        <n v="-1.04572E8"/>
        <n v="-1.02908E8"/>
        <n v="-1.69149E8"/>
        <n v="-1.11841E8"/>
        <n v="-3.72E8"/>
        <n v="-4.1E7"/>
        <n v="-3.28E8"/>
        <n v="-5.09E8"/>
        <n v="-1.113E9"/>
        <n v="2.86E8"/>
        <n v="-1.1699E10"/>
        <n v="2.18E8"/>
        <n v="-4.27E8"/>
        <n v="-5.15E8"/>
        <n v="-5.39E8"/>
        <n v="-3.22E8"/>
        <n v="-2.24E7"/>
        <n v="-1.0E7"/>
        <n v="-5000000.0"/>
        <n v="-4100000.0"/>
        <n v="-1.5009E7"/>
        <n v="-8479000.0"/>
        <n v="-2.4992E7"/>
        <n v="-1.3764E7"/>
        <n v="-1.126E7"/>
        <n v="-1.2033E7"/>
        <n v="-7465000.0"/>
        <n v="-1.0211E7"/>
        <n v="-1704000.0"/>
        <n v="-1239000.0"/>
        <n v="-9334000.0"/>
        <n v="-3572000.0"/>
        <n v="-5.61E8"/>
        <n v="-7.32E8"/>
        <n v="-5.98E8"/>
        <n v="-7.44E8"/>
        <n v="-7.6E7"/>
        <n v="-7.9E7"/>
        <n v="-4.5E7"/>
        <n v="-3.37E8"/>
        <n v="-6.3E7"/>
        <n v="-3.18E8"/>
        <n v="-8.6E7"/>
        <n v="-1.123E9"/>
        <n v="5043000.0"/>
        <n v="-1.1286E7"/>
        <n v="-1.8575E7"/>
        <n v="-2.0789E7"/>
        <n v="-4.93E8"/>
        <n v="-6.82E8"/>
        <n v="-1.439E9"/>
        <n v="-8000000.0"/>
        <n v="9.13E8"/>
        <n v="1.88E8"/>
        <n v="-3.16E7"/>
        <n v="1.235E8"/>
        <n v="-2.44E7"/>
        <n v="-1.75E7"/>
        <n v="6000000.0"/>
        <n v="-2.53E8"/>
        <n v="-2.52E8"/>
        <n v="-2.26E8"/>
        <n v="-1.26E7"/>
        <n v="-4.07E7"/>
        <n v="1.12E7"/>
        <n v="2.11334E8"/>
        <n v="7.6376E7"/>
        <n v="-1.56448E8"/>
        <n v="1.9891E7"/>
        <n v="1300000.0"/>
        <n v="-3.45E7"/>
        <n v="-3.72E7"/>
        <n v="-7.62E7"/>
        <n v="1.422E9"/>
        <n v="1.7E7"/>
        <n v="1.8E7"/>
        <n v="-1.516E9"/>
        <n v="-3.48E8"/>
        <n v="-2.8E7"/>
        <n v="-1.85E8"/>
        <n v="-1.93E7"/>
        <n v="-7100000.0"/>
        <n v="-1.71678E8"/>
        <n v="-1.8794E7"/>
        <n v="-4.5687E7"/>
        <n v="2.64889E8"/>
        <n v="-4.0E7"/>
        <n v="-2.7192E7"/>
        <n v="-6.5807E7"/>
        <n v="4.3539E7"/>
        <n v="1903000.0"/>
        <n v="-1.149E9"/>
        <n v="-1.3E9"/>
        <n v="-1.251E9"/>
        <n v="-8.7E8"/>
        <n v="1.291E9"/>
        <n v="7.94E8"/>
        <n v="-3.451E9"/>
        <n v="2.84E8"/>
        <n v="-4784000.0"/>
        <n v="-3415000.0"/>
        <n v="-7836000.0"/>
        <n v="-1.3417E7"/>
        <n v="6.52E8"/>
        <n v="3.75E8"/>
        <n v="4.58E8"/>
        <n v="3.49E8"/>
        <n v="2.89E7"/>
        <n v="2.66E7"/>
        <n v="7400000.0"/>
        <n v="8300000.0"/>
        <n v="-3.04E8"/>
        <n v="-4.24E8"/>
        <n v="3.61E9"/>
        <n v="-4.3E8"/>
        <n v="-1.3E7"/>
        <n v="-1.4E7"/>
        <n v="-2.1798E7"/>
        <n v="-2.9567E7"/>
        <n v="-2.4465E7"/>
        <n v="-2.4339E7"/>
        <n v="8.4E7"/>
        <n v="-2.02E8"/>
        <n v="-4.95E8"/>
        <n v="-1.6298E7"/>
        <n v="-2.6643E7"/>
        <n v="-1.6137E7"/>
        <n v="-1.2307E7"/>
        <n v="-3.54E8"/>
        <n v="6.0E7"/>
        <n v="5.14E7"/>
        <n v="2.72E7"/>
        <n v="-1.6E7"/>
        <n v="1.15E7"/>
        <n v="-1.17E8"/>
        <n v="-1.18E8"/>
        <n v="2.2E8"/>
        <n v="-8.4E7"/>
        <n v="-5.33E8"/>
        <n v="-4000000.0"/>
        <n v="-2.9E7"/>
        <n v="-5.1E7"/>
        <n v="-3.1E7"/>
        <n v="-3.6E7"/>
        <n v="1.23E8"/>
        <n v="-6.28E8"/>
        <n v="4.98E8"/>
        <n v="-1.306E9"/>
        <n v="-7000000.0"/>
        <n v="-1.054E8"/>
        <n v="-1.338E8"/>
        <n v="-2.629E8"/>
        <n v="2.87E8"/>
        <n v="2.31E8"/>
        <n v="-2.37E8"/>
        <n v="-3.29E8"/>
        <n v="-6.26E8"/>
        <n v="-1.45E8"/>
        <n v="-5.951E8"/>
        <n v="-1.6553E9"/>
        <n v="-1.048E8"/>
        <n v="6.037E8"/>
        <n v="-4576000.0"/>
        <n v="-5769000.0"/>
        <n v="-1779000.0"/>
        <n v="-3832000.0"/>
        <n v="-8.0E7"/>
        <n v="2.95E8"/>
        <n v="-1.72E8"/>
        <n v="-9.5E7"/>
        <n v="-4.8E7"/>
        <n v="1.6E7"/>
        <n v="-1.8784E7"/>
        <n v="-1.4752E7"/>
        <n v="-1.1391E7"/>
        <n v="-1.4415E7"/>
        <n v="-1.73E8"/>
        <n v="-3.23E8"/>
        <n v="1.07E8"/>
        <n v="-2.71E8"/>
        <n v="-1.14E8"/>
        <n v="1.89E8"/>
        <n v="-1.79E8"/>
        <n v="-2.42E8"/>
        <n v="2.04E8"/>
        <n v="1.12E8"/>
        <n v="9.5E7"/>
        <n v="8.3E7"/>
        <n v="-3.43E8"/>
        <n v="-3.51E8"/>
        <n v="-1.187E9"/>
        <n v="-1.296E9"/>
        <n v="-1.49E7"/>
        <n v="-4700000.0"/>
        <n v="7300000.0"/>
        <n v="-6300000.0"/>
        <n v="2.7E7"/>
        <n v="3.6E7"/>
        <n v="-1.018E8"/>
        <n v="-4.867E8"/>
        <n v="1.68E7"/>
        <n v="-1.88E7"/>
        <n v="-6.44E7"/>
        <n v="-7.1715E7"/>
        <n v="-5.1113E7"/>
        <n v="-5.7788E7"/>
        <n v="-5.5065E7"/>
        <n v="-2.4E8"/>
        <n v="-2.55E8"/>
        <n v="-4.52E8"/>
        <n v="1.003E9"/>
        <n v="1.342E9"/>
        <n v="1.006E9"/>
        <n v="3.189E9"/>
        <n v="-1.059E8"/>
        <n v="-4.86E7"/>
        <n v="-1.78E7"/>
        <n v="-2.34E8"/>
        <n v="-2.929E9"/>
        <n v="-2.43E7"/>
        <n v="-2.47E7"/>
        <n v="-2.27E7"/>
        <n v="-6.7E7"/>
        <n v="-1.006E9"/>
        <n v="-1.5E9"/>
        <n v="-2.606E9"/>
        <n v="-7.1466E7"/>
        <n v="2.32735E8"/>
        <n v="-1.47778E8"/>
        <n v="-1.49183E8"/>
        <n v="-2.2E8"/>
        <n v="-2.66E8"/>
        <n v="-3.12E8"/>
        <n v="-7749000.0"/>
        <n v="-7164000.0"/>
        <n v="70000.0"/>
        <n v="-4775000.0"/>
        <n v="-4.0392E7"/>
        <n v="-4.2968E7"/>
        <n v="-4.0298E7"/>
        <n v="-3.9326E7"/>
        <n v="-7.07E7"/>
        <n v="-8.45E7"/>
        <n v="-1.686E8"/>
        <n v="-5.64E8"/>
        <n v="2.71E8"/>
        <n v="-9.49E8"/>
        <n v="-4.5809E7"/>
        <n v="-3.69E7"/>
        <n v="-5.4479E7"/>
        <n v="-3.8408E7"/>
        <n v="-2.0615E7"/>
        <n v="-3.1535E7"/>
        <n v="-3.1051E7"/>
        <n v="-4.5138E7"/>
        <n v="-1.09E8"/>
        <n v="8.9E7"/>
        <n v="9.69E8"/>
        <n v="-6.6E8"/>
        <n v="-1.87E8"/>
        <n v="-1.29E8"/>
        <n v="-4.25E8"/>
        <n v="-1.341E9"/>
        <n v="-5.4E8"/>
        <n v="1.3384E7"/>
        <n v="8.3365E7"/>
        <n v="-5709000.0"/>
        <n v="-3.2678E7"/>
        <n v="-1.24E8"/>
        <n v="-3.02E8"/>
        <n v="-4.36E8"/>
        <n v="2.37E8"/>
        <n v="-4.99E8"/>
        <n v="1.816E9"/>
        <n v="-4.33E8"/>
        <n v="-5.6E8"/>
        <n v="-1.27E8"/>
        <n v="-4.2E7"/>
        <n v="-5.8E7"/>
        <n v="-1.52E8"/>
        <n v="4.32E8"/>
        <n v="-8.65E7"/>
        <n v="-6.71E7"/>
        <n v="-1.793E8"/>
        <n v="-2.86E8"/>
        <n v="-2.62E8"/>
        <n v="-2.12E8"/>
        <n v="-1.594E9"/>
        <n v="1.036E8"/>
        <n v="3900000.0"/>
        <n v="7100000.0"/>
        <n v="-3.7E7"/>
        <n v="-6000000.0"/>
        <n v="-2.632E8"/>
        <n v="8.35E7"/>
        <n v="-5.65E7"/>
        <n v="1.692E8"/>
        <n v="-4.6E7"/>
        <n v="-1.61E8"/>
        <n v="-6.6152E7"/>
        <n v="-7762000.0"/>
        <n v="-6914000.0"/>
        <n v="-6.4709E7"/>
        <n v="-3.88999E8"/>
        <n v="-7.9024E7"/>
        <n v="-2.99633E8"/>
        <n v="-3.5573E7"/>
        <n v="3000000.0"/>
        <n v="-4.25066E8"/>
        <n v="-1.20817E8"/>
        <n v="-3.81E7"/>
        <n v="9.8E7"/>
        <n v="-2.35224E8"/>
        <n v="-1.11862E8"/>
        <n v="-1.68731E8"/>
        <n v="-2.00503E8"/>
        <n v="1.75176E8"/>
        <n v="-7.5086E7"/>
        <n v="8.6317E7"/>
        <n v="-8.6808E7"/>
        <n v="-4.2014E7"/>
        <n v="6.2653E7"/>
        <n v="1849000.0"/>
        <n v="-4.2401E7"/>
        <n v="7.03E8"/>
        <n v="-2.99E8"/>
        <n v="-1.42E8"/>
        <n v="-1.3295E7"/>
        <n v="7091000.0"/>
        <n v="-8131000.0"/>
        <n v="-2.8168E7"/>
        <n v="-1.5607E7"/>
        <n v="3.6161E7"/>
        <n v="-6.0046E7"/>
        <n v="5.4759E7"/>
        <n v="-8.74E7"/>
        <n v="-9.24E7"/>
        <n v="-8.67E7"/>
        <n v="-1.192E8"/>
        <n v="-1.20916E8"/>
        <n v="-1.23665E8"/>
        <n v="-1.2296E8"/>
        <n v="-1.17748E8"/>
        <n v="-7.85E8"/>
        <n v="-1.77E8"/>
        <n v="-8.89E8"/>
        <n v="2.26E8"/>
        <n v="-4.09E8"/>
        <n v="-7.2E7"/>
        <n v="-2.44E8"/>
        <n v="-1.95E8"/>
        <n v="4946000.0"/>
        <n v="2096000.0"/>
        <n v="2484000.0"/>
        <n v="3356000.0"/>
        <n v="-2.7402E7"/>
        <n v="3.5492E7"/>
        <n v="-1.4237E7"/>
        <n v="-4.0301E7"/>
        <n v="1.172E9"/>
        <n v="5.65E8"/>
        <n v="-2.5437E10"/>
        <n v="-4.2102E7"/>
        <n v="-3383000.0"/>
        <n v="-1090000.0"/>
        <n v="141000.0"/>
        <n v="1.46E8"/>
        <n v="1.25E8"/>
        <n v="2.8E8"/>
        <n v="9.3E7"/>
        <n v="-2600000.0"/>
        <n v="-2400000.0"/>
        <n v="-1900000.0"/>
        <n v="-1500000.0"/>
        <n v="-3.0927E7"/>
        <n v="-1.4294E7"/>
        <n v="3.8252E7"/>
        <n v="-9.2908E7"/>
        <n v="-7.2E8"/>
        <n v="-1.68E8"/>
        <n v="-2.09E8"/>
        <n v="2.81E8"/>
        <n v="-5.75E8"/>
        <n v="-4.4E8"/>
        <n v="-2.83E8"/>
        <n v="-1.1E7"/>
        <n v="-1.8623E7"/>
        <n v="-1.6625E7"/>
        <n v="-3.845E7"/>
        <n v="-1.1003E7"/>
        <n v="-4.73E8"/>
        <n v="-3.5093E7"/>
        <n v="-3.0285E7"/>
        <n v="-3.1045E7"/>
        <n v="-2.9122E7"/>
        <n v="-4.79E7"/>
        <n v="-4.08E7"/>
        <n v="-1.411E8"/>
        <n v="-7.24E7"/>
        <n v="-2.73E8"/>
        <n v="8.16E8"/>
        <n v="-1.541E9"/>
        <n v="-1300000.0"/>
        <n v="-1100000.0"/>
        <n v="3500000.0"/>
        <n v="2600000.0"/>
        <n v="-3100000.0"/>
        <n v="-7.81E7"/>
        <n v="1.0881E9"/>
        <n v="-4.45E7"/>
        <n v="-2.02E7"/>
        <n v="-3.56E7"/>
        <n v="-3.33E7"/>
        <n v="-2.25E7"/>
        <n v="7.5E7"/>
        <n v="3.86E8"/>
        <n v="3.43E7"/>
        <n v="1.001E8"/>
        <n v="5.04E7"/>
        <n v="-2.102E8"/>
        <n v="-1.99E8"/>
        <n v="-1.36E8"/>
        <n v="1.34E8"/>
        <n v="887000.0"/>
        <n v="855000.0"/>
        <n v="2.0199E7"/>
        <n v="1.9616E7"/>
        <n v="1.03171E8"/>
        <n v="-1.7799E7"/>
        <n v="-2.542E7"/>
        <n v="-7.4005E7"/>
        <n v="-3811000.0"/>
        <n v="-6768000.0"/>
        <n v="-8352000.0"/>
        <n v="-1.3806E7"/>
        <n v="-1.5E8"/>
        <n v="-1.023E9"/>
        <n v="1.487E9"/>
        <n v="-1.706E9"/>
        <n v="-2.87E8"/>
        <n v="-6.51E7"/>
        <n v="-7.08E7"/>
        <n v="3.77E8"/>
        <n v="5.13E8"/>
        <n v="3.7E7"/>
        <n v="-7.6828E7"/>
        <n v="9215000.0"/>
        <n v="-3.1566E7"/>
        <n v="-2.182E7"/>
        <n v="-5.25E8"/>
        <n v="-6.99E8"/>
        <n v="-2.102E9"/>
        <n v="-2.347E9"/>
        <n v="-1.13237E8"/>
        <n v="-1.47974E8"/>
        <n v="-1.05284E8"/>
        <n v="-8.3055E7"/>
        <n v="-2.1769E7"/>
        <n v="-2.6006E7"/>
        <n v="-2.1409E7"/>
        <n v="-2.1674E7"/>
        <n v="-7.4E7"/>
        <n v="-2.56E8"/>
        <n v="-1.39E8"/>
        <n v="-1.47E8"/>
        <n v="-5.02E8"/>
        <n v="-2.57E8"/>
        <n v="-5.283E7"/>
        <n v="-5.7053E7"/>
        <n v="-7.01084E8"/>
        <n v="-9.26E7"/>
        <n v="-1.373E8"/>
        <n v="-9.6209E7"/>
        <n v="-4.3309E7"/>
        <n v="-3.68E8"/>
        <n v="-3.61E8"/>
        <n v="-1.153E9"/>
        <n v="7.8362E7"/>
        <n v="-2.09463E8"/>
        <n v="-9.5213E7"/>
        <n v="-1.17977E8"/>
        <n v="-1246000.0"/>
        <n v="1.1658E7"/>
        <n v="-1.3845E7"/>
        <n v="-2.3303E7"/>
        <n v="-1.46E8"/>
        <n v="-1.93E8"/>
        <n v="-2.25E8"/>
        <n v="-3.47E8"/>
        <n v="-3.77E8"/>
        <n v="-1.64E8"/>
        <n v="-4.51E8"/>
        <n v="-1.31E8"/>
        <n v="-5500000.0"/>
        <n v="-6.01E7"/>
        <n v="-3.45E8"/>
        <n v="-4.11E8"/>
        <n v="-7.92E8"/>
        <n v="-7.42E8"/>
        <n v="-4.14E8"/>
        <n v="-3.5188E7"/>
        <n v="1.028E7"/>
        <n v="8292000.0"/>
        <n v="-6.8236E7"/>
        <n v="1.24E8"/>
        <n v="-2.07E8"/>
        <n v="-1.06E8"/>
        <n v="-2.64E8"/>
        <n v="-1.35E8"/>
        <n v="-2.3E8"/>
        <n v="-1.62E8"/>
        <n v="-2000000.0"/>
        <n v="1.76E8"/>
        <n v="-2.88E8"/>
        <n v="-3.9E7"/>
        <n v="-1000000.0"/>
        <n v="-5.51E8"/>
        <n v="-5.16E8"/>
        <n v="-2.323E9"/>
        <n v="-2.93E8"/>
        <n v="-3.1516E7"/>
        <n v="-1.3872E7"/>
        <n v="-1.5362E7"/>
        <n v="-1.3367E7"/>
        <n v="-7522000.0"/>
        <n v="-7532000.0"/>
        <n v="-7659000.0"/>
        <n v="-7902000.0"/>
        <n v="-1.001E8"/>
        <n v="-6.85E7"/>
        <n v="-1.451E8"/>
        <n v="-7.84E7"/>
        <n v="-5.3E7"/>
        <n v="1.68E8"/>
        <n v="7.8E7"/>
        <n v="6.9E7"/>
        <n v="2.6165E7"/>
        <n v="-3.4652E7"/>
        <n v="518000.0"/>
        <n v="-1.5706E7"/>
        <n v="-1.57E7"/>
        <n v="-5.81E7"/>
        <n v="-7.49E7"/>
        <n v="-1.997E9"/>
        <n v="1.552E9"/>
        <n v="7000000.0"/>
        <n v="1.123E9"/>
        <n v="-7.7E7"/>
        <n v="-1.26E8"/>
        <n v="-1.2E8"/>
        <n v="-3.86E8"/>
        <n v="-6.9765E7"/>
        <n v="-9.3194E7"/>
        <n v="1.2E7"/>
        <n v="-2.17E8"/>
        <n v="-2.38E8"/>
        <n v="-1.295E8"/>
        <n v="-3.032E8"/>
        <n v="-1.045E8"/>
        <n v="2.1E7"/>
        <n v="1000000.0"/>
        <n v="3.2E7"/>
        <n v="2.19E7"/>
        <n v="8.48E7"/>
        <n v="2.299E8"/>
        <n v="8.58E7"/>
        <n v="8900000.0"/>
        <n v="4.46E7"/>
        <n v="-4831000.0"/>
        <n v="-3.219E7"/>
        <n v="-1.1626E7"/>
        <n v="2.2829E7"/>
        <n v="-9.0E7"/>
        <n v="-1.02E8"/>
        <n v="-1.44495E8"/>
        <n v="3.7453E7"/>
        <n v="-1.60299E8"/>
        <n v="-1.76464E8"/>
        <n v="-1.2059E7"/>
        <n v="-1.2024E7"/>
        <n v="-2145000.0"/>
        <n v="-1.1895E7"/>
        <n v="-613000.0"/>
        <n v="-266000.0"/>
        <n v="-65000.0"/>
        <n v="-49000.0"/>
        <n v="3.117E7"/>
        <n v="-3.58544E8"/>
        <n v="1.0847E8"/>
        <n v="-2.63917E8"/>
        <n v="-5.53E7"/>
        <n v="-6.79E7"/>
        <n v="-1.65E7"/>
        <n v="-7.21E7"/>
        <n v="2.5E8"/>
        <n v="5.85E8"/>
        <n v="-2.299E9"/>
        <n v="-1.565E9"/>
        <n v="-2.76E8"/>
        <n v="-5.24E8"/>
        <n v="-3.25E7"/>
        <n v="-8.49E7"/>
        <n v="-1.366E8"/>
        <n v="-1.47E7"/>
        <n v="-7.487E8"/>
        <n v="-6.04E7"/>
        <n v="-3.53E7"/>
        <n v="-1.03E8"/>
        <n v="-1.86E8"/>
        <n v="1.6188E7"/>
        <n v="4.827E7"/>
        <n v="1.10965E8"/>
        <n v="-1.1032E8"/>
        <n v="-1.243E9"/>
        <n v="-9098000.0"/>
        <n v="-3.1744E7"/>
        <n v="-4.2762E7"/>
        <n v="-4.2583E7"/>
        <n v="-7.81E8"/>
        <n v="-6.85E8"/>
        <n v="-4.94E8"/>
        <n v="-5.96E8"/>
        <n v="-7.31E8"/>
        <n v="1.79E8"/>
        <n v="-7.8E7"/>
        <n v="-4.39E8"/>
        <n v="-1.599E8"/>
        <n v="-1.369E8"/>
        <n v="-1.97E7"/>
        <n v="-7166000.0"/>
        <n v="-3.532E7"/>
        <n v="-2.9941E7"/>
        <n v="-3.8792E7"/>
        <n v="-1.98E7"/>
        <n v="-1.92E7"/>
        <n v="-1.58E7"/>
        <n v="-3.84E7"/>
        <n v="-1.69E8"/>
        <n v="-1.96E8"/>
        <n v="-7700000.0"/>
        <n v="-3.05E7"/>
        <n v="-5.2E7"/>
        <n v="6.0894E7"/>
        <n v="4.50551E8"/>
        <n v="7747000.0"/>
        <n v="-1.0152E7"/>
        <n v="-1.82E8"/>
        <n v="3.5E7"/>
        <n v="-8.0862E7"/>
        <n v="-1.3299E7"/>
        <n v="-3.8794E7"/>
        <n v="-5.5129E7"/>
        <n v="-1.0528E7"/>
        <n v="-3.2816E7"/>
        <n v="-4.0321E7"/>
        <n v="-5.0467E7"/>
        <n v="-8.3E7"/>
        <n v="-2.43E8"/>
        <n v="-2.11E8"/>
        <n v="-1.449E9"/>
        <n v="-1.281E9"/>
        <n v="-3.69E8"/>
        <n v="-3.79E8"/>
        <n v="-3.194E9"/>
        <n v="-4.06E8"/>
        <n v="6.7E7"/>
        <n v="-2.4506E7"/>
        <n v="-1.6926E7"/>
        <n v="-1.8333E7"/>
        <n v="-1.6035E7"/>
        <n v="2.0E7"/>
        <n v="-2.23E8"/>
        <n v="-2.59E8"/>
        <n v="-1.016E9"/>
        <n v="-1124000.0"/>
        <n v="-1678000.0"/>
        <n v="-2528000.0"/>
        <n v="162000.0"/>
        <n v="-1.12E8"/>
        <n v="-4.59E8"/>
        <n v="-1.3E8"/>
        <n v="-2.21E7"/>
        <n v="-2.53E7"/>
        <n v="4.19E7"/>
        <n v="-2.08E8"/>
        <n v="-3.5E7"/>
        <n v="7.0E7"/>
        <n v="5.7E7"/>
        <n v="-1.9E8"/>
        <n v="-3.6074E7"/>
        <n v="-3.7157E7"/>
        <n v="-4.6786E7"/>
        <n v="-4.5112E7"/>
        <n v="-2.99E7"/>
        <n v="-3.03E7"/>
        <n v="-4.39E7"/>
        <n v="-3.49E7"/>
        <n v="-1.88E8"/>
        <n v="-1.558E8"/>
        <n v="-1.841E8"/>
        <n v="1.37E8"/>
        <n v="-8.223E9"/>
        <n v="-1.08E8"/>
        <n v="4.2E7"/>
        <n v="-8.32E8"/>
        <n v="-4.32E8"/>
        <n v="-6.09E8"/>
        <n v="-1.901E9"/>
        <n v="-5.297E9"/>
        <n v="-1.032E9"/>
        <n v="-2.27E8"/>
        <n v="-2.28E8"/>
        <n v="-2.29E8"/>
        <n v="-1.3911E7"/>
        <n v="-1.2133E7"/>
        <n v="-1.3149E7"/>
        <n v="-1.0451E7"/>
        <n v="-2.6386E7"/>
        <n v="-2.35596E8"/>
        <n v="-2.28523E8"/>
        <n v="-1.67004E8"/>
        <n v="-8.29E7"/>
        <n v="-1.573E8"/>
        <n v="-2.328E8"/>
        <n v="-1.414E8"/>
        <n v="3.1E8"/>
        <n v="4.4E8"/>
        <n v="2.48E8"/>
        <n v="1.16444E8"/>
        <n v="-5.5253E7"/>
        <n v="-2.2055E7"/>
        <n v="-3.8954E7"/>
        <n v="4026000.0"/>
        <n v="2345000.0"/>
        <n v="-1.0506E7"/>
        <n v="-2.4198E7"/>
        <n v="-3.5275E7"/>
        <n v="-4.0602E7"/>
        <n v="-8.02E7"/>
        <n v="-7.48E7"/>
        <n v="-1.5918E9"/>
        <n v="-1.252E8"/>
        <n v="4.03E8"/>
        <n v="-2.33E8"/>
        <n v="2.17E8"/>
        <n v="1435000.0"/>
        <n v="959000.0"/>
        <n v="2940000.0"/>
        <n v="653000.0"/>
        <n v="872000.0"/>
        <n v="-759000.0"/>
        <n v="-1505000.0"/>
        <n v="-4568000.0"/>
        <n v="-1.034E9"/>
        <n v="-8.56E8"/>
        <n v="-8.9E8"/>
        <n v="-1.142E9"/>
        <n v="-7.0E7"/>
        <n v="-7.7851E7"/>
        <n v="-3.8347E7"/>
        <n v="-3.7505E7"/>
        <n v="-3.8577E7"/>
        <n v="3.8E7"/>
        <n v="-3.2E7"/>
        <n v="1.1E7"/>
        <n v="1.35E8"/>
        <n v="7.4646E7"/>
        <n v="-4.47825E8"/>
        <n v="-4.53403E8"/>
        <n v="-3.22326E8"/>
        <n v="1.3E7"/>
        <n v="-6.49E8"/>
        <n v="1.029E9"/>
        <n v="-1.325E9"/>
        <n v="-1.01E8"/>
        <n v="-2.61E8"/>
        <n v="3.4E7"/>
        <n v="-8.06E7"/>
        <n v="-9.53E7"/>
        <n v="-9.73E7"/>
        <n v="-3.905E8"/>
        <n v="-1.4E8"/>
        <n v="-5.25E7"/>
        <n v="1.807E9"/>
        <n v="-1.04E8"/>
        <n v="-7.971E8"/>
        <n v="-1.60427E8"/>
        <n v="-1.63344E8"/>
        <n v="-1.28955E8"/>
        <n v="-6.0685E7"/>
        <n v="-3.3067E7"/>
        <n v="-3.19643E8"/>
        <n v="-6.2664E7"/>
        <n v="8.8E7"/>
        <n v="-5650000.0"/>
        <n v="-1.3006E7"/>
        <n v="-5869000.0"/>
        <n v="-6509000.0"/>
        <n v="-1.28E8"/>
        <n v="-3.5278E7"/>
        <n v="-3.7743E7"/>
        <n v="-3.8607E7"/>
        <n v="-3.608E7"/>
        <n v="-4.29E8"/>
        <n v="2.7E8"/>
        <n v="-1.073E9"/>
        <n v="-3.674E9"/>
        <n v="-459000.0"/>
        <n v="-1656000.0"/>
        <n v="-349000.0"/>
        <n v="-979000.0"/>
        <n v="-4.15E7"/>
        <n v="-2.31E7"/>
        <n v="-4.75E7"/>
        <n v="9.82E7"/>
        <n v="-1.4761E8"/>
        <n v="-1.51815E8"/>
        <n v="-1.51202E8"/>
        <n v="-1.33211E8"/>
        <n v="-7.89E8"/>
        <n v="-4.81E8"/>
        <n v="-6.71E8"/>
        <n v="-7.08E8"/>
        <n v="-6700000.0"/>
        <n v="3200000.0"/>
        <n v="1400000.0"/>
        <n v="-4.13E7"/>
        <n v="-3.79E7"/>
        <n v="-8.8534E7"/>
        <n v="-5.2173E7"/>
        <n v="-4.4433E7"/>
        <n v="3.2336E7"/>
        <n v="244000.0"/>
        <n v="146000.0"/>
        <n v="629000.0"/>
        <n v="354000.0"/>
        <n v="1.22E8"/>
        <n v="2.28E8"/>
        <n v="8.52E8"/>
        <n v="-1.304E8"/>
        <n v="-1.296E8"/>
        <n v="-1.051E8"/>
        <n v="-1.084E8"/>
        <n v="-6600000.0"/>
        <n v="-1.24E7"/>
        <n v="-1.55E7"/>
        <n v="-2.56E7"/>
        <n v="-3.94E7"/>
        <n v="-4.119E8"/>
        <n v="-2.95E8"/>
        <n v="-2.78E8"/>
        <n v="-1.24888E8"/>
        <n v="-2.8431E7"/>
        <n v="-9659000.0"/>
        <n v="-2.4154E7"/>
        <n v="-1.007E9"/>
        <n v="5.4E8"/>
        <n v="-1.454E9"/>
        <n v="-1.48E8"/>
        <n v="-2.22E8"/>
        <n v="6.98E8"/>
        <n v="-5.9E7"/>
        <n v="1.08E8"/>
        <n v="-4.1541E7"/>
        <n v="-4.0565E7"/>
        <n v="-3.9161E7"/>
        <n v="-7.9449E7"/>
        <n v="-2.5E8"/>
        <n v="-825000.0"/>
        <n v="-1906000.0"/>
        <n v="-2507000.0"/>
        <n v="-3014000.0"/>
        <n v="7.3E7"/>
        <n v="-1.71E8"/>
        <n v="-4.69E8"/>
        <n v="-1.57E8"/>
        <n v="-3.97E8"/>
        <n v="7.4E7"/>
        <n v="-1.109E9"/>
        <n v="9.2E7"/>
        <n v="-5.03E8"/>
        <n v="-5.42E7"/>
        <n v="-5.64E7"/>
        <n v="-5.62E7"/>
        <n v="3.53484E8"/>
        <n v="2.40751E8"/>
        <n v="1.643E7"/>
        <n v="-6.4612E7"/>
        <n v="7.9E7"/>
        <n v="2.8E7"/>
        <n v="1.5E7"/>
        <n v="5.2592E7"/>
        <n v="-1.5599E7"/>
        <n v="-2.6112E7"/>
        <n v="-1.7078E7"/>
        <n v="-2.294E9"/>
        <n v="-4.84E8"/>
        <n v="5.8E7"/>
        <n v="2.0805E7"/>
        <n v="-2.7597E7"/>
        <n v="4.24E7"/>
        <n v="-4.5463E7"/>
        <n v="-2642000.0"/>
        <n v="2640000.0"/>
        <n v="-6.1514E7"/>
        <n v="-5046000.0"/>
        <n v="-3.29E7"/>
        <n v="4.47E7"/>
        <n v="-2.98E7"/>
        <n v="-1.1073E7"/>
        <n v="312000.0"/>
        <n v="-3.5472E7"/>
        <n v="-7.6682E7"/>
        <n v="3.83E8"/>
        <n v="6.2E7"/>
        <n v="-78999.0"/>
        <n v="3612000.0"/>
        <n v="-3140000.0"/>
        <n v="-7046000.0"/>
        <n v="2.73E8"/>
        <n v="-1.34E7"/>
        <n v="-7.63E7"/>
        <n v="-2.67E7"/>
        <n v="-3.78E8"/>
        <n v="-3.98E8"/>
        <n v="-3.85E8"/>
        <n v="-5.2E8"/>
        <n v="-9.8213E7"/>
        <n v="-8.8917E7"/>
        <n v="-1.13063E8"/>
        <n v="-7.6576E7"/>
        <n v="-2.9463E7"/>
        <n v="-1.4168E7"/>
        <n v="-2.3752E7"/>
        <n v="-3.3061E7"/>
        <n v="-3.06E7"/>
        <n v="4.056E8"/>
        <n v="1.403E8"/>
        <n v="3.393E8"/>
        <n v="-9.81E7"/>
        <n v="-1.115E8"/>
        <n v="-2.79E8"/>
        <n v="-3125000.0"/>
        <n v="-2427000.0"/>
        <n v="-5421000.0"/>
        <n v="-2.5029E7"/>
        <n v="-1521000.0"/>
        <n v="2.7659E7"/>
        <n v="1.2033E7"/>
        <n v="4.0637E7"/>
        <n v="-2.524E8"/>
        <n v="2.07E7"/>
        <n v="1.691E8"/>
        <n v="4.362E8"/>
        <n v="225000.0"/>
        <n v="385000.0"/>
        <n v="3.1654E7"/>
        <n v="-1561000.0"/>
        <n v="-5.99E7"/>
        <n v="-3.36E7"/>
        <n v="-4.96E7"/>
        <n v="-1.8707E7"/>
        <n v="-1.9049E7"/>
        <n v="-2.59152E8"/>
        <n v="-2.874E7"/>
        <n v="-4.18492E8"/>
        <n v="-3.64342E8"/>
        <n v="-3.22042E8"/>
        <n v="-5.77252E8"/>
        <n v="-8.5E7"/>
        <n v="-2.32E8"/>
        <n v="2.32E8"/>
        <n v="1.026E9"/>
        <n v="-1.84265E8"/>
        <n v="-3320000.0"/>
        <n v="-2.10729E8"/>
        <n v="-3.5387E7"/>
        <n v="-1.7E7"/>
        <n v="-4.33E7"/>
        <n v="-1.412E9"/>
        <n v="1.56E8"/>
        <n v="2000000.0"/>
        <n v="-4570000.0"/>
        <n v="-8.14E7"/>
        <n v="-1.945E8"/>
        <n v="-6.43E7"/>
        <n v="2.33586E8"/>
        <n v="1.48149E8"/>
        <n v="-1.0005E8"/>
        <n v="-1.52033E8"/>
        <n v="800000.0"/>
        <n v="200000.0"/>
        <n v="-1.33E7"/>
        <n v="-1.36E7"/>
        <n v="-5.04E8"/>
        <n v="6.59E8"/>
        <n v="6.63E8"/>
        <n v="1.414E9"/>
        <n v="-8.89E7"/>
        <n v="-1.429E8"/>
        <n v="-1.407E8"/>
        <n v="-4.36E7"/>
        <n v="-9.47E7"/>
        <n v="-2.807E8"/>
        <n v="-2.04E8"/>
        <n v="-1.84311E8"/>
        <n v="-3.2399E7"/>
        <n v="-2.6434E7"/>
        <n v="-1.3075E7"/>
        <n v="-3.56E8"/>
        <n v="-9463000.0"/>
        <n v="-3.8501E7"/>
        <n v="2.3085E7"/>
        <n v="-6819000.0"/>
        <n v="-3737000.0"/>
        <n v="2.1764E7"/>
        <n v="2.8756E7"/>
        <n v="-4179000.0"/>
        <n v="-1.23941E8"/>
        <n v="-9.4109E7"/>
        <n v="-1.76269E8"/>
        <n v="-7.02121E8"/>
        <n v="-1.462E9"/>
        <n v="-1.258E9"/>
        <n v="-1.575E9"/>
        <n v="-1.19E9"/>
        <n v="1.439E8"/>
        <n v="1.021E8"/>
        <n v="3.901E8"/>
        <n v="1.916E8"/>
        <n v="-7.873E7"/>
        <n v="-1.0901E7"/>
        <n v="-1.5938E7"/>
        <n v="3.5193E7"/>
        <n v="-8.75E7"/>
        <n v="-3.68E7"/>
        <n v="-4.34E7"/>
        <n v="-1.44E8"/>
        <n v="-6.4E8"/>
        <n v="-1.33E8"/>
        <n v="-3800000.0"/>
        <n v="-4.0419E7"/>
        <n v="-3.0491E7"/>
        <n v="-6.3339E7"/>
        <n v="-1.2779E7"/>
        <n v="-5246000.0"/>
        <n v="-1480000.0"/>
        <n v="1.5714E7"/>
        <n v="2.1862E7"/>
        <n v="4.0E7"/>
        <n v="3.9E7"/>
        <n v="8.0E7"/>
        <n v="-6.53E7"/>
        <n v="-1.35E7"/>
        <n v="2500000.0"/>
        <n v="-9.65E7"/>
        <n v="-3.9424E7"/>
        <n v="-4.4569E7"/>
        <n v="-1.58875E8"/>
        <n v="-4.4121E7"/>
        <n v="-1.403E8"/>
        <n v="8.33E7"/>
        <n v="-1.16E8"/>
        <n v="-1.8E8"/>
        <n v="-4.894E9"/>
        <n v="-3.36E8"/>
        <n v="-4.4688E7"/>
        <n v="1.52604E8"/>
        <n v="-5.2884E7"/>
        <n v="-5.7336E7"/>
        <n v="-1.9701E7"/>
        <n v="-7221000.0"/>
        <n v="-1.17137E8"/>
        <n v="-2.7208E7"/>
        <n v="-6.17E7"/>
        <n v="-7.25E7"/>
        <n v="-6.41E7"/>
        <n v="-7.12E7"/>
        <n v="-3.01E8"/>
        <n v="1.29E7"/>
        <n v="-4.7E8"/>
        <n v="-3.07E8"/>
        <n v="-5.12E8"/>
        <n v="5.1048E7"/>
        <n v="-2178000.0"/>
        <n v="-1.77755E8"/>
        <n v="-2.6424E7"/>
        <n v="-1104000.0"/>
        <n v="376000.0"/>
        <n v="280000.0"/>
        <n v="470000.0"/>
        <n v="-4.64E8"/>
        <n v="1.81E8"/>
        <n v="623000.0"/>
        <n v="1981000.0"/>
        <n v="-8.3266E7"/>
        <n v="-2.5007E7"/>
        <n v="-5.4492E7"/>
        <n v="-2.487E7"/>
        <n v="1.01324E8"/>
        <n v="-9.6039E7"/>
        <n v="-2.7E8"/>
        <n v="6.4E8"/>
        <n v="1.233E9"/>
        <n v="3.6E8"/>
        <n v="-3.06E8"/>
        <n v="1.211E9"/>
        <n v="-2.94E8"/>
        <n v="-4.1E8"/>
        <n v="-4.01E8"/>
        <n v="-3.95E8"/>
        <n v="-1.217E7"/>
        <n v="-2.2792E7"/>
        <n v="-1.2581E7"/>
        <n v="-2.6406E7"/>
        <n v="-1.38E8"/>
        <n v="-7.2365E7"/>
        <n v="-2.08672E8"/>
        <n v="4.0882E7"/>
        <n v="-1.24556E8"/>
        <n v="-2.5105E7"/>
        <n v="-2.209E7"/>
        <n v="-2.1612E7"/>
        <n v="-2.1762E7"/>
        <n v="-3.63E7"/>
        <n v="-3.59E7"/>
        <n v="-6.92E8"/>
        <n v="-1.271E9"/>
        <n v="-1.469E9"/>
        <n v="-2.123E9"/>
        <n v="-7894000.0"/>
        <n v="-6.2966E7"/>
        <n v="1.42331E8"/>
        <n v="7.183E7"/>
        <n v="3.7778E7"/>
        <n v="-1.05577E8"/>
        <n v="-6.7065E7"/>
        <n v="-3.7497E7"/>
        <n v="-3.3E8"/>
        <n v="-5.26E8"/>
        <n v="-1.078E9"/>
        <n v="-1.1703E9"/>
        <n v="-8.628E8"/>
        <n v="-2.774E8"/>
        <n v="3.27E8"/>
        <n v="4.4E7"/>
        <n v="-9.7E7"/>
        <n v="-1.9395E7"/>
        <n v="-4.8711E7"/>
        <n v="-2.85576E8"/>
        <n v="3.7506E7"/>
        <n v="-3.8791E7"/>
        <n v="8.8431E7"/>
        <n v="-5.2883E7"/>
        <n v="-3.4725E7"/>
        <n v="-4.4874E7"/>
        <n v="-3.4674E7"/>
        <n v="-6.8311E7"/>
        <n v="-4.4846E7"/>
        <n v="-5.11E7"/>
        <n v="-6.67E7"/>
        <n v="-5.08E7"/>
        <n v="-9.14E7"/>
        <n v="-1.403E9"/>
        <n v="-1.897E9"/>
        <n v="-1.431E9"/>
        <n v="-3.065E9"/>
        <n v="-7.08E9"/>
        <n v="7.37E8"/>
        <n v="-3.39E8"/>
        <n v="-2.24E8"/>
        <n v="-1.78E8"/>
        <n v="942000.0"/>
        <n v="2463000.0"/>
        <n v="-1.331E7"/>
        <n v="-1.3752E7"/>
        <n v="-6.06E7"/>
        <n v="-6.77E7"/>
        <n v="-6.83E7"/>
        <n v="6.6E7"/>
        <n v="-7.25E8"/>
        <n v="-1.74746E8"/>
        <n v="-6.1662E7"/>
        <n v="6615000.0"/>
        <n v="2.66024E8"/>
        <n v="8200000.0"/>
        <n v="1600000.0"/>
        <n v="-2200000.0"/>
        <n v="-3300000.0"/>
        <n v="-2.68E7"/>
        <n v="-3.04E7"/>
        <n v="-9.27E7"/>
        <n v="-7.47E7"/>
        <n v="-1.5234E9"/>
        <n v="-1.025E8"/>
        <n v="-1.6E8"/>
        <n v="-1.63E8"/>
        <n v="-1.46779E8"/>
        <n v="-1.63054E8"/>
        <n v="-1.89812E8"/>
        <n v="-1.48461E8"/>
        <n v="-1.66E8"/>
        <n v="-1.67E8"/>
        <n v="-4246000.0"/>
        <n v="3709000.0"/>
        <n v="-1.0771E7"/>
        <n v="-1.322E8"/>
        <n v="-1.783E8"/>
        <n v="-9.85E7"/>
      </sharedItems>
    </cacheField>
    <cacheField name="Net Income From Continuing Ops" numFmtId="0">
      <sharedItems containsString="0" containsBlank="1" containsNumber="1" containsInteger="1">
        <n v="1.437E9"/>
        <n v="1.525E9"/>
        <n v="1.627E9"/>
        <n v="1.39E9"/>
        <n v="1.316E8"/>
        <n v="1.182E8"/>
        <n v="9.77E7"/>
        <n v="1.2E8"/>
        <n v="2.1E9"/>
        <n v="1.189E9"/>
        <n v="1.793E9"/>
        <n v="2.158E9"/>
        <n v="3.18E9"/>
        <n v="7.69E8"/>
        <n v="3.555E9"/>
        <n v="3.8E7"/>
        <n v="5.6953E7"/>
        <n v="-2.6525E7"/>
        <n v="5.6856E7"/>
        <n v="6.1868E7"/>
        <n v="1.437423E9"/>
        <n v="1.569572E9"/>
        <n v="1.461493E9"/>
        <n v="1.522057E9"/>
        <n v="6.39E8"/>
        <n v="8.76E8"/>
        <n v="6.19E8"/>
        <n v="5.09E8"/>
        <n v="5.33E8"/>
        <n v="7.12E8"/>
        <n v="6.93E8"/>
        <n v="1.212E9"/>
        <n v="1.116E9"/>
        <n v="1.261E9"/>
        <n v="2.25E9"/>
        <n v="1.78696E8"/>
        <n v="1.8593E8"/>
        <n v="9.23E8"/>
        <n v="7.1E8"/>
        <n v="5.55E8"/>
        <n v="1.781E9"/>
        <n v="4.85E8"/>
        <n v="-8.1E7"/>
        <n v="-2.9E7"/>
        <n v="4.01E8"/>
        <n v="8.88E8"/>
        <n v="1.105E9"/>
        <n v="1.293E9"/>
        <n v="9.52E8"/>
        <n v="2.64E8"/>
        <n v="2.16E8"/>
        <n v="2.88E8"/>
        <n v="2.22E8"/>
        <n v="5.67E8"/>
        <n v="5.241E8"/>
        <n v="4.771E8"/>
        <n v="4.764E8"/>
        <n v="1.78916E8"/>
        <n v="1.56497E8"/>
        <n v="1.55695E8"/>
        <n v="1.1337E8"/>
        <n v="-3.74433E8"/>
        <n v="4.46208E8"/>
        <n v="1.17698E8"/>
        <n v="1.02177E8"/>
        <n v="1.94E8"/>
        <n v="3.97E8"/>
        <n v="-1.31E8"/>
        <n v="-4.47E8"/>
        <n v="1.24433E8"/>
        <n v="4.0452E8"/>
        <n v="2.5533E7"/>
        <n v="4.57133E8"/>
        <n v="1.80969E8"/>
        <n v="1.99714E8"/>
        <n v="2.00376E8"/>
        <n v="1.58988E8"/>
        <n v="1.436E8"/>
        <n v="1.188E8"/>
        <n v="1.082E8"/>
        <n v="9.34E7"/>
        <n v="2.56E8"/>
        <n v="1.44E8"/>
        <n v="1.71E8"/>
        <n v="6.4E7"/>
        <n v="2.06E8"/>
        <n v="1.435E9"/>
        <n v="2.406E9"/>
        <n v="2.624E9"/>
        <n v="1.8525E10"/>
        <n v="1.793E10"/>
        <n v="1.5227E10"/>
        <n v="1.1247E10"/>
        <n v="2.15E9"/>
        <n v="1.421E9"/>
        <n v="1.922E9"/>
        <n v="-9.56E8"/>
        <n v="7.778E9"/>
        <n v="8.107E9"/>
        <n v="7.222E9"/>
        <n v="6.331E9"/>
        <n v="2.59E8"/>
        <n v="2.7E8"/>
        <n v="2.0E8"/>
        <n v="2.08E8"/>
        <n v="2.35E8"/>
        <n v="1.16E8"/>
        <n v="3.69E8"/>
        <n v="1.9E7"/>
        <n v="-1.25E9"/>
        <n v="-2.178E9"/>
        <n v="-2.399E9"/>
        <n v="5.738E8"/>
        <n v="5.788E8"/>
        <n v="4.347E8"/>
        <n v="7.482E8"/>
        <n v="2.28E9"/>
        <n v="2.235E9"/>
        <n v="1.438E9"/>
        <n v="1.073E9"/>
        <n v="1.5E8"/>
        <n v="3.93E9"/>
        <n v="-1.6E7"/>
        <n v="2.94E8"/>
        <n v="7.479E8"/>
        <n v="6.523E8"/>
        <n v="3.616E8"/>
        <n v="4.629E8"/>
        <n v="2.07E8"/>
        <n v="1.33E8"/>
        <n v="1.45E8"/>
        <n v="5.91E8"/>
        <n v="4.37E8"/>
        <n v="1.77E8"/>
        <n v="-1.4E8"/>
        <n v="2.95448E8"/>
        <n v="4.34005E8"/>
        <n v="3.78707E8"/>
        <n v="-4.844505E9"/>
        <n v="2.31679E8"/>
        <n v="2.19233E8"/>
        <n v="2.21025E8"/>
        <n v="2.04581E8"/>
        <n v="4.64E8"/>
        <n v="1.646E9"/>
        <n v="1.615E9"/>
        <n v="2.021E9"/>
        <n v="3.318E8"/>
        <n v="3.602E8"/>
        <n v="3.495E8"/>
        <n v="2.605E8"/>
        <n v="5.03311E8"/>
        <n v="4.22905E8"/>
        <n v="3.88519E8"/>
        <n v="3.86526E8"/>
        <n v="9.3716E7"/>
        <n v="7.2398E7"/>
        <n v="2.15632E8"/>
        <n v="7.5627E7"/>
        <n v="1.502E9"/>
        <n v="1.801E9"/>
        <n v="1.667E9"/>
        <n v="5.51E8"/>
        <n v="3.93E8"/>
        <n v="9.33E8"/>
        <n v="5.34E8"/>
        <n v="2.81E8"/>
        <n v="4.08E8"/>
        <n v="4.5E8"/>
        <n v="5.5E7"/>
        <n v="4.1E7"/>
        <n v="2.1744E10"/>
        <n v="2.363E10"/>
        <n v="2.8755E10"/>
        <n v="1.2673E10"/>
        <n v="1.716E9"/>
        <n v="1.33E9"/>
        <n v="1.13E9"/>
        <n v="1.131E9"/>
        <n v="1.66E8"/>
        <n v="3.0E8"/>
        <n v="3.15E8"/>
        <n v="3.05E8"/>
        <n v="1.96888E8"/>
        <n v="1.80366E8"/>
        <n v="1.82958E8"/>
        <n v="1.68375E8"/>
        <n v="2.018E8"/>
        <n v="3.937E8"/>
        <n v="1.531E8"/>
        <n v="1.878E8"/>
        <n v="1.847E8"/>
        <n v="1.485E8"/>
        <n v="1.39E8"/>
        <n v="-3.05E7"/>
        <n v="1.874E9"/>
        <n v="7.942E9"/>
        <n v="-1.3515E10"/>
        <n v="3.168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77E8"/>
        <n v="1.42234E8"/>
        <n v="3.41114E8"/>
        <n v="1.47717E8"/>
        <n v="1.838E8"/>
        <n v="2.095E8"/>
        <n v="1.915E8"/>
        <n v="1.505E8"/>
        <n v="1.6E7"/>
        <n v="-7.7E7"/>
        <n v="-6.05E8"/>
        <n v="9.51E8"/>
        <n v="2.02E8"/>
        <n v="2.27E8"/>
        <n v="2.4E8"/>
        <n v="7.691E9"/>
        <n v="9.224E9"/>
        <n v="8.05E9"/>
        <n v="5.47E9"/>
        <n v="3.74E8"/>
        <n v="2.77E8"/>
        <n v="8.6E8"/>
        <n v="3.31E8"/>
        <n v="3.01E8"/>
        <n v="3.59E8"/>
        <n v="5.25E8"/>
        <n v="2.99E8"/>
        <n v="1.003E9"/>
        <n v="1.28E8"/>
        <n v="7.34E8"/>
        <n v="5.95E8"/>
        <n v="8.16E8"/>
        <n v="3.91E8"/>
        <n v="9.14114E8"/>
        <n v="9.77414E8"/>
        <n v="8.39102E8"/>
        <n v="1.314824E9"/>
        <n v="1.4644E7"/>
        <n v="4.5402E7"/>
        <n v="4.6144E7"/>
        <n v="3.3395E7"/>
        <n v="1.0255E9"/>
        <n v="4.046E8"/>
        <n v="3.576E8"/>
        <n v="7.039E8"/>
        <n v="1.547E9"/>
        <n v="1.273E9"/>
        <n v="1.74E9"/>
        <n v="1.517E9"/>
        <n v="9.43E8"/>
        <n v="1.027E9"/>
        <n v="9.32E8"/>
        <n v="7.55E8"/>
        <n v="-1.32E8"/>
        <n v="-5.61E8"/>
        <n v="-8.439E9"/>
        <n v="-1.67E8"/>
        <n v="-5.5E7"/>
        <n v="-1.65E8"/>
        <n v="8.01E8"/>
        <n v="2.74E8"/>
        <n v="9.4E7"/>
        <n v="3.85E8"/>
        <n v="1.29E8"/>
        <n v="1.4125E8"/>
        <n v="1.28147E8"/>
        <n v="2.4905E7"/>
        <n v="1.1806E8"/>
        <n v="1.86E8"/>
        <n v="3.41E8"/>
        <n v="2.1E8"/>
        <n v="-1.55E8"/>
        <n v="1.061E9"/>
        <n v="2.029E9"/>
        <n v="-1.0027E10"/>
        <n v="1.878E9"/>
        <n v="1.876E9"/>
        <n v="1.493E9"/>
        <n v="1.378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1.02E8"/>
        <n v="-4.2E8"/>
        <n v="-5.58E8"/>
        <n v="-9.24E8"/>
        <n v="2.45E8"/>
        <n v="3.09E8"/>
        <n v="8.6E7"/>
        <n v="3.537E9"/>
        <n v="3.327E9"/>
        <n v="2.568E9"/>
        <n v="1.15E8"/>
        <n v="6.3E8"/>
        <n v="-2.53E8"/>
        <n v="4.36756E8"/>
        <n v="2.09945E8"/>
        <n v="2.353E8"/>
        <n v="2.96696E8"/>
        <n v="-2.072E9"/>
        <n v="-1.973E9"/>
        <n v="-2.222E9"/>
        <n v="-2.858E9"/>
        <n v="4.97E8"/>
        <n v="3.92E8"/>
        <n v="8.87E8"/>
        <n v="7.48E8"/>
        <n v="1.824E8"/>
        <n v="2.318E8"/>
        <n v="8.84E7"/>
        <n v="8.24E7"/>
        <n v="1.531E9"/>
        <n v="7.8E8"/>
        <n v="6.71E8"/>
        <n v="4.59E8"/>
        <n v="1.055E8"/>
        <n v="1.372E8"/>
        <n v="8.73E7"/>
        <n v="1.099E8"/>
        <n v="4.43442E8"/>
        <n v="2.68977E8"/>
        <n v="3.15386E8"/>
        <n v="1.8484E8"/>
        <n v="2.741E8"/>
        <n v="2.326E8"/>
        <n v="2.383E8"/>
        <n v="1.932E8"/>
        <n v="5.44E8"/>
        <n v="3.24E8"/>
        <n v="1.454E9"/>
        <n v="2.11E8"/>
        <n v="5.81E8"/>
        <n v="-5.35E8"/>
        <n v="6.97E8"/>
        <n v="-1.9E7"/>
        <n v="2.51E8"/>
        <n v="3.63E8"/>
        <n v="1.27E8"/>
        <n v="-2.58E7"/>
        <n v="-1.92E7"/>
        <n v="-1.73E7"/>
        <n v="-800000.0"/>
        <n v="3.2707E7"/>
        <n v="1.72252E8"/>
        <n v="1.41505E8"/>
        <n v="3.56676E8"/>
        <n v="3.17E8"/>
        <n v="1.75E8"/>
        <n v="1.19E8"/>
        <n v="4000000.0"/>
        <n v="8.9916E7"/>
        <n v="6.3935E7"/>
        <n v="1.4419E8"/>
        <n v="1.02611E8"/>
        <n v="1.265E9"/>
        <n v="1.484E9"/>
        <n v="1.135E9"/>
        <n v="6.98E8"/>
        <n v="1.407E9"/>
        <n v="1.158E9"/>
        <n v="9.21E8"/>
        <n v="1.401E9"/>
        <n v="3.094E9"/>
        <n v="1.398E9"/>
        <n v="-6.56E8"/>
        <n v="-2.09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76E9"/>
        <n v="1.171E9"/>
        <n v="4.142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77E9"/>
        <n v="3.995E9"/>
        <n v="3.261E9"/>
        <n v="6.48E8"/>
        <n v="6.11E8"/>
        <n v="4.56E8"/>
        <n v="3.14E8"/>
        <n v="6.2766E7"/>
        <n v="9.0048E7"/>
        <n v="1.12091E8"/>
        <n v="9.8227E7"/>
        <n v="1.0E8"/>
        <n v="-5.9E7"/>
        <n v="2.61E8"/>
        <n v="4.17E8"/>
        <n v="5.106E8"/>
        <n v="5.748E8"/>
        <n v="4.248E8"/>
        <n v="4.115E8"/>
        <n v="1.53E8"/>
        <n v="3.08E8"/>
        <n v="1.62E8"/>
        <n v="2.255E9"/>
        <n v="1.474E9"/>
        <n v="5.12E8"/>
        <n v="5.05E8"/>
        <n v="3.16E8"/>
        <n v="3.48E8"/>
        <n v="7.41E8"/>
        <n v="7.28E8"/>
        <n v="6.92E8"/>
        <n v="7.45E8"/>
        <n v="3.63E9"/>
        <n v="3.292E9"/>
        <n v="3.437E9"/>
        <n v="2.031E9"/>
        <n v="3.28E8"/>
        <n v="3.5E8"/>
        <n v="2.15E8"/>
        <n v="2.817E8"/>
        <n v="3.795E8"/>
        <n v="3.298E8"/>
        <n v="2.013E8"/>
        <n v="2.091E9"/>
        <n v="9.82E8"/>
        <n v="-7.72E8"/>
        <n v="-4.5E8"/>
        <n v="4.2E8"/>
        <n v="4.9E7"/>
        <n v="5.02E8"/>
        <n v="1.19E7"/>
        <n v="-8.973E8"/>
        <n v="3.906E8"/>
        <n v="1.292E9"/>
        <n v="2.86796E8"/>
        <n v="1.9344E8"/>
        <n v="2.00285E8"/>
        <n v="1.65533E8"/>
        <n v="4.49E8"/>
        <n v="5.99E8"/>
        <n v="2.52E8"/>
        <n v="4.27E8"/>
        <n v="1.018E9"/>
        <n v="6.13E8"/>
        <n v="9.9E7"/>
        <n v="-3.9E8"/>
        <n v="1.694E9"/>
        <n v="1.233E9"/>
        <n v="9.71E8"/>
        <n v="1.181E9"/>
        <n v="3.0464E7"/>
        <n v="1.26354E8"/>
        <n v="1.31206E8"/>
        <n v="-1.4961E7"/>
        <n v="3.33E8"/>
        <n v="1.21E8"/>
        <n v="5.08E8"/>
        <n v="1.63E8"/>
        <n v="9.68E8"/>
        <n v="1.173E9"/>
        <n v="7.06E8"/>
        <n v="7.6E8"/>
        <n v="6.12E8"/>
        <n v="5.1E8"/>
        <n v="5.04E8"/>
        <n v="2.791E9"/>
        <n v="2.224E9"/>
        <n v="9.84E8"/>
        <n v="1.219E9"/>
        <n v="1.1165E9"/>
        <n v="9.339E8"/>
        <n v="7.952E8"/>
        <n v="8.312E8"/>
        <n v="1.699E9"/>
        <n v="1.702E9"/>
        <n v="1.2401E9"/>
        <n v="8.835E8"/>
        <n v="1.292E8"/>
        <n v="9.69E7"/>
        <n v="3.73E7"/>
        <n v="3.19754E8"/>
        <n v="3.51031E8"/>
        <n v="2.91545E8"/>
        <n v="2.54003E8"/>
        <n v="1.791E9"/>
        <n v="1.224E9"/>
        <n v="7.58E8"/>
        <n v="6.52E8"/>
        <n v="-1.177E9"/>
        <n v="-7.55E8"/>
        <n v="1.17E8"/>
        <n v="9.86E7"/>
        <n v="5.42E7"/>
        <n v="-9.59E7"/>
        <n v="-7.3E7"/>
        <n v="-1.03E8"/>
        <n v="6.29E7"/>
        <n v="4.03E7"/>
        <n v="3.552E8"/>
        <n v="7.22E7"/>
        <n v="2.23E8"/>
        <n v="-7.56E8"/>
        <n v="-1.105E9"/>
        <n v="-2.411E9"/>
        <n v="1.25798E8"/>
        <n v="3.94676E8"/>
        <n v="5.9508E7"/>
        <n v="-1454000.0"/>
        <n v="1.698E9"/>
        <n v="1.593E9"/>
        <n v="7.99E8"/>
        <n v="7.71E8"/>
        <n v="1.91E8"/>
        <n v="3.18E8"/>
        <n v="3.3E8"/>
        <n v="6.81451E8"/>
        <n v="6.41563E8"/>
        <n v="7.61298E8"/>
        <n v="5.32959E8"/>
        <n v="6.77749E8"/>
        <n v="6.42743E8"/>
        <n v="5.7426E8"/>
        <n v="7.87601E8"/>
        <n v="3.745E8"/>
        <n v="5.028E8"/>
        <n v="2.615E8"/>
        <n v="2.69E8"/>
        <n v="9.8E8"/>
        <n v="8.15E8"/>
        <n v="1.12E8"/>
        <n v="1.16619E8"/>
        <n v="1.17761E8"/>
        <n v="1.51897E8"/>
        <n v="9.9129E7"/>
        <n v="2.63756E8"/>
        <n v="2.64508E8"/>
        <n v="2.32769E8"/>
        <n v="1.82106E8"/>
        <n v="1.932E9"/>
        <n v="1.006E9"/>
        <n v="1.254E9"/>
        <n v="-1000000.0"/>
        <n v="1.79E8"/>
        <n v="2.75E8"/>
        <n v="4.77E8"/>
        <n v="9.41E8"/>
        <n v="-1.57E8"/>
        <n v="1.234E9"/>
        <n v="8.0204E7"/>
        <n v="1.70364E8"/>
        <n v="7.2476E7"/>
        <n v="4.0197E7"/>
        <n v="5.64E8"/>
        <n v="5.41E8"/>
        <n v="2.79E8"/>
        <n v="-7.2E7"/>
        <n v="2.82E8"/>
        <n v="-8.04E8"/>
        <n v="1.103E9"/>
        <n v="-2.46E8"/>
        <n v="-1.44E8"/>
        <n v="3.4E7"/>
        <n v="5.06E8"/>
        <n v="4.76E8"/>
        <n v="4.47E8"/>
        <n v="5.68E8"/>
        <n v="7.81E8"/>
        <n v="6.21E8"/>
        <n v="3.136E8"/>
        <n v="1.965E8"/>
        <n v="3.049E8"/>
        <n v="2.493E8"/>
        <n v="5.26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33E8"/>
        <n v="4.52E8"/>
        <n v="7.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9E8"/>
        <n v="2.029E8"/>
        <n v="9.06E7"/>
        <n v="2.25E8"/>
        <n v="6.8487E7"/>
        <n v="1.56074E8"/>
        <n v="5.0936E7"/>
        <n v="6.6831E7"/>
        <n v="3.2804E8"/>
        <n v="6.0364E7"/>
        <n v="2.62984E8"/>
        <n v="9.5365E7"/>
        <n v="6.9615E7"/>
        <n v="1.76949E8"/>
        <n v="1.01649E8"/>
        <n v="7.8842E7"/>
        <n v="1.015E9"/>
        <n v="4.58E8"/>
        <n v="8.77E8"/>
        <n v="9.8254E7"/>
        <n v="1.43766E8"/>
        <n v="1.48538E8"/>
        <n v="9.1761E7"/>
        <n v="6.79982E8"/>
        <n v="3.41862E8"/>
        <n v="6.3602E7"/>
        <n v="2.43057E8"/>
        <n v="1.883E8"/>
        <n v="1.946E8"/>
        <n v="5.4E7"/>
        <n v="3.675E8"/>
        <n v="2.664E8"/>
        <n v="3.68023E8"/>
        <n v="2.73803E8"/>
        <n v="3.4814E8"/>
        <n v="-2.64E8"/>
        <n v="4.35E8"/>
        <n v="5.69E8"/>
        <n v="5.74E8"/>
        <n v="-5.81E8"/>
        <n v="-3.91E8"/>
        <n v="-2.0E8"/>
        <n v="-7.4E8"/>
        <n v="2.8795E8"/>
        <n v="1.99525E8"/>
        <n v="1.91719E8"/>
        <n v="1.84188E8"/>
        <n v="1.78579E8"/>
        <n v="2.15501E8"/>
        <n v="1.66309E8"/>
        <n v="1.23854E8"/>
        <n v="4.781E9"/>
        <n v="2.796E9"/>
        <n v="-2.0603E10"/>
        <n v="-7.09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8059E7"/>
        <n v="4.9739E7"/>
        <n v="1.02211E8"/>
        <n v="-3.3623E7"/>
        <n v="1.868E9"/>
        <n v="8.92E8"/>
        <n v="1.226E9"/>
        <n v="1.245E9"/>
        <n v="3.42E8"/>
        <n v="-3.7E8"/>
        <n v="1.03E8"/>
        <n v="2.2E7"/>
        <n v="7.09E8"/>
        <n v="6.94E8"/>
        <n v="6.04E8"/>
        <n v="3.73106E8"/>
        <n v="3.34833E8"/>
        <n v="2.9556E8"/>
        <n v="2.93137E8"/>
        <n v="3.35E8"/>
        <n v="2.12E8"/>
        <n v="4.6E8"/>
        <n v="3.07E8"/>
        <n v="2.84E8"/>
        <n v="3.13E8"/>
        <n v="2.76E8"/>
        <n v="1.96247E8"/>
        <n v="1.84239E8"/>
        <n v="2.09851E8"/>
        <n v="1.88817E8"/>
        <n v="2.178E8"/>
        <n v="1.913E8"/>
        <n v="3.89E7"/>
        <n v="1.305E8"/>
        <n v="5.53E8"/>
        <n v="3.262E9"/>
        <n v="-2.791E9"/>
        <n v="2.39E9"/>
        <n v="1.375E8"/>
        <n v="1.072E8"/>
        <n v="1.467E8"/>
        <n v="1.234E8"/>
        <n v="1.82E8"/>
        <n v="1.117E8"/>
        <n v="1.0538E9"/>
        <n v="2.258E8"/>
        <n v="2.172E8"/>
        <n v="1.778E8"/>
        <n v="1.636E8"/>
        <n v="1.658E8"/>
        <n v="2.72E8"/>
        <n v="5.82E8"/>
        <n v="2.3E8"/>
        <n v="1.117E9"/>
        <n v="4.716E8"/>
        <n v="4.854E8"/>
        <n v="3.948E8"/>
        <n v="1.265E8"/>
        <n v="1.331E9"/>
        <n v="9.53E8"/>
        <n v="8.58E8"/>
        <n v="4.32E8"/>
        <n v="2.58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945E8"/>
        <n v="1.2498E8"/>
        <n v="1.15235E8"/>
        <n v="6.3592E7"/>
        <n v="7.37E8"/>
        <n v="7.08E8"/>
        <n v="1.002E9"/>
        <n v="8.34E8"/>
        <n v="-5.7E8"/>
        <n v="2.558E9"/>
        <n v="-1.16E9"/>
        <n v="3.999E8"/>
        <n v="6.038E8"/>
        <n v="6.959E8"/>
        <n v="6.464E8"/>
        <n v="2.779E9"/>
        <n v="3.014E9"/>
        <n v="2.797E9"/>
        <n v="4.018E9"/>
        <n v="1.96496E8"/>
        <n v="2.1771E8"/>
        <n v="1.71632E8"/>
        <n v="2.32918E8"/>
        <n v="1.722E9"/>
        <n v="1.544E9"/>
        <n v="3.53E8"/>
        <n v="2.66813E8"/>
        <n v="1.9841E8"/>
        <n v="1.84818E8"/>
        <n v="2.3023E8"/>
        <n v="1.99618E8"/>
        <n v="1.78517E8"/>
        <n v="2.0424E8"/>
        <n v="1.88945E8"/>
        <n v="5.486E9"/>
        <n v="6.836E9"/>
        <n v="4.506E9"/>
        <n v="3.367E9"/>
        <n v="-2.27E8"/>
        <n v="1.47863E8"/>
        <n v="1.28404E8"/>
        <n v="-3.32164E8"/>
        <n v="1.03278E8"/>
        <n v="-2.19E7"/>
        <n v="1.175E8"/>
        <n v="1.06166E8"/>
        <n v="2.19983E8"/>
        <n v="1.664E9"/>
        <n v="1.58E9"/>
        <n v="7.79E8"/>
        <n v="1.68065E8"/>
        <n v="-1.20585E8"/>
        <n v="-1.9204E7"/>
        <n v="-5.9581E7"/>
        <n v="1.74928E8"/>
        <n v="1.46629E8"/>
        <n v="1.51813E8"/>
        <n v="-1.3852E7"/>
        <n v="1.3E7"/>
        <n v="3.36E8"/>
        <n v="-2.7E7"/>
        <n v="-1.83E8"/>
        <n v="1.57E8"/>
        <n v="-1.09E8"/>
        <n v="-2.25E8"/>
        <n v="-4.32E8"/>
        <n v="2.681E8"/>
        <n v="6.194E8"/>
        <n v="6.534E8"/>
        <n v="4.936E8"/>
        <n v="4.807E9"/>
        <n v="4.145E9"/>
        <n v="2.857E9"/>
        <n v="3.432E9"/>
        <n v="1.447E9"/>
        <n v="1.448E9"/>
        <n v="1.379E9"/>
        <n v="1.77074E8"/>
        <n v="2.27922E8"/>
        <n v="2.22395E8"/>
        <n v="2.34525E8"/>
        <n v="-1.53E8"/>
        <n v="-6.6E7"/>
        <n v="-3.16E8"/>
        <n v="-3.56E8"/>
        <m/>
        <n v="1.06E8"/>
        <n v="3.6E7"/>
        <n v="-8.4E7"/>
        <n v="1.108E9"/>
        <n v="1.228E9"/>
        <n v="1.068E9"/>
        <n v="6.68E8"/>
        <n v="8.28E8"/>
        <n v="-2.74E8"/>
        <n v="1.34E9"/>
        <n v="1.828E9"/>
        <n v="-1.5E7"/>
        <n v="5.32E8"/>
        <n v="3.03E8"/>
        <n v="1.48E8"/>
        <n v="2.49E8"/>
        <n v="1.325E9"/>
        <n v="9.56E8"/>
        <n v="1.02179E8"/>
        <n v="1.12672E8"/>
        <n v="1.01068E8"/>
        <n v="1.03848E8"/>
        <n v="2.02606E8"/>
        <n v="2.04289E8"/>
        <n v="1.74958E8"/>
        <n v="1.46321E8"/>
        <n v="1.589E8"/>
        <n v="1.487E8"/>
        <n v="1.509E8"/>
        <n v="1.637E8"/>
        <n v="6.42E8"/>
        <n v="3.19E8"/>
        <n v="1.47E8"/>
        <n v="2.57E8"/>
        <n v="4.7E7"/>
        <n v="1.49456E8"/>
        <n v="5.3535E7"/>
        <n v="1.4985E8"/>
        <n v="-1.5203E7"/>
        <n v="1.383E8"/>
        <n v="9.01E7"/>
        <n v="1.511E8"/>
        <n v="2.99E7"/>
        <n v="5.061E9"/>
        <n v="3.361E9"/>
        <n v="5.857E9"/>
        <n v="4.276E9"/>
        <n v="1.253E9"/>
        <n v="6.5E8"/>
        <n v="5.28E8"/>
        <n v="3.94E8"/>
        <n v="3.0E7"/>
        <n v="-4.0E7"/>
        <n v="6.6564E7"/>
        <n v="8.6231E7"/>
        <n v="4.34E8"/>
        <n v="3.49E8"/>
        <n v="2.678E8"/>
        <n v="9.24E7"/>
        <n v="2.785E8"/>
        <n v="1.464E9"/>
        <n v="2.0E7"/>
        <n v="1.98E8"/>
        <n v="4.45E8"/>
        <n v="4.352E8"/>
        <n v="3.636E8"/>
        <n v="3.168E8"/>
        <n v="7.02E7"/>
        <n v="4.951E8"/>
        <n v="3.716E8"/>
        <n v="3.308E8"/>
        <n v="2.947E8"/>
        <n v="4.9676E7"/>
        <n v="3.553E7"/>
        <n v="3.8366E7"/>
        <n v="3.6766E7"/>
        <n v="2.17E8"/>
        <n v="1.3E8"/>
        <n v="1.08E8"/>
        <n v="4.6631E7"/>
        <n v="2.46755E8"/>
        <n v="3.8562E7"/>
        <n v="-7113000.0"/>
        <n v="1.72162E8"/>
        <n v="1.46606E8"/>
        <n v="1.54007E8"/>
        <n v="1.25496E8"/>
        <n v="7.6862E7"/>
        <n v="7.1409E7"/>
        <n v="7.1982E7"/>
        <n v="9.1216E7"/>
        <n v="1.74208E8"/>
        <n v="-9.1509E7"/>
        <n v="2.67088E8"/>
        <n v="7.9877E7"/>
        <n v="1.539E8"/>
        <n v="2.308E8"/>
        <n v="6.278E9"/>
        <n v="6.197E9"/>
        <n v="1.738E9"/>
        <n v="3.554E9"/>
        <n v="6.61E8"/>
        <n v="3.72E8"/>
        <n v="4.9E8"/>
        <n v="1.1948E10"/>
        <n v="1.43E10"/>
        <n v="1.2136E10"/>
        <n v="9.443E9"/>
        <n v="6.2E7"/>
        <n v="-3.11E7"/>
        <n v="3.08E7"/>
        <n v="1.454E8"/>
        <n v="-3.78E8"/>
        <n v="1.534E8"/>
        <n v="1.663E8"/>
        <n v="1.902E8"/>
        <n v="3.71E8"/>
        <n v="3.52E8"/>
        <n v="3.54E8"/>
        <n v="7.24E8"/>
        <n v="6.18E8"/>
        <n v="5.75E8"/>
        <n v="4.24E8"/>
        <n v="1.72E8"/>
        <n v="1.76E8"/>
        <n v="5.94E8"/>
        <n v="5.46E8"/>
        <n v="4.83E8"/>
        <n v="1.17118E8"/>
        <n v="1.41425E8"/>
        <n v="2.01799E8"/>
        <n v="-3.7429E7"/>
        <n v="1.425E9"/>
        <n v="6.23E8"/>
        <n v="4.72E8"/>
        <n v="-6.24E8"/>
        <n v="6.33058E8"/>
        <n v="5.6717E8"/>
        <n v="4.56983E8"/>
        <n v="4.20142E8"/>
        <n v="-2.5E7"/>
        <n v="1.034E9"/>
        <n v="5.98E8"/>
        <n v="1.43E8"/>
        <n v="-7.6E7"/>
        <n v="6.32E8"/>
        <n v="8.2E8"/>
        <n v="4.13E8"/>
        <n v="4.67E8"/>
        <n v="1.84E8"/>
        <n v="4.31E8"/>
        <n v="7.701E8"/>
        <n v="9.386E8"/>
        <n v="7.037E8"/>
        <n v="2.316E8"/>
        <n v="1.144657E9"/>
        <n v="1.071121E9"/>
        <n v="8.69229E8"/>
        <n v="8.23451E8"/>
        <n v="6.55E7"/>
        <n v="6.61E7"/>
        <n v="8.93E7"/>
        <n v="-2.8E8"/>
        <n v="-3.76E8"/>
        <n v="-7.31E8"/>
        <n v="-9.85E8"/>
        <n v="8.75E7"/>
        <n v="1.032E8"/>
        <n v="1.049E8"/>
        <n v="-6100000.0"/>
        <n v="1.7E8"/>
        <n v="2.05E8"/>
        <n v="1.97E8"/>
        <n v="8.36772E8"/>
        <n v="1.016909E9"/>
        <n v="8.90909E8"/>
        <n v="6.69323E8"/>
        <n v="3.98E8"/>
        <n v="1.017E9"/>
        <n v="8.03E8"/>
        <n v="-2.1046E8"/>
        <n v="-3.22722E8"/>
        <n v="-4.63826E8"/>
        <n v="-5.42458E8"/>
        <n v="2.66332E8"/>
        <n v="1.81191E8"/>
        <n v="1.93931E8"/>
        <n v="1.18493E8"/>
        <n v="1.815E9"/>
        <n v="1.837E9"/>
        <n v="1.792E9"/>
        <n v="1.753E9"/>
        <n v="7.93E8"/>
        <n v="2.93E8"/>
        <n v="3.018E9"/>
        <n v="2.321E9"/>
        <n v="9.78E8"/>
        <n v="4.75E8"/>
        <n v="-2.289E9"/>
        <n v="3.66E8"/>
        <n v="1.761E9"/>
        <n v="2.056E9"/>
        <n v="1.07E9"/>
        <n v="8.55E8"/>
        <n v="4.58069E8"/>
        <n v="4.47249E8"/>
        <n v="4.7114E8"/>
        <n v="3.72136E8"/>
        <n v="9.7E7"/>
        <n v="-3.38E8"/>
        <n v="-3.17E8"/>
        <n v="5.88E8"/>
        <n v="-1.7E8"/>
        <n v="2.5E8"/>
        <n v="-9.8E8"/>
        <n v="6.7288E7"/>
        <n v="8.0457E7"/>
        <n v="7.2931E7"/>
        <n v="6.7776E7"/>
        <n v="-1.1E7"/>
        <n v="-1.64E8"/>
        <n v="-2.34E8"/>
        <n v="9.98E8"/>
        <n v="3.79E8"/>
        <n v="3.2E8"/>
        <n v="5.8E8"/>
        <n v="1.831E8"/>
        <n v="2.944E8"/>
        <n v="1.14E8"/>
        <n v="2.2E8"/>
        <n v="2.066E9"/>
        <n v="1.785E9"/>
        <n v="1.513E9"/>
        <n v="1.4002E8"/>
        <n v="1.73848E8"/>
        <n v="1.40179E8"/>
        <n v="1.31487E8"/>
        <n v="2.124E8"/>
        <n v="1.837E8"/>
        <n v="1.618E8"/>
        <n v="2.007E8"/>
        <n v="2.2193E9"/>
        <n v="1.5372E9"/>
        <n v="1.3772E9"/>
        <n v="1.7626E9"/>
        <n v="7.13E8"/>
        <n v="-6.174E9"/>
        <n v="6.27E8"/>
        <n v="4.95E8"/>
        <n v="1.366E9"/>
        <n v="1.279E9"/>
        <n v="4.94E8"/>
        <n v="1.214E9"/>
        <n v="3.186E9"/>
        <n v="-2.091E9"/>
        <n v="2.945E9"/>
        <n v="3.412E9"/>
        <n v="1.58E8"/>
        <n v="1.49663E8"/>
        <n v="2.16295E8"/>
        <n v="1.61767E8"/>
        <n v="1.26562E8"/>
        <n v="9.0304E7"/>
        <n v="-3.35938E8"/>
        <n v="-4.55968E8"/>
        <n v="-6.01971E8"/>
        <n v="2.528E8"/>
        <n v="3.62E7"/>
        <n v="7.36E7"/>
        <n v="6.03E8"/>
        <n v="9.9E8"/>
        <n v="8.05E8"/>
        <n v="1.6458E10"/>
        <n v="1.5457E10"/>
        <n v="1.5463E10"/>
        <n v="1.3893E10"/>
        <n v="2.23875E8"/>
        <n v="4.8864E7"/>
        <n v="8.6299E7"/>
        <n v="6.2036E7"/>
        <n v="2.78E9"/>
        <n v="1.221E9"/>
        <n v="-2.72485E8"/>
        <n v="-2.33636E8"/>
        <n v="3.36453E8"/>
        <n v="2.36811E8"/>
        <n v="2.48397E8"/>
        <n v="2.05453E8"/>
        <n v="3.903E8"/>
        <n v="8.2E7"/>
        <n v="-1.3739E9"/>
        <n v="3.464E8"/>
        <n v="1.079E9"/>
        <n v="1.159E9"/>
        <n v="1.122E9"/>
        <n v="5.5169E7"/>
        <n v="4.5413E7"/>
        <n v="4.2887E7"/>
        <n v="5.5566E7"/>
        <n v="4.03762E8"/>
        <n v="3.15194E8"/>
        <n v="4.71736E8"/>
        <n v="3.47654E8"/>
        <n v="5.77E8"/>
        <n v="7.36E8"/>
        <n v="3.724E9"/>
        <n v="3.512E9"/>
        <n v="4.168E9"/>
        <n v="1.65423E8"/>
        <n v="1.96819E8"/>
        <n v="1.56216E8"/>
        <n v="1.82358E8"/>
        <n v="2.98E8"/>
        <n v="3.34E8"/>
        <n v="1.37E8"/>
        <n v="7.7E7"/>
        <n v="1.706715E9"/>
        <n v="5.42156E8"/>
        <n v="7.89976E8"/>
        <n v="7.20196E8"/>
        <n v="8.9E7"/>
        <n v="3.04E8"/>
        <n v="6.51E8"/>
        <n v="5.58E8"/>
        <n v="7.46E8"/>
        <n v="6.28E8"/>
        <n v="9.6E7"/>
        <n v="7.2E7"/>
        <n v="1.498E9"/>
        <n v="-1.9E8"/>
        <n v="1.123E9"/>
        <n v="8.8E7"/>
        <n v="1.09E8"/>
        <n v="1.0E7"/>
        <n v="1.449E9"/>
        <n v="1.251E9"/>
        <n v="1.518E9"/>
        <n v="-7.9E8"/>
        <n v="5.69E7"/>
        <n v="2.965E8"/>
        <n v="8.78E7"/>
        <n v="-1.729E8"/>
        <n v="6.73E8"/>
        <n v="3.681E8"/>
        <n v="3.751E8"/>
        <n v="2.409E8"/>
        <n v="2.945E8"/>
        <n v="1.037E9"/>
        <n v="2.195E9"/>
        <n v="9.86E8"/>
        <n v="1.81E8"/>
        <n v="1.73E8"/>
        <n v="-1.370192E9"/>
        <n v="-7.38933E8"/>
        <n v="-6.77366E8"/>
        <n v="-7.15243E8"/>
        <n v="-8.2E7"/>
        <n v="-1.73E8"/>
        <n v="1.571459E9"/>
        <n v="9.87514E8"/>
        <n v="4.25866E8"/>
        <n v="2.2263E8"/>
        <n v="2.374E9"/>
        <n v="1.912E9"/>
        <n v="1.457E9"/>
        <n v="1.336E9"/>
        <n v="3.21295E8"/>
        <n v="2.48762E8"/>
        <n v="3.05004E8"/>
        <n v="2.56466E8"/>
        <n v="4.06E8"/>
        <n v="3.64E8"/>
        <n v="-1.8E7"/>
        <n v="5.01609E8"/>
        <n v="3.92945E8"/>
        <n v="5.27252E8"/>
        <n v="5.31667E8"/>
        <n v="-1.149E9"/>
        <n v="-3.655E9"/>
        <n v="2.86634E8"/>
        <n v="2.69576E8"/>
        <n v="1.99359E8"/>
        <n v="1.89832E8"/>
        <n v="3.801E8"/>
        <n v="3.06E8"/>
        <n v="4.285E8"/>
        <n v="3.92018E8"/>
        <n v="3.42139E8"/>
        <n v="3.86176E8"/>
        <n v="3.08029E8"/>
        <n v="2.457E9"/>
        <n v="4.032E9"/>
        <n v="5.021E9"/>
        <n v="2.442E9"/>
        <n v="3.95E8"/>
        <n v="5.86E8"/>
        <n v="3.777E8"/>
        <n v="4.929E8"/>
        <n v="4.701E8"/>
        <n v="4.058E8"/>
        <n v="2.507E8"/>
        <n v="2.073E8"/>
        <n v="1.665E8"/>
        <n v="1.236E8"/>
        <n v="4.51463E8"/>
        <n v="5.05914E8"/>
        <n v="4.71733E8"/>
        <n v="4.47497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09E7"/>
        <n v="1.27E7"/>
        <n v="1.437E8"/>
        <n v="1.326E8"/>
        <n v="1.311E8"/>
        <n v="9.98E7"/>
        <n v="1.397E8"/>
        <n v="1.708E8"/>
        <n v="1.445E8"/>
        <n v="-1.453E8"/>
        <n v="2.243E9"/>
        <n v="2.372E9"/>
        <n v="1.723E9"/>
        <n v="1.859E9"/>
        <n v="1.27785E8"/>
        <n v="2.45968E8"/>
        <n v="3.79343E8"/>
        <n v="3.80434E8"/>
        <n v="8.167E9"/>
        <n v="5.565E9"/>
        <n v="4.877E9"/>
        <n v="2.588E9"/>
        <n v="2.298E9"/>
        <n v="2.595E9"/>
        <n v="2.119E9"/>
        <n v="4.88E8"/>
        <n v="-6.39E8"/>
        <n v="-4.94E8"/>
        <n v="3.44104E8"/>
        <n v="2.19436E8"/>
        <n v="4.0514E7"/>
        <n v="-1.4518E7"/>
        <n v="1.045E9"/>
        <n v="3.8E8"/>
        <n v="-7.0E7"/>
        <n v="-3.0E7"/>
        <n v="1.49E9"/>
        <n v="1.826E9"/>
        <n v="1.456E9"/>
        <n v="1.84665E8"/>
        <n v="2.59695E8"/>
        <n v="9.8655E7"/>
        <n v="5.9173E7"/>
        <n v="3.45E8"/>
        <n v="4.33E8"/>
        <n v="2.78E8"/>
        <n v="2.09E8"/>
        <n v="-5.36E8"/>
        <n v="2.03E8"/>
        <n v="2.9E8"/>
        <n v="3.643E8"/>
        <n v="5.163E8"/>
        <n v="4.915E8"/>
        <n v="4.126E9"/>
        <n v="2.908E9"/>
        <n v="3.249E9"/>
        <n v="3.887E9"/>
        <n v="1.185E8"/>
        <n v="7.901E8"/>
        <n v="1.48E9"/>
        <n v="1.6843E9"/>
        <n v="7.97731E8"/>
        <n v="6.50313E8"/>
        <n v="3.99693E8"/>
        <n v="3.08007E8"/>
        <n v="1.565E9"/>
        <n v="2.183E9"/>
        <n v="2.804E9"/>
        <n v="1.022E9"/>
        <n v="2.92943E8"/>
        <n v="5.1203E7"/>
        <n v="1.09262E8"/>
        <n v="2.3515E7"/>
        <n v="-1.564E9"/>
        <n v="-1.77E8"/>
        <n v="4.91628E8"/>
        <n v="4.1173E8"/>
        <n v="4.34262E8"/>
        <n v="3.52432E8"/>
        <n v="4.75549E8"/>
        <n v="5.03399E8"/>
        <n v="3.04107E8"/>
        <n v="4.38111E8"/>
        <n v="1.818E8"/>
        <n v="9.97E7"/>
        <n v="-5.81E7"/>
        <n v="6.95E7"/>
        <n v="3.19189E8"/>
        <n v="2.85626E8"/>
        <n v="2.98737E8"/>
        <n v="2.01035E8"/>
        <n v="2.798E9"/>
        <n v="2.027E9"/>
        <n v="1.762E9"/>
        <n v="2.455E9"/>
        <n v="1.75398E8"/>
        <n v="1.18971E8"/>
        <n v="9.1319E7"/>
        <n v="1.71961E8"/>
        <n v="5.27E8"/>
        <n v="6.09E8"/>
        <n v="1.933E8"/>
        <n v="1.647E8"/>
        <n v="-7.41E7"/>
        <n v="1.198E8"/>
        <n v="4.29E8"/>
        <n v="3.55E8"/>
        <n v="3.12E8"/>
        <n v="1.473E9"/>
        <n v="1.088E9"/>
        <n v="8.13E8"/>
        <n v="1.35276E8"/>
        <n v="1.24768E8"/>
        <n v="9.6236E7"/>
        <n v="1.1815E8"/>
        <n v="1.18848E8"/>
        <n v="9.6832E7"/>
        <n v="8.1625E7"/>
        <n v="3.9216E7"/>
        <n v="1.6322E9"/>
        <n v="3.0989E9"/>
        <n v="1.1152E9"/>
        <n v="1.1492E9"/>
        <n v="7.9E8"/>
        <n v="6.16E8"/>
        <n v="3.508E8"/>
        <n v="3.32E8"/>
        <n v="2.964E8"/>
        <n v="2.363E8"/>
        <n v="2.03613E8"/>
        <n v="1.951E8"/>
        <n v="-7.8481E7"/>
        <n v="1.79514E8"/>
        <n v="1.70871E8"/>
        <n v="1.49213E8"/>
        <n v="1.10598E8"/>
        <n v="9.4416E7"/>
        <n v="7.46E7"/>
        <n v="4.103E8"/>
        <n v="5.904E8"/>
        <n v="9.3853E7"/>
        <n v="9.8854E7"/>
        <n v="9.2643E7"/>
        <n v="6.2619E7"/>
        <n v="2.598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8.61E8"/>
        <n v="8.57E8"/>
        <n v="8.08E8"/>
        <n v="5.35E8"/>
        <n v="4.69E8"/>
        <n v="2.67E8"/>
        <n v="1.081E9"/>
        <n v="4.7798E7"/>
        <n v="1.52669E8"/>
        <n v="-1.1745E7"/>
        <n v="1.06186E8"/>
        <n v="5.62E8"/>
        <n v="4.43E8"/>
        <n v="3.82E8"/>
        <n v="4.82E8"/>
        <n v="3.29E8"/>
        <n v="2.8E8"/>
        <n v="1.078E8"/>
        <n v="1.086E8"/>
        <n v="1.058E8"/>
        <n v="-6.32E8"/>
        <n v="4.54E8"/>
        <n v="9.28E8"/>
        <n v="6.3E7"/>
        <n v="5.9E7"/>
        <n v="1.6648E7"/>
        <n v="5.022E8"/>
        <n v="6.486E8"/>
        <n v="4.096E8"/>
        <n v="4.07E8"/>
        <n v="7.78648E8"/>
        <n v="7.05869E8"/>
        <n v="5.1046E8"/>
        <n v="3.12726E8"/>
        <n v="3.263E8"/>
        <n v="3.378E8"/>
        <n v="3.25E8"/>
        <n v="5.093E8"/>
        <n v="2.015E8"/>
        <n v="2.132E8"/>
        <n v="1.976E8"/>
        <n v="2.138E8"/>
        <n v="1.106E9"/>
        <n v="4.46E8"/>
        <n v="-9.08E8"/>
        <n v="4.585E8"/>
        <n v="4.868E8"/>
        <n v="4.677E8"/>
        <n v="3.952E8"/>
        <n v="1.1542E9"/>
        <n v="6.594E8"/>
        <n v="6.222E8"/>
        <n v="3.927E8"/>
        <n v="7.63E8"/>
        <n v="5.19E8"/>
        <n v="5.37E8"/>
        <n v="-2.1902E7"/>
        <n v="8.815E7"/>
        <n v="1.14588E8"/>
        <n v="1.06008E8"/>
        <n v="5.92E8"/>
        <n v="3.02E8"/>
        <n v="5.61764E8"/>
        <n v="4.38801E8"/>
        <n v="4.74055E8"/>
        <n v="2.47789E8"/>
        <n v="1.242E9"/>
        <n v="1.025E9"/>
        <n v="7.38E8"/>
        <n v="1.98392E8"/>
        <n v="1.94802E8"/>
        <n v="1.62028E8"/>
        <n v="1.96555E8"/>
        <n v="8.8927E7"/>
        <n v="6.7289E7"/>
        <n v="2.169E8"/>
        <n v="-6.18419E8"/>
        <n v="7.5E8"/>
        <n v="8.427E8"/>
        <n v="7.648E8"/>
        <n v="9.296E8"/>
        <n v="6.986E8"/>
        <n v="1.0297E7"/>
        <n v="1.52256E8"/>
        <n v="2.18812E8"/>
        <n v="1.82248E8"/>
        <n v="1.998E8"/>
        <n v="9.17E7"/>
        <n v="3.11E8"/>
        <n v="2.317E8"/>
        <n v="1.817E9"/>
        <n v="2.097E9"/>
        <n v="1.38E9"/>
        <n v="1.014E9"/>
        <n v="3.75E8"/>
        <n v="2.28E8"/>
        <n v="6.47E7"/>
        <n v="8.47E7"/>
        <n v="1.321E8"/>
        <n v="9.39E7"/>
        <n v="8.3283E7"/>
        <n v="7.4867E7"/>
        <n v="7.6601E7"/>
        <n v="1.16605E8"/>
        <n v="3.28319E8"/>
        <n v="2.05512E8"/>
        <n v="1.96332E8"/>
        <n v="2.22718E8"/>
        <n v="2.96E8"/>
        <n v="1.931E9"/>
        <n v="1.688E9"/>
        <n v="1.353E9"/>
        <n v="2.36E8"/>
        <n v="6.158E8"/>
        <n v="2.1011E9"/>
        <n v="8.12E7"/>
        <n v="9.05E8"/>
        <n v="3.0123E8"/>
        <n v="3.96871E8"/>
        <n v="2.9133E8"/>
        <n v="4.47258E8"/>
        <n v="4.388E8"/>
        <n v="1.582E8"/>
        <n v="8.283E8"/>
        <n v="-4600000.0"/>
        <n v="9.34E8"/>
        <n v="7.33E8"/>
        <n v="1.31E9"/>
        <n v="8.27E8"/>
        <n v="-6.29E8"/>
        <n v="-4.509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92E8"/>
        <n v="2.369E8"/>
        <n v="2.502E8"/>
        <n v="4.101E8"/>
        <n v="1.05E8"/>
        <n v="5.0E7"/>
        <n v="1.01E8"/>
        <n v="1.389E8"/>
        <n v="1.146E8"/>
        <n v="1.807E8"/>
        <n v="8.48E7"/>
        <n v="1.658E9"/>
        <n v="1.141E9"/>
        <n v="6.5649E7"/>
        <n v="6.8005E7"/>
        <n v="2.22116E8"/>
        <n v="2.8659E7"/>
        <n v="3.6976E7"/>
        <n v="5.4094E7"/>
        <n v="3.9284E7"/>
        <n v="5.3892E7"/>
        <n v="7.53E8"/>
        <n v="1.988E9"/>
        <n v="2.285E9"/>
        <n v="1.586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372E9"/>
        <n v="4.978E9"/>
        <n v="2.352E9"/>
        <n v="3.256E9"/>
        <n v="3.25276E8"/>
        <n v="2.0907E8"/>
        <n v="3.07734E8"/>
        <n v="2.44092E8"/>
        <n v="2.92E8"/>
        <n v="-6.22E8"/>
        <n v="-3.09E8"/>
        <n v="-3.79E8"/>
        <n v="8.8288E7"/>
        <n v="-5.5398E7"/>
        <n v="1.11953E8"/>
        <n v="1.3737E7"/>
        <n v="1.47772E8"/>
        <n v="1.50354E8"/>
        <n v="1.57314E8"/>
        <n v="1.70979E8"/>
        <n v="1.516E8"/>
        <n v="1.68E8"/>
        <n v="1.762E8"/>
        <n v="1.858E8"/>
        <n v="5.949E9"/>
        <n v="5.378E9"/>
        <n v="4.718E9"/>
        <n v="4.504E9"/>
        <n v="6.6924E7"/>
        <n v="6.53138E8"/>
        <n v="6.0419E8"/>
        <n v="6.67434E8"/>
        <n v="1.53972E8"/>
        <n v="6.1743E7"/>
        <n v="3.27659E8"/>
        <n v="2.43246E8"/>
        <n v="9.11E8"/>
        <n v="7.26E8"/>
        <n v="6.24E8"/>
        <n v="7.23E8"/>
        <n v="-2.792E8"/>
        <n v="-1.0376E9"/>
        <n v="-9.158E8"/>
        <n v="1.857E8"/>
        <n v="2.575E9"/>
        <n v="3.026E9"/>
        <n v="3.126E9"/>
        <n v="2.137E9"/>
        <n v="7.6832E7"/>
        <n v="2.6993E7"/>
        <n v="-2.08726E8"/>
        <n v="6.8736E7"/>
        <n v="1.9678E8"/>
        <n v="1.6167E8"/>
        <n v="1.15915E8"/>
        <n v="2.01125E8"/>
        <n v="2.37678E8"/>
        <n v="2.31716E8"/>
        <n v="3.1249E8"/>
        <n v="1.52366E8"/>
        <n v="2.43E8"/>
        <n v="2.55E8"/>
        <n v="1.147E8"/>
        <n v="8.68E7"/>
        <n v="1.285E8"/>
        <n v="8.58E7"/>
        <n v="9.18E8"/>
        <n v="-3.86E8"/>
        <n v="3.57E8"/>
        <n v="-1.726E9"/>
        <n v="4.364E9"/>
        <n v="2.811E9"/>
        <n v="-2.008E9"/>
        <n v="5.201E9"/>
        <n v="3.51E8"/>
        <n v="4.21E8"/>
        <n v="4.38E8"/>
        <n v="3.9E8"/>
        <n v="1.67292E8"/>
        <n v="1.48127E8"/>
        <n v="2.18311E8"/>
        <n v="1.26769E8"/>
        <n v="2.754E8"/>
        <n v="2.393E8"/>
        <n v="2.668E8"/>
        <n v="6.744E9"/>
        <n v="4.69E9"/>
        <n v="3.194E9"/>
        <n v="2.219E9"/>
        <n v="4.5757E7"/>
        <n v="7.2192E7"/>
        <n v="1.55278E8"/>
        <n v="3.94978E8"/>
        <n v="1.873E8"/>
        <n v="1.512E8"/>
        <n v="9.84E7"/>
        <n v="8.23E7"/>
        <n v="-6.0E7"/>
        <n v="2.225E8"/>
        <n v="1.771E8"/>
        <n v="2.286E8"/>
        <n v="1.144E8"/>
        <n v="1.525E8"/>
        <n v="-1.1545E9"/>
        <n v="1.8E8"/>
        <n v="1.028E9"/>
        <n v="6.81E8"/>
        <n v="2.83E8"/>
        <n v="4.4E8"/>
        <n v="5.01E8"/>
        <n v="3.22E8"/>
        <n v="3.23E8"/>
        <n v="1.22E8"/>
        <n v="-1.73397E8"/>
        <n v="-3.36179E8"/>
        <n v="-3.10291E8"/>
        <n v="-8.31533E8"/>
        <n v="3.62E8"/>
        <n v="2.06341E8"/>
        <n v="1.87883E8"/>
        <n v="1.70972E8"/>
        <n v="1.93816E8"/>
        <n v="1.13E8"/>
        <n v="8.7E7"/>
        <n v="3.7E7"/>
        <n v="3.26E8"/>
        <n v="2.19E8"/>
        <n v="1.99E8"/>
        <n v="1.425E8"/>
        <n v="1.977E8"/>
        <n v="3.338E8"/>
        <n v="2.461E8"/>
        <n v="5.11E8"/>
        <n v="3.58E8"/>
        <n v="4.79E8"/>
      </sharedItems>
    </cacheField>
    <cacheField name="Net Income Applicable To Common Shares" numFmtId="0">
      <sharedItems containsString="0" containsBlank="1" containsNumber="1" containsInteger="1">
        <n v="1.434E9"/>
        <n v="1.524E9"/>
        <n v="1.624E9"/>
        <n v="1.389E9"/>
        <n v="1.316E8"/>
        <n v="1.182E8"/>
        <n v="9.77E7"/>
        <n v="1.2E8"/>
        <n v="2.092E9"/>
        <n v="1.184E9"/>
        <n v="1.785E9"/>
        <n v="2.151E9"/>
        <n v="3.158E9"/>
        <n v="7.51E8"/>
        <n v="3.536E9"/>
        <n v="2.0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1264E8"/>
        <n v="3.80563E8"/>
        <n v="7979000.0"/>
        <n v="4.3662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08E8"/>
        <n v="1.595E9"/>
        <n v="-1.408E9"/>
        <n v="2.598E9"/>
        <n v="1.8525E10"/>
        <n v="1.793E10"/>
        <n v="1.5227E10"/>
        <n v="1.1247E10"/>
        <n v="2.146E9"/>
        <n v="1.421E9"/>
        <n v="1.922E9"/>
        <n v="-9.53E8"/>
        <n v="7.778E9"/>
        <n v="8.107E9"/>
        <n v="7.222E9"/>
        <n v="6.331E9"/>
        <n v="2.54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49E9"/>
        <n v="2.206E9"/>
        <n v="1.414E9"/>
        <n v="1.05E9"/>
        <n v="9.1E7"/>
        <n v="3.869E9"/>
        <n v="-6.0E7"/>
        <n v="2.81E8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793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47E8"/>
        <n v="2.79E8"/>
        <n v="2.83E8"/>
        <n v="1.96888E8"/>
        <n v="1.80366E8"/>
        <n v="1.82958E8"/>
        <n v="1.68375E8"/>
        <n v="1.902E8"/>
        <n v="3.821E8"/>
        <n v="1.422E8"/>
        <n v="1.766E8"/>
        <n v="2.034E8"/>
        <n v="1.583E8"/>
        <n v="1.345E8"/>
        <n v="-3.49E7"/>
        <n v="1.514E9"/>
        <n v="7.5E9"/>
        <n v="-1.3938E10"/>
        <n v="2.762E9"/>
        <n v="1.02341E8"/>
        <n v="2.96555E8"/>
        <n v="2.17527E8"/>
        <n v="6.5297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1899E8"/>
        <n v="3.40331E8"/>
        <n v="1.47361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26E9"/>
        <n v="8.964E9"/>
        <n v="7.56E9"/>
        <n v="5.208E9"/>
        <n v="3.74E8"/>
        <n v="2.77E8"/>
        <n v="8.6E8"/>
        <n v="3.31E8"/>
        <n v="2.98E8"/>
        <n v="1.68E8"/>
        <n v="3.56E8"/>
        <n v="5.02E8"/>
        <n v="2.76E8"/>
        <n v="9.8E8"/>
        <n v="1.05E8"/>
        <n v="7.34E8"/>
        <n v="5.95E8"/>
        <n v="8.16E8"/>
        <n v="3.91E8"/>
        <n v="9.14114E8"/>
        <n v="9.77414E8"/>
        <n v="8.39102E8"/>
        <n v="1.314824E9"/>
        <n v="1.4951E7"/>
        <n v="4.5755E7"/>
        <n v="4.6237E7"/>
        <n v="3.3374E7"/>
        <n v="4.485E8"/>
        <n v="4.102E8"/>
        <n v="3.579E8"/>
        <n v="7.015E8"/>
        <n v="1.378E9"/>
        <n v="1.199E9"/>
        <n v="1.548E9"/>
        <n v="1.364E9"/>
        <n v="8.81E8"/>
        <n v="9.9E8"/>
        <n v="8.57E8"/>
        <n v="7.01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9.1624E7"/>
        <n v="8088000.0"/>
        <n v="8.9854E7"/>
        <n v="1.72E8"/>
        <n v="3.27E8"/>
        <n v="1.96E8"/>
        <n v="-1.69E8"/>
        <n v="1.055E9"/>
        <n v="-1.0027E10"/>
        <n v="1.872E9"/>
        <n v="1.802E9"/>
        <n v="1.417E9"/>
        <n v="1.304E9"/>
        <n v="1.25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446E9"/>
        <n v="3.236E9"/>
        <n v="2.466E9"/>
        <n v="2.319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689E8"/>
        <n v="2.171E8"/>
        <n v="7.42E7"/>
        <n v="6.88E7"/>
        <n v="1.53E9"/>
        <n v="7.8E8"/>
        <n v="6.68E8"/>
        <n v="4.58E8"/>
        <n v="1.052E8"/>
        <n v="1.368E8"/>
        <n v="8.71E7"/>
        <n v="1.096E8"/>
        <n v="4.42637E8"/>
        <n v="2.66202E8"/>
        <n v="3.13765E8"/>
        <n v="1.84132E8"/>
        <n v="2.741E8"/>
        <n v="2.326E8"/>
        <n v="2.383E8"/>
        <n v="1.932E8"/>
        <n v="5.38E8"/>
        <n v="3.22E8"/>
        <n v="1.453E9"/>
        <n v="5.84E8"/>
        <n v="-5.35E8"/>
        <n v="6.99E8"/>
        <n v="-1.2E7"/>
        <n v="2.21E8"/>
        <n v="3.34E8"/>
        <n v="1.51E8"/>
        <n v="6.9E7"/>
        <n v="-2.58E7"/>
        <n v="-1.92E7"/>
        <n v="-1.73E7"/>
        <n v="-800000.0"/>
        <n v="3.2707E7"/>
        <n v="1.72252E8"/>
        <n v="1.41505E8"/>
        <n v="3.56676E8"/>
        <n v="2.46E8"/>
        <n v="8.7E7"/>
        <n v="-2.8E7"/>
        <n v="8.8448E7"/>
        <n v="6.153E7"/>
        <n v="1.43191E8"/>
        <n v="1.02909E8"/>
        <n v="1.117E9"/>
        <n v="1.388E9"/>
        <n v="6.15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6.2E8"/>
        <n v="1.049E9"/>
        <n v="4.84E8"/>
        <n v="9.09E8"/>
        <n v="3.29414E8"/>
        <n v="2.66007E8"/>
        <n v="2.5649E8"/>
        <n v="2.82842E8"/>
        <n v="2.863E9"/>
        <n v="2.545E9"/>
        <n v="2.174E9"/>
        <n v="2.636E9"/>
        <n v="5.899E9"/>
        <n v="7.584E9"/>
        <n v="3.689E9"/>
        <n v="2.928E9"/>
        <n v="6.16E8"/>
        <n v="5.88E8"/>
        <n v="4.24E8"/>
        <n v="2.89E8"/>
        <n v="6.2766E7"/>
        <n v="9.0048E7"/>
        <n v="1.12091E8"/>
        <n v="9.8227E7"/>
        <n v="9.7E7"/>
        <n v="-6.1E7"/>
        <n v="2.59E8"/>
        <n v="4.15E8"/>
        <n v="5.103E8"/>
        <n v="5.744E8"/>
        <n v="4.117E8"/>
        <n v="1.86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6.98E8"/>
        <n v="3.738E9"/>
        <n v="3.329E9"/>
        <n v="3.38E9"/>
        <n v="2.019E9"/>
        <n v="3.21E8"/>
        <n v="2.09E8"/>
        <n v="2.03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-3.54E8"/>
        <n v="4.03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5.8E7"/>
        <n v="1.63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44E9"/>
        <n v="1.661E9"/>
        <n v="1.1994E9"/>
        <n v="8.424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53E8"/>
        <n v="2.11E8"/>
        <n v="-1.03E8"/>
        <n v="-9.4E7"/>
        <n v="6.29E7"/>
        <n v="4.03E7"/>
        <n v="3.552E8"/>
        <n v="7.22E7"/>
        <n v="2.2E8"/>
        <n v="-7.39E8"/>
        <n v="-1.113E9"/>
        <n v="-2.393E9"/>
        <n v="1.27369E8"/>
        <n v="3.72406E8"/>
        <n v="4.4177E7"/>
        <n v="-3.737E7"/>
        <n v="1.688E9"/>
        <n v="1.546E9"/>
        <n v="7.95E8"/>
        <n v="1.25E8"/>
        <n v="2.65E8"/>
        <n v="2.43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69E8"/>
        <n v="9.92E8"/>
        <n v="6.65E8"/>
        <n v="3.4E8"/>
        <n v="1.16619E8"/>
        <n v="1.17761E8"/>
        <n v="1.51897E8"/>
        <n v="9.9129E7"/>
        <n v="2.63756E8"/>
        <n v="2.64508E8"/>
        <n v="2.32769E8"/>
        <n v="1.82106E8"/>
        <n v="1.891E9"/>
        <n v="9.86E8"/>
        <n v="1.236E9"/>
        <n v="1.78E8"/>
        <n v="4.75E8"/>
        <n v="7.38E8"/>
        <n v="9.64E8"/>
        <n v="-7.7E7"/>
        <n v="1.276E9"/>
        <n v="7.8991E7"/>
        <n v="1.68433E8"/>
        <n v="7.1471E7"/>
        <n v="3.9464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5614E8"/>
        <n v="5.6766E7"/>
        <n v="2.52084E8"/>
        <n v="9.0513E7"/>
        <n v="6.4846E7"/>
        <n v="1.68444E8"/>
        <n v="9.5745E7"/>
        <n v="7.3661E7"/>
        <n v="1.018E9"/>
        <n v="4.56E8"/>
        <n v="8.73E8"/>
        <n v="5.23E8"/>
        <n v="9.8254E7"/>
        <n v="1.43766E8"/>
        <n v="1.48538E8"/>
        <n v="9.1761E7"/>
        <n v="6.79982E8"/>
        <n v="3.37446E8"/>
        <n v="6.2893E7"/>
        <n v="2.40138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6.06E8"/>
        <n v="-4.12E8"/>
        <n v="-2.21E8"/>
        <n v="-7.53E8"/>
        <n v="2.8722E8"/>
        <n v="1.9862E8"/>
        <n v="1.91307E8"/>
        <n v="1.83869E8"/>
        <n v="1.67716E8"/>
        <n v="2.02686E8"/>
        <n v="1.55863E8"/>
        <n v="1.14456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3895E7"/>
        <n v="4.5932E7"/>
        <n v="9.2467E7"/>
        <n v="-3.0548E7"/>
        <n v="1.868E9"/>
        <n v="8.89E8"/>
        <n v="1.243E9"/>
        <n v="3.41E8"/>
        <n v="-3.73E8"/>
        <n v="1.04E8"/>
        <n v="6.73E8"/>
        <n v="6.72E8"/>
        <n v="5.66E8"/>
        <n v="5.6E8"/>
        <n v="3.49451E8"/>
        <n v="3.16308E8"/>
        <n v="2.79488E8"/>
        <n v="2.78321E8"/>
        <n v="3.35E8"/>
        <n v="2.42E8"/>
        <n v="4.54E8"/>
        <n v="3.04E8"/>
        <n v="3.0E8"/>
        <n v="1.96247E8"/>
        <n v="1.84239E8"/>
        <n v="2.09851E8"/>
        <n v="1.88817E8"/>
        <n v="2.024E8"/>
        <n v="1.822E8"/>
        <n v="4.94E7"/>
        <n v="1.111E8"/>
        <n v="3.262E9"/>
        <n v="-2.788E9"/>
        <n v="2.385E9"/>
        <n v="1.375E8"/>
        <n v="1.072E8"/>
        <n v="1.467E8"/>
        <n v="1.234E8"/>
        <n v="1.637E8"/>
        <n v="9.29E7"/>
        <n v="1.1984E9"/>
        <n v="2.085E8"/>
        <n v="2.172E8"/>
        <n v="1.778E8"/>
        <n v="1.636E8"/>
        <n v="1.646E8"/>
        <n v="5.67E8"/>
        <n v="2.24E8"/>
        <n v="1.106E9"/>
        <n v="3.649E8"/>
        <n v="3.307E8"/>
        <n v="6.36E7"/>
        <n v="1.079E9"/>
        <n v="7.18E8"/>
        <n v="7.08E8"/>
        <n v="3.26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116E8"/>
        <n v="1.26035E8"/>
        <n v="1.15781E8"/>
        <n v="6.4575E7"/>
        <n v="7.37E8"/>
        <n v="1.002E9"/>
        <n v="8.34E8"/>
        <n v="-1.19E9"/>
        <n v="-2.873E9"/>
        <n v="2.419E9"/>
        <n v="-1.196E9"/>
        <n v="4.168E8"/>
        <n v="5.957E8"/>
        <n v="6.884E8"/>
        <n v="6.389E8"/>
        <n v="2.79E9"/>
        <n v="2.976E9"/>
        <n v="2.801E9"/>
        <n v="4.00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34E9"/>
        <n v="6.704E9"/>
        <n v="4.358E9"/>
        <n v="3.229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5993E8"/>
        <n v="1.43337E8"/>
        <n v="1.46129E8"/>
        <n v="-6.3768E7"/>
        <n v="1.65997E8"/>
        <n v="1.42633E8"/>
        <n v="1.41697E8"/>
        <n v="-1.0797E7"/>
        <n v="-7.3E7"/>
        <n v="2.52E8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m/>
        <n v="1.06E8"/>
        <n v="3.5E7"/>
        <n v="-9.6E7"/>
        <n v="1.108E9"/>
        <n v="1.228E9"/>
        <n v="1.068E9"/>
        <n v="8.28E8"/>
        <n v="-2.74E8"/>
        <n v="1.34E9"/>
        <n v="1.828E9"/>
        <n v="-5.8E7"/>
        <n v="1.29E8"/>
        <n v="1.48E8"/>
        <n v="2.49E8"/>
        <n v="1.325E9"/>
        <n v="9.55E8"/>
        <n v="1.356E9"/>
        <n v="1.698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2.57E8"/>
        <n v="1.79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2.9E7"/>
        <n v="-4.3E7"/>
        <n v="6.3928E7"/>
        <n v="8.5592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3.683E8"/>
        <n v="2.678E8"/>
        <n v="2.111E8"/>
        <n v="1.917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08487E8"/>
        <n v="1.1045E7"/>
        <n v="2.57048E8"/>
        <n v="8.2001E7"/>
        <n v="1.539E8"/>
        <n v="2.308E8"/>
        <n v="6.278E9"/>
        <n v="6.197E9"/>
        <n v="1.738E9"/>
        <n v="3.554E9"/>
        <n v="5.74E8"/>
        <n v="4.51E8"/>
        <n v="4.41E8"/>
        <n v="1.1496E10"/>
        <n v="1.3851E10"/>
        <n v="1.1698E10"/>
        <n v="9.015E9"/>
        <n v="6.2E7"/>
        <n v="-3.11E7"/>
        <n v="3.08E7"/>
        <n v="1.454E8"/>
        <n v="-3.786E8"/>
        <n v="1.657E8"/>
        <n v="1.897E8"/>
        <n v="3.68E8"/>
        <n v="2.05E8"/>
        <n v="3.51E8"/>
        <n v="5.56E8"/>
        <n v="4.01E8"/>
        <n v="2.17E8"/>
        <n v="5.39E8"/>
        <n v="4.72E8"/>
        <n v="1.09671E8"/>
        <n v="1.30796E8"/>
        <n v="1.95952E8"/>
        <n v="-4.4999E7"/>
        <n v="1.402E9"/>
        <n v="4.52E8"/>
        <n v="-6.4E8"/>
        <n v="6.32978E8"/>
        <n v="5.67496E8"/>
        <n v="4.57251E8"/>
        <n v="4.20567E8"/>
        <n v="-2.7E7"/>
        <n v="5.63E8"/>
        <n v="1.032E9"/>
        <n v="5.97E8"/>
        <n v="1.39E8"/>
        <n v="-7.5E7"/>
        <n v="6.25E8"/>
        <n v="8.0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20279E8"/>
        <n v="9.89115E8"/>
        <n v="8.72818E8"/>
        <n v="6.5862E8"/>
        <n v="2.25E8"/>
        <n v="1.43E8"/>
        <n v="3.98E8"/>
        <n v="8.41E8"/>
        <n v="7.7E8"/>
        <n v="7.0E8"/>
        <n v="-1.94714E8"/>
        <n v="-3.08109E8"/>
        <n v="-4.36197E8"/>
        <n v="-5.21912E8"/>
        <n v="2.65913E8"/>
        <n v="1.81012E8"/>
        <n v="1.93483E8"/>
        <n v="1.18792E8"/>
        <n v="1.815E9"/>
        <n v="1.837E9"/>
        <n v="1.792E9"/>
        <n v="7.54E8"/>
        <n v="2.61E8"/>
        <n v="3.007E9"/>
        <n v="2.312E9"/>
        <n v="9.74E8"/>
        <n v="-2.289E9"/>
        <n v="3.66E8"/>
        <n v="1.756E9"/>
        <n v="2.052E9"/>
        <n v="1.066E9"/>
        <n v="8.53E8"/>
        <n v="4.38756E8"/>
        <n v="4.28091E8"/>
        <n v="4.51863E8"/>
        <n v="3.53399E8"/>
        <n v="1.6E7"/>
        <n v="-3.38E8"/>
        <n v="-3.17E8"/>
        <n v="8.512E9"/>
        <n v="-2.42E8"/>
        <n v="2.84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2.256E8"/>
        <n v="6.53E7"/>
        <n v="1.829E8"/>
        <n v="2.941E8"/>
        <n v="8.8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3.179E9"/>
        <n v="-2.094E9"/>
        <n v="2.941E9"/>
        <n v="3.366E9"/>
        <n v="2.9E8"/>
        <n v="1.24E8"/>
        <n v="6.33E8"/>
        <n v="1.49663E8"/>
        <n v="2.16295E8"/>
        <n v="1.61767E8"/>
        <n v="1.26562E8"/>
        <n v="6.7742E7"/>
        <n v="-3.41257E8"/>
        <n v="-4.54113E8"/>
        <n v="-5.32954E8"/>
        <n v="2.528E8"/>
        <n v="3.62E7"/>
        <n v="7.36E7"/>
        <n v="8.03E8"/>
        <n v="9.88E8"/>
        <n v="1.6458E10"/>
        <n v="1.5457E10"/>
        <n v="1.5463E10"/>
        <n v="1.3893E10"/>
        <n v="2.15322E8"/>
        <n v="4.6217E7"/>
        <n v="8.2311E7"/>
        <n v="5.8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3.14E8"/>
        <n v="4.67E8"/>
        <n v="3.584E9"/>
        <n v="3.408E9"/>
        <n v="3.982E9"/>
        <n v="3.266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7000000.0"/>
        <n v="1.449E9"/>
        <n v="1.251E9"/>
        <n v="1.518E9"/>
        <n v="-7.9E8"/>
        <n v="4.65E7"/>
        <n v="2.827E8"/>
        <n v="7.07E7"/>
        <n v="-1.867E8"/>
        <n v="3.602E8"/>
        <n v="2.347E8"/>
        <n v="1.037E9"/>
        <n v="2.195E9"/>
        <n v="1.81E8"/>
        <n v="-1.370192E9"/>
        <n v="-7.38933E8"/>
        <n v="-6.77366E8"/>
        <n v="-7.15243E8"/>
        <n v="-8.2E7"/>
        <n v="-1.73E8"/>
        <n v="3.13E8"/>
        <n v="1.506868E9"/>
        <n v="9.37056E8"/>
        <n v="3.96669E8"/>
        <n v="1.92214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-3.46E8"/>
        <n v="-1.312E9"/>
        <n v="-3.778E9"/>
        <n v="2.86634E8"/>
        <n v="2.69576E8"/>
        <n v="1.99359E8"/>
        <n v="1.89832E8"/>
        <n v="3.556E8"/>
        <n v="3.482E8"/>
        <n v="2.878E8"/>
        <n v="3.981E8"/>
        <n v="3.91743E8"/>
        <n v="3.41864E8"/>
        <n v="3.85901E8"/>
        <n v="3.07754E8"/>
        <n v="2.457E9"/>
        <n v="4.032E9"/>
        <n v="5.021E9"/>
        <n v="2.442E9"/>
        <n v="4.27E8"/>
        <n v="3.99E8"/>
        <n v="5.42E8"/>
        <n v="3.08E8"/>
        <n v="2.51E8"/>
        <n v="3.777E8"/>
        <n v="4.929E8"/>
        <n v="4.701E8"/>
        <n v="4.058E8"/>
        <n v="2.055E8"/>
        <n v="1.652E8"/>
        <n v="1.227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097E9"/>
        <n v="1.567E9"/>
        <n v="8.57E7"/>
        <n v="1.977E8"/>
        <n v="9.05E7"/>
        <n v="1.11E7"/>
        <n v="1.436E8"/>
        <n v="1.321E8"/>
        <n v="1.286E8"/>
        <n v="1.03E8"/>
        <n v="1.362E8"/>
        <n v="1.673E8"/>
        <n v="1.41E8"/>
        <n v="-1.489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166E9"/>
        <n v="2.411E9"/>
        <n v="1.971E9"/>
        <n v="4.0E8"/>
        <n v="2.91E8"/>
        <n v="-6.56E8"/>
        <n v="-5.41E8"/>
        <n v="3.39798E8"/>
        <n v="2.15697E8"/>
        <n v="3.5641E7"/>
        <n v="-1.9391E7"/>
        <n v="1.042E9"/>
        <n v="-7.0E7"/>
        <n v="-3.0E7"/>
        <n v="1.408E9"/>
        <n v="1.75E9"/>
        <n v="1.84665E8"/>
        <n v="2.59695E8"/>
        <n v="9.8655E7"/>
        <n v="5.9173E7"/>
        <n v="3.44E8"/>
        <n v="4.31E8"/>
        <n v="3.78E8"/>
        <n v="2.72E8"/>
        <n v="-1.84E9"/>
        <n v="3.599E8"/>
        <n v="3.637E8"/>
        <n v="5.152E8"/>
        <n v="4.726E8"/>
        <n v="4.042E9"/>
        <n v="2.832E9"/>
        <n v="3.204E9"/>
        <n v="3.788E9"/>
        <n v="1.118E8"/>
        <n v="7.834E8"/>
        <n v="1.4733E9"/>
        <n v="1.6775E9"/>
        <n v="7.22007E8"/>
        <n v="5.98625E8"/>
        <n v="3.65815E8"/>
        <n v="2.8047E8"/>
        <n v="1.506E9"/>
        <n v="2.127E9"/>
        <n v="2.784E9"/>
        <n v="8.14E8"/>
        <n v="2.92943E8"/>
        <n v="5.1203E7"/>
        <n v="1.09262E8"/>
        <n v="2.3515E7"/>
        <n v="-1.564E9"/>
        <n v="-1.77E8"/>
        <n v="6.48E8"/>
        <n v="4.42327E8"/>
        <n v="3.46249E8"/>
        <n v="3.8581E8"/>
        <n v="2.92166E8"/>
        <n v="4.71707E8"/>
        <n v="4.99374E8"/>
        <n v="3.01655E8"/>
        <n v="4.34234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5.03E8"/>
        <n v="6.28E8"/>
        <n v="5.76E8"/>
        <n v="1.933E8"/>
        <n v="1.647E8"/>
        <n v="-7.41E7"/>
        <n v="1.198E8"/>
        <n v="4.29E8"/>
        <n v="3.07E8"/>
        <n v="3.55E8"/>
        <n v="3.11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24E8"/>
        <n v="7.48E8"/>
        <n v="6.14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09E8"/>
        <n v="4.141E8"/>
        <n v="5.926E8"/>
        <n v="9.3853E7"/>
        <n v="9.8854E7"/>
        <n v="9.2643E7"/>
        <n v="6.2619E7"/>
        <n v="2.895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4.69E8"/>
        <n v="1.081E9"/>
        <n v="4.7798E7"/>
        <n v="1.52669E8"/>
        <n v="-1.1745E7"/>
        <n v="1.05782E8"/>
        <n v="5.5E8"/>
        <n v="2.99E8"/>
        <n v="2.8E8"/>
        <n v="1.077E8"/>
        <n v="1.081E8"/>
        <n v="1.101E8"/>
        <n v="1.421E8"/>
        <n v="-6.48E8"/>
        <n v="8.74E8"/>
        <n v="4.14E8"/>
        <n v="6.3E7"/>
        <n v="5.9E7"/>
        <n v="8.2E7"/>
        <n v="1.6648E7"/>
        <n v="5.022E8"/>
        <n v="6.486E8"/>
        <n v="4.096E8"/>
        <n v="4.07E8"/>
        <n v="6.79936E8"/>
        <n v="6.17257E8"/>
        <n v="4.4586E8"/>
        <n v="2.71483E8"/>
        <n v="3.263E8"/>
        <n v="3.378E8"/>
        <n v="3.25E8"/>
        <n v="5.093E8"/>
        <n v="1.962E8"/>
        <n v="2.08E8"/>
        <n v="1.926E8"/>
        <n v="2.089E8"/>
        <n v="1.101E9"/>
        <n v="3.72E8"/>
        <n v="1.135E9"/>
        <n v="3.87E8"/>
        <n v="-9.08E8"/>
        <n v="4.547E8"/>
        <n v="3.855E8"/>
        <n v="1.1534E9"/>
        <n v="6.594E8"/>
        <n v="6.222E8"/>
        <n v="3.926E8"/>
        <n v="7.28E8"/>
        <n v="4.98E8"/>
        <n v="5.17E8"/>
        <n v="-2.1807E7"/>
        <n v="8.8851E7"/>
        <n v="1.14501E8"/>
        <n v="1.05858E8"/>
        <n v="5.92E8"/>
        <n v="3.02E8"/>
        <n v="5.68E8"/>
        <n v="6.21E8"/>
        <n v="5.3222E8"/>
        <n v="3.88316E8"/>
        <n v="4.41713E8"/>
        <n v="2.28935E8"/>
        <n v="1.232E9"/>
        <n v="1.014E9"/>
        <n v="3.03E8"/>
        <n v="1.98646E8"/>
        <n v="1.95078E8"/>
        <n v="1.62345E8"/>
        <n v="1.97455E8"/>
        <n v="8.8927E7"/>
        <n v="6.7289E7"/>
        <n v="2.169E8"/>
        <n v="-6.18419E8"/>
        <n v="9.78E8"/>
        <n v="9.33E8"/>
        <n v="7.5E8"/>
        <n v="1.253E9"/>
        <n v="7.935E8"/>
        <n v="7.295E8"/>
        <n v="7.622E8"/>
        <n v="6.253E8"/>
        <n v="1.0297E7"/>
        <n v="1.52256E8"/>
        <n v="2.18812E8"/>
        <n v="1.82248E8"/>
        <n v="1.998E8"/>
        <n v="2.317E8"/>
        <n v="1.817E9"/>
        <n v="2.097E9"/>
        <n v="1.38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24E9"/>
        <n v="1.745E9"/>
        <n v="1.68E9"/>
        <n v="1.347E9"/>
        <n v="1.83E8"/>
        <n v="2.36E8"/>
        <n v="6.158E8"/>
        <n v="1.175E8"/>
        <n v="2.1011E9"/>
        <n v="8.12E7"/>
        <n v="9.0E8"/>
        <n v="5.32E8"/>
        <n v="4.53E8"/>
        <n v="3.0123E8"/>
        <n v="3.95799E8"/>
        <n v="2.91387E8"/>
        <n v="4.47283E8"/>
        <n v="4.372E8"/>
        <n v="1.567E8"/>
        <n v="8.279E8"/>
        <n v="-6200000.0"/>
        <n v="9.27E8"/>
        <n v="1.3E9"/>
        <n v="8.21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-2.3E7"/>
        <n v="1.389E8"/>
        <n v="1.145E8"/>
        <n v="1.803E8"/>
        <n v="1.559E9"/>
        <n v="1.334E9"/>
        <n v="6.5649E7"/>
        <n v="6.8005E7"/>
        <n v="2.22116E8"/>
        <n v="2.8659E7"/>
        <n v="3.6976E7"/>
        <n v="5.4094E7"/>
        <n v="3.9284E7"/>
        <n v="5.3892E7"/>
        <n v="7.49E8"/>
        <n v="4.76E8"/>
        <n v="6.13E8"/>
        <n v="1.914E9"/>
        <n v="2.175E9"/>
        <n v="1.425E9"/>
        <n v="1.494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266E9"/>
        <n v="4.862E9"/>
        <n v="2.212E9"/>
        <n v="3.172E9"/>
        <n v="3.24363E8"/>
        <n v="2.08539E8"/>
        <n v="3.07714E8"/>
        <n v="2.40489E8"/>
        <n v="-7.05E8"/>
        <n v="-3.6E8"/>
        <n v="-4.65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4.81E8"/>
        <n v="-2.792E8"/>
        <n v="-1.0376E9"/>
        <n v="-9.158E8"/>
        <n v="1.857E8"/>
        <n v="2.515E9"/>
        <n v="2.951E9"/>
        <n v="3.038E9"/>
        <n v="2.06E9"/>
        <n v="4.8036E7"/>
        <n v="4074000.0"/>
        <n v="-2.09142E8"/>
        <n v="5.3155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7E7"/>
        <n v="1.279E8"/>
        <n v="8.66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5.101E8"/>
        <n v="2.39E8"/>
        <n v="2.668E8"/>
        <n v="5.743E9"/>
        <n v="4.256E9"/>
        <n v="2.642E9"/>
        <n v="1.72E9"/>
        <n v="2.6257E7"/>
        <n v="7.1546E7"/>
        <n v="1.63729E8"/>
        <n v="3.25585E8"/>
        <n v="1.873E8"/>
        <n v="1.512E8"/>
        <n v="9.84E7"/>
        <n v="8.23E7"/>
        <n v="2.225E8"/>
        <n v="1.818E8"/>
        <n v="1.771E8"/>
        <n v="2.286E8"/>
        <n v="1.52E8"/>
        <n v="-1.156E9"/>
        <n v="1.785E8"/>
        <n v="1.028E9"/>
        <n v="2.92E8"/>
        <n v="5.81E8"/>
        <n v="4.33E8"/>
        <n v="4.97E8"/>
        <n v="4.25E8"/>
        <n v="7.33E8"/>
        <n v="1.21E8"/>
        <n v="9.4E7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12E8"/>
        <n v="4.79E8"/>
      </sharedItems>
    </cacheField>
    <cacheField name="date2" databaseField="0">
      <fieldGroup base="1">
        <rangePr autoStart="0" autoEnd="0" groupBy="years" startDate="2020-03-31T00:00:00Z" endDate="2021-10-04T00:00:00Z"/>
        <groupItems>
          <s v="&lt;03/31/20"/>
          <s v="120"/>
          <s v="121"/>
          <s v="&gt;10/04/21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1" dataCaption="" compact="0" compactData="0">
  <location ref="A1:B4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19"/>
  </rowFields>
  <dataFields>
    <dataField name="SUM of Total Revenue" fld="13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0:B513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</pivotFields>
  <rowFields>
    <field x="2"/>
  </rowFields>
  <dataFields>
    <dataField name="SUM of Total Revenue" fld="13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520:B1023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</pivotFields>
  <rowFields>
    <field x="2"/>
  </rowFields>
  <dataFields>
    <dataField name="SUM of Operating Income" fld="10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1040:B1543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</pivotFields>
  <rowFields>
    <field x="2"/>
  </rowFields>
  <dataFields>
    <dataField name="SUM of Net Incom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6.5"/>
    <col customWidth="1" min="3" max="3" width="28.5"/>
    <col customWidth="1" min="4" max="4" width="7.13"/>
    <col customWidth="1" min="5" max="5" width="18.38"/>
    <col customWidth="1" min="6" max="6" width="14.88"/>
    <col customWidth="1" min="7" max="7" width="11.75"/>
    <col customWidth="1" min="8" max="8" width="23.38"/>
    <col customWidth="1" min="9" max="10" width="11.25"/>
    <col customWidth="1" min="11" max="11" width="14.25"/>
    <col customWidth="1" min="12" max="12" width="13.5"/>
    <col customWidth="1" min="13" max="13" width="16.5"/>
    <col customWidth="1" min="14" max="14" width="12.13"/>
    <col customWidth="1" min="15" max="15" width="20.13"/>
    <col customWidth="1" min="16" max="16" width="13.75"/>
    <col customWidth="1" min="17" max="17" width="25.13"/>
    <col customWidth="1" min="18" max="18" width="25.88"/>
    <col customWidth="1" min="19" max="19" width="32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1">
        <v>0.0</v>
      </c>
      <c r="B2" s="3">
        <v>44469.0</v>
      </c>
      <c r="C2" s="1" t="s">
        <v>20</v>
      </c>
      <c r="D2" s="1" t="s">
        <v>21</v>
      </c>
      <c r="E2" s="1">
        <v>4.82E8</v>
      </c>
      <c r="F2" s="1">
        <v>1.761E9</v>
      </c>
      <c r="G2" s="1">
        <v>1.434E9</v>
      </c>
      <c r="H2" s="1">
        <v>1.739E9</v>
      </c>
      <c r="I2" s="1">
        <v>4.089E9</v>
      </c>
      <c r="J2" s="1">
        <v>1.868E9</v>
      </c>
      <c r="K2" s="1">
        <v>1.868E9</v>
      </c>
      <c r="L2" s="1">
        <v>-1.17E8</v>
      </c>
      <c r="M2" s="1">
        <v>3.24E8</v>
      </c>
      <c r="N2" s="1">
        <v>8.942E9</v>
      </c>
      <c r="O2" s="1">
        <v>7.074E9</v>
      </c>
      <c r="P2" s="1">
        <v>4.853E9</v>
      </c>
      <c r="Q2" s="1">
        <v>-1.07E8</v>
      </c>
      <c r="R2" s="1">
        <v>1.437E9</v>
      </c>
      <c r="S2" s="1">
        <v>1.434E9</v>
      </c>
    </row>
    <row r="3">
      <c r="A3" s="1">
        <v>1.0</v>
      </c>
      <c r="B3" s="3">
        <v>44377.0</v>
      </c>
      <c r="C3" s="1" t="s">
        <v>20</v>
      </c>
      <c r="D3" s="1" t="s">
        <v>21</v>
      </c>
      <c r="E3" s="1">
        <v>5.14E8</v>
      </c>
      <c r="F3" s="1">
        <v>1.94E9</v>
      </c>
      <c r="G3" s="1">
        <v>1.524E9</v>
      </c>
      <c r="H3" s="1">
        <v>1.666E9</v>
      </c>
      <c r="I3" s="1">
        <v>4.231E9</v>
      </c>
      <c r="J3" s="1">
        <v>2.051E9</v>
      </c>
      <c r="K3" s="1">
        <v>2.051E9</v>
      </c>
      <c r="L3" s="1">
        <v>-1.21E8</v>
      </c>
      <c r="M3" s="1">
        <v>4.15E8</v>
      </c>
      <c r="N3" s="1">
        <v>8.95E9</v>
      </c>
      <c r="O3" s="1">
        <v>6.899E9</v>
      </c>
      <c r="P3" s="1">
        <v>4.719E9</v>
      </c>
      <c r="Q3" s="1">
        <v>-1.11E8</v>
      </c>
      <c r="R3" s="1">
        <v>1.525E9</v>
      </c>
      <c r="S3" s="1">
        <v>1.524E9</v>
      </c>
    </row>
    <row r="4">
      <c r="A4" s="1">
        <v>2.0</v>
      </c>
      <c r="B4" s="3">
        <v>44286.0</v>
      </c>
      <c r="C4" s="1" t="s">
        <v>20</v>
      </c>
      <c r="D4" s="1" t="s">
        <v>21</v>
      </c>
      <c r="E4" s="1">
        <v>5.2E8</v>
      </c>
      <c r="F4" s="1">
        <v>1.946E9</v>
      </c>
      <c r="G4" s="1">
        <v>1.624E9</v>
      </c>
      <c r="H4" s="1">
        <v>1.72E9</v>
      </c>
      <c r="I4" s="1">
        <v>4.327E9</v>
      </c>
      <c r="J4" s="1">
        <v>2.087E9</v>
      </c>
      <c r="K4" s="1">
        <v>2.087E9</v>
      </c>
      <c r="L4" s="1">
        <v>-1.32E8</v>
      </c>
      <c r="M4" s="1">
        <v>3.19E8</v>
      </c>
      <c r="N4" s="1">
        <v>8.851E9</v>
      </c>
      <c r="O4" s="1">
        <v>6.764E9</v>
      </c>
      <c r="P4" s="1">
        <v>4.524E9</v>
      </c>
      <c r="Q4" s="1">
        <v>-1.41E8</v>
      </c>
      <c r="R4" s="1">
        <v>1.627E9</v>
      </c>
      <c r="S4" s="1">
        <v>1.624E9</v>
      </c>
    </row>
    <row r="5">
      <c r="A5" s="1">
        <v>3.0</v>
      </c>
      <c r="B5" s="3">
        <v>44196.0</v>
      </c>
      <c r="C5" s="1" t="s">
        <v>20</v>
      </c>
      <c r="D5" s="1" t="s">
        <v>21</v>
      </c>
      <c r="E5" s="1">
        <v>4.49E8</v>
      </c>
      <c r="F5" s="1">
        <v>1.706E9</v>
      </c>
      <c r="G5" s="1">
        <v>1.389E9</v>
      </c>
      <c r="H5" s="1">
        <v>1.814E9</v>
      </c>
      <c r="I5" s="1">
        <v>4.246E9</v>
      </c>
      <c r="J5" s="1">
        <v>1.983E9</v>
      </c>
      <c r="K5" s="1">
        <v>1.983E9</v>
      </c>
      <c r="L5" s="1">
        <v>-1.41E8</v>
      </c>
      <c r="M5" s="1">
        <v>3.16E8</v>
      </c>
      <c r="N5" s="1">
        <v>8.583E9</v>
      </c>
      <c r="O5" s="1">
        <v>6.6E9</v>
      </c>
      <c r="P5" s="1">
        <v>4.337E9</v>
      </c>
      <c r="Q5" s="1">
        <v>-2.77E8</v>
      </c>
      <c r="R5" s="1">
        <v>1.39E9</v>
      </c>
      <c r="S5" s="1">
        <v>1.389E9</v>
      </c>
    </row>
    <row r="6">
      <c r="A6" s="1">
        <v>4.0</v>
      </c>
      <c r="B6" s="3">
        <v>44469.0</v>
      </c>
      <c r="C6" s="1" t="s">
        <v>20</v>
      </c>
      <c r="D6" s="1" t="s">
        <v>21</v>
      </c>
      <c r="E6" s="1">
        <v>4.82E8</v>
      </c>
      <c r="F6" s="1">
        <v>1.761E9</v>
      </c>
      <c r="G6" s="1">
        <v>1.434E9</v>
      </c>
      <c r="H6" s="1">
        <v>1.739E9</v>
      </c>
      <c r="I6" s="1">
        <v>4.089E9</v>
      </c>
      <c r="J6" s="1">
        <v>1.868E9</v>
      </c>
      <c r="K6" s="1">
        <v>1.868E9</v>
      </c>
      <c r="L6" s="1">
        <v>-1.17E8</v>
      </c>
      <c r="M6" s="1">
        <v>3.24E8</v>
      </c>
      <c r="N6" s="1">
        <v>8.942E9</v>
      </c>
      <c r="O6" s="1">
        <v>7.074E9</v>
      </c>
      <c r="P6" s="1">
        <v>4.853E9</v>
      </c>
      <c r="Q6" s="1">
        <v>-1.07E8</v>
      </c>
      <c r="R6" s="1">
        <v>1.437E9</v>
      </c>
      <c r="S6" s="1">
        <v>1.434E9</v>
      </c>
    </row>
    <row r="7">
      <c r="A7" s="1">
        <v>5.0</v>
      </c>
      <c r="B7" s="3">
        <v>44377.0</v>
      </c>
      <c r="C7" s="1" t="s">
        <v>20</v>
      </c>
      <c r="D7" s="1" t="s">
        <v>21</v>
      </c>
      <c r="E7" s="1">
        <v>5.14E8</v>
      </c>
      <c r="F7" s="1">
        <v>1.94E9</v>
      </c>
      <c r="G7" s="1">
        <v>1.524E9</v>
      </c>
      <c r="H7" s="1">
        <v>1.666E9</v>
      </c>
      <c r="I7" s="1">
        <v>4.231E9</v>
      </c>
      <c r="J7" s="1">
        <v>2.051E9</v>
      </c>
      <c r="K7" s="1">
        <v>2.051E9</v>
      </c>
      <c r="L7" s="1">
        <v>-1.21E8</v>
      </c>
      <c r="M7" s="1">
        <v>4.15E8</v>
      </c>
      <c r="N7" s="1">
        <v>8.95E9</v>
      </c>
      <c r="O7" s="1">
        <v>6.899E9</v>
      </c>
      <c r="P7" s="1">
        <v>4.719E9</v>
      </c>
      <c r="Q7" s="1">
        <v>-1.11E8</v>
      </c>
      <c r="R7" s="1">
        <v>1.525E9</v>
      </c>
      <c r="S7" s="1">
        <v>1.524E9</v>
      </c>
    </row>
    <row r="8">
      <c r="A8" s="1">
        <v>6.0</v>
      </c>
      <c r="B8" s="3">
        <v>44286.0</v>
      </c>
      <c r="C8" s="1" t="s">
        <v>20</v>
      </c>
      <c r="D8" s="1" t="s">
        <v>21</v>
      </c>
      <c r="E8" s="1">
        <v>5.2E8</v>
      </c>
      <c r="F8" s="1">
        <v>1.946E9</v>
      </c>
      <c r="G8" s="1">
        <v>1.624E9</v>
      </c>
      <c r="H8" s="1">
        <v>1.72E9</v>
      </c>
      <c r="I8" s="1">
        <v>4.327E9</v>
      </c>
      <c r="J8" s="1">
        <v>2.087E9</v>
      </c>
      <c r="K8" s="1">
        <v>2.087E9</v>
      </c>
      <c r="L8" s="1">
        <v>-1.32E8</v>
      </c>
      <c r="M8" s="1">
        <v>3.19E8</v>
      </c>
      <c r="N8" s="1">
        <v>8.851E9</v>
      </c>
      <c r="O8" s="1">
        <v>6.764E9</v>
      </c>
      <c r="P8" s="1">
        <v>4.524E9</v>
      </c>
      <c r="Q8" s="1">
        <v>-1.41E8</v>
      </c>
      <c r="R8" s="1">
        <v>1.627E9</v>
      </c>
      <c r="S8" s="1">
        <v>1.624E9</v>
      </c>
    </row>
    <row r="9">
      <c r="A9" s="1">
        <v>7.0</v>
      </c>
      <c r="B9" s="3">
        <v>44196.0</v>
      </c>
      <c r="C9" s="1" t="s">
        <v>20</v>
      </c>
      <c r="D9" s="1" t="s">
        <v>21</v>
      </c>
      <c r="E9" s="1">
        <v>4.49E8</v>
      </c>
      <c r="F9" s="1">
        <v>1.706E9</v>
      </c>
      <c r="G9" s="1">
        <v>1.389E9</v>
      </c>
      <c r="H9" s="1">
        <v>1.814E9</v>
      </c>
      <c r="I9" s="1">
        <v>4.246E9</v>
      </c>
      <c r="J9" s="1">
        <v>1.983E9</v>
      </c>
      <c r="K9" s="1">
        <v>1.983E9</v>
      </c>
      <c r="L9" s="1">
        <v>-1.41E8</v>
      </c>
      <c r="M9" s="1">
        <v>3.16E8</v>
      </c>
      <c r="N9" s="1">
        <v>8.583E9</v>
      </c>
      <c r="O9" s="1">
        <v>6.6E9</v>
      </c>
      <c r="P9" s="1">
        <v>4.337E9</v>
      </c>
      <c r="Q9" s="1">
        <v>-2.77E8</v>
      </c>
      <c r="R9" s="1">
        <v>1.39E9</v>
      </c>
      <c r="S9" s="1">
        <v>1.389E9</v>
      </c>
    </row>
    <row r="10">
      <c r="A10" s="1">
        <v>8.0</v>
      </c>
      <c r="B10" s="3">
        <v>44469.0</v>
      </c>
      <c r="C10" s="1" t="s">
        <v>22</v>
      </c>
      <c r="D10" s="1" t="s">
        <v>23</v>
      </c>
      <c r="F10" s="1">
        <v>1.664E8</v>
      </c>
      <c r="G10" s="1">
        <v>1.316E8</v>
      </c>
      <c r="H10" s="1">
        <v>1.743E8</v>
      </c>
      <c r="I10" s="1">
        <v>3.403E8</v>
      </c>
      <c r="J10" s="1">
        <v>1.66E8</v>
      </c>
      <c r="K10" s="1">
        <v>1.66E8</v>
      </c>
      <c r="L10" s="1">
        <v>-1000000.0</v>
      </c>
      <c r="M10" s="1">
        <v>3.48E7</v>
      </c>
      <c r="N10" s="1">
        <v>9.146E8</v>
      </c>
      <c r="O10" s="1">
        <v>7.486E8</v>
      </c>
      <c r="P10" s="1">
        <v>5.743E8</v>
      </c>
      <c r="Q10" s="1">
        <v>400000.0</v>
      </c>
      <c r="R10" s="1">
        <v>1.316E8</v>
      </c>
      <c r="S10" s="1">
        <v>1.316E8</v>
      </c>
    </row>
    <row r="11">
      <c r="A11" s="1">
        <v>9.0</v>
      </c>
      <c r="B11" s="3">
        <v>44377.0</v>
      </c>
      <c r="C11" s="1" t="s">
        <v>22</v>
      </c>
      <c r="D11" s="1" t="s">
        <v>23</v>
      </c>
      <c r="F11" s="1">
        <v>1.513E8</v>
      </c>
      <c r="G11" s="1">
        <v>1.182E8</v>
      </c>
      <c r="H11" s="1">
        <v>1.698E8</v>
      </c>
      <c r="I11" s="1">
        <v>3.214E8</v>
      </c>
      <c r="J11" s="1">
        <v>1.516E8</v>
      </c>
      <c r="K11" s="1">
        <v>1.516E8</v>
      </c>
      <c r="L11" s="1">
        <v>-900000.0</v>
      </c>
      <c r="M11" s="1">
        <v>3.31E7</v>
      </c>
      <c r="N11" s="1">
        <v>8.598E8</v>
      </c>
      <c r="O11" s="1">
        <v>7.082E8</v>
      </c>
      <c r="P11" s="1">
        <v>5.384E8</v>
      </c>
      <c r="Q11" s="1">
        <v>-300000.0</v>
      </c>
      <c r="R11" s="1">
        <v>1.182E8</v>
      </c>
      <c r="S11" s="1">
        <v>1.182E8</v>
      </c>
    </row>
    <row r="12">
      <c r="A12" s="1">
        <v>10.0</v>
      </c>
      <c r="B12" s="3">
        <v>44286.0</v>
      </c>
      <c r="C12" s="1" t="s">
        <v>22</v>
      </c>
      <c r="D12" s="1" t="s">
        <v>23</v>
      </c>
      <c r="F12" s="1">
        <v>1.261E8</v>
      </c>
      <c r="G12" s="1">
        <v>9.77E7</v>
      </c>
      <c r="H12" s="1">
        <v>1.665E8</v>
      </c>
      <c r="I12" s="1">
        <v>2.886E8</v>
      </c>
      <c r="J12" s="1">
        <v>1.221E8</v>
      </c>
      <c r="K12" s="1">
        <v>1.221E8</v>
      </c>
      <c r="L12" s="1">
        <v>-1000000.0</v>
      </c>
      <c r="M12" s="1">
        <v>2.84E7</v>
      </c>
      <c r="N12" s="1">
        <v>7.69E8</v>
      </c>
      <c r="O12" s="1">
        <v>6.469E8</v>
      </c>
      <c r="P12" s="1">
        <v>4.804E8</v>
      </c>
      <c r="Q12" s="1">
        <v>4000000.0</v>
      </c>
      <c r="R12" s="1">
        <v>9.77E7</v>
      </c>
      <c r="S12" s="1">
        <v>9.77E7</v>
      </c>
    </row>
    <row r="13">
      <c r="A13" s="1">
        <v>11.0</v>
      </c>
      <c r="B13" s="3">
        <v>44196.0</v>
      </c>
      <c r="C13" s="1" t="s">
        <v>22</v>
      </c>
      <c r="D13" s="1" t="s">
        <v>23</v>
      </c>
      <c r="F13" s="1">
        <v>1.519E8</v>
      </c>
      <c r="G13" s="1">
        <v>1.2E8</v>
      </c>
      <c r="H13" s="1">
        <v>1.847E8</v>
      </c>
      <c r="I13" s="1">
        <v>3.241E8</v>
      </c>
      <c r="J13" s="1">
        <v>1.394E8</v>
      </c>
      <c r="K13" s="1">
        <v>1.394E8</v>
      </c>
      <c r="L13" s="1">
        <v>-1000000.0</v>
      </c>
      <c r="M13" s="1">
        <v>3.19E7</v>
      </c>
      <c r="N13" s="1">
        <v>8.345E8</v>
      </c>
      <c r="O13" s="1">
        <v>6.951E8</v>
      </c>
      <c r="P13" s="1">
        <v>5.104E8</v>
      </c>
      <c r="Q13" s="1">
        <v>1.25E7</v>
      </c>
      <c r="R13" s="1">
        <v>1.2E8</v>
      </c>
      <c r="S13" s="1">
        <v>1.2E8</v>
      </c>
    </row>
    <row r="14">
      <c r="A14" s="1">
        <v>12.0</v>
      </c>
      <c r="B14" s="3">
        <v>44469.0</v>
      </c>
      <c r="C14" s="1" t="s">
        <v>24</v>
      </c>
      <c r="D14" s="1" t="s">
        <v>25</v>
      </c>
      <c r="E14" s="1">
        <v>6.72E8</v>
      </c>
      <c r="F14" s="1">
        <v>2.493E9</v>
      </c>
      <c r="G14" s="1">
        <v>2.1E9</v>
      </c>
      <c r="H14" s="1">
        <v>2.699E9</v>
      </c>
      <c r="I14" s="1">
        <v>6.505E9</v>
      </c>
      <c r="J14" s="1">
        <v>2.614E9</v>
      </c>
      <c r="K14" s="1">
        <v>2.614E9</v>
      </c>
      <c r="L14" s="1">
        <v>-1.33E8</v>
      </c>
      <c r="M14" s="1">
        <v>3.93E8</v>
      </c>
      <c r="N14" s="1">
        <v>1.0928E10</v>
      </c>
      <c r="O14" s="1">
        <v>8.314E9</v>
      </c>
      <c r="P14" s="1">
        <v>4.423E9</v>
      </c>
      <c r="Q14" s="1">
        <v>-1.21E8</v>
      </c>
      <c r="R14" s="1">
        <v>2.1E9</v>
      </c>
      <c r="S14" s="1">
        <v>2.092E9</v>
      </c>
    </row>
    <row r="15">
      <c r="A15" s="1">
        <v>13.0</v>
      </c>
      <c r="B15" s="3">
        <v>44377.0</v>
      </c>
      <c r="C15" s="1" t="s">
        <v>24</v>
      </c>
      <c r="D15" s="1" t="s">
        <v>25</v>
      </c>
      <c r="E15" s="1">
        <v>6.54E8</v>
      </c>
      <c r="F15" s="1">
        <v>1.348E9</v>
      </c>
      <c r="G15" s="1">
        <v>1.189E9</v>
      </c>
      <c r="H15" s="1">
        <v>2.658E9</v>
      </c>
      <c r="I15" s="1">
        <v>5.786E9</v>
      </c>
      <c r="J15" s="1">
        <v>1.97E9</v>
      </c>
      <c r="K15" s="1">
        <v>1.97E9</v>
      </c>
      <c r="L15" s="1">
        <v>-1.34E8</v>
      </c>
      <c r="M15" s="1">
        <v>1.59E8</v>
      </c>
      <c r="N15" s="1">
        <v>1.0223E10</v>
      </c>
      <c r="O15" s="1">
        <v>8.253E9</v>
      </c>
      <c r="P15" s="1">
        <v>4.437E9</v>
      </c>
      <c r="Q15" s="1">
        <v>-6.22E8</v>
      </c>
      <c r="R15" s="1">
        <v>1.189E9</v>
      </c>
      <c r="S15" s="1">
        <v>1.184E9</v>
      </c>
    </row>
    <row r="16">
      <c r="A16" s="1">
        <v>14.0</v>
      </c>
      <c r="B16" s="3">
        <v>44286.0</v>
      </c>
      <c r="C16" s="1" t="s">
        <v>24</v>
      </c>
      <c r="D16" s="1" t="s">
        <v>25</v>
      </c>
      <c r="E16" s="1">
        <v>6.54E8</v>
      </c>
      <c r="F16" s="1">
        <v>2.043E9</v>
      </c>
      <c r="G16" s="1">
        <v>1.793E9</v>
      </c>
      <c r="H16" s="1">
        <v>2.716E9</v>
      </c>
      <c r="I16" s="1">
        <v>6.056E9</v>
      </c>
      <c r="J16" s="1">
        <v>2.177E9</v>
      </c>
      <c r="K16" s="1">
        <v>2.177E9</v>
      </c>
      <c r="L16" s="1">
        <v>-1.35E8</v>
      </c>
      <c r="M16" s="1">
        <v>2.5E8</v>
      </c>
      <c r="N16" s="1">
        <v>1.0456E10</v>
      </c>
      <c r="O16" s="1">
        <v>8.279E9</v>
      </c>
      <c r="P16" s="1">
        <v>4.4E9</v>
      </c>
      <c r="Q16" s="1">
        <v>-1.34E8</v>
      </c>
      <c r="R16" s="1">
        <v>1.793E9</v>
      </c>
      <c r="S16" s="1">
        <v>1.785E9</v>
      </c>
    </row>
    <row r="17">
      <c r="A17" s="1">
        <v>15.0</v>
      </c>
      <c r="B17" s="3">
        <v>44196.0</v>
      </c>
      <c r="C17" s="1" t="s">
        <v>24</v>
      </c>
      <c r="D17" s="1" t="s">
        <v>25</v>
      </c>
      <c r="E17" s="1">
        <v>6.43E8</v>
      </c>
      <c r="F17" s="1">
        <v>2.388E9</v>
      </c>
      <c r="G17" s="1">
        <v>2.162E9</v>
      </c>
      <c r="H17" s="1">
        <v>2.525E9</v>
      </c>
      <c r="I17" s="1">
        <v>6.207E9</v>
      </c>
      <c r="J17" s="1">
        <v>2.531E9</v>
      </c>
      <c r="K17" s="1">
        <v>2.531E9</v>
      </c>
      <c r="L17" s="1">
        <v>-1.36E8</v>
      </c>
      <c r="M17" s="1">
        <v>2.3E8</v>
      </c>
      <c r="N17" s="1">
        <v>1.0701E10</v>
      </c>
      <c r="O17" s="1">
        <v>8.17E9</v>
      </c>
      <c r="P17" s="1">
        <v>4.494E9</v>
      </c>
      <c r="Q17" s="1">
        <v>-1.43E8</v>
      </c>
      <c r="R17" s="1">
        <v>2.158E9</v>
      </c>
      <c r="S17" s="1">
        <v>2.151E9</v>
      </c>
    </row>
    <row r="18">
      <c r="A18" s="1">
        <v>16.0</v>
      </c>
      <c r="B18" s="3">
        <v>44469.0</v>
      </c>
      <c r="C18" s="1" t="s">
        <v>26</v>
      </c>
      <c r="D18" s="1" t="s">
        <v>27</v>
      </c>
      <c r="E18" s="1">
        <v>1.655E9</v>
      </c>
      <c r="F18" s="1">
        <v>3.688E9</v>
      </c>
      <c r="G18" s="1">
        <v>3.179E9</v>
      </c>
      <c r="H18" s="1">
        <v>2.946E9</v>
      </c>
      <c r="I18" s="1">
        <v>9.998E9</v>
      </c>
      <c r="J18" s="1">
        <v>4.897E9</v>
      </c>
      <c r="K18" s="1">
        <v>4.897E9</v>
      </c>
      <c r="L18" s="1">
        <v>-5.96E8</v>
      </c>
      <c r="M18" s="1">
        <v>5.08E8</v>
      </c>
      <c r="N18" s="1">
        <v>1.4342E10</v>
      </c>
      <c r="O18" s="1">
        <v>9.445E9</v>
      </c>
      <c r="P18" s="1">
        <v>4.344E9</v>
      </c>
      <c r="Q18" s="1">
        <v>-1.209E9</v>
      </c>
      <c r="R18" s="1">
        <v>3.18E9</v>
      </c>
      <c r="S18" s="1">
        <v>3.158E9</v>
      </c>
    </row>
    <row r="19">
      <c r="A19" s="1">
        <v>17.0</v>
      </c>
      <c r="B19" s="3">
        <v>44377.0</v>
      </c>
      <c r="C19" s="1" t="s">
        <v>26</v>
      </c>
      <c r="D19" s="1" t="s">
        <v>27</v>
      </c>
      <c r="E19" s="1">
        <v>1.784E9</v>
      </c>
      <c r="F19" s="1">
        <v>1.163E9</v>
      </c>
      <c r="G19" s="1">
        <v>7.66E8</v>
      </c>
      <c r="H19" s="1">
        <v>3.049E9</v>
      </c>
      <c r="I19" s="1">
        <v>9.461E9</v>
      </c>
      <c r="J19" s="1">
        <v>4.696E9</v>
      </c>
      <c r="K19" s="1">
        <v>4.696E9</v>
      </c>
      <c r="L19" s="1">
        <v>-6.15E8</v>
      </c>
      <c r="M19" s="1">
        <v>3.94E8</v>
      </c>
      <c r="N19" s="1">
        <v>1.3959E10</v>
      </c>
      <c r="O19" s="1">
        <v>9.263E9</v>
      </c>
      <c r="P19" s="1">
        <v>4.498E9</v>
      </c>
      <c r="Q19" s="1">
        <v>-3.533E9</v>
      </c>
      <c r="R19" s="1">
        <v>7.69E8</v>
      </c>
      <c r="S19" s="1">
        <v>7.51E8</v>
      </c>
    </row>
    <row r="20">
      <c r="A20" s="1">
        <v>18.0</v>
      </c>
      <c r="B20" s="3">
        <v>44286.0</v>
      </c>
      <c r="C20" s="1" t="s">
        <v>26</v>
      </c>
      <c r="D20" s="1" t="s">
        <v>27</v>
      </c>
      <c r="E20" s="1">
        <v>1.731E9</v>
      </c>
      <c r="F20" s="1">
        <v>3.867E9</v>
      </c>
      <c r="G20" s="1">
        <v>3.553E9</v>
      </c>
      <c r="H20" s="1">
        <v>2.741E9</v>
      </c>
      <c r="I20" s="1">
        <v>8.818E9</v>
      </c>
      <c r="J20" s="1">
        <v>4.346E9</v>
      </c>
      <c r="K20" s="1">
        <v>4.346E9</v>
      </c>
      <c r="L20" s="1">
        <v>-6.32E8</v>
      </c>
      <c r="M20" s="1">
        <v>3.12E8</v>
      </c>
      <c r="N20" s="1">
        <v>1.301E10</v>
      </c>
      <c r="O20" s="1">
        <v>8.664E9</v>
      </c>
      <c r="P20" s="1">
        <v>4.192E9</v>
      </c>
      <c r="Q20" s="1">
        <v>-4.79E8</v>
      </c>
      <c r="R20" s="1">
        <v>3.555E9</v>
      </c>
      <c r="S20" s="1">
        <v>3.536E9</v>
      </c>
    </row>
    <row r="21">
      <c r="A21" s="1">
        <v>19.0</v>
      </c>
      <c r="B21" s="3">
        <v>44196.0</v>
      </c>
      <c r="C21" s="1" t="s">
        <v>26</v>
      </c>
      <c r="D21" s="1" t="s">
        <v>27</v>
      </c>
      <c r="E21" s="1">
        <v>1.821E9</v>
      </c>
      <c r="F21" s="1">
        <v>-1.507E9</v>
      </c>
      <c r="G21" s="1">
        <v>3.6E7</v>
      </c>
      <c r="H21" s="1">
        <v>3.099E9</v>
      </c>
      <c r="I21" s="1">
        <v>1.0448E10</v>
      </c>
      <c r="J21" s="1">
        <v>5.528E9</v>
      </c>
      <c r="K21" s="1">
        <v>5.528E9</v>
      </c>
      <c r="L21" s="1">
        <v>-6.29E8</v>
      </c>
      <c r="M21" s="1">
        <v>-1.545E9</v>
      </c>
      <c r="N21" s="1">
        <v>1.3858E10</v>
      </c>
      <c r="O21" s="1">
        <v>8.33E9</v>
      </c>
      <c r="P21" s="1">
        <v>3.41E9</v>
      </c>
      <c r="Q21" s="1">
        <v>-7.035E9</v>
      </c>
      <c r="R21" s="1">
        <v>3.8E7</v>
      </c>
      <c r="S21" s="1">
        <v>2.0E7</v>
      </c>
    </row>
    <row r="22">
      <c r="A22" s="1">
        <v>20.0</v>
      </c>
      <c r="B22" s="3">
        <v>44469.0</v>
      </c>
      <c r="C22" s="1" t="s">
        <v>28</v>
      </c>
      <c r="D22" s="1" t="s">
        <v>29</v>
      </c>
      <c r="E22" s="1">
        <v>4.1041E7</v>
      </c>
      <c r="F22" s="1">
        <v>6.7271E7</v>
      </c>
      <c r="G22" s="1">
        <v>5.6953E7</v>
      </c>
      <c r="H22" s="1">
        <v>1.02779E8</v>
      </c>
      <c r="I22" s="1">
        <v>2.04256E8</v>
      </c>
      <c r="J22" s="1">
        <v>6.0436E7</v>
      </c>
      <c r="K22" s="1">
        <v>6.0436E7</v>
      </c>
      <c r="M22" s="1">
        <v>1.0318E7</v>
      </c>
      <c r="N22" s="1">
        <v>2.48142E8</v>
      </c>
      <c r="O22" s="1">
        <v>1.87706E8</v>
      </c>
      <c r="P22" s="1">
        <v>4.3886E7</v>
      </c>
      <c r="Q22" s="1">
        <v>6835000.0</v>
      </c>
      <c r="R22" s="1">
        <v>5.6953E7</v>
      </c>
      <c r="S22" s="1">
        <v>5.6953E7</v>
      </c>
    </row>
    <row r="23">
      <c r="A23" s="1">
        <v>21.0</v>
      </c>
      <c r="B23" s="3">
        <v>44377.0</v>
      </c>
      <c r="C23" s="1" t="s">
        <v>28</v>
      </c>
      <c r="D23" s="1" t="s">
        <v>29</v>
      </c>
      <c r="E23" s="1">
        <v>3.6837E7</v>
      </c>
      <c r="F23" s="1">
        <v>-9350000.0</v>
      </c>
      <c r="G23" s="1">
        <v>-2.6525E7</v>
      </c>
      <c r="H23" s="1">
        <v>1.03484E8</v>
      </c>
      <c r="I23" s="1">
        <v>2.07397E8</v>
      </c>
      <c r="J23" s="1">
        <v>6.7076E7</v>
      </c>
      <c r="K23" s="1">
        <v>6.7076E7</v>
      </c>
      <c r="M23" s="1">
        <v>1.7175E7</v>
      </c>
      <c r="N23" s="1">
        <v>2.52585E8</v>
      </c>
      <c r="O23" s="1">
        <v>1.85509E8</v>
      </c>
      <c r="P23" s="1">
        <v>4.5188E7</v>
      </c>
      <c r="Q23" s="1">
        <v>-7.6426E7</v>
      </c>
      <c r="R23" s="1">
        <v>-2.6525E7</v>
      </c>
      <c r="S23" s="1">
        <v>-2.6525E7</v>
      </c>
    </row>
    <row r="24">
      <c r="A24" s="1">
        <v>22.0</v>
      </c>
      <c r="B24" s="3">
        <v>44286.0</v>
      </c>
      <c r="C24" s="1" t="s">
        <v>28</v>
      </c>
      <c r="D24" s="1" t="s">
        <v>29</v>
      </c>
      <c r="E24" s="1">
        <v>3.2599E7</v>
      </c>
      <c r="F24" s="1">
        <v>7.3494E7</v>
      </c>
      <c r="G24" s="1">
        <v>5.6856E7</v>
      </c>
      <c r="H24" s="1">
        <v>1.00374E8</v>
      </c>
      <c r="I24" s="1">
        <v>1.95167E8</v>
      </c>
      <c r="J24" s="1">
        <v>6.2194E7</v>
      </c>
      <c r="K24" s="1">
        <v>6.2194E7</v>
      </c>
      <c r="M24" s="1">
        <v>1.6638E7</v>
      </c>
      <c r="N24" s="1">
        <v>2.41245E8</v>
      </c>
      <c r="O24" s="1">
        <v>1.79051E8</v>
      </c>
      <c r="P24" s="1">
        <v>4.6078E7</v>
      </c>
      <c r="Q24" s="1">
        <v>1.13E7</v>
      </c>
      <c r="R24" s="1">
        <v>5.6856E7</v>
      </c>
      <c r="S24" s="1">
        <v>5.6856E7</v>
      </c>
    </row>
    <row r="25">
      <c r="A25" s="1">
        <v>23.0</v>
      </c>
      <c r="B25" s="3">
        <v>44196.0</v>
      </c>
      <c r="C25" s="1" t="s">
        <v>28</v>
      </c>
      <c r="D25" s="1" t="s">
        <v>29</v>
      </c>
      <c r="E25" s="1">
        <v>3.2105E7</v>
      </c>
      <c r="F25" s="1">
        <v>8.0735E7</v>
      </c>
      <c r="G25" s="1">
        <v>6.1868E7</v>
      </c>
      <c r="H25" s="1">
        <v>8.6198E7</v>
      </c>
      <c r="I25" s="1">
        <v>1.90553E8</v>
      </c>
      <c r="J25" s="1">
        <v>7.225E7</v>
      </c>
      <c r="K25" s="1">
        <v>7.225E7</v>
      </c>
      <c r="M25" s="1">
        <v>1.8867E7</v>
      </c>
      <c r="N25" s="1">
        <v>2.31663E8</v>
      </c>
      <c r="O25" s="1">
        <v>1.59413E8</v>
      </c>
      <c r="P25" s="1">
        <v>4.111E7</v>
      </c>
      <c r="Q25" s="1">
        <v>8485000.0</v>
      </c>
      <c r="R25" s="1">
        <v>6.1868E7</v>
      </c>
      <c r="S25" s="1">
        <v>6.1868E7</v>
      </c>
    </row>
    <row r="26">
      <c r="A26" s="1">
        <v>24.0</v>
      </c>
      <c r="B26" s="3">
        <v>44439.0</v>
      </c>
      <c r="C26" s="1" t="s">
        <v>30</v>
      </c>
      <c r="D26" s="1" t="s">
        <v>31</v>
      </c>
      <c r="F26" s="1">
        <v>1.917805E9</v>
      </c>
      <c r="G26" s="1">
        <v>1.416248E9</v>
      </c>
      <c r="H26" s="1">
        <v>2.507527E9</v>
      </c>
      <c r="I26" s="1">
        <v>4.466216E9</v>
      </c>
      <c r="J26" s="1">
        <v>1.958689E9</v>
      </c>
      <c r="K26" s="1">
        <v>1.958689E9</v>
      </c>
      <c r="L26" s="1">
        <v>-1.2977E7</v>
      </c>
      <c r="M26" s="1">
        <v>4.80382E8</v>
      </c>
      <c r="N26" s="1">
        <v>1.3419284E10</v>
      </c>
      <c r="O26" s="1">
        <v>1.1460595E10</v>
      </c>
      <c r="P26" s="1">
        <v>8.953068E9</v>
      </c>
      <c r="Q26" s="1">
        <v>-4.0884E7</v>
      </c>
      <c r="R26" s="1">
        <v>1.437423E9</v>
      </c>
      <c r="S26" s="1">
        <v>1.416248E9</v>
      </c>
    </row>
    <row r="27">
      <c r="A27" s="1">
        <v>25.0</v>
      </c>
      <c r="B27" s="3">
        <v>44347.0</v>
      </c>
      <c r="C27" s="1" t="s">
        <v>30</v>
      </c>
      <c r="D27" s="1" t="s">
        <v>31</v>
      </c>
      <c r="F27" s="1">
        <v>2.094001E9</v>
      </c>
      <c r="G27" s="1">
        <v>1.549426E9</v>
      </c>
      <c r="H27" s="1">
        <v>2.285728E9</v>
      </c>
      <c r="I27" s="1">
        <v>4.404384E9</v>
      </c>
      <c r="J27" s="1">
        <v>2.118656E9</v>
      </c>
      <c r="K27" s="1">
        <v>2.118656E9</v>
      </c>
      <c r="L27" s="1">
        <v>-2.8739E7</v>
      </c>
      <c r="M27" s="1">
        <v>5.24429E8</v>
      </c>
      <c r="N27" s="1">
        <v>1.3263795E10</v>
      </c>
      <c r="O27" s="1">
        <v>1.1145139E10</v>
      </c>
      <c r="P27" s="1">
        <v>8.859411E9</v>
      </c>
      <c r="Q27" s="1">
        <v>-2.4655E7</v>
      </c>
      <c r="R27" s="1">
        <v>1.569572E9</v>
      </c>
      <c r="S27" s="1">
        <v>1.549426E9</v>
      </c>
    </row>
    <row r="28">
      <c r="A28" s="1">
        <v>26.0</v>
      </c>
      <c r="B28" s="3">
        <v>44255.0</v>
      </c>
      <c r="C28" s="1" t="s">
        <v>30</v>
      </c>
      <c r="D28" s="1" t="s">
        <v>31</v>
      </c>
      <c r="F28" s="1">
        <v>1.762443E9</v>
      </c>
      <c r="G28" s="1">
        <v>1.440859E9</v>
      </c>
      <c r="H28" s="1">
        <v>1.941717E9</v>
      </c>
      <c r="I28" s="1">
        <v>3.595232E9</v>
      </c>
      <c r="J28" s="1">
        <v>1.653515E9</v>
      </c>
      <c r="K28" s="1">
        <v>1.653515E9</v>
      </c>
      <c r="L28" s="1">
        <v>-8922000.0</v>
      </c>
      <c r="M28" s="1">
        <v>3.0095E8</v>
      </c>
      <c r="N28" s="1">
        <v>1.2088125E10</v>
      </c>
      <c r="O28" s="1">
        <v>1.043461E10</v>
      </c>
      <c r="P28" s="1">
        <v>8.492893E9</v>
      </c>
      <c r="Q28" s="1">
        <v>1.08928E8</v>
      </c>
      <c r="R28" s="1">
        <v>1.461493E9</v>
      </c>
      <c r="S28" s="1">
        <v>1.440859E9</v>
      </c>
    </row>
    <row r="29">
      <c r="A29" s="1">
        <v>27.0</v>
      </c>
      <c r="B29" s="3">
        <v>44165.0</v>
      </c>
      <c r="C29" s="1" t="s">
        <v>30</v>
      </c>
      <c r="D29" s="1" t="s">
        <v>31</v>
      </c>
      <c r="F29" s="1">
        <v>1.986867E9</v>
      </c>
      <c r="G29" s="1">
        <v>1.500276E9</v>
      </c>
      <c r="H29" s="1">
        <v>2.007627E9</v>
      </c>
      <c r="I29" s="1">
        <v>3.898296E9</v>
      </c>
      <c r="J29" s="1">
        <v>1.890669E9</v>
      </c>
      <c r="K29" s="1">
        <v>1.890669E9</v>
      </c>
      <c r="L29" s="1">
        <v>-8854000.0</v>
      </c>
      <c r="M29" s="1">
        <v>4.6481E8</v>
      </c>
      <c r="N29" s="1">
        <v>1.1762185E10</v>
      </c>
      <c r="O29" s="1">
        <v>9.871516E9</v>
      </c>
      <c r="P29" s="1">
        <v>7.863889E9</v>
      </c>
      <c r="Q29" s="1">
        <v>9.6198E7</v>
      </c>
      <c r="R29" s="1">
        <v>1.522057E9</v>
      </c>
      <c r="S29" s="1">
        <v>1.500276E9</v>
      </c>
    </row>
    <row r="30">
      <c r="A30" s="1">
        <v>28.0</v>
      </c>
      <c r="B30" s="3">
        <v>44469.0</v>
      </c>
      <c r="C30" s="1" t="s">
        <v>32</v>
      </c>
      <c r="D30" s="1" t="s">
        <v>33</v>
      </c>
      <c r="E30" s="1">
        <v>3.29E8</v>
      </c>
      <c r="F30" s="1">
        <v>7.59E8</v>
      </c>
      <c r="G30" s="1">
        <v>6.39E8</v>
      </c>
      <c r="H30" s="1">
        <v>3.87E8</v>
      </c>
      <c r="I30" s="1">
        <v>1.543E9</v>
      </c>
      <c r="J30" s="1">
        <v>8.27E8</v>
      </c>
      <c r="K30" s="1">
        <v>8.27E8</v>
      </c>
      <c r="L30" s="1">
        <v>-2.7E7</v>
      </c>
      <c r="M30" s="1">
        <v>1.2E8</v>
      </c>
      <c r="N30" s="1">
        <v>2.07E9</v>
      </c>
      <c r="O30" s="1">
        <v>1.243E9</v>
      </c>
      <c r="P30" s="1">
        <v>5.27E8</v>
      </c>
      <c r="Q30" s="1">
        <v>-6.8E7</v>
      </c>
      <c r="R30" s="1">
        <v>6.39E8</v>
      </c>
      <c r="S30" s="1">
        <v>6.39E8</v>
      </c>
    </row>
    <row r="31">
      <c r="A31" s="1">
        <v>29.0</v>
      </c>
      <c r="B31" s="3">
        <v>44377.0</v>
      </c>
      <c r="C31" s="1" t="s">
        <v>32</v>
      </c>
      <c r="D31" s="1" t="s">
        <v>33</v>
      </c>
      <c r="E31" s="1">
        <v>3.35E8</v>
      </c>
      <c r="F31" s="1">
        <v>1.002E9</v>
      </c>
      <c r="G31" s="1">
        <v>8.76E8</v>
      </c>
      <c r="H31" s="1">
        <v>4.34E8</v>
      </c>
      <c r="I31" s="1">
        <v>1.741E9</v>
      </c>
      <c r="J31" s="1">
        <v>9.72E8</v>
      </c>
      <c r="K31" s="1">
        <v>9.72E8</v>
      </c>
      <c r="L31" s="1">
        <v>-2.7E7</v>
      </c>
      <c r="M31" s="1">
        <v>1.26E8</v>
      </c>
      <c r="N31" s="1">
        <v>2.296E9</v>
      </c>
      <c r="O31" s="1">
        <v>1.324E9</v>
      </c>
      <c r="P31" s="1">
        <v>5.55E8</v>
      </c>
      <c r="Q31" s="1">
        <v>3.0E7</v>
      </c>
      <c r="R31" s="1">
        <v>8.76E8</v>
      </c>
      <c r="S31" s="1">
        <v>8.76E8</v>
      </c>
    </row>
    <row r="32">
      <c r="A32" s="1">
        <v>30.0</v>
      </c>
      <c r="B32" s="3">
        <v>44286.0</v>
      </c>
      <c r="C32" s="1" t="s">
        <v>32</v>
      </c>
      <c r="D32" s="1" t="s">
        <v>33</v>
      </c>
      <c r="E32" s="1">
        <v>3.53E8</v>
      </c>
      <c r="F32" s="1">
        <v>7.65E8</v>
      </c>
      <c r="G32" s="1">
        <v>6.19E8</v>
      </c>
      <c r="H32" s="1">
        <v>5.19E8</v>
      </c>
      <c r="I32" s="1">
        <v>1.697E9</v>
      </c>
      <c r="J32" s="1">
        <v>8.25E8</v>
      </c>
      <c r="K32" s="1">
        <v>8.25E8</v>
      </c>
      <c r="L32" s="1">
        <v>-2.8E7</v>
      </c>
      <c r="M32" s="1">
        <v>1.46E8</v>
      </c>
      <c r="N32" s="1">
        <v>2.275E9</v>
      </c>
      <c r="O32" s="1">
        <v>1.45E9</v>
      </c>
      <c r="P32" s="1">
        <v>5.78E8</v>
      </c>
      <c r="Q32" s="1">
        <v>-6.0E7</v>
      </c>
      <c r="R32" s="1">
        <v>6.19E8</v>
      </c>
      <c r="S32" s="1">
        <v>6.19E8</v>
      </c>
    </row>
    <row r="33">
      <c r="A33" s="1">
        <v>31.0</v>
      </c>
      <c r="B33" s="3">
        <v>44196.0</v>
      </c>
      <c r="C33" s="1" t="s">
        <v>32</v>
      </c>
      <c r="D33" s="1" t="s">
        <v>33</v>
      </c>
      <c r="E33" s="1">
        <v>3.48E8</v>
      </c>
      <c r="F33" s="1">
        <v>5.63E8</v>
      </c>
      <c r="G33" s="1">
        <v>5.09E8</v>
      </c>
      <c r="H33" s="1">
        <v>5.97E8</v>
      </c>
      <c r="I33" s="1">
        <v>1.595E9</v>
      </c>
      <c r="J33" s="1">
        <v>6.5E8</v>
      </c>
      <c r="K33" s="1">
        <v>6.5E8</v>
      </c>
      <c r="L33" s="1">
        <v>-2.7E7</v>
      </c>
      <c r="M33" s="1">
        <v>5.4E7</v>
      </c>
      <c r="N33" s="1">
        <v>2.412E9</v>
      </c>
      <c r="O33" s="1">
        <v>1.762E9</v>
      </c>
      <c r="P33" s="1">
        <v>8.17E8</v>
      </c>
      <c r="Q33" s="1">
        <v>-8.7E7</v>
      </c>
      <c r="R33" s="1">
        <v>5.09E8</v>
      </c>
      <c r="S33" s="1">
        <v>5.09E8</v>
      </c>
    </row>
    <row r="34">
      <c r="A34" s="1">
        <v>32.0</v>
      </c>
      <c r="B34" s="3">
        <v>44469.0</v>
      </c>
      <c r="C34" s="1" t="s">
        <v>34</v>
      </c>
      <c r="D34" s="1" t="s">
        <v>34</v>
      </c>
      <c r="F34" s="1">
        <v>6.53E8</v>
      </c>
      <c r="G34" s="1">
        <v>5.26E8</v>
      </c>
      <c r="H34" s="1">
        <v>7.16E8</v>
      </c>
      <c r="I34" s="1">
        <v>1.326E9</v>
      </c>
      <c r="J34" s="1">
        <v>6.07E8</v>
      </c>
      <c r="K34" s="1">
        <v>6.07E8</v>
      </c>
      <c r="L34" s="1">
        <v>-6.1E7</v>
      </c>
      <c r="M34" s="1">
        <v>1.2E8</v>
      </c>
      <c r="N34" s="1">
        <v>2.034E10</v>
      </c>
      <c r="O34" s="1">
        <v>1.9733E10</v>
      </c>
      <c r="P34" s="1">
        <v>1.9014E10</v>
      </c>
      <c r="Q34" s="1">
        <v>4.6E7</v>
      </c>
      <c r="R34" s="1">
        <v>5.33E8</v>
      </c>
      <c r="S34" s="1">
        <v>5.26E8</v>
      </c>
    </row>
    <row r="35">
      <c r="A35" s="1">
        <v>33.0</v>
      </c>
      <c r="B35" s="3">
        <v>44377.0</v>
      </c>
      <c r="C35" s="1" t="s">
        <v>34</v>
      </c>
      <c r="D35" s="1" t="s">
        <v>34</v>
      </c>
      <c r="F35" s="1">
        <v>8.25E8</v>
      </c>
      <c r="G35" s="1">
        <v>7.12E8</v>
      </c>
      <c r="H35" s="1">
        <v>8.15E8</v>
      </c>
      <c r="I35" s="1">
        <v>1.463E9</v>
      </c>
      <c r="J35" s="1">
        <v>6.42E8</v>
      </c>
      <c r="K35" s="1">
        <v>6.42E8</v>
      </c>
      <c r="L35" s="1">
        <v>-4.0E7</v>
      </c>
      <c r="M35" s="1">
        <v>1.13E8</v>
      </c>
      <c r="N35" s="1">
        <v>2.2926E10</v>
      </c>
      <c r="O35" s="1">
        <v>2.2284E10</v>
      </c>
      <c r="P35" s="1">
        <v>2.1463E10</v>
      </c>
      <c r="Q35" s="1">
        <v>1.83E8</v>
      </c>
      <c r="R35" s="1">
        <v>7.12E8</v>
      </c>
      <c r="S35" s="1">
        <v>7.12E8</v>
      </c>
    </row>
    <row r="36">
      <c r="A36" s="1">
        <v>34.0</v>
      </c>
      <c r="B36" s="3">
        <v>44286.0</v>
      </c>
      <c r="C36" s="1" t="s">
        <v>34</v>
      </c>
      <c r="D36" s="1" t="s">
        <v>34</v>
      </c>
      <c r="F36" s="1">
        <v>8.24E8</v>
      </c>
      <c r="G36" s="1">
        <v>6.89E8</v>
      </c>
      <c r="H36" s="1">
        <v>6.97E8</v>
      </c>
      <c r="I36" s="1">
        <v>1.548E9</v>
      </c>
      <c r="J36" s="1">
        <v>8.43E8</v>
      </c>
      <c r="K36" s="1">
        <v>8.43E8</v>
      </c>
      <c r="L36" s="1">
        <v>-8.7E7</v>
      </c>
      <c r="M36" s="1">
        <v>1.31E8</v>
      </c>
      <c r="N36" s="1">
        <v>1.8893E10</v>
      </c>
      <c r="O36" s="1">
        <v>1.805E10</v>
      </c>
      <c r="P36" s="1">
        <v>1.7345E10</v>
      </c>
      <c r="Q36" s="1">
        <v>-1.9E7</v>
      </c>
      <c r="R36" s="1">
        <v>6.93E8</v>
      </c>
      <c r="S36" s="1">
        <v>6.89E8</v>
      </c>
    </row>
    <row r="37">
      <c r="A37" s="1">
        <v>35.0</v>
      </c>
      <c r="B37" s="3">
        <v>44196.0</v>
      </c>
      <c r="C37" s="1" t="s">
        <v>34</v>
      </c>
      <c r="D37" s="1" t="s">
        <v>34</v>
      </c>
      <c r="F37" s="1">
        <v>7.56E8</v>
      </c>
      <c r="G37" s="1">
        <v>6.87E8</v>
      </c>
      <c r="H37" s="1">
        <v>7.2E8</v>
      </c>
      <c r="I37" s="1">
        <v>1.352E9</v>
      </c>
      <c r="J37" s="1">
        <v>6.15E8</v>
      </c>
      <c r="K37" s="1">
        <v>6.15E8</v>
      </c>
      <c r="L37" s="1">
        <v>-6.9E7</v>
      </c>
      <c r="M37" s="1">
        <v>6.3E7</v>
      </c>
      <c r="N37" s="1">
        <v>1.7978E10</v>
      </c>
      <c r="O37" s="1">
        <v>1.7363E10</v>
      </c>
      <c r="P37" s="1">
        <v>1.6626E10</v>
      </c>
      <c r="Q37" s="1">
        <v>1.41E8</v>
      </c>
      <c r="R37" s="1">
        <v>6.93E8</v>
      </c>
      <c r="S37" s="1">
        <v>6.87E8</v>
      </c>
    </row>
    <row r="38">
      <c r="A38" s="1">
        <v>36.0</v>
      </c>
      <c r="B38" s="3">
        <v>44442.0</v>
      </c>
      <c r="C38" s="1" t="s">
        <v>35</v>
      </c>
      <c r="D38" s="1" t="s">
        <v>36</v>
      </c>
      <c r="E38" s="1">
        <v>6.51E8</v>
      </c>
      <c r="F38" s="1">
        <v>1.418E9</v>
      </c>
      <c r="G38" s="1">
        <v>1.212E9</v>
      </c>
      <c r="H38" s="1">
        <v>1.333E9</v>
      </c>
      <c r="I38" s="1">
        <v>3.468E9</v>
      </c>
      <c r="J38" s="1">
        <v>1.441E9</v>
      </c>
      <c r="K38" s="1">
        <v>1.441E9</v>
      </c>
      <c r="L38" s="1">
        <v>-2.7E7</v>
      </c>
      <c r="M38" s="1">
        <v>2.06E8</v>
      </c>
      <c r="N38" s="1">
        <v>3.935E9</v>
      </c>
      <c r="O38" s="1">
        <v>2.494E9</v>
      </c>
      <c r="P38" s="1">
        <v>4.67E8</v>
      </c>
      <c r="Q38" s="1">
        <v>-2.3E7</v>
      </c>
      <c r="R38" s="1">
        <v>1.212E9</v>
      </c>
      <c r="S38" s="1">
        <v>1.212E9</v>
      </c>
    </row>
    <row r="39">
      <c r="A39" s="1">
        <v>37.0</v>
      </c>
      <c r="B39" s="3">
        <v>44351.0</v>
      </c>
      <c r="C39" s="1" t="s">
        <v>35</v>
      </c>
      <c r="D39" s="1" t="s">
        <v>36</v>
      </c>
      <c r="E39" s="1">
        <v>6.12E8</v>
      </c>
      <c r="F39" s="1">
        <v>1.386E9</v>
      </c>
      <c r="G39" s="1">
        <v>1.116E9</v>
      </c>
      <c r="H39" s="1">
        <v>1.329E9</v>
      </c>
      <c r="I39" s="1">
        <v>3.391E9</v>
      </c>
      <c r="J39" s="1">
        <v>1.406E9</v>
      </c>
      <c r="K39" s="1">
        <v>1.406E9</v>
      </c>
      <c r="L39" s="1">
        <v>-2.8E7</v>
      </c>
      <c r="M39" s="1">
        <v>2.7E8</v>
      </c>
      <c r="N39" s="1">
        <v>3.835E9</v>
      </c>
      <c r="O39" s="1">
        <v>2.429E9</v>
      </c>
      <c r="P39" s="1">
        <v>4.44E8</v>
      </c>
      <c r="Q39" s="1">
        <v>-2.0E7</v>
      </c>
      <c r="R39" s="1">
        <v>1.116E9</v>
      </c>
      <c r="S39" s="1">
        <v>1.116E9</v>
      </c>
    </row>
    <row r="40">
      <c r="A40" s="1">
        <v>38.0</v>
      </c>
      <c r="B40" s="3">
        <v>44260.0</v>
      </c>
      <c r="C40" s="1" t="s">
        <v>35</v>
      </c>
      <c r="D40" s="1" t="s">
        <v>36</v>
      </c>
      <c r="E40" s="1">
        <v>6.2E8</v>
      </c>
      <c r="F40" s="1">
        <v>1.433E9</v>
      </c>
      <c r="G40" s="1">
        <v>1.261E9</v>
      </c>
      <c r="H40" s="1">
        <v>1.339E9</v>
      </c>
      <c r="I40" s="1">
        <v>3.458E9</v>
      </c>
      <c r="J40" s="1">
        <v>1.454E9</v>
      </c>
      <c r="K40" s="1">
        <v>1.454E9</v>
      </c>
      <c r="L40" s="1">
        <v>-3.0E7</v>
      </c>
      <c r="M40" s="1">
        <v>1.72E8</v>
      </c>
      <c r="N40" s="1">
        <v>3.905E9</v>
      </c>
      <c r="O40" s="1">
        <v>2.451E9</v>
      </c>
      <c r="P40" s="1">
        <v>4.47E8</v>
      </c>
      <c r="Q40" s="1">
        <v>-2.1E7</v>
      </c>
      <c r="R40" s="1">
        <v>1.261E9</v>
      </c>
      <c r="S40" s="1">
        <v>1.261E9</v>
      </c>
    </row>
    <row r="41">
      <c r="A41" s="1">
        <v>39.0</v>
      </c>
      <c r="B41" s="3">
        <v>44162.0</v>
      </c>
      <c r="C41" s="1" t="s">
        <v>35</v>
      </c>
      <c r="D41" s="1" t="s">
        <v>36</v>
      </c>
      <c r="E41" s="1">
        <v>5.58E8</v>
      </c>
      <c r="F41" s="1">
        <v>1.197E9</v>
      </c>
      <c r="G41" s="1">
        <v>2.25E9</v>
      </c>
      <c r="H41" s="1">
        <v>1.184E9</v>
      </c>
      <c r="I41" s="1">
        <v>2.996E9</v>
      </c>
      <c r="J41" s="1">
        <v>1.215E9</v>
      </c>
      <c r="K41" s="1">
        <v>1.215E9</v>
      </c>
      <c r="L41" s="1">
        <v>-2.7E7</v>
      </c>
      <c r="M41" s="1">
        <v>-1.053E9</v>
      </c>
      <c r="N41" s="1">
        <v>3.424E9</v>
      </c>
      <c r="O41" s="1">
        <v>2.209E9</v>
      </c>
      <c r="P41" s="1">
        <v>4.28E8</v>
      </c>
      <c r="Q41" s="1">
        <v>-1.8E7</v>
      </c>
      <c r="R41" s="1">
        <v>2.25E9</v>
      </c>
      <c r="S41" s="1">
        <v>2.25E9</v>
      </c>
    </row>
    <row r="42">
      <c r="A42" s="1">
        <v>40.0</v>
      </c>
      <c r="B42" s="3">
        <v>44394.0</v>
      </c>
      <c r="C42" s="1" t="s">
        <v>37</v>
      </c>
      <c r="D42" s="1" t="s">
        <v>38</v>
      </c>
      <c r="F42" s="1">
        <v>2.37765E8</v>
      </c>
      <c r="G42" s="1">
        <v>1.78696E8</v>
      </c>
      <c r="H42" s="1">
        <v>9.32793E8</v>
      </c>
      <c r="I42" s="1">
        <v>1.189416E9</v>
      </c>
      <c r="J42" s="1">
        <v>2.56623E8</v>
      </c>
      <c r="K42" s="1">
        <v>2.56623E8</v>
      </c>
      <c r="L42" s="1">
        <v>-8306000.0</v>
      </c>
      <c r="M42" s="1">
        <v>5.9069E7</v>
      </c>
      <c r="N42" s="1">
        <v>2.649415E9</v>
      </c>
      <c r="O42" s="1">
        <v>2.392792E9</v>
      </c>
      <c r="P42" s="1">
        <v>1.459999E9</v>
      </c>
      <c r="Q42" s="1">
        <v>-1.8858E7</v>
      </c>
      <c r="R42" s="1">
        <v>1.78696E8</v>
      </c>
      <c r="S42" s="1">
        <v>1.78696E8</v>
      </c>
    </row>
    <row r="43">
      <c r="A43" s="1">
        <v>41.0</v>
      </c>
      <c r="B43" s="3">
        <v>44394.0</v>
      </c>
      <c r="C43" s="1" t="s">
        <v>37</v>
      </c>
      <c r="D43" s="1" t="s">
        <v>38</v>
      </c>
      <c r="F43" s="1">
        <v>2.37765E8</v>
      </c>
      <c r="G43" s="1">
        <v>1.78696E8</v>
      </c>
      <c r="H43" s="1">
        <v>9.32793E8</v>
      </c>
      <c r="I43" s="1">
        <v>1.189416E9</v>
      </c>
      <c r="J43" s="1">
        <v>2.56623E8</v>
      </c>
      <c r="K43" s="1">
        <v>2.56623E8</v>
      </c>
      <c r="L43" s="1">
        <v>-8306000.0</v>
      </c>
      <c r="M43" s="1">
        <v>0.0</v>
      </c>
      <c r="N43" s="1">
        <v>2.649415E9</v>
      </c>
      <c r="O43" s="1">
        <v>0.0</v>
      </c>
      <c r="P43" s="1">
        <v>0.0</v>
      </c>
      <c r="Q43" s="1">
        <v>0.0</v>
      </c>
      <c r="R43" s="1">
        <v>1.78696E8</v>
      </c>
      <c r="S43" s="1">
        <v>1.78696E8</v>
      </c>
    </row>
    <row r="44">
      <c r="A44" s="1">
        <v>42.0</v>
      </c>
      <c r="B44" s="3">
        <v>44310.0</v>
      </c>
      <c r="C44" s="1" t="s">
        <v>37</v>
      </c>
      <c r="D44" s="1" t="s">
        <v>38</v>
      </c>
      <c r="F44" s="1">
        <v>2.45774E8</v>
      </c>
      <c r="G44" s="1">
        <v>1.8593E8</v>
      </c>
      <c r="H44" s="1">
        <v>1.200138E9</v>
      </c>
      <c r="I44" s="1">
        <v>1.487229E9</v>
      </c>
      <c r="J44" s="1">
        <v>2.87091E8</v>
      </c>
      <c r="K44" s="1">
        <v>2.87091E8</v>
      </c>
      <c r="L44" s="1">
        <v>-1.1191E7</v>
      </c>
      <c r="M44" s="1">
        <v>5.9844E7</v>
      </c>
      <c r="N44" s="1">
        <v>3.33037E9</v>
      </c>
      <c r="O44" s="1">
        <v>3.043279E9</v>
      </c>
      <c r="P44" s="1">
        <v>1.843141E9</v>
      </c>
      <c r="Q44" s="1">
        <v>-4.1317E7</v>
      </c>
      <c r="R44" s="1">
        <v>1.8593E8</v>
      </c>
      <c r="S44" s="1">
        <v>1.8593E8</v>
      </c>
    </row>
    <row r="45">
      <c r="A45" s="1">
        <v>43.0</v>
      </c>
      <c r="B45" s="3">
        <v>44303.0</v>
      </c>
      <c r="C45" s="1" t="s">
        <v>37</v>
      </c>
      <c r="D45" s="1" t="s">
        <v>38</v>
      </c>
      <c r="F45" s="1">
        <v>2.45774E8</v>
      </c>
      <c r="G45" s="1">
        <v>1.82313E8</v>
      </c>
      <c r="H45" s="1">
        <v>1.200138E9</v>
      </c>
      <c r="I45" s="1">
        <v>1.3383225E9</v>
      </c>
      <c r="J45" s="1">
        <v>2.718565E8</v>
      </c>
      <c r="K45" s="1">
        <v>2.87091E8</v>
      </c>
      <c r="L45" s="1">
        <v>-9748500.0</v>
      </c>
      <c r="M45" s="1">
        <v>0.0</v>
      </c>
      <c r="N45" s="1">
        <v>2.9898925E9</v>
      </c>
      <c r="O45" s="1">
        <v>0.0</v>
      </c>
      <c r="P45" s="1">
        <v>0.0</v>
      </c>
      <c r="Q45" s="1">
        <v>0.0</v>
      </c>
      <c r="R45" s="1">
        <v>1.8593E8</v>
      </c>
      <c r="S45" s="1">
        <v>1.8593E8</v>
      </c>
    </row>
    <row r="46">
      <c r="A46" s="1">
        <v>44.0</v>
      </c>
      <c r="B46" s="3">
        <v>44464.0</v>
      </c>
      <c r="C46" s="1" t="s">
        <v>39</v>
      </c>
      <c r="D46" s="1" t="s">
        <v>40</v>
      </c>
      <c r="E46" s="1">
        <v>7.65E8</v>
      </c>
      <c r="F46" s="1">
        <v>1.005E9</v>
      </c>
      <c r="G46" s="1">
        <v>9.23E8</v>
      </c>
      <c r="H46" s="1">
        <v>3.68E8</v>
      </c>
      <c r="I46" s="1">
        <v>2.086E9</v>
      </c>
      <c r="J46" s="1">
        <v>9.56E8</v>
      </c>
      <c r="K46" s="1">
        <v>9.56E8</v>
      </c>
      <c r="L46" s="1">
        <v>-7000000.0</v>
      </c>
      <c r="M46" s="1">
        <v>8.2E7</v>
      </c>
      <c r="N46" s="1">
        <v>4.313E9</v>
      </c>
      <c r="O46" s="1">
        <v>3.357E9</v>
      </c>
      <c r="P46" s="1">
        <v>2.227E9</v>
      </c>
      <c r="Q46" s="1">
        <v>4.9E7</v>
      </c>
      <c r="R46" s="1">
        <v>9.23E8</v>
      </c>
      <c r="S46" s="1">
        <v>9.23E8</v>
      </c>
    </row>
    <row r="47">
      <c r="A47" s="1">
        <v>45.0</v>
      </c>
      <c r="B47" s="3">
        <v>44373.0</v>
      </c>
      <c r="C47" s="1" t="s">
        <v>39</v>
      </c>
      <c r="D47" s="1" t="s">
        <v>40</v>
      </c>
      <c r="E47" s="1">
        <v>6.59E8</v>
      </c>
      <c r="F47" s="1">
        <v>8.23E8</v>
      </c>
      <c r="G47" s="1">
        <v>7.1E8</v>
      </c>
      <c r="H47" s="1">
        <v>3.31E8</v>
      </c>
      <c r="I47" s="1">
        <v>1.83E9</v>
      </c>
      <c r="J47" s="1">
        <v>8.41E8</v>
      </c>
      <c r="K47" s="1">
        <v>8.41E8</v>
      </c>
      <c r="L47" s="1">
        <v>-1.0E7</v>
      </c>
      <c r="M47" s="1">
        <v>1.13E8</v>
      </c>
      <c r="N47" s="1">
        <v>3.85E9</v>
      </c>
      <c r="O47" s="1">
        <v>3.009E9</v>
      </c>
      <c r="P47" s="1">
        <v>2.02E9</v>
      </c>
      <c r="Q47" s="1">
        <v>-1.8E7</v>
      </c>
      <c r="R47" s="1">
        <v>7.1E8</v>
      </c>
      <c r="S47" s="1">
        <v>7.1E8</v>
      </c>
    </row>
    <row r="48">
      <c r="A48" s="1">
        <v>46.0</v>
      </c>
      <c r="B48" s="3">
        <v>44282.0</v>
      </c>
      <c r="C48" s="1" t="s">
        <v>39</v>
      </c>
      <c r="D48" s="1" t="s">
        <v>40</v>
      </c>
      <c r="E48" s="1">
        <v>6.1E8</v>
      </c>
      <c r="F48" s="1">
        <v>6.44E8</v>
      </c>
      <c r="G48" s="1">
        <v>5.55E8</v>
      </c>
      <c r="H48" s="1">
        <v>3.04E8</v>
      </c>
      <c r="I48" s="1">
        <v>1.587E9</v>
      </c>
      <c r="J48" s="1">
        <v>6.77E8</v>
      </c>
      <c r="K48" s="1">
        <v>6.77E8</v>
      </c>
      <c r="L48" s="1">
        <v>-9000000.0</v>
      </c>
      <c r="M48" s="1">
        <v>8.9E7</v>
      </c>
      <c r="N48" s="1">
        <v>3.445E9</v>
      </c>
      <c r="O48" s="1">
        <v>2.768E9</v>
      </c>
      <c r="P48" s="1">
        <v>1.858E9</v>
      </c>
      <c r="Q48" s="1">
        <v>-3.3E7</v>
      </c>
      <c r="R48" s="1">
        <v>5.55E8</v>
      </c>
      <c r="S48" s="1">
        <v>5.55E8</v>
      </c>
    </row>
    <row r="49">
      <c r="A49" s="1">
        <v>47.0</v>
      </c>
      <c r="B49" s="3">
        <v>44191.0</v>
      </c>
      <c r="C49" s="1" t="s">
        <v>39</v>
      </c>
      <c r="D49" s="1" t="s">
        <v>40</v>
      </c>
      <c r="E49" s="1">
        <v>5.73E8</v>
      </c>
      <c r="F49" s="1">
        <v>5.49E8</v>
      </c>
      <c r="G49" s="1">
        <v>1.781E9</v>
      </c>
      <c r="H49" s="1">
        <v>3.08E8</v>
      </c>
      <c r="I49" s="1">
        <v>1.451E9</v>
      </c>
      <c r="J49" s="1">
        <v>5.7E8</v>
      </c>
      <c r="K49" s="1">
        <v>5.7E8</v>
      </c>
      <c r="L49" s="1">
        <v>-9000000.0</v>
      </c>
      <c r="M49" s="1">
        <v>-1.232E9</v>
      </c>
      <c r="N49" s="1">
        <v>3.244E9</v>
      </c>
      <c r="O49" s="1">
        <v>2.674E9</v>
      </c>
      <c r="P49" s="1">
        <v>1.793E9</v>
      </c>
      <c r="Q49" s="1">
        <v>-2.1E7</v>
      </c>
      <c r="R49" s="1">
        <v>1.781E9</v>
      </c>
      <c r="S49" s="1">
        <v>1.781E9</v>
      </c>
    </row>
    <row r="50">
      <c r="A50" s="1">
        <v>48.0</v>
      </c>
      <c r="B50" s="3">
        <v>44469.0</v>
      </c>
      <c r="C50" s="1" t="s">
        <v>41</v>
      </c>
      <c r="D50" s="1" t="s">
        <v>42</v>
      </c>
      <c r="F50" s="1">
        <v>6.11E8</v>
      </c>
      <c r="G50" s="1">
        <v>3.43E8</v>
      </c>
      <c r="H50" s="1">
        <v>3.9E7</v>
      </c>
      <c r="I50" s="1">
        <v>7.6E8</v>
      </c>
      <c r="J50" s="1">
        <v>7.21E8</v>
      </c>
      <c r="K50" s="1">
        <v>7.21E8</v>
      </c>
      <c r="L50" s="1">
        <v>-2.42E8</v>
      </c>
      <c r="M50" s="1">
        <v>1.26E8</v>
      </c>
      <c r="N50" s="1">
        <v>3.036E9</v>
      </c>
      <c r="O50" s="1">
        <v>2.315E9</v>
      </c>
      <c r="P50" s="1">
        <v>2.276E9</v>
      </c>
      <c r="Q50" s="1">
        <v>-1.1E8</v>
      </c>
      <c r="R50" s="1">
        <v>4.85E8</v>
      </c>
      <c r="S50" s="1">
        <v>3.43E8</v>
      </c>
    </row>
    <row r="51">
      <c r="A51" s="1">
        <v>49.0</v>
      </c>
      <c r="B51" s="3">
        <v>44377.0</v>
      </c>
      <c r="C51" s="1" t="s">
        <v>41</v>
      </c>
      <c r="D51" s="1" t="s">
        <v>42</v>
      </c>
      <c r="F51" s="1">
        <v>-1.4E8</v>
      </c>
      <c r="G51" s="1">
        <v>2.8E7</v>
      </c>
      <c r="H51" s="1">
        <v>4.5E7</v>
      </c>
      <c r="I51" s="1">
        <v>7.28E8</v>
      </c>
      <c r="J51" s="1">
        <v>6.83E8</v>
      </c>
      <c r="K51" s="1">
        <v>6.83E8</v>
      </c>
      <c r="L51" s="1">
        <v>-2.37E8</v>
      </c>
      <c r="M51" s="1">
        <v>-5.9E7</v>
      </c>
      <c r="N51" s="1">
        <v>2.7E9</v>
      </c>
      <c r="O51" s="1">
        <v>2.017E9</v>
      </c>
      <c r="P51" s="1">
        <v>1.972E9</v>
      </c>
      <c r="Q51" s="1">
        <v>-8.23E8</v>
      </c>
      <c r="R51" s="1">
        <v>-8.1E7</v>
      </c>
      <c r="S51" s="1">
        <v>2.8E7</v>
      </c>
    </row>
    <row r="52">
      <c r="A52" s="1">
        <v>50.0</v>
      </c>
      <c r="B52" s="3">
        <v>44286.0</v>
      </c>
      <c r="C52" s="1" t="s">
        <v>41</v>
      </c>
      <c r="D52" s="1" t="s">
        <v>42</v>
      </c>
      <c r="F52" s="1">
        <v>-2.1E7</v>
      </c>
      <c r="G52" s="1">
        <v>-1.48E8</v>
      </c>
      <c r="H52" s="1">
        <v>4.6E7</v>
      </c>
      <c r="I52" s="1">
        <v>6.64E8</v>
      </c>
      <c r="J52" s="1">
        <v>6.18E8</v>
      </c>
      <c r="K52" s="1">
        <v>6.18E8</v>
      </c>
      <c r="L52" s="1">
        <v>-1.9E8</v>
      </c>
      <c r="M52" s="1">
        <v>8000000.0</v>
      </c>
      <c r="N52" s="1">
        <v>2.635E9</v>
      </c>
      <c r="O52" s="1">
        <v>2.017E9</v>
      </c>
      <c r="P52" s="1">
        <v>1.971E9</v>
      </c>
      <c r="Q52" s="1">
        <v>-6.39E8</v>
      </c>
      <c r="R52" s="1">
        <v>-2.9E7</v>
      </c>
      <c r="S52" s="1">
        <v>-1.48E8</v>
      </c>
    </row>
    <row r="53">
      <c r="A53" s="1">
        <v>51.0</v>
      </c>
      <c r="B53" s="3">
        <v>44196.0</v>
      </c>
      <c r="C53" s="1" t="s">
        <v>41</v>
      </c>
      <c r="D53" s="1" t="s">
        <v>42</v>
      </c>
      <c r="F53" s="1">
        <v>5.62E8</v>
      </c>
      <c r="G53" s="1">
        <v>3.18E8</v>
      </c>
      <c r="H53" s="1">
        <v>4.7E7</v>
      </c>
      <c r="I53" s="1">
        <v>7.24E8</v>
      </c>
      <c r="J53" s="1">
        <v>6.77E8</v>
      </c>
      <c r="K53" s="1">
        <v>6.77E8</v>
      </c>
      <c r="L53" s="1">
        <v>-2.97E8</v>
      </c>
      <c r="M53" s="1">
        <v>1.61E8</v>
      </c>
      <c r="N53" s="1">
        <v>2.56E9</v>
      </c>
      <c r="O53" s="1">
        <v>1.883E9</v>
      </c>
      <c r="P53" s="1">
        <v>1.836E9</v>
      </c>
      <c r="Q53" s="1">
        <v>-1.15E8</v>
      </c>
      <c r="R53" s="1">
        <v>4.01E8</v>
      </c>
      <c r="S53" s="1">
        <v>3.18E8</v>
      </c>
    </row>
    <row r="54">
      <c r="A54" s="1">
        <v>52.0</v>
      </c>
      <c r="B54" s="3">
        <v>44469.0</v>
      </c>
      <c r="C54" s="1" t="s">
        <v>43</v>
      </c>
      <c r="D54" s="1" t="s">
        <v>44</v>
      </c>
      <c r="F54" s="1">
        <v>1.113E9</v>
      </c>
      <c r="G54" s="1">
        <v>8.88E8</v>
      </c>
      <c r="H54" s="1">
        <v>8.69E8</v>
      </c>
      <c r="I54" s="1">
        <v>2.039E9</v>
      </c>
      <c r="J54" s="1">
        <v>1.17E9</v>
      </c>
      <c r="K54" s="1">
        <v>1.17E9</v>
      </c>
      <c r="L54" s="1">
        <v>-5.7E7</v>
      </c>
      <c r="M54" s="1">
        <v>2.25E8</v>
      </c>
      <c r="N54" s="1">
        <v>5.237E9</v>
      </c>
      <c r="O54" s="1">
        <v>4.067E9</v>
      </c>
      <c r="P54" s="1">
        <v>3.198E9</v>
      </c>
      <c r="Q54" s="1">
        <v>-5.7E7</v>
      </c>
      <c r="R54" s="1">
        <v>8.88E8</v>
      </c>
      <c r="S54" s="1">
        <v>8.88E8</v>
      </c>
    </row>
    <row r="55">
      <c r="A55" s="1">
        <v>53.0</v>
      </c>
      <c r="B55" s="3">
        <v>44377.0</v>
      </c>
      <c r="C55" s="1" t="s">
        <v>43</v>
      </c>
      <c r="D55" s="1" t="s">
        <v>44</v>
      </c>
      <c r="F55" s="1">
        <v>1.373E9</v>
      </c>
      <c r="G55" s="1">
        <v>1.105E9</v>
      </c>
      <c r="H55" s="1">
        <v>8.81E8</v>
      </c>
      <c r="I55" s="1">
        <v>2.316E9</v>
      </c>
      <c r="J55" s="1">
        <v>1.435E9</v>
      </c>
      <c r="K55" s="1">
        <v>1.435E9</v>
      </c>
      <c r="L55" s="1">
        <v>-6.2E7</v>
      </c>
      <c r="M55" s="1">
        <v>2.68E8</v>
      </c>
      <c r="N55" s="1">
        <v>5.564E9</v>
      </c>
      <c r="O55" s="1">
        <v>4.129E9</v>
      </c>
      <c r="P55" s="1">
        <v>3.248E9</v>
      </c>
      <c r="Q55" s="1">
        <v>-6.2E7</v>
      </c>
      <c r="R55" s="1">
        <v>1.105E9</v>
      </c>
      <c r="S55" s="1">
        <v>1.105E9</v>
      </c>
    </row>
    <row r="56">
      <c r="A56" s="1">
        <v>54.0</v>
      </c>
      <c r="B56" s="3">
        <v>44286.0</v>
      </c>
      <c r="C56" s="1" t="s">
        <v>43</v>
      </c>
      <c r="D56" s="1" t="s">
        <v>44</v>
      </c>
      <c r="F56" s="1">
        <v>1.603E9</v>
      </c>
      <c r="G56" s="1">
        <v>1.293E9</v>
      </c>
      <c r="H56" s="1">
        <v>8.32E8</v>
      </c>
      <c r="I56" s="1">
        <v>2.497E9</v>
      </c>
      <c r="J56" s="1">
        <v>1.665E9</v>
      </c>
      <c r="K56" s="1">
        <v>1.665E9</v>
      </c>
      <c r="L56" s="1">
        <v>-6.2E7</v>
      </c>
      <c r="M56" s="1">
        <v>3.1E8</v>
      </c>
      <c r="N56" s="1">
        <v>5.869E9</v>
      </c>
      <c r="O56" s="1">
        <v>4.204E9</v>
      </c>
      <c r="P56" s="1">
        <v>3.372E9</v>
      </c>
      <c r="Q56" s="1">
        <v>-6.2E7</v>
      </c>
      <c r="R56" s="1">
        <v>1.293E9</v>
      </c>
      <c r="S56" s="1">
        <v>1.293E9</v>
      </c>
    </row>
    <row r="57">
      <c r="A57" s="1">
        <v>55.0</v>
      </c>
      <c r="B57" s="3">
        <v>44196.0</v>
      </c>
      <c r="C57" s="1" t="s">
        <v>43</v>
      </c>
      <c r="D57" s="1" t="s">
        <v>44</v>
      </c>
      <c r="F57" s="1">
        <v>1.217E9</v>
      </c>
      <c r="G57" s="1">
        <v>9.52E8</v>
      </c>
      <c r="H57" s="1">
        <v>1.038E9</v>
      </c>
      <c r="I57" s="1">
        <v>2.316E9</v>
      </c>
      <c r="J57" s="1">
        <v>1.278E9</v>
      </c>
      <c r="K57" s="1">
        <v>1.278E9</v>
      </c>
      <c r="L57" s="1">
        <v>-6.1E7</v>
      </c>
      <c r="M57" s="1">
        <v>2.65E8</v>
      </c>
      <c r="N57" s="1">
        <v>5.913E9</v>
      </c>
      <c r="O57" s="1">
        <v>4.635E9</v>
      </c>
      <c r="P57" s="1">
        <v>3.597E9</v>
      </c>
      <c r="Q57" s="1">
        <v>-6.1E7</v>
      </c>
      <c r="R57" s="1">
        <v>9.52E8</v>
      </c>
      <c r="S57" s="1">
        <v>9.52E8</v>
      </c>
    </row>
    <row r="58">
      <c r="A58" s="1">
        <v>56.0</v>
      </c>
      <c r="B58" s="3">
        <v>44408.0</v>
      </c>
      <c r="C58" s="1" t="s">
        <v>45</v>
      </c>
      <c r="D58" s="1" t="s">
        <v>46</v>
      </c>
      <c r="E58" s="1">
        <v>1.13E8</v>
      </c>
      <c r="F58" s="1">
        <v>3.27E8</v>
      </c>
      <c r="G58" s="1">
        <v>2.64E8</v>
      </c>
      <c r="H58" s="1">
        <v>3.9E8</v>
      </c>
      <c r="I58" s="1">
        <v>8.52E8</v>
      </c>
      <c r="J58" s="1">
        <v>3.49E8</v>
      </c>
      <c r="K58" s="1">
        <v>3.49E8</v>
      </c>
      <c r="L58" s="1">
        <v>-2.1E7</v>
      </c>
      <c r="M58" s="1">
        <v>6.3E7</v>
      </c>
      <c r="N58" s="1">
        <v>1.586E9</v>
      </c>
      <c r="O58" s="1">
        <v>1.237E9</v>
      </c>
      <c r="P58" s="1">
        <v>7.34E8</v>
      </c>
      <c r="Q58" s="1">
        <v>-2.2E7</v>
      </c>
      <c r="R58" s="1">
        <v>2.64E8</v>
      </c>
      <c r="S58" s="1">
        <v>2.64E8</v>
      </c>
    </row>
    <row r="59">
      <c r="A59" s="1">
        <v>57.0</v>
      </c>
      <c r="B59" s="3">
        <v>44316.0</v>
      </c>
      <c r="C59" s="1" t="s">
        <v>45</v>
      </c>
      <c r="D59" s="1" t="s">
        <v>46</v>
      </c>
      <c r="E59" s="1">
        <v>1.09E8</v>
      </c>
      <c r="F59" s="1">
        <v>2.73E8</v>
      </c>
      <c r="G59" s="1">
        <v>2.16E8</v>
      </c>
      <c r="H59" s="1">
        <v>4.2E8</v>
      </c>
      <c r="I59" s="1">
        <v>8.17E8</v>
      </c>
      <c r="J59" s="1">
        <v>2.88E8</v>
      </c>
      <c r="K59" s="1">
        <v>2.88E8</v>
      </c>
      <c r="L59" s="1">
        <v>-2.0E7</v>
      </c>
      <c r="M59" s="1">
        <v>5.7E7</v>
      </c>
      <c r="N59" s="1">
        <v>1.525E9</v>
      </c>
      <c r="O59" s="1">
        <v>1.237E9</v>
      </c>
      <c r="P59" s="1">
        <v>7.08E8</v>
      </c>
      <c r="Q59" s="1">
        <v>-1.5E7</v>
      </c>
      <c r="R59" s="1">
        <v>2.16E8</v>
      </c>
      <c r="S59" s="1">
        <v>2.16E8</v>
      </c>
    </row>
    <row r="60">
      <c r="A60" s="1">
        <v>58.0</v>
      </c>
      <c r="B60" s="3">
        <v>44227.0</v>
      </c>
      <c r="C60" s="1" t="s">
        <v>45</v>
      </c>
      <c r="D60" s="1" t="s">
        <v>46</v>
      </c>
      <c r="E60" s="1">
        <v>1.03E8</v>
      </c>
      <c r="F60" s="1">
        <v>3.12E8</v>
      </c>
      <c r="G60" s="1">
        <v>2.88E8</v>
      </c>
      <c r="H60" s="1">
        <v>3.98E8</v>
      </c>
      <c r="I60" s="1">
        <v>8.38E8</v>
      </c>
      <c r="J60" s="1">
        <v>3.37E8</v>
      </c>
      <c r="K60" s="1">
        <v>3.37E8</v>
      </c>
      <c r="L60" s="1">
        <v>-1.9E7</v>
      </c>
      <c r="M60" s="1">
        <v>2.4E7</v>
      </c>
      <c r="N60" s="1">
        <v>1.548E9</v>
      </c>
      <c r="O60" s="1">
        <v>1.211E9</v>
      </c>
      <c r="P60" s="1">
        <v>7.1E8</v>
      </c>
      <c r="Q60" s="1">
        <v>-2.5E7</v>
      </c>
      <c r="R60" s="1">
        <v>2.88E8</v>
      </c>
      <c r="S60" s="1">
        <v>2.88E8</v>
      </c>
    </row>
    <row r="61">
      <c r="A61" s="1">
        <v>59.0</v>
      </c>
      <c r="B61" s="3">
        <v>44135.0</v>
      </c>
      <c r="C61" s="1" t="s">
        <v>45</v>
      </c>
      <c r="D61" s="1" t="s">
        <v>46</v>
      </c>
      <c r="E61" s="1">
        <v>1.02E8</v>
      </c>
      <c r="F61" s="1">
        <v>2.83E8</v>
      </c>
      <c r="G61" s="1">
        <v>2.22E8</v>
      </c>
      <c r="H61" s="1">
        <v>3.42E8</v>
      </c>
      <c r="I61" s="1">
        <v>7.88E8</v>
      </c>
      <c r="J61" s="1">
        <v>3.44E8</v>
      </c>
      <c r="K61" s="1">
        <v>3.44E8</v>
      </c>
      <c r="L61" s="1">
        <v>-1.9E7</v>
      </c>
      <c r="M61" s="1">
        <v>6.1E7</v>
      </c>
      <c r="N61" s="1">
        <v>1.483E9</v>
      </c>
      <c r="O61" s="1">
        <v>1.139E9</v>
      </c>
      <c r="P61" s="1">
        <v>6.95E8</v>
      </c>
      <c r="Q61" s="1">
        <v>-6.1E7</v>
      </c>
      <c r="R61" s="1">
        <v>2.22E8</v>
      </c>
      <c r="S61" s="1">
        <v>2.22E8</v>
      </c>
    </row>
    <row r="62">
      <c r="A62" s="1">
        <v>60.0</v>
      </c>
      <c r="B62" s="3">
        <v>44469.0</v>
      </c>
      <c r="C62" s="1" t="s">
        <v>47</v>
      </c>
      <c r="D62" s="1" t="s">
        <v>48</v>
      </c>
      <c r="E62" s="1">
        <v>2.57E7</v>
      </c>
      <c r="F62" s="1">
        <v>6.923E8</v>
      </c>
      <c r="G62" s="1">
        <v>6.104E8</v>
      </c>
      <c r="H62" s="1">
        <v>2.021E8</v>
      </c>
      <c r="I62" s="1">
        <v>8.348E8</v>
      </c>
      <c r="J62" s="1">
        <v>6.167E8</v>
      </c>
      <c r="K62" s="1">
        <v>6.167E8</v>
      </c>
      <c r="L62" s="1">
        <v>-3.34E7</v>
      </c>
      <c r="M62" s="1">
        <v>1.253E8</v>
      </c>
      <c r="N62" s="1">
        <v>2.8411E9</v>
      </c>
      <c r="O62" s="1">
        <v>2.2244E9</v>
      </c>
      <c r="P62" s="1">
        <v>2.0063E9</v>
      </c>
      <c r="Q62" s="1">
        <v>7.56E7</v>
      </c>
      <c r="R62" s="1">
        <v>5.67E8</v>
      </c>
      <c r="S62" s="1">
        <v>6.104E8</v>
      </c>
    </row>
    <row r="63">
      <c r="A63" s="1">
        <v>61.0</v>
      </c>
      <c r="B63" s="3">
        <v>44377.0</v>
      </c>
      <c r="C63" s="1" t="s">
        <v>47</v>
      </c>
      <c r="D63" s="1" t="s">
        <v>48</v>
      </c>
      <c r="E63" s="1">
        <v>2.32E7</v>
      </c>
      <c r="F63" s="1">
        <v>6.258E8</v>
      </c>
      <c r="G63" s="1">
        <v>5.336E8</v>
      </c>
      <c r="H63" s="1">
        <v>1.926E8</v>
      </c>
      <c r="I63" s="1">
        <v>8.028E8</v>
      </c>
      <c r="J63" s="1">
        <v>5.984E8</v>
      </c>
      <c r="K63" s="1">
        <v>5.984E8</v>
      </c>
      <c r="L63" s="1">
        <v>-3.56E7</v>
      </c>
      <c r="M63" s="1">
        <v>1.017E8</v>
      </c>
      <c r="N63" s="1">
        <v>2.6047E9</v>
      </c>
      <c r="O63" s="1">
        <v>2.0063E9</v>
      </c>
      <c r="P63" s="1">
        <v>1.8019E9</v>
      </c>
      <c r="Q63" s="1">
        <v>2.74E7</v>
      </c>
      <c r="R63" s="1">
        <v>5.241E8</v>
      </c>
      <c r="S63" s="1">
        <v>5.336E8</v>
      </c>
    </row>
    <row r="64">
      <c r="A64" s="1">
        <v>62.0</v>
      </c>
      <c r="B64" s="3">
        <v>44286.0</v>
      </c>
      <c r="C64" s="1" t="s">
        <v>47</v>
      </c>
      <c r="D64" s="1" t="s">
        <v>48</v>
      </c>
      <c r="E64" s="1">
        <v>2.11E7</v>
      </c>
      <c r="F64" s="1">
        <v>5.99E8</v>
      </c>
      <c r="G64" s="1">
        <v>4.731E8</v>
      </c>
      <c r="H64" s="1">
        <v>1.891E8</v>
      </c>
      <c r="I64" s="1">
        <v>7.565E8</v>
      </c>
      <c r="J64" s="1">
        <v>5.558E8</v>
      </c>
      <c r="K64" s="1">
        <v>5.558E8</v>
      </c>
      <c r="L64" s="1">
        <v>-3.61E7</v>
      </c>
      <c r="M64" s="1">
        <v>1.219E8</v>
      </c>
      <c r="N64" s="1">
        <v>2.502E9</v>
      </c>
      <c r="O64" s="1">
        <v>1.9462E9</v>
      </c>
      <c r="P64" s="1">
        <v>1.7455E9</v>
      </c>
      <c r="Q64" s="1">
        <v>4.32E7</v>
      </c>
      <c r="R64" s="1">
        <v>4.771E8</v>
      </c>
      <c r="S64" s="1">
        <v>4.731E8</v>
      </c>
    </row>
    <row r="65">
      <c r="A65" s="1">
        <v>63.0</v>
      </c>
      <c r="B65" s="3">
        <v>44196.0</v>
      </c>
      <c r="C65" s="1" t="s">
        <v>47</v>
      </c>
      <c r="D65" s="1" t="s">
        <v>48</v>
      </c>
      <c r="E65" s="1">
        <v>2.35E7</v>
      </c>
      <c r="F65" s="1">
        <v>5.903E8</v>
      </c>
      <c r="G65" s="1">
        <v>4.82E8</v>
      </c>
      <c r="H65" s="1">
        <v>1.821E8</v>
      </c>
      <c r="I65" s="1">
        <v>7.428E8</v>
      </c>
      <c r="J65" s="1">
        <v>5.625E8</v>
      </c>
      <c r="K65" s="1">
        <v>5.625E8</v>
      </c>
      <c r="L65" s="1">
        <v>-3.67E7</v>
      </c>
      <c r="M65" s="1">
        <v>1.139E8</v>
      </c>
      <c r="N65" s="1">
        <v>2.3752E9</v>
      </c>
      <c r="O65" s="1">
        <v>1.8127E9</v>
      </c>
      <c r="P65" s="1">
        <v>1.6324E9</v>
      </c>
      <c r="Q65" s="1">
        <v>2.78E7</v>
      </c>
      <c r="R65" s="1">
        <v>4.764E8</v>
      </c>
      <c r="S65" s="1">
        <v>4.82E8</v>
      </c>
    </row>
    <row r="66">
      <c r="A66" s="1">
        <v>64.0</v>
      </c>
      <c r="B66" s="3">
        <v>44469.0</v>
      </c>
      <c r="C66" s="1" t="s">
        <v>49</v>
      </c>
      <c r="D66" s="1" t="s">
        <v>50</v>
      </c>
      <c r="E66" s="1">
        <v>8.2899E7</v>
      </c>
      <c r="F66" s="1">
        <v>1.92564E8</v>
      </c>
      <c r="G66" s="1">
        <v>1.78916E8</v>
      </c>
      <c r="H66" s="1">
        <v>2.41463E8</v>
      </c>
      <c r="I66" s="1">
        <v>5.43467E8</v>
      </c>
      <c r="J66" s="1">
        <v>2.07146E8</v>
      </c>
      <c r="K66" s="1">
        <v>2.07146E8</v>
      </c>
      <c r="L66" s="1">
        <v>-1.8144E7</v>
      </c>
      <c r="M66" s="1">
        <v>1.3648E7</v>
      </c>
      <c r="N66" s="1">
        <v>8.60333E8</v>
      </c>
      <c r="O66" s="1">
        <v>6.53187E8</v>
      </c>
      <c r="P66" s="1">
        <v>3.16866E8</v>
      </c>
      <c r="Q66" s="1">
        <v>-1.4582E7</v>
      </c>
      <c r="R66" s="1">
        <v>1.78916E8</v>
      </c>
      <c r="S66" s="1">
        <v>1.78916E8</v>
      </c>
    </row>
    <row r="67">
      <c r="A67" s="1">
        <v>65.0</v>
      </c>
      <c r="B67" s="3">
        <v>44377.0</v>
      </c>
      <c r="C67" s="1" t="s">
        <v>49</v>
      </c>
      <c r="D67" s="1" t="s">
        <v>50</v>
      </c>
      <c r="E67" s="1">
        <v>7.7255E7</v>
      </c>
      <c r="F67" s="1">
        <v>1.74506E8</v>
      </c>
      <c r="G67" s="1">
        <v>1.56497E8</v>
      </c>
      <c r="H67" s="1">
        <v>2.46049E8</v>
      </c>
      <c r="I67" s="1">
        <v>5.32824E8</v>
      </c>
      <c r="J67" s="1">
        <v>1.9746E8</v>
      </c>
      <c r="K67" s="1">
        <v>1.9746E8</v>
      </c>
      <c r="L67" s="1">
        <v>-1.8037E7</v>
      </c>
      <c r="M67" s="1">
        <v>1.8009E7</v>
      </c>
      <c r="N67" s="1">
        <v>8.52824E8</v>
      </c>
      <c r="O67" s="1">
        <v>6.55364E8</v>
      </c>
      <c r="P67" s="1">
        <v>3.2E8</v>
      </c>
      <c r="Q67" s="1">
        <v>-2.2954E7</v>
      </c>
      <c r="R67" s="1">
        <v>1.56497E8</v>
      </c>
      <c r="S67" s="1">
        <v>1.56497E8</v>
      </c>
    </row>
    <row r="68">
      <c r="A68" s="1">
        <v>66.0</v>
      </c>
      <c r="B68" s="3">
        <v>44286.0</v>
      </c>
      <c r="C68" s="1" t="s">
        <v>49</v>
      </c>
      <c r="D68" s="1" t="s">
        <v>50</v>
      </c>
      <c r="E68" s="1">
        <v>8.2045E7</v>
      </c>
      <c r="F68" s="1">
        <v>1.67593E8</v>
      </c>
      <c r="G68" s="1">
        <v>1.55695E8</v>
      </c>
      <c r="H68" s="1">
        <v>2.53005E8</v>
      </c>
      <c r="I68" s="1">
        <v>5.36021E8</v>
      </c>
      <c r="J68" s="1">
        <v>1.89544E8</v>
      </c>
      <c r="K68" s="1">
        <v>1.89544E8</v>
      </c>
      <c r="L68" s="1">
        <v>-1.7834E7</v>
      </c>
      <c r="M68" s="1">
        <v>1.1898E7</v>
      </c>
      <c r="N68" s="1">
        <v>8.42708E8</v>
      </c>
      <c r="O68" s="1">
        <v>6.53164E8</v>
      </c>
      <c r="P68" s="1">
        <v>3.06687E8</v>
      </c>
      <c r="Q68" s="1">
        <v>-2.1951E7</v>
      </c>
      <c r="R68" s="1">
        <v>1.55695E8</v>
      </c>
      <c r="S68" s="1">
        <v>1.55695E8</v>
      </c>
    </row>
    <row r="69">
      <c r="A69" s="1">
        <v>67.0</v>
      </c>
      <c r="B69" s="3">
        <v>44196.0</v>
      </c>
      <c r="C69" s="1" t="s">
        <v>49</v>
      </c>
      <c r="D69" s="1" t="s">
        <v>50</v>
      </c>
      <c r="E69" s="1">
        <v>6.7228E7</v>
      </c>
      <c r="F69" s="1">
        <v>1.17528E8</v>
      </c>
      <c r="G69" s="1">
        <v>1.1337E8</v>
      </c>
      <c r="H69" s="1">
        <v>2.98739E8</v>
      </c>
      <c r="I69" s="1">
        <v>5.4244E8</v>
      </c>
      <c r="J69" s="1">
        <v>1.65579E8</v>
      </c>
      <c r="K69" s="1">
        <v>1.65579E8</v>
      </c>
      <c r="L69" s="1">
        <v>-1.7342E7</v>
      </c>
      <c r="M69" s="1">
        <v>4158000.0</v>
      </c>
      <c r="N69" s="1">
        <v>8.46287E8</v>
      </c>
      <c r="O69" s="1">
        <v>6.80708E8</v>
      </c>
      <c r="P69" s="1">
        <v>3.03847E8</v>
      </c>
      <c r="Q69" s="1">
        <v>-4.8051E7</v>
      </c>
      <c r="R69" s="1">
        <v>1.1337E8</v>
      </c>
      <c r="S69" s="1">
        <v>1.1337E8</v>
      </c>
    </row>
    <row r="70">
      <c r="A70" s="1">
        <v>68.0</v>
      </c>
      <c r="B70" s="3">
        <v>44469.0</v>
      </c>
      <c r="C70" s="1" t="s">
        <v>51</v>
      </c>
      <c r="D70" s="1" t="s">
        <v>52</v>
      </c>
      <c r="E70" s="1">
        <v>1.3289E7</v>
      </c>
      <c r="F70" s="1">
        <v>-4.89103E8</v>
      </c>
      <c r="G70" s="1">
        <v>-3.92781E8</v>
      </c>
      <c r="H70" s="1">
        <v>9.5699E7</v>
      </c>
      <c r="I70" s="1">
        <v>2.49273E8</v>
      </c>
      <c r="J70" s="1">
        <v>1.40285E8</v>
      </c>
      <c r="K70" s="1">
        <v>1.40285E8</v>
      </c>
      <c r="L70" s="1">
        <v>-5136000.0</v>
      </c>
      <c r="M70" s="1">
        <v>-1.1467E8</v>
      </c>
      <c r="N70" s="1">
        <v>8.30566E8</v>
      </c>
      <c r="O70" s="1">
        <v>6.90281E8</v>
      </c>
      <c r="P70" s="1">
        <v>5.81293E8</v>
      </c>
      <c r="Q70" s="1">
        <v>-6.29388E8</v>
      </c>
      <c r="R70" s="1">
        <v>-3.74433E8</v>
      </c>
      <c r="S70" s="1">
        <v>-3.92781E8</v>
      </c>
    </row>
    <row r="71">
      <c r="A71" s="1">
        <v>69.0</v>
      </c>
      <c r="B71" s="3">
        <v>44377.0</v>
      </c>
      <c r="C71" s="1" t="s">
        <v>51</v>
      </c>
      <c r="D71" s="1" t="s">
        <v>52</v>
      </c>
      <c r="E71" s="1">
        <v>1.3976E7</v>
      </c>
      <c r="F71" s="1">
        <v>5.53193E8</v>
      </c>
      <c r="G71" s="1">
        <v>4.246E8</v>
      </c>
      <c r="H71" s="1">
        <v>1.13393E8</v>
      </c>
      <c r="I71" s="1">
        <v>2.48417E8</v>
      </c>
      <c r="J71" s="1">
        <v>1.21048E8</v>
      </c>
      <c r="K71" s="1">
        <v>1.21048E8</v>
      </c>
      <c r="L71" s="1">
        <v>-5952000.0</v>
      </c>
      <c r="M71" s="1">
        <v>1.06985E8</v>
      </c>
      <c r="N71" s="1">
        <v>7.73896E8</v>
      </c>
      <c r="O71" s="1">
        <v>6.52848E8</v>
      </c>
      <c r="P71" s="1">
        <v>5.25479E8</v>
      </c>
      <c r="Q71" s="1">
        <v>4.32145E8</v>
      </c>
      <c r="R71" s="1">
        <v>4.46208E8</v>
      </c>
      <c r="S71" s="1">
        <v>4.246E8</v>
      </c>
    </row>
    <row r="72">
      <c r="A72" s="1">
        <v>70.0</v>
      </c>
      <c r="B72" s="3">
        <v>44286.0</v>
      </c>
      <c r="C72" s="1" t="s">
        <v>51</v>
      </c>
      <c r="D72" s="1" t="s">
        <v>52</v>
      </c>
      <c r="E72" s="1">
        <v>1.4636E7</v>
      </c>
      <c r="F72" s="1">
        <v>1.39805E8</v>
      </c>
      <c r="G72" s="1">
        <v>9.5677E7</v>
      </c>
      <c r="H72" s="1">
        <v>8.5589E7</v>
      </c>
      <c r="I72" s="1">
        <v>2.63687E8</v>
      </c>
      <c r="J72" s="1">
        <v>1.63462E8</v>
      </c>
      <c r="K72" s="1">
        <v>1.63462E8</v>
      </c>
      <c r="L72" s="1">
        <v>-1.6084E7</v>
      </c>
      <c r="M72" s="1">
        <v>2.2107E7</v>
      </c>
      <c r="N72" s="1">
        <v>8.29291E8</v>
      </c>
      <c r="O72" s="1">
        <v>6.65829E8</v>
      </c>
      <c r="P72" s="1">
        <v>5.65604E8</v>
      </c>
      <c r="Q72" s="1">
        <v>-2.3657E7</v>
      </c>
      <c r="R72" s="1">
        <v>1.17698E8</v>
      </c>
      <c r="S72" s="1">
        <v>9.5677E7</v>
      </c>
    </row>
    <row r="73">
      <c r="A73" s="1">
        <v>71.0</v>
      </c>
      <c r="B73" s="3">
        <v>44196.0</v>
      </c>
      <c r="C73" s="1" t="s">
        <v>51</v>
      </c>
      <c r="D73" s="1" t="s">
        <v>52</v>
      </c>
      <c r="E73" s="1">
        <v>1.5375E7</v>
      </c>
      <c r="F73" s="1">
        <v>9.2076E7</v>
      </c>
      <c r="G73" s="1">
        <v>8.4635E7</v>
      </c>
      <c r="H73" s="1">
        <v>1.15008E8</v>
      </c>
      <c r="I73" s="1">
        <v>2.6672E8</v>
      </c>
      <c r="J73" s="1">
        <v>1.36337E8</v>
      </c>
      <c r="K73" s="1">
        <v>1.36337E8</v>
      </c>
      <c r="L73" s="1">
        <v>-1.9152E7</v>
      </c>
      <c r="M73" s="1">
        <v>-1.0101E7</v>
      </c>
      <c r="N73" s="1">
        <v>8.79147E8</v>
      </c>
      <c r="O73" s="1">
        <v>7.4281E8</v>
      </c>
      <c r="P73" s="1">
        <v>6.12427E8</v>
      </c>
      <c r="Q73" s="1">
        <v>-4.4261E7</v>
      </c>
      <c r="R73" s="1">
        <v>1.02177E8</v>
      </c>
      <c r="S73" s="1">
        <v>8.4635E7</v>
      </c>
    </row>
    <row r="74">
      <c r="A74" s="1">
        <v>72.0</v>
      </c>
      <c r="B74" s="3">
        <v>44469.0</v>
      </c>
      <c r="C74" s="1" t="s">
        <v>53</v>
      </c>
      <c r="D74" s="1" t="s">
        <v>54</v>
      </c>
      <c r="F74" s="1">
        <v>2.45E8</v>
      </c>
      <c r="G74" s="1">
        <v>1.94E8</v>
      </c>
      <c r="H74" s="1">
        <v>4.9E7</v>
      </c>
      <c r="I74" s="1">
        <v>5.62E8</v>
      </c>
      <c r="J74" s="1">
        <v>2.57E8</v>
      </c>
      <c r="K74" s="1">
        <v>2.57E8</v>
      </c>
      <c r="L74" s="1">
        <v>-2.7E7</v>
      </c>
      <c r="M74" s="1">
        <v>5.1E7</v>
      </c>
      <c r="N74" s="1">
        <v>1.953E9</v>
      </c>
      <c r="O74" s="1">
        <v>1.696E9</v>
      </c>
      <c r="P74" s="1">
        <v>1.391E9</v>
      </c>
      <c r="Q74" s="1">
        <v>-1.2E7</v>
      </c>
      <c r="R74" s="1">
        <v>1.94E8</v>
      </c>
      <c r="S74" s="1">
        <v>1.94E8</v>
      </c>
    </row>
    <row r="75">
      <c r="A75" s="1">
        <v>73.0</v>
      </c>
      <c r="B75" s="3">
        <v>44377.0</v>
      </c>
      <c r="C75" s="1" t="s">
        <v>53</v>
      </c>
      <c r="D75" s="1" t="s">
        <v>54</v>
      </c>
      <c r="F75" s="1">
        <v>5.28E8</v>
      </c>
      <c r="G75" s="1">
        <v>3.97E8</v>
      </c>
      <c r="H75" s="1">
        <v>4.1E7</v>
      </c>
      <c r="I75" s="1">
        <v>2.46E8</v>
      </c>
      <c r="J75" s="1">
        <v>-3.6E7</v>
      </c>
      <c r="K75" s="1">
        <v>-3.6E7</v>
      </c>
      <c r="L75" s="1">
        <v>-3.6E7</v>
      </c>
      <c r="M75" s="1">
        <v>1.31E8</v>
      </c>
      <c r="N75" s="1">
        <v>1.527E9</v>
      </c>
      <c r="O75" s="1">
        <v>1.563E9</v>
      </c>
      <c r="P75" s="1">
        <v>1.281E9</v>
      </c>
      <c r="Q75" s="1">
        <v>5.64E8</v>
      </c>
      <c r="R75" s="1">
        <v>3.97E8</v>
      </c>
      <c r="S75" s="1">
        <v>3.97E8</v>
      </c>
    </row>
    <row r="76">
      <c r="A76" s="1">
        <v>74.0</v>
      </c>
      <c r="B76" s="3">
        <v>44286.0</v>
      </c>
      <c r="C76" s="1" t="s">
        <v>53</v>
      </c>
      <c r="D76" s="1" t="s">
        <v>54</v>
      </c>
      <c r="F76" s="1">
        <v>-1.73E8</v>
      </c>
      <c r="G76" s="1">
        <v>-1.31E8</v>
      </c>
      <c r="H76" s="1">
        <v>3.3E7</v>
      </c>
      <c r="I76" s="1">
        <v>-3.12E8</v>
      </c>
      <c r="J76" s="1">
        <v>-5.73E8</v>
      </c>
      <c r="K76" s="1">
        <v>-5.73E8</v>
      </c>
      <c r="L76" s="1">
        <v>-2.9E7</v>
      </c>
      <c r="M76" s="1">
        <v>-4.2E7</v>
      </c>
      <c r="N76" s="1">
        <v>7.97E8</v>
      </c>
      <c r="O76" s="1">
        <v>1.37E9</v>
      </c>
      <c r="P76" s="1">
        <v>1.109E9</v>
      </c>
      <c r="Q76" s="1">
        <v>4.0E8</v>
      </c>
      <c r="R76" s="1">
        <v>-1.31E8</v>
      </c>
      <c r="S76" s="1">
        <v>-1.31E8</v>
      </c>
    </row>
    <row r="77">
      <c r="A77" s="1">
        <v>75.0</v>
      </c>
      <c r="B77" s="3">
        <v>44196.0</v>
      </c>
      <c r="C77" s="1" t="s">
        <v>53</v>
      </c>
      <c r="D77" s="1" t="s">
        <v>54</v>
      </c>
      <c r="F77" s="1">
        <v>-6.43E8</v>
      </c>
      <c r="G77" s="1">
        <v>-4.47E8</v>
      </c>
      <c r="H77" s="1">
        <v>1.8E7</v>
      </c>
      <c r="I77" s="1">
        <v>-2.13E8</v>
      </c>
      <c r="J77" s="1">
        <v>-4.49E8</v>
      </c>
      <c r="K77" s="1">
        <v>-4.49E8</v>
      </c>
      <c r="L77" s="1">
        <v>-3.1E7</v>
      </c>
      <c r="M77" s="1">
        <v>-1.96E8</v>
      </c>
      <c r="N77" s="1">
        <v>8.08E8</v>
      </c>
      <c r="O77" s="1">
        <v>1.257E9</v>
      </c>
      <c r="P77" s="1">
        <v>1.021E9</v>
      </c>
      <c r="Q77" s="1">
        <v>-1.94E8</v>
      </c>
      <c r="R77" s="1">
        <v>-4.47E8</v>
      </c>
      <c r="S77" s="1">
        <v>-4.47E8</v>
      </c>
    </row>
    <row r="78">
      <c r="A78" s="1">
        <v>76.0</v>
      </c>
      <c r="B78" s="3">
        <v>44469.0</v>
      </c>
      <c r="C78" s="1" t="s">
        <v>55</v>
      </c>
      <c r="D78" s="1" t="s">
        <v>56</v>
      </c>
      <c r="F78" s="1">
        <v>1.24433E8</v>
      </c>
      <c r="G78" s="1">
        <v>1.03147E8</v>
      </c>
      <c r="H78" s="1">
        <v>3.7931E7</v>
      </c>
      <c r="I78" s="1">
        <v>3.84855E8</v>
      </c>
      <c r="J78" s="1">
        <v>1.36082E8</v>
      </c>
      <c r="K78" s="1">
        <v>1.36082E8</v>
      </c>
      <c r="L78" s="1">
        <v>-3.5678E7</v>
      </c>
      <c r="M78" s="1">
        <v>0.0</v>
      </c>
      <c r="N78" s="1">
        <v>5.5085E8</v>
      </c>
      <c r="O78" s="1">
        <v>4.14768E8</v>
      </c>
      <c r="P78" s="1">
        <v>1.65995E8</v>
      </c>
      <c r="Q78" s="1">
        <v>-1.1649E7</v>
      </c>
      <c r="R78" s="1">
        <v>1.24433E8</v>
      </c>
      <c r="S78" s="1">
        <v>1.01264E8</v>
      </c>
    </row>
    <row r="79">
      <c r="A79" s="1">
        <v>77.0</v>
      </c>
      <c r="B79" s="3">
        <v>44377.0</v>
      </c>
      <c r="C79" s="1" t="s">
        <v>55</v>
      </c>
      <c r="D79" s="1" t="s">
        <v>56</v>
      </c>
      <c r="F79" s="1">
        <v>4.0452E8</v>
      </c>
      <c r="G79" s="1">
        <v>3.85084E8</v>
      </c>
      <c r="H79" s="1">
        <v>3.788E7</v>
      </c>
      <c r="I79" s="1">
        <v>3.68273E8</v>
      </c>
      <c r="J79" s="1">
        <v>1.40341E8</v>
      </c>
      <c r="K79" s="1">
        <v>1.40341E8</v>
      </c>
      <c r="L79" s="1">
        <v>-3.5158E7</v>
      </c>
      <c r="M79" s="1">
        <v>0.0</v>
      </c>
      <c r="N79" s="1">
        <v>5.12228E8</v>
      </c>
      <c r="O79" s="1">
        <v>3.71887E8</v>
      </c>
      <c r="P79" s="1">
        <v>1.43955E8</v>
      </c>
      <c r="Q79" s="1">
        <v>2.64179E8</v>
      </c>
      <c r="R79" s="1">
        <v>4.0452E8</v>
      </c>
      <c r="S79" s="1">
        <v>3.80563E8</v>
      </c>
    </row>
    <row r="80">
      <c r="A80" s="1">
        <v>78.0</v>
      </c>
      <c r="B80" s="3">
        <v>44286.0</v>
      </c>
      <c r="C80" s="1" t="s">
        <v>55</v>
      </c>
      <c r="D80" s="1" t="s">
        <v>56</v>
      </c>
      <c r="F80" s="1">
        <v>2.5533E7</v>
      </c>
      <c r="G80" s="1">
        <v>8121000.0</v>
      </c>
      <c r="H80" s="1">
        <v>3.3996E7</v>
      </c>
      <c r="I80" s="1">
        <v>3.45498E8</v>
      </c>
      <c r="J80" s="1">
        <v>1.30589E8</v>
      </c>
      <c r="K80" s="1">
        <v>1.30589E8</v>
      </c>
      <c r="L80" s="1">
        <v>-3.6467E7</v>
      </c>
      <c r="M80" s="1">
        <v>0.0</v>
      </c>
      <c r="N80" s="1">
        <v>4.83386E8</v>
      </c>
      <c r="O80" s="1">
        <v>3.52797E8</v>
      </c>
      <c r="P80" s="1">
        <v>1.37888E8</v>
      </c>
      <c r="Q80" s="1">
        <v>-1.05056E8</v>
      </c>
      <c r="R80" s="1">
        <v>2.5533E7</v>
      </c>
      <c r="S80" s="1">
        <v>7979000.0</v>
      </c>
    </row>
    <row r="81">
      <c r="A81" s="1">
        <v>79.0</v>
      </c>
      <c r="B81" s="3">
        <v>44196.0</v>
      </c>
      <c r="C81" s="1" t="s">
        <v>55</v>
      </c>
      <c r="D81" s="1" t="s">
        <v>56</v>
      </c>
      <c r="F81" s="1">
        <v>4.57133E8</v>
      </c>
      <c r="G81" s="1">
        <v>4.41484E8</v>
      </c>
      <c r="H81" s="1">
        <v>3.269E7</v>
      </c>
      <c r="I81" s="1">
        <v>3.30546E8</v>
      </c>
      <c r="J81" s="1">
        <v>1.20106E8</v>
      </c>
      <c r="K81" s="1">
        <v>1.20106E8</v>
      </c>
      <c r="L81" s="1">
        <v>-3.7538E7</v>
      </c>
      <c r="M81" s="1">
        <v>0.0</v>
      </c>
      <c r="N81" s="1">
        <v>4.67313E8</v>
      </c>
      <c r="O81" s="1">
        <v>3.47207E8</v>
      </c>
      <c r="P81" s="1">
        <v>1.36767E8</v>
      </c>
      <c r="Q81" s="1">
        <v>3.37027E8</v>
      </c>
      <c r="R81" s="1">
        <v>4.57133E8</v>
      </c>
      <c r="S81" s="1">
        <v>4.3662E8</v>
      </c>
    </row>
    <row r="82">
      <c r="A82" s="1">
        <v>80.0</v>
      </c>
      <c r="B82" s="3">
        <v>44469.0</v>
      </c>
      <c r="C82" s="1" t="s">
        <v>57</v>
      </c>
      <c r="D82" s="1" t="s">
        <v>58</v>
      </c>
      <c r="E82" s="1">
        <v>6.5587E7</v>
      </c>
      <c r="F82" s="1">
        <v>2.61988E8</v>
      </c>
      <c r="G82" s="1">
        <v>1.80969E8</v>
      </c>
      <c r="H82" s="1">
        <v>4.28409E8</v>
      </c>
      <c r="I82" s="1">
        <v>7.55156E8</v>
      </c>
      <c r="J82" s="1">
        <v>2.6116E8</v>
      </c>
      <c r="K82" s="1">
        <v>2.6116E8</v>
      </c>
      <c r="M82" s="1">
        <v>8.1019E7</v>
      </c>
      <c r="N82" s="1">
        <v>1.015906E9</v>
      </c>
      <c r="O82" s="1">
        <v>7.54746E8</v>
      </c>
      <c r="P82" s="1">
        <v>2.6075E8</v>
      </c>
      <c r="Q82" s="1">
        <v>828000.0</v>
      </c>
      <c r="R82" s="1">
        <v>1.80969E8</v>
      </c>
      <c r="S82" s="1">
        <v>1.80969E8</v>
      </c>
    </row>
    <row r="83">
      <c r="A83" s="1">
        <v>81.0</v>
      </c>
      <c r="B83" s="3">
        <v>44377.0</v>
      </c>
      <c r="C83" s="1" t="s">
        <v>57</v>
      </c>
      <c r="D83" s="1" t="s">
        <v>58</v>
      </c>
      <c r="E83" s="1">
        <v>5.7715E7</v>
      </c>
      <c r="F83" s="1">
        <v>2.68802E8</v>
      </c>
      <c r="G83" s="1">
        <v>1.99714E8</v>
      </c>
      <c r="H83" s="1">
        <v>4.31921E8</v>
      </c>
      <c r="I83" s="1">
        <v>7.58538E8</v>
      </c>
      <c r="J83" s="1">
        <v>2.68902E8</v>
      </c>
      <c r="K83" s="1">
        <v>2.68902E8</v>
      </c>
      <c r="M83" s="1">
        <v>6.9088E7</v>
      </c>
      <c r="N83" s="1">
        <v>1.010808E9</v>
      </c>
      <c r="O83" s="1">
        <v>7.41906E8</v>
      </c>
      <c r="P83" s="1">
        <v>2.5227E8</v>
      </c>
      <c r="Q83" s="1">
        <v>-100000.0</v>
      </c>
      <c r="R83" s="1">
        <v>1.99714E8</v>
      </c>
      <c r="S83" s="1">
        <v>1.99714E8</v>
      </c>
    </row>
    <row r="84">
      <c r="A84" s="1">
        <v>82.0</v>
      </c>
      <c r="B84" s="3">
        <v>44286.0</v>
      </c>
      <c r="C84" s="1" t="s">
        <v>57</v>
      </c>
      <c r="D84" s="1" t="s">
        <v>58</v>
      </c>
      <c r="E84" s="1">
        <v>5.4537E7</v>
      </c>
      <c r="F84" s="1">
        <v>2.61621E8</v>
      </c>
      <c r="G84" s="1">
        <v>2.00376E8</v>
      </c>
      <c r="H84" s="1">
        <v>3.97115E8</v>
      </c>
      <c r="I84" s="1">
        <v>6.77098E8</v>
      </c>
      <c r="J84" s="1">
        <v>2.25446E8</v>
      </c>
      <c r="K84" s="1">
        <v>2.25446E8</v>
      </c>
      <c r="M84" s="1">
        <v>6.1245E7</v>
      </c>
      <c r="N84" s="1">
        <v>8.94771E8</v>
      </c>
      <c r="O84" s="1">
        <v>6.69325E8</v>
      </c>
      <c r="P84" s="1">
        <v>2.17673E8</v>
      </c>
      <c r="Q84" s="1">
        <v>3.6175E7</v>
      </c>
      <c r="R84" s="1">
        <v>2.00376E8</v>
      </c>
      <c r="S84" s="1">
        <v>2.00376E8</v>
      </c>
    </row>
    <row r="85">
      <c r="A85" s="1">
        <v>83.0</v>
      </c>
      <c r="B85" s="3">
        <v>44196.0</v>
      </c>
      <c r="C85" s="1" t="s">
        <v>57</v>
      </c>
      <c r="D85" s="1" t="s">
        <v>58</v>
      </c>
      <c r="E85" s="1">
        <v>4.8887E7</v>
      </c>
      <c r="F85" s="1">
        <v>2.14542E8</v>
      </c>
      <c r="G85" s="1">
        <v>1.58988E8</v>
      </c>
      <c r="H85" s="1">
        <v>3.48392E8</v>
      </c>
      <c r="I85" s="1">
        <v>6.10463E8</v>
      </c>
      <c r="J85" s="1">
        <v>2.13184E8</v>
      </c>
      <c r="K85" s="1">
        <v>2.13184E8</v>
      </c>
      <c r="M85" s="1">
        <v>5.5554E7</v>
      </c>
      <c r="N85" s="1">
        <v>8.3452E8</v>
      </c>
      <c r="O85" s="1">
        <v>6.21336E8</v>
      </c>
      <c r="P85" s="1">
        <v>2.24057E8</v>
      </c>
      <c r="Q85" s="1">
        <v>1358000.0</v>
      </c>
      <c r="R85" s="1">
        <v>1.58988E8</v>
      </c>
      <c r="S85" s="1">
        <v>1.58988E8</v>
      </c>
    </row>
    <row r="86">
      <c r="A86" s="1">
        <v>84.0</v>
      </c>
      <c r="B86" s="3">
        <v>44469.0</v>
      </c>
      <c r="C86" s="1" t="s">
        <v>59</v>
      </c>
      <c r="D86" s="1" t="s">
        <v>60</v>
      </c>
      <c r="F86" s="1">
        <v>1.408E8</v>
      </c>
      <c r="G86" s="1">
        <v>1.435E8</v>
      </c>
      <c r="H86" s="1">
        <v>1.6E8</v>
      </c>
      <c r="I86" s="1">
        <v>3.005E8</v>
      </c>
      <c r="J86" s="1">
        <v>1.405E8</v>
      </c>
      <c r="K86" s="1">
        <v>1.405E8</v>
      </c>
      <c r="L86" s="1">
        <v>-1.23E7</v>
      </c>
      <c r="M86" s="1">
        <v>-2800000.0</v>
      </c>
      <c r="N86" s="1">
        <v>7.17E8</v>
      </c>
      <c r="O86" s="1">
        <v>5.765E8</v>
      </c>
      <c r="P86" s="1">
        <v>4.165E8</v>
      </c>
      <c r="Q86" s="1">
        <v>300000.0</v>
      </c>
      <c r="R86" s="1">
        <v>1.436E8</v>
      </c>
      <c r="S86" s="1">
        <v>1.435E8</v>
      </c>
    </row>
    <row r="87">
      <c r="A87" s="1">
        <v>85.0</v>
      </c>
      <c r="B87" s="3">
        <v>44377.0</v>
      </c>
      <c r="C87" s="1" t="s">
        <v>59</v>
      </c>
      <c r="D87" s="1" t="s">
        <v>60</v>
      </c>
      <c r="F87" s="1">
        <v>1.362E8</v>
      </c>
      <c r="G87" s="1">
        <v>1.187E8</v>
      </c>
      <c r="H87" s="1">
        <v>1.731E8</v>
      </c>
      <c r="I87" s="1">
        <v>3.205E8</v>
      </c>
      <c r="J87" s="1">
        <v>1.474E8</v>
      </c>
      <c r="K87" s="1">
        <v>1.474E8</v>
      </c>
      <c r="L87" s="1">
        <v>-1.24E7</v>
      </c>
      <c r="M87" s="1">
        <v>1.74E7</v>
      </c>
      <c r="N87" s="1">
        <v>7.469E8</v>
      </c>
      <c r="O87" s="1">
        <v>5.995E8</v>
      </c>
      <c r="P87" s="1">
        <v>4.264E8</v>
      </c>
      <c r="Q87" s="1">
        <v>-1.12E7</v>
      </c>
      <c r="R87" s="1">
        <v>1.188E8</v>
      </c>
      <c r="S87" s="1">
        <v>1.187E8</v>
      </c>
    </row>
    <row r="88">
      <c r="A88" s="1">
        <v>86.0</v>
      </c>
      <c r="B88" s="3">
        <v>44286.0</v>
      </c>
      <c r="C88" s="1" t="s">
        <v>59</v>
      </c>
      <c r="D88" s="1" t="s">
        <v>60</v>
      </c>
      <c r="F88" s="1">
        <v>1.225E8</v>
      </c>
      <c r="G88" s="1">
        <v>1.08E8</v>
      </c>
      <c r="H88" s="1">
        <v>1.642E8</v>
      </c>
      <c r="I88" s="1">
        <v>2.974E8</v>
      </c>
      <c r="J88" s="1">
        <v>1.332E8</v>
      </c>
      <c r="K88" s="1">
        <v>1.332E8</v>
      </c>
      <c r="L88" s="1">
        <v>-1.23E7</v>
      </c>
      <c r="M88" s="1">
        <v>1.43E7</v>
      </c>
      <c r="N88" s="1">
        <v>6.943E8</v>
      </c>
      <c r="O88" s="1">
        <v>5.611E8</v>
      </c>
      <c r="P88" s="1">
        <v>3.969E8</v>
      </c>
      <c r="Q88" s="1">
        <v>-1.07E7</v>
      </c>
      <c r="R88" s="1">
        <v>1.082E8</v>
      </c>
      <c r="S88" s="1">
        <v>1.08E8</v>
      </c>
    </row>
    <row r="89">
      <c r="A89" s="1">
        <v>87.0</v>
      </c>
      <c r="B89" s="3">
        <v>44196.0</v>
      </c>
      <c r="C89" s="1" t="s">
        <v>59</v>
      </c>
      <c r="D89" s="1" t="s">
        <v>60</v>
      </c>
      <c r="F89" s="1">
        <v>1.058E8</v>
      </c>
      <c r="G89" s="1">
        <v>9.33E7</v>
      </c>
      <c r="H89" s="1">
        <v>1.566E8</v>
      </c>
      <c r="I89" s="1">
        <v>3.207E8</v>
      </c>
      <c r="J89" s="1">
        <v>1.641E8</v>
      </c>
      <c r="K89" s="1">
        <v>1.641E8</v>
      </c>
      <c r="L89" s="1">
        <v>-1.23E7</v>
      </c>
      <c r="M89" s="1">
        <v>1.24E7</v>
      </c>
      <c r="N89" s="1">
        <v>7.273E8</v>
      </c>
      <c r="O89" s="1">
        <v>5.632E8</v>
      </c>
      <c r="P89" s="1">
        <v>4.066E8</v>
      </c>
      <c r="Q89" s="1">
        <v>-5.83E7</v>
      </c>
      <c r="R89" s="1">
        <v>9.34E7</v>
      </c>
      <c r="S89" s="1">
        <v>9.33E7</v>
      </c>
    </row>
    <row r="90">
      <c r="A90" s="1">
        <v>88.0</v>
      </c>
      <c r="B90" s="3">
        <v>44469.0</v>
      </c>
      <c r="C90" s="1" t="s">
        <v>61</v>
      </c>
      <c r="D90" s="1" t="s">
        <v>62</v>
      </c>
      <c r="F90" s="1">
        <v>2.35E8</v>
      </c>
      <c r="G90" s="1">
        <v>2.56E8</v>
      </c>
      <c r="I90" s="1">
        <v>4.8E8</v>
      </c>
      <c r="J90" s="1">
        <v>2.89E8</v>
      </c>
      <c r="K90" s="1">
        <v>2.89E8</v>
      </c>
      <c r="L90" s="1">
        <v>-7.1E7</v>
      </c>
      <c r="M90" s="1">
        <v>-2.1E7</v>
      </c>
      <c r="N90" s="1">
        <v>1.024E9</v>
      </c>
      <c r="O90" s="1">
        <v>7.35E8</v>
      </c>
      <c r="P90" s="1">
        <v>5.44E8</v>
      </c>
      <c r="Q90" s="1">
        <v>-5.4E7</v>
      </c>
      <c r="R90" s="1">
        <v>2.56E8</v>
      </c>
      <c r="S90" s="1">
        <v>2.56E8</v>
      </c>
    </row>
    <row r="91">
      <c r="A91" s="1">
        <v>89.0</v>
      </c>
      <c r="B91" s="3">
        <v>44377.0</v>
      </c>
      <c r="C91" s="1" t="s">
        <v>61</v>
      </c>
      <c r="D91" s="1" t="s">
        <v>62</v>
      </c>
      <c r="F91" s="1">
        <v>1.27E8</v>
      </c>
      <c r="G91" s="1">
        <v>1.44E8</v>
      </c>
      <c r="I91" s="1">
        <v>3.67E8</v>
      </c>
      <c r="J91" s="1">
        <v>1.76E8</v>
      </c>
      <c r="K91" s="1">
        <v>1.76E8</v>
      </c>
      <c r="L91" s="1">
        <v>-7.1E7</v>
      </c>
      <c r="M91" s="1">
        <v>-1.7E7</v>
      </c>
      <c r="N91" s="1">
        <v>8.17E8</v>
      </c>
      <c r="O91" s="1">
        <v>6.41E8</v>
      </c>
      <c r="P91" s="1">
        <v>4.5E8</v>
      </c>
      <c r="Q91" s="1">
        <v>-4.9E7</v>
      </c>
      <c r="R91" s="1">
        <v>1.44E8</v>
      </c>
      <c r="S91" s="1">
        <v>1.44E8</v>
      </c>
    </row>
    <row r="92">
      <c r="A92" s="1">
        <v>90.0</v>
      </c>
      <c r="B92" s="3">
        <v>44286.0</v>
      </c>
      <c r="C92" s="1" t="s">
        <v>61</v>
      </c>
      <c r="D92" s="1" t="s">
        <v>62</v>
      </c>
      <c r="F92" s="1">
        <v>1.43E8</v>
      </c>
      <c r="G92" s="1">
        <v>1.71E8</v>
      </c>
      <c r="I92" s="1">
        <v>3.88E8</v>
      </c>
      <c r="J92" s="1">
        <v>1.98E8</v>
      </c>
      <c r="K92" s="1">
        <v>1.98E8</v>
      </c>
      <c r="L92" s="1">
        <v>-7.2E7</v>
      </c>
      <c r="M92" s="1">
        <v>-2.8E7</v>
      </c>
      <c r="N92" s="1">
        <v>9.01E8</v>
      </c>
      <c r="O92" s="1">
        <v>7.03E8</v>
      </c>
      <c r="P92" s="1">
        <v>5.13E8</v>
      </c>
      <c r="Q92" s="1">
        <v>-5.5E7</v>
      </c>
      <c r="R92" s="1">
        <v>1.71E8</v>
      </c>
      <c r="S92" s="1">
        <v>1.71E8</v>
      </c>
    </row>
    <row r="93">
      <c r="A93" s="1">
        <v>91.0</v>
      </c>
      <c r="B93" s="3">
        <v>44196.0</v>
      </c>
      <c r="C93" s="1" t="s">
        <v>61</v>
      </c>
      <c r="D93" s="1" t="s">
        <v>62</v>
      </c>
      <c r="F93" s="1">
        <v>5.4E7</v>
      </c>
      <c r="G93" s="1">
        <v>6.4E7</v>
      </c>
      <c r="H93" s="1">
        <v>2.4E7</v>
      </c>
      <c r="I93" s="1">
        <v>2.99E8</v>
      </c>
      <c r="J93" s="1">
        <v>8.8E7</v>
      </c>
      <c r="K93" s="1">
        <v>8.8E7</v>
      </c>
      <c r="L93" s="1">
        <v>-7.0E7</v>
      </c>
      <c r="M93" s="1">
        <v>-1.0E7</v>
      </c>
      <c r="N93" s="1">
        <v>8.17E8</v>
      </c>
      <c r="O93" s="1">
        <v>7.29E8</v>
      </c>
      <c r="P93" s="1">
        <v>5.18E8</v>
      </c>
      <c r="Q93" s="1">
        <v>-3.4E7</v>
      </c>
      <c r="R93" s="1">
        <v>6.4E7</v>
      </c>
      <c r="S93" s="1">
        <v>6.4E7</v>
      </c>
    </row>
    <row r="94">
      <c r="A94" s="1">
        <v>92.0</v>
      </c>
      <c r="B94" s="3">
        <v>44469.0</v>
      </c>
      <c r="C94" s="1" t="s">
        <v>63</v>
      </c>
      <c r="D94" s="1" t="s">
        <v>64</v>
      </c>
      <c r="F94" s="1">
        <v>2.26E8</v>
      </c>
      <c r="G94" s="1">
        <v>5.38E8</v>
      </c>
      <c r="H94" s="1">
        <v>1.93E9</v>
      </c>
      <c r="I94" s="1">
        <v>2.357E9</v>
      </c>
      <c r="J94" s="1">
        <v>3.18E8</v>
      </c>
      <c r="K94" s="1">
        <v>3.18E8</v>
      </c>
      <c r="L94" s="1">
        <v>-6.9E7</v>
      </c>
      <c r="M94" s="1">
        <v>2.0E7</v>
      </c>
      <c r="N94" s="1">
        <v>1.248E10</v>
      </c>
      <c r="O94" s="1">
        <v>1.2162E10</v>
      </c>
      <c r="P94" s="1">
        <v>1.0123E10</v>
      </c>
      <c r="Q94" s="1">
        <v>-9.2E7</v>
      </c>
      <c r="R94" s="1">
        <v>2.06E8</v>
      </c>
      <c r="S94" s="1">
        <v>5.08E8</v>
      </c>
    </row>
    <row r="95">
      <c r="A95" s="1">
        <v>93.0</v>
      </c>
      <c r="B95" s="3">
        <v>44377.0</v>
      </c>
      <c r="C95" s="1" t="s">
        <v>63</v>
      </c>
      <c r="D95" s="1" t="s">
        <v>64</v>
      </c>
      <c r="F95" s="1">
        <v>1.797E9</v>
      </c>
      <c r="G95" s="1">
        <v>1.625E9</v>
      </c>
      <c r="H95" s="1">
        <v>1.549E9</v>
      </c>
      <c r="I95" s="1">
        <v>3.642E9</v>
      </c>
      <c r="J95" s="1">
        <v>1.988E9</v>
      </c>
      <c r="K95" s="1">
        <v>1.988E9</v>
      </c>
      <c r="L95" s="1">
        <v>-9.1E7</v>
      </c>
      <c r="M95" s="1">
        <v>3.62E8</v>
      </c>
      <c r="N95" s="1">
        <v>1.2646E10</v>
      </c>
      <c r="O95" s="1">
        <v>1.0658E10</v>
      </c>
      <c r="P95" s="1">
        <v>9.004E9</v>
      </c>
      <c r="Q95" s="1">
        <v>-1.91E8</v>
      </c>
      <c r="R95" s="1">
        <v>1.435E9</v>
      </c>
      <c r="S95" s="1">
        <v>1.595E9</v>
      </c>
    </row>
    <row r="96">
      <c r="A96" s="1">
        <v>94.0</v>
      </c>
      <c r="B96" s="3">
        <v>44286.0</v>
      </c>
      <c r="C96" s="1" t="s">
        <v>63</v>
      </c>
      <c r="D96" s="1" t="s">
        <v>64</v>
      </c>
      <c r="F96" s="1">
        <v>3.032E9</v>
      </c>
      <c r="G96" s="1">
        <v>-1.381E9</v>
      </c>
      <c r="H96" s="1">
        <v>1.399E9</v>
      </c>
      <c r="I96" s="1">
        <v>4.643E9</v>
      </c>
      <c r="J96" s="1">
        <v>3.191E9</v>
      </c>
      <c r="K96" s="1">
        <v>3.191E9</v>
      </c>
      <c r="L96" s="1">
        <v>-8.6E7</v>
      </c>
      <c r="M96" s="1">
        <v>6.26E8</v>
      </c>
      <c r="N96" s="1">
        <v>1.2451E10</v>
      </c>
      <c r="O96" s="1">
        <v>9.26E9</v>
      </c>
      <c r="P96" s="1">
        <v>7.808E9</v>
      </c>
      <c r="Q96" s="1">
        <v>-1.59E8</v>
      </c>
      <c r="R96" s="1">
        <v>2.406E9</v>
      </c>
      <c r="S96" s="1">
        <v>-1.408E9</v>
      </c>
    </row>
    <row r="97">
      <c r="A97" s="1">
        <v>95.0</v>
      </c>
      <c r="B97" s="3">
        <v>44196.0</v>
      </c>
      <c r="C97" s="1" t="s">
        <v>63</v>
      </c>
      <c r="D97" s="1" t="s">
        <v>64</v>
      </c>
      <c r="F97" s="1">
        <v>3.31E9</v>
      </c>
      <c r="G97" s="1">
        <v>2.624E9</v>
      </c>
      <c r="H97" s="1">
        <v>1.131E9</v>
      </c>
      <c r="I97" s="1">
        <v>4.59E9</v>
      </c>
      <c r="J97" s="1">
        <v>3.429E9</v>
      </c>
      <c r="K97" s="1">
        <v>3.429E9</v>
      </c>
      <c r="L97" s="1">
        <v>-8.0E7</v>
      </c>
      <c r="M97" s="1">
        <v>6.86E8</v>
      </c>
      <c r="N97" s="1">
        <v>1.2018E10</v>
      </c>
      <c r="O97" s="1">
        <v>8.589E9</v>
      </c>
      <c r="P97" s="1">
        <v>7.428E9</v>
      </c>
      <c r="Q97" s="1">
        <v>-1.19E8</v>
      </c>
      <c r="R97" s="1">
        <v>2.624E9</v>
      </c>
      <c r="S97" s="1">
        <v>2.598E9</v>
      </c>
    </row>
    <row r="98">
      <c r="A98" s="1">
        <v>96.0</v>
      </c>
      <c r="B98" s="3">
        <v>44377.0</v>
      </c>
      <c r="C98" s="1" t="s">
        <v>65</v>
      </c>
      <c r="D98" s="1" t="s">
        <v>66</v>
      </c>
      <c r="E98" s="1">
        <v>7.675E9</v>
      </c>
      <c r="F98" s="1">
        <v>2.1985E10</v>
      </c>
      <c r="G98" s="1">
        <v>1.8525E10</v>
      </c>
      <c r="H98" s="1">
        <v>8.617E9</v>
      </c>
      <c r="I98" s="1">
        <v>3.5653E10</v>
      </c>
      <c r="J98" s="1">
        <v>1.9361E10</v>
      </c>
      <c r="K98" s="1">
        <v>1.9361E10</v>
      </c>
      <c r="L98" s="1">
        <v>-7.6E7</v>
      </c>
      <c r="M98" s="1">
        <v>3.46E9</v>
      </c>
      <c r="N98" s="1">
        <v>6.188E10</v>
      </c>
      <c r="O98" s="1">
        <v>4.2519E10</v>
      </c>
      <c r="P98" s="1">
        <v>2.6227E10</v>
      </c>
      <c r="Q98" s="1">
        <v>2.624E9</v>
      </c>
      <c r="R98" s="1">
        <v>1.8525E10</v>
      </c>
      <c r="S98" s="1">
        <v>1.8525E10</v>
      </c>
    </row>
    <row r="99">
      <c r="A99" s="1">
        <v>97.0</v>
      </c>
      <c r="B99" s="3">
        <v>44286.0</v>
      </c>
      <c r="C99" s="1" t="s">
        <v>65</v>
      </c>
      <c r="D99" s="1" t="s">
        <v>66</v>
      </c>
      <c r="E99" s="1">
        <v>7.485E9</v>
      </c>
      <c r="F99" s="1">
        <v>2.1283E10</v>
      </c>
      <c r="G99" s="1">
        <v>1.793E10</v>
      </c>
      <c r="H99" s="1">
        <v>7.289E9</v>
      </c>
      <c r="I99" s="1">
        <v>3.1211E10</v>
      </c>
      <c r="J99" s="1">
        <v>1.6437E10</v>
      </c>
      <c r="K99" s="1">
        <v>1.6437E10</v>
      </c>
      <c r="L99" s="1">
        <v>-7.6E7</v>
      </c>
      <c r="M99" s="1">
        <v>3.353E9</v>
      </c>
      <c r="N99" s="1">
        <v>5.5314E10</v>
      </c>
      <c r="O99" s="1">
        <v>3.8877E10</v>
      </c>
      <c r="P99" s="1">
        <v>2.4103E10</v>
      </c>
      <c r="Q99" s="1">
        <v>4.846E9</v>
      </c>
      <c r="R99" s="1">
        <v>1.793E10</v>
      </c>
      <c r="S99" s="1">
        <v>1.793E10</v>
      </c>
    </row>
    <row r="100">
      <c r="A100" s="1">
        <v>98.0</v>
      </c>
      <c r="B100" s="3">
        <v>44196.0</v>
      </c>
      <c r="C100" s="1" t="s">
        <v>65</v>
      </c>
      <c r="D100" s="1" t="s">
        <v>66</v>
      </c>
      <c r="E100" s="1">
        <v>7.022E9</v>
      </c>
      <c r="F100" s="1">
        <v>1.8689E10</v>
      </c>
      <c r="G100" s="1">
        <v>1.5227E10</v>
      </c>
      <c r="H100" s="1">
        <v>8.145E9</v>
      </c>
      <c r="I100" s="1">
        <v>3.0818E10</v>
      </c>
      <c r="J100" s="1">
        <v>1.5651E10</v>
      </c>
      <c r="K100" s="1">
        <v>1.5651E10</v>
      </c>
      <c r="L100" s="1">
        <v>-5.3E7</v>
      </c>
      <c r="M100" s="1">
        <v>3.462E9</v>
      </c>
      <c r="N100" s="1">
        <v>5.6898E10</v>
      </c>
      <c r="O100" s="1">
        <v>4.1247E10</v>
      </c>
      <c r="P100" s="1">
        <v>2.608E10</v>
      </c>
      <c r="Q100" s="1">
        <v>3.038E9</v>
      </c>
      <c r="R100" s="1">
        <v>1.5227E10</v>
      </c>
      <c r="S100" s="1">
        <v>1.5227E10</v>
      </c>
    </row>
    <row r="101">
      <c r="A101" s="1">
        <v>99.0</v>
      </c>
      <c r="B101" s="3">
        <v>44104.0</v>
      </c>
      <c r="C101" s="1" t="s">
        <v>65</v>
      </c>
      <c r="D101" s="1" t="s">
        <v>66</v>
      </c>
      <c r="E101" s="1">
        <v>6.856E9</v>
      </c>
      <c r="F101" s="1">
        <v>1.3359E10</v>
      </c>
      <c r="G101" s="1">
        <v>1.1247E10</v>
      </c>
      <c r="H101" s="1">
        <v>6.987E9</v>
      </c>
      <c r="I101" s="1">
        <v>2.5056E10</v>
      </c>
      <c r="J101" s="1">
        <v>1.1213E10</v>
      </c>
      <c r="K101" s="1">
        <v>1.1213E10</v>
      </c>
      <c r="L101" s="1">
        <v>-4.8E7</v>
      </c>
      <c r="M101" s="1">
        <v>2.112E9</v>
      </c>
      <c r="N101" s="1">
        <v>4.6173E10</v>
      </c>
      <c r="O101" s="1">
        <v>3.496E10</v>
      </c>
      <c r="P101" s="1">
        <v>2.1117E10</v>
      </c>
      <c r="Q101" s="1">
        <v>2.146E9</v>
      </c>
      <c r="R101" s="1">
        <v>1.1247E10</v>
      </c>
      <c r="S101" s="1">
        <v>1.1247E10</v>
      </c>
    </row>
    <row r="102">
      <c r="A102" s="1">
        <v>100.0</v>
      </c>
      <c r="B102" s="3">
        <v>44377.0</v>
      </c>
      <c r="C102" s="1" t="s">
        <v>67</v>
      </c>
      <c r="D102" s="1" t="s">
        <v>68</v>
      </c>
      <c r="E102" s="1">
        <v>7.675E9</v>
      </c>
      <c r="F102" s="1">
        <v>2.1985E10</v>
      </c>
      <c r="G102" s="1">
        <v>1.8525E10</v>
      </c>
      <c r="H102" s="1">
        <v>8.617E9</v>
      </c>
      <c r="I102" s="1">
        <v>3.5653E10</v>
      </c>
      <c r="J102" s="1">
        <v>1.9361E10</v>
      </c>
      <c r="K102" s="1">
        <v>1.9361E10</v>
      </c>
      <c r="L102" s="1">
        <v>-7.6E7</v>
      </c>
      <c r="M102" s="1">
        <v>3.46E9</v>
      </c>
      <c r="N102" s="1">
        <v>6.188E10</v>
      </c>
      <c r="O102" s="1">
        <v>4.2519E10</v>
      </c>
      <c r="P102" s="1">
        <v>2.6227E10</v>
      </c>
      <c r="Q102" s="1">
        <v>2.624E9</v>
      </c>
      <c r="R102" s="1">
        <v>1.8525E10</v>
      </c>
      <c r="S102" s="1">
        <v>1.8525E10</v>
      </c>
    </row>
    <row r="103">
      <c r="A103" s="1">
        <v>101.0</v>
      </c>
      <c r="B103" s="3">
        <v>44286.0</v>
      </c>
      <c r="C103" s="1" t="s">
        <v>67</v>
      </c>
      <c r="D103" s="1" t="s">
        <v>68</v>
      </c>
      <c r="E103" s="1">
        <v>7.485E9</v>
      </c>
      <c r="F103" s="1">
        <v>2.1283E10</v>
      </c>
      <c r="G103" s="1">
        <v>1.793E10</v>
      </c>
      <c r="H103" s="1">
        <v>7.289E9</v>
      </c>
      <c r="I103" s="1">
        <v>3.1211E10</v>
      </c>
      <c r="J103" s="1">
        <v>1.6437E10</v>
      </c>
      <c r="K103" s="1">
        <v>1.6437E10</v>
      </c>
      <c r="L103" s="1">
        <v>-7.6E7</v>
      </c>
      <c r="M103" s="1">
        <v>3.353E9</v>
      </c>
      <c r="N103" s="1">
        <v>5.5314E10</v>
      </c>
      <c r="O103" s="1">
        <v>3.8877E10</v>
      </c>
      <c r="P103" s="1">
        <v>2.4103E10</v>
      </c>
      <c r="Q103" s="1">
        <v>4.846E9</v>
      </c>
      <c r="R103" s="1">
        <v>1.793E10</v>
      </c>
      <c r="S103" s="1">
        <v>1.793E10</v>
      </c>
    </row>
    <row r="104">
      <c r="A104" s="1">
        <v>102.0</v>
      </c>
      <c r="B104" s="3">
        <v>44196.0</v>
      </c>
      <c r="C104" s="1" t="s">
        <v>67</v>
      </c>
      <c r="D104" s="1" t="s">
        <v>68</v>
      </c>
      <c r="E104" s="1">
        <v>7.022E9</v>
      </c>
      <c r="F104" s="1">
        <v>1.8689E10</v>
      </c>
      <c r="G104" s="1">
        <v>1.5227E10</v>
      </c>
      <c r="H104" s="1">
        <v>8.145E9</v>
      </c>
      <c r="I104" s="1">
        <v>3.0818E10</v>
      </c>
      <c r="J104" s="1">
        <v>1.5651E10</v>
      </c>
      <c r="K104" s="1">
        <v>1.5651E10</v>
      </c>
      <c r="L104" s="1">
        <v>-5.3E7</v>
      </c>
      <c r="M104" s="1">
        <v>3.462E9</v>
      </c>
      <c r="N104" s="1">
        <v>5.6898E10</v>
      </c>
      <c r="O104" s="1">
        <v>4.1247E10</v>
      </c>
      <c r="P104" s="1">
        <v>2.608E10</v>
      </c>
      <c r="Q104" s="1">
        <v>3.038E9</v>
      </c>
      <c r="R104" s="1">
        <v>1.5227E10</v>
      </c>
      <c r="S104" s="1">
        <v>1.5227E10</v>
      </c>
    </row>
    <row r="105">
      <c r="A105" s="1">
        <v>103.0</v>
      </c>
      <c r="B105" s="3">
        <v>44104.0</v>
      </c>
      <c r="C105" s="1" t="s">
        <v>67</v>
      </c>
      <c r="D105" s="1" t="s">
        <v>68</v>
      </c>
      <c r="E105" s="1">
        <v>6.856E9</v>
      </c>
      <c r="F105" s="1">
        <v>1.3359E10</v>
      </c>
      <c r="G105" s="1">
        <v>1.1247E10</v>
      </c>
      <c r="H105" s="1">
        <v>6.987E9</v>
      </c>
      <c r="I105" s="1">
        <v>2.5056E10</v>
      </c>
      <c r="J105" s="1">
        <v>1.1213E10</v>
      </c>
      <c r="K105" s="1">
        <v>1.1213E10</v>
      </c>
      <c r="L105" s="1">
        <v>-4.8E7</v>
      </c>
      <c r="M105" s="1">
        <v>2.112E9</v>
      </c>
      <c r="N105" s="1">
        <v>4.6173E10</v>
      </c>
      <c r="O105" s="1">
        <v>3.496E10</v>
      </c>
      <c r="P105" s="1">
        <v>2.1117E10</v>
      </c>
      <c r="Q105" s="1">
        <v>2.146E9</v>
      </c>
      <c r="R105" s="1">
        <v>1.1247E10</v>
      </c>
      <c r="S105" s="1">
        <v>1.1247E10</v>
      </c>
    </row>
    <row r="106">
      <c r="A106" s="1">
        <v>104.0</v>
      </c>
      <c r="B106" s="3">
        <v>44377.0</v>
      </c>
      <c r="C106" s="1" t="s">
        <v>69</v>
      </c>
      <c r="D106" s="1" t="s">
        <v>70</v>
      </c>
      <c r="F106" s="1">
        <v>2.909E9</v>
      </c>
      <c r="G106" s="1">
        <v>2.149E9</v>
      </c>
      <c r="H106" s="1">
        <v>4.92E8</v>
      </c>
      <c r="I106" s="1">
        <v>3.732E9</v>
      </c>
      <c r="J106" s="1">
        <v>3.24E9</v>
      </c>
      <c r="K106" s="1">
        <v>3.24E9</v>
      </c>
      <c r="L106" s="1">
        <v>-2.97E8</v>
      </c>
      <c r="M106" s="1">
        <v>7.59E8</v>
      </c>
      <c r="N106" s="1">
        <v>5.614E9</v>
      </c>
      <c r="O106" s="1">
        <v>2.374E9</v>
      </c>
      <c r="P106" s="1">
        <v>1.882E9</v>
      </c>
      <c r="Q106" s="1">
        <v>-3.31E8</v>
      </c>
      <c r="R106" s="1">
        <v>2.15E9</v>
      </c>
      <c r="S106" s="1">
        <v>2.146E9</v>
      </c>
    </row>
    <row r="107">
      <c r="A107" s="1">
        <v>105.0</v>
      </c>
      <c r="B107" s="3">
        <v>44286.0</v>
      </c>
      <c r="C107" s="1" t="s">
        <v>69</v>
      </c>
      <c r="D107" s="1" t="s">
        <v>70</v>
      </c>
      <c r="F107" s="1">
        <v>1.937E9</v>
      </c>
      <c r="G107" s="1">
        <v>1.424E9</v>
      </c>
      <c r="H107" s="1">
        <v>4.67E8</v>
      </c>
      <c r="I107" s="1">
        <v>3.273E9</v>
      </c>
      <c r="J107" s="1">
        <v>2.806E9</v>
      </c>
      <c r="K107" s="1">
        <v>2.806E9</v>
      </c>
      <c r="L107" s="1">
        <v>-3.13E8</v>
      </c>
      <c r="M107" s="1">
        <v>5.16E8</v>
      </c>
      <c r="N107" s="1">
        <v>4.88E9</v>
      </c>
      <c r="O107" s="1">
        <v>2.074E9</v>
      </c>
      <c r="P107" s="1">
        <v>1.607E9</v>
      </c>
      <c r="Q107" s="1">
        <v>-8.69E8</v>
      </c>
      <c r="R107" s="1">
        <v>1.421E9</v>
      </c>
      <c r="S107" s="1">
        <v>1.421E9</v>
      </c>
    </row>
    <row r="108">
      <c r="A108" s="1">
        <v>106.0</v>
      </c>
      <c r="B108" s="3">
        <v>44196.0</v>
      </c>
      <c r="C108" s="1" t="s">
        <v>69</v>
      </c>
      <c r="D108" s="1" t="s">
        <v>70</v>
      </c>
      <c r="F108" s="1">
        <v>2.541E9</v>
      </c>
      <c r="G108" s="1">
        <v>1.924E9</v>
      </c>
      <c r="H108" s="1">
        <v>4.34E8</v>
      </c>
      <c r="I108" s="1">
        <v>3.166E9</v>
      </c>
      <c r="J108" s="1">
        <v>2.732E9</v>
      </c>
      <c r="K108" s="1">
        <v>2.732E9</v>
      </c>
      <c r="L108" s="1">
        <v>-3.36E8</v>
      </c>
      <c r="M108" s="1">
        <v>6.19E8</v>
      </c>
      <c r="N108" s="1">
        <v>5.055E9</v>
      </c>
      <c r="O108" s="1">
        <v>2.323E9</v>
      </c>
      <c r="P108" s="1">
        <v>1.889E9</v>
      </c>
      <c r="Q108" s="1">
        <v>-1.91E8</v>
      </c>
      <c r="R108" s="1">
        <v>1.922E9</v>
      </c>
      <c r="S108" s="1">
        <v>1.922E9</v>
      </c>
    </row>
    <row r="109">
      <c r="A109" s="1">
        <v>107.0</v>
      </c>
      <c r="B109" s="3">
        <v>44104.0</v>
      </c>
      <c r="C109" s="1" t="s">
        <v>69</v>
      </c>
      <c r="D109" s="1" t="s">
        <v>70</v>
      </c>
      <c r="F109" s="1">
        <v>-3.24E8</v>
      </c>
      <c r="G109" s="1">
        <v>-9.52E8</v>
      </c>
      <c r="H109" s="1">
        <v>5.2E8</v>
      </c>
      <c r="I109" s="1">
        <v>3.718E9</v>
      </c>
      <c r="J109" s="1">
        <v>3.198E9</v>
      </c>
      <c r="K109" s="1">
        <v>3.198E9</v>
      </c>
      <c r="L109" s="1">
        <v>-3.18E8</v>
      </c>
      <c r="M109" s="1">
        <v>6.32E8</v>
      </c>
      <c r="N109" s="1">
        <v>5.678E9</v>
      </c>
      <c r="O109" s="1">
        <v>2.48E9</v>
      </c>
      <c r="P109" s="1">
        <v>1.96E9</v>
      </c>
      <c r="Q109" s="1">
        <v>-3.522E9</v>
      </c>
      <c r="R109" s="1">
        <v>-9.56E8</v>
      </c>
      <c r="S109" s="1">
        <v>-9.53E8</v>
      </c>
    </row>
    <row r="110">
      <c r="A110" s="1">
        <v>108.0</v>
      </c>
      <c r="B110" s="3">
        <v>44377.0</v>
      </c>
      <c r="C110" s="1" t="s">
        <v>71</v>
      </c>
      <c r="D110" s="1" t="s">
        <v>72</v>
      </c>
      <c r="E110" s="1">
        <v>1.1794E10</v>
      </c>
      <c r="F110" s="1">
        <v>8.646E9</v>
      </c>
      <c r="G110" s="1">
        <v>7.778E9</v>
      </c>
      <c r="H110" s="1">
        <v>2.9397E10</v>
      </c>
      <c r="I110" s="1">
        <v>4.8904E10</v>
      </c>
      <c r="J110" s="1">
        <v>7.702E9</v>
      </c>
      <c r="K110" s="1">
        <v>7.702E9</v>
      </c>
      <c r="L110" s="1">
        <v>-4.35E8</v>
      </c>
      <c r="M110" s="1">
        <v>8.68E8</v>
      </c>
      <c r="N110" s="1">
        <v>1.1308E11</v>
      </c>
      <c r="O110" s="1">
        <v>1.05378E11</v>
      </c>
      <c r="P110" s="1">
        <v>6.4176E10</v>
      </c>
      <c r="Q110" s="1">
        <v>9.44E8</v>
      </c>
      <c r="R110" s="1">
        <v>7.778E9</v>
      </c>
      <c r="S110" s="1">
        <v>7.778E9</v>
      </c>
    </row>
    <row r="111">
      <c r="A111" s="1">
        <v>109.0</v>
      </c>
      <c r="B111" s="3">
        <v>44286.0</v>
      </c>
      <c r="C111" s="1" t="s">
        <v>71</v>
      </c>
      <c r="D111" s="1" t="s">
        <v>72</v>
      </c>
      <c r="E111" s="1">
        <v>1.0584E10</v>
      </c>
      <c r="F111" s="1">
        <v>1.0263E10</v>
      </c>
      <c r="G111" s="1">
        <v>8.107E9</v>
      </c>
      <c r="H111" s="1">
        <v>2.6628E10</v>
      </c>
      <c r="I111" s="1">
        <v>4.6115E10</v>
      </c>
      <c r="J111" s="1">
        <v>8.865E9</v>
      </c>
      <c r="K111" s="1">
        <v>8.865E9</v>
      </c>
      <c r="L111" s="1">
        <v>-3.99E8</v>
      </c>
      <c r="M111" s="1">
        <v>2.156E9</v>
      </c>
      <c r="N111" s="1">
        <v>1.08518E11</v>
      </c>
      <c r="O111" s="1">
        <v>9.9653E10</v>
      </c>
      <c r="P111" s="1">
        <v>6.2403E10</v>
      </c>
      <c r="Q111" s="1">
        <v>1.398E9</v>
      </c>
      <c r="R111" s="1">
        <v>8.107E9</v>
      </c>
      <c r="S111" s="1">
        <v>8.107E9</v>
      </c>
    </row>
    <row r="112">
      <c r="A112" s="1">
        <v>110.0</v>
      </c>
      <c r="B112" s="3">
        <v>44196.0</v>
      </c>
      <c r="C112" s="1" t="s">
        <v>71</v>
      </c>
      <c r="D112" s="1" t="s">
        <v>72</v>
      </c>
      <c r="E112" s="1">
        <v>1.6466E10</v>
      </c>
      <c r="F112" s="1">
        <v>7.787E9</v>
      </c>
      <c r="G112" s="1">
        <v>7.222E9</v>
      </c>
      <c r="H112" s="1">
        <v>2.3428E10</v>
      </c>
      <c r="I112" s="1">
        <v>4.6271E10</v>
      </c>
      <c r="J112" s="1">
        <v>6.873E9</v>
      </c>
      <c r="K112" s="1">
        <v>6.873E9</v>
      </c>
      <c r="L112" s="1">
        <v>-4.14E8</v>
      </c>
      <c r="M112" s="1">
        <v>5.65E8</v>
      </c>
      <c r="N112" s="1">
        <v>1.25555E11</v>
      </c>
      <c r="O112" s="1">
        <v>1.18682E11</v>
      </c>
      <c r="P112" s="1">
        <v>7.9284E10</v>
      </c>
      <c r="Q112" s="1">
        <v>9.14E8</v>
      </c>
      <c r="R112" s="1">
        <v>7.222E9</v>
      </c>
      <c r="S112" s="1">
        <v>7.222E9</v>
      </c>
    </row>
    <row r="113">
      <c r="A113" s="1">
        <v>111.0</v>
      </c>
      <c r="B113" s="3">
        <v>44104.0</v>
      </c>
      <c r="C113" s="1" t="s">
        <v>71</v>
      </c>
      <c r="D113" s="1" t="s">
        <v>72</v>
      </c>
      <c r="E113" s="1">
        <v>9.334E9</v>
      </c>
      <c r="F113" s="1">
        <v>6.9E9</v>
      </c>
      <c r="G113" s="1">
        <v>6.331E9</v>
      </c>
      <c r="H113" s="1">
        <v>2.3449E10</v>
      </c>
      <c r="I113" s="1">
        <v>3.9039E10</v>
      </c>
      <c r="J113" s="1">
        <v>6.194E9</v>
      </c>
      <c r="K113" s="1">
        <v>6.194E9</v>
      </c>
      <c r="L113" s="1">
        <v>-4.28E8</v>
      </c>
      <c r="M113" s="1">
        <v>5.69E8</v>
      </c>
      <c r="N113" s="1">
        <v>9.6145E10</v>
      </c>
      <c r="O113" s="1">
        <v>8.9951E10</v>
      </c>
      <c r="P113" s="1">
        <v>5.7106E10</v>
      </c>
      <c r="Q113" s="1">
        <v>7.06E8</v>
      </c>
      <c r="R113" s="1">
        <v>6.331E9</v>
      </c>
      <c r="S113" s="1">
        <v>6.331E9</v>
      </c>
    </row>
    <row r="114">
      <c r="A114" s="1">
        <v>112.0</v>
      </c>
      <c r="B114" s="3">
        <v>44377.0</v>
      </c>
      <c r="C114" s="1" t="s">
        <v>73</v>
      </c>
      <c r="D114" s="1" t="s">
        <v>74</v>
      </c>
      <c r="E114" s="1">
        <v>2.6E7</v>
      </c>
      <c r="F114" s="1">
        <v>3.33E8</v>
      </c>
      <c r="G114" s="1">
        <v>2.55E8</v>
      </c>
      <c r="H114" s="1">
        <v>3.27E8</v>
      </c>
      <c r="I114" s="1">
        <v>7.45E8</v>
      </c>
      <c r="J114" s="1">
        <v>4.56E8</v>
      </c>
      <c r="K114" s="1">
        <v>4.56E8</v>
      </c>
      <c r="L114" s="1">
        <v>-4.0E7</v>
      </c>
      <c r="M114" s="1">
        <v>7.4E7</v>
      </c>
      <c r="N114" s="1">
        <v>3.454E9</v>
      </c>
      <c r="O114" s="1">
        <v>2.998E9</v>
      </c>
      <c r="P114" s="1">
        <v>2.709E9</v>
      </c>
      <c r="Q114" s="1">
        <v>-1.23E8</v>
      </c>
      <c r="R114" s="1">
        <v>2.59E8</v>
      </c>
      <c r="S114" s="1">
        <v>2.54E8</v>
      </c>
    </row>
    <row r="115">
      <c r="A115" s="1">
        <v>113.0</v>
      </c>
      <c r="B115" s="3">
        <v>44286.0</v>
      </c>
      <c r="C115" s="1" t="s">
        <v>73</v>
      </c>
      <c r="D115" s="1" t="s">
        <v>74</v>
      </c>
      <c r="E115" s="1">
        <v>2.5E7</v>
      </c>
      <c r="F115" s="1">
        <v>3.41E8</v>
      </c>
      <c r="G115" s="1">
        <v>2.67E8</v>
      </c>
      <c r="H115" s="1">
        <v>3.21E8</v>
      </c>
      <c r="I115" s="1">
        <v>6.82E8</v>
      </c>
      <c r="J115" s="1">
        <v>3.5E8</v>
      </c>
      <c r="K115" s="1">
        <v>3.5E8</v>
      </c>
      <c r="L115" s="1">
        <v>-3.6E7</v>
      </c>
      <c r="M115" s="1">
        <v>7.1E7</v>
      </c>
      <c r="N115" s="1">
        <v>3.207E9</v>
      </c>
      <c r="O115" s="1">
        <v>2.857E9</v>
      </c>
      <c r="P115" s="1">
        <v>2.525E9</v>
      </c>
      <c r="Q115" s="1">
        <v>-9000000.0</v>
      </c>
      <c r="R115" s="1">
        <v>2.7E8</v>
      </c>
      <c r="S115" s="1">
        <v>2.67E8</v>
      </c>
    </row>
    <row r="116">
      <c r="A116" s="1">
        <v>114.0</v>
      </c>
      <c r="B116" s="3">
        <v>44196.0</v>
      </c>
      <c r="C116" s="1" t="s">
        <v>73</v>
      </c>
      <c r="D116" s="1" t="s">
        <v>74</v>
      </c>
      <c r="E116" s="1">
        <v>2.3E7</v>
      </c>
      <c r="F116" s="1">
        <v>2.77E8</v>
      </c>
      <c r="G116" s="1">
        <v>2.19E8</v>
      </c>
      <c r="H116" s="1">
        <v>3.05E8</v>
      </c>
      <c r="I116" s="1">
        <v>6.51E8</v>
      </c>
      <c r="J116" s="1">
        <v>3.27E8</v>
      </c>
      <c r="K116" s="1">
        <v>3.27E8</v>
      </c>
      <c r="L116" s="1">
        <v>-3.7E7</v>
      </c>
      <c r="M116" s="1">
        <v>5.5E7</v>
      </c>
      <c r="N116" s="1">
        <v>3.103E9</v>
      </c>
      <c r="O116" s="1">
        <v>2.776E9</v>
      </c>
      <c r="P116" s="1">
        <v>2.452E9</v>
      </c>
      <c r="Q116" s="1">
        <v>-5.0E7</v>
      </c>
      <c r="R116" s="1">
        <v>2.22E8</v>
      </c>
      <c r="S116" s="1">
        <v>2.19E8</v>
      </c>
    </row>
    <row r="117">
      <c r="A117" s="1">
        <v>115.0</v>
      </c>
      <c r="B117" s="3">
        <v>44104.0</v>
      </c>
      <c r="C117" s="1" t="s">
        <v>73</v>
      </c>
      <c r="D117" s="1" t="s">
        <v>74</v>
      </c>
      <c r="E117" s="1">
        <v>2.6E7</v>
      </c>
      <c r="F117" s="1">
        <v>2.61E8</v>
      </c>
      <c r="G117" s="1">
        <v>1.98E8</v>
      </c>
      <c r="H117" s="1">
        <v>3.26E8</v>
      </c>
      <c r="I117" s="1">
        <v>6.54E8</v>
      </c>
      <c r="J117" s="1">
        <v>3.05E8</v>
      </c>
      <c r="K117" s="1">
        <v>3.05E8</v>
      </c>
      <c r="L117" s="1">
        <v>-4.4E7</v>
      </c>
      <c r="M117" s="1">
        <v>6.1E7</v>
      </c>
      <c r="N117" s="1">
        <v>3.097E9</v>
      </c>
      <c r="O117" s="1">
        <v>2.792E9</v>
      </c>
      <c r="P117" s="1">
        <v>2.443E9</v>
      </c>
      <c r="Q117" s="1">
        <v>-4.4E7</v>
      </c>
      <c r="R117" s="1">
        <v>2.0E8</v>
      </c>
      <c r="S117" s="1">
        <v>1.98E8</v>
      </c>
    </row>
    <row r="118">
      <c r="A118" s="1">
        <v>116.0</v>
      </c>
      <c r="B118" s="3">
        <v>44377.0</v>
      </c>
      <c r="C118" s="1" t="s">
        <v>75</v>
      </c>
      <c r="D118" s="1" t="s">
        <v>76</v>
      </c>
      <c r="F118" s="1">
        <v>2.39E8</v>
      </c>
      <c r="G118" s="1">
        <v>2.07E8</v>
      </c>
      <c r="H118" s="1">
        <v>-3.4E7</v>
      </c>
      <c r="I118" s="1">
        <v>6.93E8</v>
      </c>
      <c r="J118" s="1">
        <v>3.2E8</v>
      </c>
      <c r="K118" s="1">
        <v>3.2E8</v>
      </c>
      <c r="L118" s="1">
        <v>-9.6E7</v>
      </c>
      <c r="M118" s="1">
        <v>3.1E7</v>
      </c>
      <c r="N118" s="1">
        <v>1.41E9</v>
      </c>
      <c r="O118" s="1">
        <v>1.09E9</v>
      </c>
      <c r="P118" s="1">
        <v>7.17E8</v>
      </c>
      <c r="Q118" s="1">
        <v>-8.1E7</v>
      </c>
      <c r="R118" s="1">
        <v>2.08E8</v>
      </c>
      <c r="S118" s="1">
        <v>2.07E8</v>
      </c>
    </row>
    <row r="119">
      <c r="A119" s="1">
        <v>117.0</v>
      </c>
      <c r="B119" s="3">
        <v>44286.0</v>
      </c>
      <c r="C119" s="1" t="s">
        <v>75</v>
      </c>
      <c r="D119" s="1" t="s">
        <v>76</v>
      </c>
      <c r="F119" s="1">
        <v>2.62E8</v>
      </c>
      <c r="G119" s="1">
        <v>2.33E8</v>
      </c>
      <c r="H119" s="1">
        <v>-3.4E7</v>
      </c>
      <c r="I119" s="1">
        <v>7.25E8</v>
      </c>
      <c r="J119" s="1">
        <v>3.5E8</v>
      </c>
      <c r="K119" s="1">
        <v>3.5E8</v>
      </c>
      <c r="L119" s="1">
        <v>-1.0E8</v>
      </c>
      <c r="M119" s="1">
        <v>2.7E7</v>
      </c>
      <c r="N119" s="1">
        <v>1.496E9</v>
      </c>
      <c r="O119" s="1">
        <v>1.146E9</v>
      </c>
      <c r="P119" s="1">
        <v>7.71E8</v>
      </c>
      <c r="Q119" s="1">
        <v>-8.8E7</v>
      </c>
      <c r="R119" s="1">
        <v>2.35E8</v>
      </c>
      <c r="S119" s="1">
        <v>2.33E8</v>
      </c>
    </row>
    <row r="120">
      <c r="A120" s="1">
        <v>118.0</v>
      </c>
      <c r="B120" s="3">
        <v>44196.0</v>
      </c>
      <c r="C120" s="1" t="s">
        <v>75</v>
      </c>
      <c r="D120" s="1" t="s">
        <v>76</v>
      </c>
      <c r="F120" s="1">
        <v>1.37E8</v>
      </c>
      <c r="G120" s="1">
        <v>1.15E8</v>
      </c>
      <c r="H120" s="1">
        <v>-3.1E7</v>
      </c>
      <c r="I120" s="1">
        <v>5.98E8</v>
      </c>
      <c r="J120" s="1">
        <v>2.42E8</v>
      </c>
      <c r="K120" s="1">
        <v>2.42E8</v>
      </c>
      <c r="L120" s="1">
        <v>-1.08E8</v>
      </c>
      <c r="M120" s="1">
        <v>2.1E7</v>
      </c>
      <c r="N120" s="1">
        <v>1.272E9</v>
      </c>
      <c r="O120" s="1">
        <v>1.03E9</v>
      </c>
      <c r="P120" s="1">
        <v>6.74E8</v>
      </c>
      <c r="Q120" s="1">
        <v>-1.05E8</v>
      </c>
      <c r="R120" s="1">
        <v>1.16E8</v>
      </c>
      <c r="S120" s="1">
        <v>1.15E8</v>
      </c>
    </row>
    <row r="121">
      <c r="A121" s="1">
        <v>119.0</v>
      </c>
      <c r="B121" s="3">
        <v>44104.0</v>
      </c>
      <c r="C121" s="1" t="s">
        <v>75</v>
      </c>
      <c r="D121" s="1" t="s">
        <v>76</v>
      </c>
      <c r="F121" s="1">
        <v>4.32E8</v>
      </c>
      <c r="G121" s="1">
        <v>3.67E8</v>
      </c>
      <c r="H121" s="1">
        <v>-3.2E7</v>
      </c>
      <c r="I121" s="1">
        <v>8.95E8</v>
      </c>
      <c r="J121" s="1">
        <v>5.26E8</v>
      </c>
      <c r="K121" s="1">
        <v>5.26E8</v>
      </c>
      <c r="L121" s="1">
        <v>-1.1E8</v>
      </c>
      <c r="M121" s="1">
        <v>6.3E7</v>
      </c>
      <c r="N121" s="1">
        <v>1.557E9</v>
      </c>
      <c r="O121" s="1">
        <v>1.031E9</v>
      </c>
      <c r="P121" s="1">
        <v>6.62E8</v>
      </c>
      <c r="Q121" s="1">
        <v>-9.4E7</v>
      </c>
      <c r="R121" s="1">
        <v>3.69E8</v>
      </c>
      <c r="S121" s="1">
        <v>3.67E8</v>
      </c>
    </row>
    <row r="122">
      <c r="A122" s="1">
        <v>120.0</v>
      </c>
      <c r="B122" s="3">
        <v>44377.0</v>
      </c>
      <c r="C122" s="1" t="s">
        <v>77</v>
      </c>
      <c r="D122" s="1" t="s">
        <v>78</v>
      </c>
      <c r="F122" s="1">
        <v>9000000.0</v>
      </c>
      <c r="G122" s="1">
        <v>1.9E7</v>
      </c>
      <c r="H122" s="1">
        <v>2.77E8</v>
      </c>
      <c r="I122" s="1">
        <v>7.87E8</v>
      </c>
      <c r="J122" s="1">
        <v>-9.29E8</v>
      </c>
      <c r="K122" s="1">
        <v>-9.29E8</v>
      </c>
      <c r="L122" s="1">
        <v>-4.86E8</v>
      </c>
      <c r="M122" s="1">
        <v>-1.0E7</v>
      </c>
      <c r="N122" s="1">
        <v>7.478E9</v>
      </c>
      <c r="O122" s="1">
        <v>8.407E9</v>
      </c>
      <c r="P122" s="1">
        <v>6.691E9</v>
      </c>
      <c r="Q122" s="1">
        <v>9.38E8</v>
      </c>
      <c r="R122" s="1">
        <v>1.9E7</v>
      </c>
      <c r="S122" s="1">
        <v>1.9E7</v>
      </c>
    </row>
    <row r="123">
      <c r="A123" s="1">
        <v>121.0</v>
      </c>
      <c r="B123" s="3">
        <v>44286.0</v>
      </c>
      <c r="C123" s="1" t="s">
        <v>77</v>
      </c>
      <c r="D123" s="1" t="s">
        <v>78</v>
      </c>
      <c r="F123" s="1">
        <v>-1.573E9</v>
      </c>
      <c r="G123" s="1">
        <v>-1.25E9</v>
      </c>
      <c r="H123" s="1">
        <v>1.51E8</v>
      </c>
      <c r="I123" s="1">
        <v>-1.806E9</v>
      </c>
      <c r="J123" s="1">
        <v>-3.151E9</v>
      </c>
      <c r="K123" s="1">
        <v>-3.151E9</v>
      </c>
      <c r="L123" s="1">
        <v>-3.71E8</v>
      </c>
      <c r="M123" s="1">
        <v>-3.23E8</v>
      </c>
      <c r="N123" s="1">
        <v>4.008E9</v>
      </c>
      <c r="O123" s="1">
        <v>7.159E9</v>
      </c>
      <c r="P123" s="1">
        <v>5.814E9</v>
      </c>
      <c r="Q123" s="1">
        <v>1.578E9</v>
      </c>
      <c r="R123" s="1">
        <v>-1.25E9</v>
      </c>
      <c r="S123" s="1">
        <v>-1.25E9</v>
      </c>
    </row>
    <row r="124">
      <c r="A124" s="1">
        <v>122.0</v>
      </c>
      <c r="B124" s="3">
        <v>44196.0</v>
      </c>
      <c r="C124" s="1" t="s">
        <v>77</v>
      </c>
      <c r="D124" s="1" t="s">
        <v>78</v>
      </c>
      <c r="F124" s="1">
        <v>-2.809E9</v>
      </c>
      <c r="G124" s="1">
        <v>-2.178E9</v>
      </c>
      <c r="H124" s="1">
        <v>9.5E7</v>
      </c>
      <c r="I124" s="1">
        <v>-9.23E8</v>
      </c>
      <c r="J124" s="1">
        <v>-2.066E9</v>
      </c>
      <c r="K124" s="1">
        <v>-2.066E9</v>
      </c>
      <c r="L124" s="1">
        <v>-3.76E8</v>
      </c>
      <c r="M124" s="1">
        <v>-6.31E8</v>
      </c>
      <c r="N124" s="1">
        <v>4.028E9</v>
      </c>
      <c r="O124" s="1">
        <v>6.094E9</v>
      </c>
      <c r="P124" s="1">
        <v>4.951E9</v>
      </c>
      <c r="Q124" s="1">
        <v>-7.43E8</v>
      </c>
      <c r="R124" s="1">
        <v>-2.178E9</v>
      </c>
      <c r="S124" s="1">
        <v>-2.178E9</v>
      </c>
    </row>
    <row r="125">
      <c r="A125" s="1">
        <v>123.0</v>
      </c>
      <c r="B125" s="3">
        <v>44104.0</v>
      </c>
      <c r="C125" s="1" t="s">
        <v>77</v>
      </c>
      <c r="D125" s="1" t="s">
        <v>78</v>
      </c>
      <c r="F125" s="1">
        <v>-3.095E9</v>
      </c>
      <c r="G125" s="1">
        <v>-2.399E9</v>
      </c>
      <c r="H125" s="1">
        <v>7.0E7</v>
      </c>
      <c r="I125" s="1">
        <v>-2.489E9</v>
      </c>
      <c r="J125" s="1">
        <v>-3.716E9</v>
      </c>
      <c r="K125" s="1">
        <v>-3.716E9</v>
      </c>
      <c r="L125" s="1">
        <v>-3.4E8</v>
      </c>
      <c r="M125" s="1">
        <v>-6.96E8</v>
      </c>
      <c r="N125" s="1">
        <v>3.173E9</v>
      </c>
      <c r="O125" s="1">
        <v>6.889E9</v>
      </c>
      <c r="P125" s="1">
        <v>5.662E9</v>
      </c>
      <c r="Q125" s="1">
        <v>6.21E8</v>
      </c>
      <c r="R125" s="1">
        <v>-2.399E9</v>
      </c>
      <c r="S125" s="1">
        <v>-2.399E9</v>
      </c>
    </row>
    <row r="126">
      <c r="A126" s="1">
        <v>124.0</v>
      </c>
      <c r="B126" s="3">
        <v>44377.0</v>
      </c>
      <c r="C126" s="1" t="s">
        <v>79</v>
      </c>
      <c r="D126" s="1" t="s">
        <v>80</v>
      </c>
      <c r="F126" s="1">
        <v>6.35E8</v>
      </c>
      <c r="G126" s="1">
        <v>5.782E8</v>
      </c>
      <c r="H126" s="1">
        <v>-2.97E7</v>
      </c>
      <c r="I126" s="1">
        <v>1.8713E9</v>
      </c>
      <c r="J126" s="1">
        <v>8.396E8</v>
      </c>
      <c r="K126" s="1">
        <v>8.396E8</v>
      </c>
      <c r="L126" s="1">
        <v>-3.016E8</v>
      </c>
      <c r="M126" s="1">
        <v>6.12E7</v>
      </c>
      <c r="N126" s="1">
        <v>3.8265E9</v>
      </c>
      <c r="O126" s="1">
        <v>2.9869E9</v>
      </c>
      <c r="P126" s="1">
        <v>1.9552E9</v>
      </c>
      <c r="Q126" s="1">
        <v>-2.046E8</v>
      </c>
      <c r="R126" s="1">
        <v>5.738E8</v>
      </c>
      <c r="S126" s="1">
        <v>5.782E8</v>
      </c>
    </row>
    <row r="127">
      <c r="A127" s="1">
        <v>125.0</v>
      </c>
      <c r="B127" s="3">
        <v>44286.0</v>
      </c>
      <c r="C127" s="1" t="s">
        <v>79</v>
      </c>
      <c r="D127" s="1" t="s">
        <v>80</v>
      </c>
      <c r="F127" s="1">
        <v>6.333E8</v>
      </c>
      <c r="G127" s="1">
        <v>5.75E8</v>
      </c>
      <c r="H127" s="1">
        <v>-2.96E7</v>
      </c>
      <c r="I127" s="1">
        <v>1.8531E9</v>
      </c>
      <c r="J127" s="1">
        <v>8.399E8</v>
      </c>
      <c r="K127" s="1">
        <v>8.399E8</v>
      </c>
      <c r="L127" s="1">
        <v>-2.902E8</v>
      </c>
      <c r="M127" s="1">
        <v>5.45E7</v>
      </c>
      <c r="N127" s="1">
        <v>4.2811E9</v>
      </c>
      <c r="O127" s="1">
        <v>3.4412E9</v>
      </c>
      <c r="P127" s="1">
        <v>2.428E9</v>
      </c>
      <c r="Q127" s="1">
        <v>-2.066E8</v>
      </c>
      <c r="R127" s="1">
        <v>5.788E8</v>
      </c>
      <c r="S127" s="1">
        <v>5.75E8</v>
      </c>
    </row>
    <row r="128">
      <c r="A128" s="1">
        <v>126.0</v>
      </c>
      <c r="B128" s="3">
        <v>44196.0</v>
      </c>
      <c r="C128" s="1" t="s">
        <v>79</v>
      </c>
      <c r="D128" s="1" t="s">
        <v>80</v>
      </c>
      <c r="F128" s="1">
        <v>4.173E8</v>
      </c>
      <c r="G128" s="1">
        <v>4.355E8</v>
      </c>
      <c r="H128" s="1">
        <v>-2.98E7</v>
      </c>
      <c r="I128" s="1">
        <v>1.5759E9</v>
      </c>
      <c r="J128" s="1">
        <v>6.0E8</v>
      </c>
      <c r="K128" s="1">
        <v>6.0E8</v>
      </c>
      <c r="L128" s="1">
        <v>-2.883E8</v>
      </c>
      <c r="M128" s="1">
        <v>-1.74E7</v>
      </c>
      <c r="N128" s="1">
        <v>3.6106E9</v>
      </c>
      <c r="O128" s="1">
        <v>3.0106E9</v>
      </c>
      <c r="P128" s="1">
        <v>2.0347E9</v>
      </c>
      <c r="Q128" s="1">
        <v>-1.827E8</v>
      </c>
      <c r="R128" s="1">
        <v>4.347E8</v>
      </c>
      <c r="S128" s="1">
        <v>4.355E8</v>
      </c>
    </row>
    <row r="129">
      <c r="A129" s="1">
        <v>127.0</v>
      </c>
      <c r="B129" s="3">
        <v>44104.0</v>
      </c>
      <c r="C129" s="1" t="s">
        <v>79</v>
      </c>
      <c r="D129" s="1" t="s">
        <v>80</v>
      </c>
      <c r="F129" s="1">
        <v>7.47E8</v>
      </c>
      <c r="G129" s="1">
        <v>7.486E8</v>
      </c>
      <c r="H129" s="1">
        <v>-2.97E7</v>
      </c>
      <c r="I129" s="1">
        <v>1.9255E9</v>
      </c>
      <c r="J129" s="1">
        <v>9.729E8</v>
      </c>
      <c r="K129" s="1">
        <v>9.729E8</v>
      </c>
      <c r="L129" s="1">
        <v>-2.913E8</v>
      </c>
      <c r="M129" s="1">
        <v>-1200000.0</v>
      </c>
      <c r="N129" s="1">
        <v>4.0664E9</v>
      </c>
      <c r="O129" s="1">
        <v>3.0935E9</v>
      </c>
      <c r="P129" s="1">
        <v>2.1409E9</v>
      </c>
      <c r="Q129" s="1">
        <v>-2.259E8</v>
      </c>
      <c r="R129" s="1">
        <v>7.482E8</v>
      </c>
      <c r="S129" s="1">
        <v>7.486E8</v>
      </c>
    </row>
    <row r="130">
      <c r="A130" s="1">
        <v>128.0</v>
      </c>
      <c r="B130" s="3">
        <v>44377.0</v>
      </c>
      <c r="C130" s="1" t="s">
        <v>81</v>
      </c>
      <c r="D130" s="1" t="s">
        <v>82</v>
      </c>
      <c r="F130" s="1">
        <v>2.94E9</v>
      </c>
      <c r="G130" s="1">
        <v>2.28E9</v>
      </c>
      <c r="H130" s="1">
        <v>3.758E9</v>
      </c>
      <c r="I130" s="1">
        <v>7.705E9</v>
      </c>
      <c r="J130" s="1">
        <v>0.0</v>
      </c>
      <c r="K130" s="1">
        <v>2.701E9</v>
      </c>
      <c r="M130" s="1">
        <v>6.6E8</v>
      </c>
      <c r="N130" s="1">
        <v>1.0849E10</v>
      </c>
      <c r="O130" s="1">
        <v>8.148E9</v>
      </c>
      <c r="P130" s="1">
        <v>3.144E9</v>
      </c>
      <c r="Q130" s="1">
        <v>2.39E8</v>
      </c>
      <c r="R130" s="1">
        <v>2.28E9</v>
      </c>
      <c r="S130" s="1">
        <v>2.249E9</v>
      </c>
    </row>
    <row r="131">
      <c r="A131" s="1">
        <v>129.0</v>
      </c>
      <c r="B131" s="3">
        <v>44286.0</v>
      </c>
      <c r="C131" s="1" t="s">
        <v>81</v>
      </c>
      <c r="D131" s="1" t="s">
        <v>82</v>
      </c>
      <c r="F131" s="1">
        <v>2.993E9</v>
      </c>
      <c r="G131" s="1">
        <v>2.235E9</v>
      </c>
      <c r="H131" s="1">
        <v>3.316E9</v>
      </c>
      <c r="I131" s="1">
        <v>7.179E9</v>
      </c>
      <c r="J131" s="1">
        <v>0.0</v>
      </c>
      <c r="K131" s="1">
        <v>2.621E9</v>
      </c>
      <c r="M131" s="1">
        <v>7.58E8</v>
      </c>
      <c r="N131" s="1">
        <v>9.739E9</v>
      </c>
      <c r="O131" s="1">
        <v>7.118E9</v>
      </c>
      <c r="P131" s="1">
        <v>2.56E9</v>
      </c>
      <c r="Q131" s="1">
        <v>3.72E8</v>
      </c>
      <c r="R131" s="1">
        <v>2.235E9</v>
      </c>
      <c r="S131" s="1">
        <v>2.206E9</v>
      </c>
    </row>
    <row r="132">
      <c r="A132" s="1">
        <v>130.0</v>
      </c>
      <c r="B132" s="3">
        <v>44196.0</v>
      </c>
      <c r="C132" s="1" t="s">
        <v>81</v>
      </c>
      <c r="D132" s="1" t="s">
        <v>82</v>
      </c>
      <c r="F132" s="1">
        <v>1.858E9</v>
      </c>
      <c r="G132" s="1">
        <v>1.438E9</v>
      </c>
      <c r="H132" s="1">
        <v>3.601E9</v>
      </c>
      <c r="I132" s="1">
        <v>6.859E9</v>
      </c>
      <c r="J132" s="1">
        <v>0.0</v>
      </c>
      <c r="K132" s="1">
        <v>1.995E9</v>
      </c>
      <c r="M132" s="1">
        <v>4.2E8</v>
      </c>
      <c r="N132" s="1">
        <v>9.462E9</v>
      </c>
      <c r="O132" s="1">
        <v>7.467E9</v>
      </c>
      <c r="P132" s="1">
        <v>2.603E9</v>
      </c>
      <c r="Q132" s="1">
        <v>-1.37E8</v>
      </c>
      <c r="R132" s="1">
        <v>1.438E9</v>
      </c>
      <c r="S132" s="1">
        <v>1.414E9</v>
      </c>
    </row>
    <row r="133">
      <c r="A133" s="1">
        <v>131.0</v>
      </c>
      <c r="B133" s="3">
        <v>44104.0</v>
      </c>
      <c r="C133" s="1" t="s">
        <v>81</v>
      </c>
      <c r="D133" s="1" t="s">
        <v>82</v>
      </c>
      <c r="F133" s="1">
        <v>1.364E9</v>
      </c>
      <c r="G133" s="1">
        <v>1.073E9</v>
      </c>
      <c r="H133" s="1">
        <v>3.23E9</v>
      </c>
      <c r="I133" s="1">
        <v>5.823E9</v>
      </c>
      <c r="J133" s="1">
        <v>0.0</v>
      </c>
      <c r="K133" s="1">
        <v>1.36E9</v>
      </c>
      <c r="M133" s="1">
        <v>2.91E8</v>
      </c>
      <c r="N133" s="1">
        <v>8.086E9</v>
      </c>
      <c r="O133" s="1">
        <v>6.726E9</v>
      </c>
      <c r="P133" s="1">
        <v>2.263E9</v>
      </c>
      <c r="Q133" s="1">
        <v>4000000.0</v>
      </c>
      <c r="R133" s="1">
        <v>1.073E9</v>
      </c>
      <c r="S133" s="1">
        <v>1.05E9</v>
      </c>
    </row>
    <row r="134">
      <c r="A134" s="1">
        <v>132.0</v>
      </c>
      <c r="B134" s="3">
        <v>44377.0</v>
      </c>
      <c r="C134" s="1" t="s">
        <v>83</v>
      </c>
      <c r="D134" s="1" t="s">
        <v>84</v>
      </c>
      <c r="F134" s="1">
        <v>1.47E8</v>
      </c>
      <c r="G134" s="1">
        <v>9.9E7</v>
      </c>
      <c r="H134" s="1">
        <v>2.092E9</v>
      </c>
      <c r="I134" s="1">
        <v>2.662E9</v>
      </c>
      <c r="J134" s="1">
        <v>5.7E8</v>
      </c>
      <c r="K134" s="1">
        <v>5.7E8</v>
      </c>
      <c r="L134" s="1">
        <v>-3.38E8</v>
      </c>
      <c r="M134" s="1">
        <v>-3000000.0</v>
      </c>
      <c r="N134" s="1">
        <v>1.0533E10</v>
      </c>
      <c r="O134" s="1">
        <v>9.963E9</v>
      </c>
      <c r="P134" s="1">
        <v>7.871E9</v>
      </c>
      <c r="Q134" s="1">
        <v>-4.23E8</v>
      </c>
      <c r="R134" s="1">
        <v>1.5E8</v>
      </c>
      <c r="S134" s="1">
        <v>9.1E7</v>
      </c>
    </row>
    <row r="135">
      <c r="A135" s="1">
        <v>133.0</v>
      </c>
      <c r="B135" s="3">
        <v>44286.0</v>
      </c>
      <c r="C135" s="1" t="s">
        <v>83</v>
      </c>
      <c r="D135" s="1" t="s">
        <v>84</v>
      </c>
      <c r="F135" s="1">
        <v>4.728E9</v>
      </c>
      <c r="G135" s="1">
        <v>3.876E9</v>
      </c>
      <c r="H135" s="1">
        <v>2.014E9</v>
      </c>
      <c r="I135" s="1">
        <v>7.198E9</v>
      </c>
      <c r="J135" s="1">
        <v>5.184E9</v>
      </c>
      <c r="K135" s="1">
        <v>5.184E9</v>
      </c>
      <c r="L135" s="1">
        <v>-3.42E8</v>
      </c>
      <c r="M135" s="1">
        <v>7.98E8</v>
      </c>
      <c r="N135" s="1">
        <v>1.4509E10</v>
      </c>
      <c r="O135" s="1">
        <v>9.325E9</v>
      </c>
      <c r="P135" s="1">
        <v>7.311E9</v>
      </c>
      <c r="Q135" s="1">
        <v>-4.56E8</v>
      </c>
      <c r="R135" s="1">
        <v>3.93E9</v>
      </c>
      <c r="S135" s="1">
        <v>3.869E9</v>
      </c>
    </row>
    <row r="136">
      <c r="A136" s="1">
        <v>134.0</v>
      </c>
      <c r="B136" s="3">
        <v>44196.0</v>
      </c>
      <c r="C136" s="1" t="s">
        <v>83</v>
      </c>
      <c r="D136" s="1" t="s">
        <v>84</v>
      </c>
      <c r="F136" s="1">
        <v>-5.58E8</v>
      </c>
      <c r="G136" s="1">
        <v>-5.3E7</v>
      </c>
      <c r="H136" s="1">
        <v>2.054E9</v>
      </c>
      <c r="I136" s="1">
        <v>1.491E9</v>
      </c>
      <c r="J136" s="1">
        <v>-5.63E8</v>
      </c>
      <c r="K136" s="1">
        <v>-5.63E8</v>
      </c>
      <c r="L136" s="1">
        <v>-3.58E8</v>
      </c>
      <c r="M136" s="1">
        <v>-5.42E8</v>
      </c>
      <c r="N136" s="1">
        <v>9.332E9</v>
      </c>
      <c r="O136" s="1">
        <v>9.895E9</v>
      </c>
      <c r="P136" s="1">
        <v>7.841E9</v>
      </c>
      <c r="Q136" s="1">
        <v>5000000.0</v>
      </c>
      <c r="R136" s="1">
        <v>-1.6E7</v>
      </c>
      <c r="S136" s="1">
        <v>-6.0E7</v>
      </c>
    </row>
    <row r="137">
      <c r="A137" s="1">
        <v>135.0</v>
      </c>
      <c r="B137" s="3">
        <v>44104.0</v>
      </c>
      <c r="C137" s="1" t="s">
        <v>83</v>
      </c>
      <c r="D137" s="1" t="s">
        <v>84</v>
      </c>
      <c r="F137" s="1">
        <v>3.68E8</v>
      </c>
      <c r="G137" s="1">
        <v>2.88E8</v>
      </c>
      <c r="H137" s="1">
        <v>1.891E9</v>
      </c>
      <c r="I137" s="1">
        <v>2.504E9</v>
      </c>
      <c r="J137" s="1">
        <v>6.13E8</v>
      </c>
      <c r="K137" s="1">
        <v>6.13E8</v>
      </c>
      <c r="L137" s="1">
        <v>-3.79E8</v>
      </c>
      <c r="M137" s="1">
        <v>7.4E7</v>
      </c>
      <c r="N137" s="1">
        <v>9.965E9</v>
      </c>
      <c r="O137" s="1">
        <v>9.352E9</v>
      </c>
      <c r="P137" s="1">
        <v>7.461E9</v>
      </c>
      <c r="Q137" s="1">
        <v>-2.45E8</v>
      </c>
      <c r="R137" s="1">
        <v>2.94E8</v>
      </c>
      <c r="S137" s="1">
        <v>2.81E8</v>
      </c>
    </row>
    <row r="138">
      <c r="A138" s="1">
        <v>136.0</v>
      </c>
      <c r="B138" s="3">
        <v>44377.0</v>
      </c>
      <c r="C138" s="1" t="s">
        <v>85</v>
      </c>
      <c r="D138" s="1" t="s">
        <v>86</v>
      </c>
      <c r="F138" s="1">
        <v>8.207E8</v>
      </c>
      <c r="G138" s="1">
        <v>7.463E8</v>
      </c>
      <c r="H138" s="1">
        <v>2.072E8</v>
      </c>
      <c r="I138" s="1">
        <v>1.651E9</v>
      </c>
      <c r="J138" s="1">
        <v>8.875E8</v>
      </c>
      <c r="K138" s="1">
        <v>8.875E8</v>
      </c>
      <c r="L138" s="1">
        <v>-2.137E8</v>
      </c>
      <c r="M138" s="1">
        <v>7.28E7</v>
      </c>
      <c r="N138" s="1">
        <v>2.2989E9</v>
      </c>
      <c r="O138" s="1">
        <v>1.4114E9</v>
      </c>
      <c r="P138" s="1">
        <v>6.479E8</v>
      </c>
      <c r="Q138" s="1">
        <v>-6.68E7</v>
      </c>
      <c r="R138" s="1">
        <v>7.479E8</v>
      </c>
      <c r="S138" s="1">
        <v>7.463E8</v>
      </c>
    </row>
    <row r="139">
      <c r="A139" s="1">
        <v>137.0</v>
      </c>
      <c r="B139" s="3">
        <v>44286.0</v>
      </c>
      <c r="C139" s="1" t="s">
        <v>85</v>
      </c>
      <c r="D139" s="1" t="s">
        <v>86</v>
      </c>
      <c r="F139" s="1">
        <v>7.026E8</v>
      </c>
      <c r="G139" s="1">
        <v>6.45E8</v>
      </c>
      <c r="H139" s="1">
        <v>1.826E8</v>
      </c>
      <c r="I139" s="1">
        <v>1.5842E9</v>
      </c>
      <c r="J139" s="1">
        <v>8.759E8</v>
      </c>
      <c r="K139" s="1">
        <v>8.759E8</v>
      </c>
      <c r="L139" s="1">
        <v>-2.07E8</v>
      </c>
      <c r="M139" s="1">
        <v>5.03E7</v>
      </c>
      <c r="N139" s="1">
        <v>2.1585E9</v>
      </c>
      <c r="O139" s="1">
        <v>1.2826E9</v>
      </c>
      <c r="P139" s="1">
        <v>5.743E8</v>
      </c>
      <c r="Q139" s="1">
        <v>-1.733E8</v>
      </c>
      <c r="R139" s="1">
        <v>6.523E8</v>
      </c>
      <c r="S139" s="1">
        <v>6.45E8</v>
      </c>
    </row>
    <row r="140">
      <c r="A140" s="1">
        <v>138.0</v>
      </c>
      <c r="B140" s="3">
        <v>44196.0</v>
      </c>
      <c r="C140" s="1" t="s">
        <v>85</v>
      </c>
      <c r="D140" s="1" t="s">
        <v>86</v>
      </c>
      <c r="F140" s="1">
        <v>4.197E8</v>
      </c>
      <c r="G140" s="1">
        <v>3.651E8</v>
      </c>
      <c r="H140" s="1">
        <v>1.963E8</v>
      </c>
      <c r="I140" s="1">
        <v>1.5499E9</v>
      </c>
      <c r="J140" s="1">
        <v>8.598E8</v>
      </c>
      <c r="K140" s="1">
        <v>8.598E8</v>
      </c>
      <c r="L140" s="1">
        <v>-1.961E8</v>
      </c>
      <c r="M140" s="1">
        <v>5.81E7</v>
      </c>
      <c r="N140" s="1">
        <v>2.1225E9</v>
      </c>
      <c r="O140" s="1">
        <v>1.2627E9</v>
      </c>
      <c r="P140" s="1">
        <v>5.726E8</v>
      </c>
      <c r="Q140" s="1">
        <v>-4.401E8</v>
      </c>
      <c r="R140" s="1">
        <v>3.616E8</v>
      </c>
      <c r="S140" s="1">
        <v>3.651E8</v>
      </c>
    </row>
    <row r="141">
      <c r="A141" s="1">
        <v>139.0</v>
      </c>
      <c r="B141" s="3">
        <v>44104.0</v>
      </c>
      <c r="C141" s="1" t="s">
        <v>85</v>
      </c>
      <c r="D141" s="1" t="s">
        <v>86</v>
      </c>
      <c r="F141" s="1">
        <v>5.022E8</v>
      </c>
      <c r="G141" s="1">
        <v>4.644E8</v>
      </c>
      <c r="H141" s="1">
        <v>1.76E8</v>
      </c>
      <c r="I141" s="1">
        <v>1.4503E9</v>
      </c>
      <c r="J141" s="1">
        <v>8.027E8</v>
      </c>
      <c r="K141" s="1">
        <v>8.027E8</v>
      </c>
      <c r="L141" s="1">
        <v>-1.909E8</v>
      </c>
      <c r="M141" s="1">
        <v>3.93E7</v>
      </c>
      <c r="N141" s="1">
        <v>2.0129E9</v>
      </c>
      <c r="O141" s="1">
        <v>1.2102E9</v>
      </c>
      <c r="P141" s="1">
        <v>5.626E8</v>
      </c>
      <c r="Q141" s="1">
        <v>-3.005E8</v>
      </c>
      <c r="R141" s="1">
        <v>4.629E8</v>
      </c>
      <c r="S141" s="1">
        <v>4.644E8</v>
      </c>
    </row>
    <row r="142">
      <c r="A142" s="1">
        <v>140.0</v>
      </c>
      <c r="B142" s="3">
        <v>44377.0</v>
      </c>
      <c r="C142" s="1" t="s">
        <v>87</v>
      </c>
      <c r="D142" s="1" t="s">
        <v>88</v>
      </c>
      <c r="F142" s="1">
        <v>2.51E8</v>
      </c>
      <c r="G142" s="1">
        <v>2.07E8</v>
      </c>
      <c r="H142" s="1">
        <v>-1.9E7</v>
      </c>
      <c r="I142" s="1">
        <v>5.68E8</v>
      </c>
      <c r="J142" s="1">
        <v>3.49E8</v>
      </c>
      <c r="K142" s="1">
        <v>3.49E8</v>
      </c>
      <c r="L142" s="1">
        <v>-1.01E8</v>
      </c>
      <c r="M142" s="1">
        <v>4.4E7</v>
      </c>
      <c r="N142" s="1">
        <v>9.99E8</v>
      </c>
      <c r="O142" s="1">
        <v>6.5E8</v>
      </c>
      <c r="P142" s="1">
        <v>4.31E8</v>
      </c>
      <c r="Q142" s="1">
        <v>-9.8E7</v>
      </c>
      <c r="R142" s="1">
        <v>2.07E8</v>
      </c>
      <c r="S142" s="1">
        <v>2.07E8</v>
      </c>
    </row>
    <row r="143">
      <c r="A143" s="1">
        <v>141.0</v>
      </c>
      <c r="B143" s="3">
        <v>44286.0</v>
      </c>
      <c r="C143" s="1" t="s">
        <v>87</v>
      </c>
      <c r="D143" s="1" t="s">
        <v>88</v>
      </c>
      <c r="F143" s="1">
        <v>1.55E8</v>
      </c>
      <c r="G143" s="1">
        <v>1.33E8</v>
      </c>
      <c r="H143" s="1">
        <v>-2.0E7</v>
      </c>
      <c r="I143" s="1">
        <v>4.69E8</v>
      </c>
      <c r="J143" s="1">
        <v>2.49E8</v>
      </c>
      <c r="K143" s="1">
        <v>2.49E8</v>
      </c>
      <c r="L143" s="1">
        <v>-9.8E7</v>
      </c>
      <c r="M143" s="1">
        <v>2.2E7</v>
      </c>
      <c r="N143" s="1">
        <v>8.88E8</v>
      </c>
      <c r="O143" s="1">
        <v>6.39E8</v>
      </c>
      <c r="P143" s="1">
        <v>4.19E8</v>
      </c>
      <c r="Q143" s="1">
        <v>-9.4E7</v>
      </c>
      <c r="R143" s="1">
        <v>1.33E8</v>
      </c>
      <c r="S143" s="1">
        <v>1.33E8</v>
      </c>
    </row>
    <row r="144">
      <c r="A144" s="1">
        <v>142.0</v>
      </c>
      <c r="B144" s="3">
        <v>44196.0</v>
      </c>
      <c r="C144" s="1" t="s">
        <v>87</v>
      </c>
      <c r="D144" s="1" t="s">
        <v>88</v>
      </c>
      <c r="F144" s="1">
        <v>1.81E8</v>
      </c>
      <c r="G144" s="1">
        <v>1.45E8</v>
      </c>
      <c r="H144" s="1">
        <v>-1.2E7</v>
      </c>
      <c r="I144" s="1">
        <v>4.94E8</v>
      </c>
      <c r="J144" s="1">
        <v>2.75E8</v>
      </c>
      <c r="K144" s="1">
        <v>2.75E8</v>
      </c>
      <c r="L144" s="1">
        <v>-9.9E7</v>
      </c>
      <c r="M144" s="1">
        <v>3.6E7</v>
      </c>
      <c r="N144" s="1">
        <v>9.23E8</v>
      </c>
      <c r="O144" s="1">
        <v>6.48E8</v>
      </c>
      <c r="P144" s="1">
        <v>4.29E8</v>
      </c>
      <c r="Q144" s="1">
        <v>-9.4E7</v>
      </c>
      <c r="R144" s="1">
        <v>1.45E8</v>
      </c>
      <c r="S144" s="1">
        <v>1.45E8</v>
      </c>
    </row>
    <row r="145">
      <c r="A145" s="1">
        <v>143.0</v>
      </c>
      <c r="B145" s="3">
        <v>44104.0</v>
      </c>
      <c r="C145" s="1" t="s">
        <v>87</v>
      </c>
      <c r="D145" s="1" t="s">
        <v>88</v>
      </c>
      <c r="F145" s="1">
        <v>3.52E8</v>
      </c>
      <c r="G145" s="1">
        <v>2.64E8</v>
      </c>
      <c r="H145" s="1">
        <v>-1.2E7</v>
      </c>
      <c r="I145" s="1">
        <v>6.6E8</v>
      </c>
      <c r="J145" s="1">
        <v>4.45E8</v>
      </c>
      <c r="K145" s="1">
        <v>4.45E8</v>
      </c>
      <c r="L145" s="1">
        <v>-9.9E7</v>
      </c>
      <c r="M145" s="1">
        <v>8.8E7</v>
      </c>
      <c r="N145" s="1">
        <v>1.079E9</v>
      </c>
      <c r="O145" s="1">
        <v>6.34E8</v>
      </c>
      <c r="P145" s="1">
        <v>4.19E8</v>
      </c>
      <c r="Q145" s="1">
        <v>-9.3E7</v>
      </c>
      <c r="R145" s="1">
        <v>2.64E8</v>
      </c>
      <c r="S145" s="1">
        <v>2.64E8</v>
      </c>
    </row>
    <row r="146">
      <c r="A146" s="1">
        <v>144.0</v>
      </c>
      <c r="B146" s="3">
        <v>44377.0</v>
      </c>
      <c r="C146" s="1" t="s">
        <v>90</v>
      </c>
      <c r="D146" s="1" t="s">
        <v>91</v>
      </c>
      <c r="F146" s="1">
        <v>7.21E8</v>
      </c>
      <c r="G146" s="1">
        <v>5.91E8</v>
      </c>
      <c r="H146" s="1">
        <v>8.23E8</v>
      </c>
      <c r="I146" s="1">
        <v>1.72E9</v>
      </c>
      <c r="J146" s="1">
        <v>8.97E8</v>
      </c>
      <c r="K146" s="1">
        <v>8.97E8</v>
      </c>
      <c r="L146" s="1">
        <v>-1.69E8</v>
      </c>
      <c r="M146" s="1">
        <v>1.3E8</v>
      </c>
      <c r="N146" s="1">
        <v>3.42E9</v>
      </c>
      <c r="O146" s="1">
        <v>2.523E9</v>
      </c>
      <c r="P146" s="1">
        <v>1.7E9</v>
      </c>
      <c r="Q146" s="1">
        <v>-1.76E8</v>
      </c>
      <c r="R146" s="1">
        <v>5.91E8</v>
      </c>
      <c r="S146" s="1">
        <v>5.91E8</v>
      </c>
    </row>
    <row r="147">
      <c r="A147" s="1">
        <v>145.0</v>
      </c>
      <c r="B147" s="3">
        <v>44286.0</v>
      </c>
      <c r="C147" s="1" t="s">
        <v>90</v>
      </c>
      <c r="D147" s="1" t="s">
        <v>91</v>
      </c>
      <c r="F147" s="1">
        <v>4.93E8</v>
      </c>
      <c r="G147" s="1">
        <v>4.37E8</v>
      </c>
      <c r="H147" s="1">
        <v>8.23E8</v>
      </c>
      <c r="I147" s="1">
        <v>1.522E9</v>
      </c>
      <c r="J147" s="1">
        <v>6.99E8</v>
      </c>
      <c r="K147" s="1">
        <v>6.99E8</v>
      </c>
      <c r="L147" s="1">
        <v>-2.06E8</v>
      </c>
      <c r="M147" s="1">
        <v>5.6E7</v>
      </c>
      <c r="N147" s="1">
        <v>3.355E9</v>
      </c>
      <c r="O147" s="1">
        <v>2.656E9</v>
      </c>
      <c r="P147" s="1">
        <v>1.833E9</v>
      </c>
      <c r="Q147" s="1">
        <v>-2.06E8</v>
      </c>
      <c r="R147" s="1">
        <v>4.37E8</v>
      </c>
      <c r="S147" s="1">
        <v>4.37E8</v>
      </c>
    </row>
    <row r="148">
      <c r="A148" s="1">
        <v>146.0</v>
      </c>
      <c r="B148" s="3">
        <v>44196.0</v>
      </c>
      <c r="C148" s="1" t="s">
        <v>90</v>
      </c>
      <c r="D148" s="1" t="s">
        <v>91</v>
      </c>
      <c r="F148" s="1">
        <v>1.9E8</v>
      </c>
      <c r="G148" s="1">
        <v>1.77E8</v>
      </c>
      <c r="H148" s="1">
        <v>8.28E8</v>
      </c>
      <c r="I148" s="1">
        <v>1.183E9</v>
      </c>
      <c r="J148" s="1">
        <v>3.55E8</v>
      </c>
      <c r="K148" s="1">
        <v>3.55E8</v>
      </c>
      <c r="L148" s="1">
        <v>-1.65E8</v>
      </c>
      <c r="M148" s="1">
        <v>1.3E7</v>
      </c>
      <c r="N148" s="1">
        <v>3.189E9</v>
      </c>
      <c r="O148" s="1">
        <v>2.834E9</v>
      </c>
      <c r="P148" s="1">
        <v>2.006E9</v>
      </c>
      <c r="Q148" s="1">
        <v>-1.65E8</v>
      </c>
      <c r="R148" s="1">
        <v>1.77E8</v>
      </c>
      <c r="S148" s="1">
        <v>1.77E8</v>
      </c>
    </row>
    <row r="149">
      <c r="A149" s="1">
        <v>147.0</v>
      </c>
      <c r="B149" s="3">
        <v>44104.0</v>
      </c>
      <c r="C149" s="1" t="s">
        <v>90</v>
      </c>
      <c r="D149" s="1" t="s">
        <v>91</v>
      </c>
      <c r="F149" s="1">
        <v>-1.84E8</v>
      </c>
      <c r="G149" s="1">
        <v>-1.4E8</v>
      </c>
      <c r="H149" s="1">
        <v>7.62E8</v>
      </c>
      <c r="I149" s="1">
        <v>7.96E8</v>
      </c>
      <c r="J149" s="1">
        <v>3.4E7</v>
      </c>
      <c r="K149" s="1">
        <v>3.4E7</v>
      </c>
      <c r="L149" s="1">
        <v>-2.17E8</v>
      </c>
      <c r="M149" s="1">
        <v>-4.4E7</v>
      </c>
      <c r="N149" s="1">
        <v>3.013E9</v>
      </c>
      <c r="O149" s="1">
        <v>2.979E9</v>
      </c>
      <c r="P149" s="1">
        <v>2.217E9</v>
      </c>
      <c r="Q149" s="1">
        <v>-2.18E8</v>
      </c>
      <c r="R149" s="1">
        <v>-1.4E8</v>
      </c>
      <c r="S149" s="1">
        <v>-1.4E8</v>
      </c>
    </row>
    <row r="150">
      <c r="A150" s="1">
        <v>148.0</v>
      </c>
      <c r="B150" s="3">
        <v>44377.0</v>
      </c>
      <c r="C150" s="1" t="s">
        <v>95</v>
      </c>
      <c r="D150" s="1" t="s">
        <v>96</v>
      </c>
      <c r="F150" s="1">
        <v>5.7353E8</v>
      </c>
      <c r="G150" s="1">
        <v>2.92122E8</v>
      </c>
      <c r="H150" s="1">
        <v>9.13414E8</v>
      </c>
      <c r="I150" s="1">
        <v>1.888206E9</v>
      </c>
      <c r="J150" s="1">
        <v>8.47691E8</v>
      </c>
      <c r="K150" s="1">
        <v>8.47691E8</v>
      </c>
      <c r="L150" s="1">
        <v>-5.3011E7</v>
      </c>
      <c r="M150" s="1">
        <v>2.78082E8</v>
      </c>
      <c r="N150" s="1">
        <v>5.3405695E10</v>
      </c>
      <c r="O150" s="1">
        <v>5.2558004E10</v>
      </c>
      <c r="P150" s="1">
        <v>5.1517489E10</v>
      </c>
      <c r="Q150" s="1">
        <v>-2.74161E8</v>
      </c>
      <c r="R150" s="1">
        <v>2.95448E8</v>
      </c>
      <c r="S150" s="1">
        <v>2.92122E8</v>
      </c>
    </row>
    <row r="151">
      <c r="A151" s="1">
        <v>149.0</v>
      </c>
      <c r="B151" s="3">
        <v>44286.0</v>
      </c>
      <c r="C151" s="1" t="s">
        <v>95</v>
      </c>
      <c r="D151" s="1" t="s">
        <v>96</v>
      </c>
      <c r="F151" s="1">
        <v>5.66511E8</v>
      </c>
      <c r="G151" s="1">
        <v>4.35267E8</v>
      </c>
      <c r="H151" s="1">
        <v>7.30081E8</v>
      </c>
      <c r="I151" s="1">
        <v>1.533381E9</v>
      </c>
      <c r="J151" s="1">
        <v>7.02503E8</v>
      </c>
      <c r="K151" s="1">
        <v>7.02503E8</v>
      </c>
      <c r="L151" s="1">
        <v>-3.5184E7</v>
      </c>
      <c r="M151" s="1">
        <v>1.32506E8</v>
      </c>
      <c r="N151" s="1">
        <v>4.9154171E10</v>
      </c>
      <c r="O151" s="1">
        <v>4.8451668E10</v>
      </c>
      <c r="P151" s="1">
        <v>4.762079E10</v>
      </c>
      <c r="Q151" s="1">
        <v>-1.35992E8</v>
      </c>
      <c r="R151" s="1">
        <v>4.34005E8</v>
      </c>
      <c r="S151" s="1">
        <v>4.35267E8</v>
      </c>
    </row>
    <row r="152">
      <c r="A152" s="1">
        <v>150.0</v>
      </c>
      <c r="B152" s="3">
        <v>44196.0</v>
      </c>
      <c r="C152" s="1" t="s">
        <v>95</v>
      </c>
      <c r="D152" s="1" t="s">
        <v>96</v>
      </c>
      <c r="F152" s="1">
        <v>5.27882E8</v>
      </c>
      <c r="G152" s="1">
        <v>3.74845E8</v>
      </c>
      <c r="H152" s="1">
        <v>7.35068E8</v>
      </c>
      <c r="I152" s="1">
        <v>1.45223E9</v>
      </c>
      <c r="J152" s="1">
        <v>6.17609E8</v>
      </c>
      <c r="K152" s="1">
        <v>6.17609E8</v>
      </c>
      <c r="L152" s="1">
        <v>-3.4578E7</v>
      </c>
      <c r="M152" s="1">
        <v>1.49175E8</v>
      </c>
      <c r="N152" s="1">
        <v>5.2516556E10</v>
      </c>
      <c r="O152" s="1">
        <v>5.1898947E10</v>
      </c>
      <c r="P152" s="1">
        <v>5.1064326E10</v>
      </c>
      <c r="Q152" s="1">
        <v>-8.9727E7</v>
      </c>
      <c r="R152" s="1">
        <v>3.78707E8</v>
      </c>
      <c r="S152" s="1">
        <v>3.74845E8</v>
      </c>
    </row>
    <row r="153">
      <c r="A153" s="1">
        <v>151.0</v>
      </c>
      <c r="B153" s="3">
        <v>44104.0</v>
      </c>
      <c r="C153" s="1" t="s">
        <v>95</v>
      </c>
      <c r="D153" s="1" t="s">
        <v>96</v>
      </c>
      <c r="F153" s="1">
        <v>-6.143457E9</v>
      </c>
      <c r="G153" s="1">
        <v>-4.846072E9</v>
      </c>
      <c r="H153" s="1">
        <v>6.71028E8</v>
      </c>
      <c r="I153" s="1">
        <v>1.346317E9</v>
      </c>
      <c r="J153" s="1">
        <v>5.77952E8</v>
      </c>
      <c r="K153" s="1">
        <v>5.77952E8</v>
      </c>
      <c r="L153" s="1">
        <v>-3.5761E7</v>
      </c>
      <c r="M153" s="1">
        <v>-1.298952E9</v>
      </c>
      <c r="N153" s="1">
        <v>4.9244768E10</v>
      </c>
      <c r="O153" s="1">
        <v>4.8666816E10</v>
      </c>
      <c r="P153" s="1">
        <v>4.7898451E10</v>
      </c>
      <c r="Q153" s="1">
        <v>-6.721409E9</v>
      </c>
      <c r="R153" s="1">
        <v>-4.844505E9</v>
      </c>
      <c r="S153" s="1">
        <v>-4.846072E9</v>
      </c>
    </row>
    <row r="154">
      <c r="A154" s="1">
        <v>152.0</v>
      </c>
      <c r="B154" s="3">
        <v>44377.0</v>
      </c>
      <c r="C154" s="1" t="s">
        <v>97</v>
      </c>
      <c r="D154" s="1" t="s">
        <v>98</v>
      </c>
      <c r="F154" s="1">
        <v>2.91755E8</v>
      </c>
      <c r="G154" s="1">
        <v>2.31679E8</v>
      </c>
      <c r="H154" s="1">
        <v>1.57023E8</v>
      </c>
      <c r="I154" s="1">
        <v>4.73634E8</v>
      </c>
      <c r="J154" s="1">
        <v>3.16611E8</v>
      </c>
      <c r="K154" s="1">
        <v>3.16611E8</v>
      </c>
      <c r="L154" s="1">
        <v>-2.0442E7</v>
      </c>
      <c r="M154" s="1">
        <v>6.0076E7</v>
      </c>
      <c r="N154" s="1">
        <v>1.386346E9</v>
      </c>
      <c r="O154" s="1">
        <v>1.069735E9</v>
      </c>
      <c r="P154" s="1">
        <v>9.12712E8</v>
      </c>
      <c r="Q154" s="1">
        <v>-2.4856E7</v>
      </c>
      <c r="R154" s="1">
        <v>2.31679E8</v>
      </c>
      <c r="S154" s="1">
        <v>2.31679E8</v>
      </c>
    </row>
    <row r="155">
      <c r="A155" s="1">
        <v>153.0</v>
      </c>
      <c r="B155" s="3">
        <v>44286.0</v>
      </c>
      <c r="C155" s="1" t="s">
        <v>97</v>
      </c>
      <c r="D155" s="1" t="s">
        <v>98</v>
      </c>
      <c r="F155" s="1">
        <v>2.72456E8</v>
      </c>
      <c r="G155" s="1">
        <v>2.19233E8</v>
      </c>
      <c r="H155" s="1">
        <v>1.3844E8</v>
      </c>
      <c r="I155" s="1">
        <v>4.2635E8</v>
      </c>
      <c r="J155" s="1">
        <v>2.8791E8</v>
      </c>
      <c r="K155" s="1">
        <v>2.8791E8</v>
      </c>
      <c r="L155" s="1">
        <v>-1.8947E7</v>
      </c>
      <c r="M155" s="1">
        <v>5.3223E7</v>
      </c>
      <c r="N155" s="1">
        <v>1.215742E9</v>
      </c>
      <c r="O155" s="1">
        <v>9.27832E8</v>
      </c>
      <c r="P155" s="1">
        <v>7.89392E8</v>
      </c>
      <c r="Q155" s="1">
        <v>-1.5454E7</v>
      </c>
      <c r="R155" s="1">
        <v>2.19233E8</v>
      </c>
      <c r="S155" s="1">
        <v>2.19233E8</v>
      </c>
    </row>
    <row r="156">
      <c r="A156" s="1">
        <v>154.0</v>
      </c>
      <c r="B156" s="3">
        <v>44196.0</v>
      </c>
      <c r="C156" s="1" t="s">
        <v>97</v>
      </c>
      <c r="D156" s="1" t="s">
        <v>98</v>
      </c>
      <c r="F156" s="1">
        <v>2.76707E8</v>
      </c>
      <c r="G156" s="1">
        <v>2.21025E8</v>
      </c>
      <c r="H156" s="1">
        <v>1.35844E8</v>
      </c>
      <c r="I156" s="1">
        <v>4.28979E8</v>
      </c>
      <c r="J156" s="1">
        <v>2.93135E8</v>
      </c>
      <c r="K156" s="1">
        <v>2.93135E8</v>
      </c>
      <c r="L156" s="1">
        <v>-1.9465E7</v>
      </c>
      <c r="M156" s="1">
        <v>5.5682E7</v>
      </c>
      <c r="N156" s="1">
        <v>1.198947E9</v>
      </c>
      <c r="O156" s="1">
        <v>9.05812E8</v>
      </c>
      <c r="P156" s="1">
        <v>7.69968E8</v>
      </c>
      <c r="Q156" s="1">
        <v>-1.6428E7</v>
      </c>
      <c r="R156" s="1">
        <v>2.21025E8</v>
      </c>
      <c r="S156" s="1">
        <v>2.21025E8</v>
      </c>
    </row>
    <row r="157">
      <c r="A157" s="1">
        <v>155.0</v>
      </c>
      <c r="B157" s="3">
        <v>44104.0</v>
      </c>
      <c r="C157" s="1" t="s">
        <v>97</v>
      </c>
      <c r="D157" s="1" t="s">
        <v>98</v>
      </c>
      <c r="F157" s="1">
        <v>2.48075E8</v>
      </c>
      <c r="G157" s="1">
        <v>2.04581E8</v>
      </c>
      <c r="H157" s="1">
        <v>1.28482E8</v>
      </c>
      <c r="I157" s="1">
        <v>3.94237E8</v>
      </c>
      <c r="J157" s="1">
        <v>2.65755E8</v>
      </c>
      <c r="K157" s="1">
        <v>2.65755E8</v>
      </c>
      <c r="L157" s="1">
        <v>-2.1187E7</v>
      </c>
      <c r="M157" s="1">
        <v>4.3494E7</v>
      </c>
      <c r="N157" s="1">
        <v>1.126942E9</v>
      </c>
      <c r="O157" s="1">
        <v>8.61187E8</v>
      </c>
      <c r="P157" s="1">
        <v>7.32705E8</v>
      </c>
      <c r="Q157" s="1">
        <v>-1.768E7</v>
      </c>
      <c r="R157" s="1">
        <v>2.04581E8</v>
      </c>
      <c r="S157" s="1">
        <v>2.04581E8</v>
      </c>
    </row>
    <row r="158">
      <c r="A158" s="1">
        <v>156.0</v>
      </c>
      <c r="B158" s="3">
        <v>44377.0</v>
      </c>
      <c r="C158" s="1" t="s">
        <v>99</v>
      </c>
      <c r="D158" s="1" t="s">
        <v>100</v>
      </c>
      <c r="E158" s="1">
        <v>1.082E9</v>
      </c>
      <c r="F158" s="1">
        <v>5.58E8</v>
      </c>
      <c r="G158" s="1">
        <v>4.64E8</v>
      </c>
      <c r="H158" s="1">
        <v>1.384E9</v>
      </c>
      <c r="I158" s="1">
        <v>4.889E9</v>
      </c>
      <c r="J158" s="1">
        <v>2.333E9</v>
      </c>
      <c r="K158" s="1">
        <v>2.333E9</v>
      </c>
      <c r="L158" s="1">
        <v>-2.81E8</v>
      </c>
      <c r="M158" s="1">
        <v>9.4E7</v>
      </c>
      <c r="N158" s="1">
        <v>6.526E9</v>
      </c>
      <c r="O158" s="1">
        <v>4.193E9</v>
      </c>
      <c r="P158" s="1">
        <v>1.637E9</v>
      </c>
      <c r="Q158" s="1">
        <v>-1.775E9</v>
      </c>
      <c r="R158" s="1">
        <v>4.64E8</v>
      </c>
      <c r="S158" s="1">
        <v>4.64E8</v>
      </c>
    </row>
    <row r="159">
      <c r="A159" s="1">
        <v>157.0</v>
      </c>
      <c r="B159" s="3">
        <v>44286.0</v>
      </c>
      <c r="C159" s="1" t="s">
        <v>99</v>
      </c>
      <c r="D159" s="1" t="s">
        <v>100</v>
      </c>
      <c r="E159" s="1">
        <v>9.67E8</v>
      </c>
      <c r="F159" s="1">
        <v>1.857E9</v>
      </c>
      <c r="G159" s="1">
        <v>1.646E9</v>
      </c>
      <c r="H159" s="1">
        <v>1.254E9</v>
      </c>
      <c r="I159" s="1">
        <v>4.411E9</v>
      </c>
      <c r="J159" s="1">
        <v>2.129E9</v>
      </c>
      <c r="K159" s="1">
        <v>2.129E9</v>
      </c>
      <c r="L159" s="1">
        <v>-2.85E8</v>
      </c>
      <c r="M159" s="1">
        <v>2.11E8</v>
      </c>
      <c r="N159" s="1">
        <v>5.901E9</v>
      </c>
      <c r="O159" s="1">
        <v>3.772E9</v>
      </c>
      <c r="P159" s="1">
        <v>1.49E9</v>
      </c>
      <c r="Q159" s="1">
        <v>-2.72E8</v>
      </c>
      <c r="R159" s="1">
        <v>1.646E9</v>
      </c>
      <c r="S159" s="1">
        <v>1.646E9</v>
      </c>
    </row>
    <row r="160">
      <c r="A160" s="1">
        <v>158.0</v>
      </c>
      <c r="B160" s="3">
        <v>44196.0</v>
      </c>
      <c r="C160" s="1" t="s">
        <v>99</v>
      </c>
      <c r="D160" s="1" t="s">
        <v>100</v>
      </c>
      <c r="E160" s="1">
        <v>1.229E9</v>
      </c>
      <c r="F160" s="1">
        <v>1.877E9</v>
      </c>
      <c r="G160" s="1">
        <v>1.615E9</v>
      </c>
      <c r="H160" s="1">
        <v>1.773E9</v>
      </c>
      <c r="I160" s="1">
        <v>5.037E9</v>
      </c>
      <c r="J160" s="1">
        <v>2.035E9</v>
      </c>
      <c r="K160" s="1">
        <v>2.035E9</v>
      </c>
      <c r="L160" s="1">
        <v>-9.4E7</v>
      </c>
      <c r="M160" s="1">
        <v>2.62E8</v>
      </c>
      <c r="N160" s="1">
        <v>6.634E9</v>
      </c>
      <c r="O160" s="1">
        <v>4.599E9</v>
      </c>
      <c r="P160" s="1">
        <v>1.597E9</v>
      </c>
      <c r="Q160" s="1">
        <v>-1.58E8</v>
      </c>
      <c r="R160" s="1">
        <v>1.615E9</v>
      </c>
      <c r="S160" s="1">
        <v>1.615E9</v>
      </c>
    </row>
    <row r="161">
      <c r="A161" s="1">
        <v>159.0</v>
      </c>
      <c r="B161" s="3">
        <v>44104.0</v>
      </c>
      <c r="C161" s="1" t="s">
        <v>99</v>
      </c>
      <c r="D161" s="1" t="s">
        <v>100</v>
      </c>
      <c r="E161" s="1">
        <v>1.062E9</v>
      </c>
      <c r="F161" s="1">
        <v>2.206E9</v>
      </c>
      <c r="G161" s="1">
        <v>2.021E9</v>
      </c>
      <c r="H161" s="1">
        <v>1.346E9</v>
      </c>
      <c r="I161" s="1">
        <v>4.862E9</v>
      </c>
      <c r="J161" s="1">
        <v>2.453E9</v>
      </c>
      <c r="K161" s="1">
        <v>2.453E9</v>
      </c>
      <c r="L161" s="1">
        <v>-3.02E8</v>
      </c>
      <c r="M161" s="1">
        <v>1.85E8</v>
      </c>
      <c r="N161" s="1">
        <v>6.423E9</v>
      </c>
      <c r="O161" s="1">
        <v>3.97E9</v>
      </c>
      <c r="P161" s="1">
        <v>1.561E9</v>
      </c>
      <c r="Q161" s="1">
        <v>-2.47E8</v>
      </c>
      <c r="R161" s="1">
        <v>2.021E9</v>
      </c>
      <c r="S161" s="1">
        <v>2.021E9</v>
      </c>
    </row>
    <row r="162">
      <c r="A162" s="1">
        <v>160.0</v>
      </c>
      <c r="B162" s="3">
        <v>44286.0</v>
      </c>
      <c r="C162" s="1" t="s">
        <v>102</v>
      </c>
      <c r="D162" s="1" t="s">
        <v>103</v>
      </c>
      <c r="F162" s="1">
        <v>4.359E8</v>
      </c>
      <c r="G162" s="1">
        <v>3.296E8</v>
      </c>
      <c r="H162" s="1">
        <v>2.627E8</v>
      </c>
      <c r="I162" s="1">
        <v>7.275E8</v>
      </c>
      <c r="J162" s="1">
        <v>4.648E8</v>
      </c>
      <c r="K162" s="1">
        <v>4.648E8</v>
      </c>
      <c r="L162" s="1">
        <v>-2.86E7</v>
      </c>
      <c r="M162" s="1">
        <v>1.041E8</v>
      </c>
      <c r="N162" s="1">
        <v>2.3771E9</v>
      </c>
      <c r="O162" s="1">
        <v>1.9123E9</v>
      </c>
      <c r="P162" s="1">
        <v>1.6496E9</v>
      </c>
      <c r="Q162" s="1">
        <v>-2.89E7</v>
      </c>
      <c r="R162" s="1">
        <v>3.318E8</v>
      </c>
      <c r="S162" s="1">
        <v>3.296E8</v>
      </c>
    </row>
    <row r="163">
      <c r="A163" s="1">
        <v>161.0</v>
      </c>
      <c r="B163" s="3">
        <v>44196.0</v>
      </c>
      <c r="C163" s="1" t="s">
        <v>102</v>
      </c>
      <c r="D163" s="1" t="s">
        <v>103</v>
      </c>
      <c r="E163" s="1">
        <v>2.607E8</v>
      </c>
      <c r="F163" s="1">
        <v>4.602E8</v>
      </c>
      <c r="G163" s="1">
        <v>3.57E8</v>
      </c>
      <c r="H163" s="1">
        <v>1.19E7</v>
      </c>
      <c r="I163" s="1">
        <v>7.656E8</v>
      </c>
      <c r="J163" s="1">
        <v>4.93E8</v>
      </c>
      <c r="K163" s="1">
        <v>4.93E8</v>
      </c>
      <c r="L163" s="1">
        <v>-2.83E7</v>
      </c>
      <c r="M163" s="1">
        <v>1.0E8</v>
      </c>
      <c r="N163" s="1">
        <v>2.426E9</v>
      </c>
      <c r="O163" s="1">
        <v>1.933E9</v>
      </c>
      <c r="P163" s="1">
        <v>1.6604E9</v>
      </c>
      <c r="Q163" s="1">
        <v>-3.28E7</v>
      </c>
      <c r="R163" s="1">
        <v>3.602E8</v>
      </c>
      <c r="S163" s="1">
        <v>3.57E8</v>
      </c>
    </row>
    <row r="164">
      <c r="A164" s="1">
        <v>162.0</v>
      </c>
      <c r="B164" s="3">
        <v>44104.0</v>
      </c>
      <c r="C164" s="1" t="s">
        <v>102</v>
      </c>
      <c r="D164" s="1" t="s">
        <v>103</v>
      </c>
      <c r="E164" s="1">
        <v>2.607E8</v>
      </c>
      <c r="F164" s="1">
        <v>4.488E8</v>
      </c>
      <c r="G164" s="1">
        <v>3.466E8</v>
      </c>
      <c r="H164" s="1">
        <v>2.591E8</v>
      </c>
      <c r="I164" s="1">
        <v>7.349E8</v>
      </c>
      <c r="J164" s="1">
        <v>4.758E8</v>
      </c>
      <c r="K164" s="1">
        <v>4.758E8</v>
      </c>
      <c r="L164" s="1">
        <v>-2.8E7</v>
      </c>
      <c r="M164" s="1">
        <v>9.93E7</v>
      </c>
      <c r="N164" s="1">
        <v>2.3234E9</v>
      </c>
      <c r="O164" s="1">
        <v>1.8476E9</v>
      </c>
      <c r="P164" s="1">
        <v>1.5885E9</v>
      </c>
      <c r="Q164" s="1">
        <v>-2.7E7</v>
      </c>
      <c r="R164" s="1">
        <v>3.495E8</v>
      </c>
      <c r="S164" s="1">
        <v>3.466E8</v>
      </c>
    </row>
    <row r="165">
      <c r="A165" s="1">
        <v>163.0</v>
      </c>
      <c r="B165" s="3">
        <v>44012.0</v>
      </c>
      <c r="C165" s="1" t="s">
        <v>102</v>
      </c>
      <c r="D165" s="1" t="s">
        <v>103</v>
      </c>
      <c r="E165" s="1">
        <v>2.607E8</v>
      </c>
      <c r="F165" s="1">
        <v>3.285E8</v>
      </c>
      <c r="G165" s="1">
        <v>2.577E8</v>
      </c>
      <c r="H165" s="1">
        <v>2.464E8</v>
      </c>
      <c r="I165" s="1">
        <v>6.038E8</v>
      </c>
      <c r="J165" s="1">
        <v>3.574E8</v>
      </c>
      <c r="K165" s="1">
        <v>3.574E8</v>
      </c>
      <c r="L165" s="1">
        <v>-3.02E7</v>
      </c>
      <c r="M165" s="1">
        <v>6.8E7</v>
      </c>
      <c r="N165" s="1">
        <v>1.9875E9</v>
      </c>
      <c r="O165" s="1">
        <v>1.6301E9</v>
      </c>
      <c r="P165" s="1">
        <v>1.3837E9</v>
      </c>
      <c r="Q165" s="1">
        <v>-2.89E7</v>
      </c>
      <c r="R165" s="1">
        <v>2.605E8</v>
      </c>
      <c r="S165" s="1">
        <v>2.577E8</v>
      </c>
    </row>
    <row r="166">
      <c r="A166" s="1">
        <v>164.0</v>
      </c>
      <c r="B166" s="3">
        <v>44408.0</v>
      </c>
      <c r="C166" s="1" t="s">
        <v>104</v>
      </c>
      <c r="D166" s="1" t="s">
        <v>105</v>
      </c>
      <c r="E166" s="1">
        <v>3.06617E8</v>
      </c>
      <c r="F166" s="1">
        <v>5.72278E8</v>
      </c>
      <c r="G166" s="1">
        <v>5.03311E8</v>
      </c>
      <c r="H166" s="1">
        <v>1.87776E8</v>
      </c>
      <c r="I166" s="1">
        <v>1.221184E9</v>
      </c>
      <c r="J166" s="1">
        <v>6.19008E8</v>
      </c>
      <c r="K166" s="1">
        <v>6.19008E8</v>
      </c>
      <c r="L166" s="1">
        <v>-4.4659E7</v>
      </c>
      <c r="M166" s="1">
        <v>6.8967E7</v>
      </c>
      <c r="N166" s="1">
        <v>1.758853E9</v>
      </c>
      <c r="O166" s="1">
        <v>1.139845E9</v>
      </c>
      <c r="P166" s="1">
        <v>5.37669E8</v>
      </c>
      <c r="Q166" s="1">
        <v>-4.673E7</v>
      </c>
      <c r="R166" s="1">
        <v>5.03311E8</v>
      </c>
      <c r="S166" s="1">
        <v>5.03311E8</v>
      </c>
    </row>
    <row r="167">
      <c r="A167" s="1">
        <v>165.0</v>
      </c>
      <c r="B167" s="3">
        <v>44317.0</v>
      </c>
      <c r="C167" s="1" t="s">
        <v>104</v>
      </c>
      <c r="D167" s="1" t="s">
        <v>105</v>
      </c>
      <c r="E167" s="1">
        <v>3.02238E8</v>
      </c>
      <c r="F167" s="1">
        <v>4.75985E8</v>
      </c>
      <c r="G167" s="1">
        <v>4.22905E8</v>
      </c>
      <c r="H167" s="1">
        <v>1.83612E8</v>
      </c>
      <c r="I167" s="1">
        <v>1.136637E9</v>
      </c>
      <c r="J167" s="1">
        <v>5.43001E8</v>
      </c>
      <c r="K167" s="1">
        <v>5.43001E8</v>
      </c>
      <c r="L167" s="1">
        <v>-4.3066E7</v>
      </c>
      <c r="M167" s="1">
        <v>5.308E7</v>
      </c>
      <c r="N167" s="1">
        <v>1.661407E9</v>
      </c>
      <c r="O167" s="1">
        <v>1.118406E9</v>
      </c>
      <c r="P167" s="1">
        <v>5.2477E8</v>
      </c>
      <c r="Q167" s="1">
        <v>-6.7016E7</v>
      </c>
      <c r="R167" s="1">
        <v>4.22905E8</v>
      </c>
      <c r="S167" s="1">
        <v>4.22905E8</v>
      </c>
    </row>
    <row r="168">
      <c r="A168" s="1">
        <v>166.0</v>
      </c>
      <c r="B168" s="3">
        <v>44226.0</v>
      </c>
      <c r="C168" s="1" t="s">
        <v>104</v>
      </c>
      <c r="D168" s="1" t="s">
        <v>105</v>
      </c>
      <c r="E168" s="1">
        <v>2.8815E8</v>
      </c>
      <c r="F168" s="1">
        <v>4.36618E8</v>
      </c>
      <c r="G168" s="1">
        <v>3.88519E8</v>
      </c>
      <c r="H168" s="1">
        <v>1.70075E8</v>
      </c>
      <c r="I168" s="1">
        <v>1.045371E9</v>
      </c>
      <c r="J168" s="1">
        <v>4.79498E8</v>
      </c>
      <c r="K168" s="1">
        <v>4.79498E8</v>
      </c>
      <c r="L168" s="1">
        <v>-4.2479E7</v>
      </c>
      <c r="M168" s="1">
        <v>4.8099E7</v>
      </c>
      <c r="N168" s="1">
        <v>1.558458E9</v>
      </c>
      <c r="O168" s="1">
        <v>1.07896E9</v>
      </c>
      <c r="P168" s="1">
        <v>5.13087E8</v>
      </c>
      <c r="Q168" s="1">
        <v>-4.288E7</v>
      </c>
      <c r="R168" s="1">
        <v>3.88519E8</v>
      </c>
      <c r="S168" s="1">
        <v>3.88519E8</v>
      </c>
    </row>
    <row r="169">
      <c r="A169" s="1">
        <v>167.0</v>
      </c>
      <c r="B169" s="3">
        <v>44135.0</v>
      </c>
      <c r="C169" s="1" t="s">
        <v>104</v>
      </c>
      <c r="D169" s="1" t="s">
        <v>105</v>
      </c>
      <c r="E169" s="1">
        <v>2.80239E8</v>
      </c>
      <c r="F169" s="1">
        <v>4.1731E8</v>
      </c>
      <c r="G169" s="1">
        <v>3.86526E8</v>
      </c>
      <c r="H169" s="1">
        <v>1.46219E8</v>
      </c>
      <c r="I169" s="1">
        <v>1.023084E9</v>
      </c>
      <c r="J169" s="1">
        <v>4.88619E8</v>
      </c>
      <c r="K169" s="1">
        <v>4.88619E8</v>
      </c>
      <c r="L169" s="1">
        <v>-4.8593E7</v>
      </c>
      <c r="M169" s="1">
        <v>3.0784E7</v>
      </c>
      <c r="N169" s="1">
        <v>1.526295E9</v>
      </c>
      <c r="O169" s="1">
        <v>1.037676E9</v>
      </c>
      <c r="P169" s="1">
        <v>5.03211E8</v>
      </c>
      <c r="Q169" s="1">
        <v>-7.1309E7</v>
      </c>
      <c r="R169" s="1">
        <v>3.86526E8</v>
      </c>
      <c r="S169" s="1">
        <v>3.86526E8</v>
      </c>
    </row>
    <row r="170">
      <c r="A170" s="1">
        <v>168.0</v>
      </c>
      <c r="B170" s="3">
        <v>44377.0</v>
      </c>
      <c r="C170" s="1" t="s">
        <v>107</v>
      </c>
      <c r="D170" s="1" t="s">
        <v>108</v>
      </c>
      <c r="E170" s="1">
        <v>1.00879E8</v>
      </c>
      <c r="F170" s="1">
        <v>1.2886E8</v>
      </c>
      <c r="G170" s="1">
        <v>9.3716E7</v>
      </c>
      <c r="H170" s="1">
        <v>1.59089E8</v>
      </c>
      <c r="I170" s="1">
        <v>3.97521E8</v>
      </c>
      <c r="J170" s="1">
        <v>1.18094E8</v>
      </c>
      <c r="K170" s="1">
        <v>1.18094E8</v>
      </c>
      <c r="L170" s="1">
        <v>-3336000.0</v>
      </c>
      <c r="M170" s="1">
        <v>3.5144E7</v>
      </c>
      <c r="N170" s="1">
        <v>4.46654E8</v>
      </c>
      <c r="O170" s="1">
        <v>3.2856E8</v>
      </c>
      <c r="P170" s="1">
        <v>4.9133E7</v>
      </c>
      <c r="Q170" s="1">
        <v>1.0766E7</v>
      </c>
      <c r="R170" s="1">
        <v>9.3716E7</v>
      </c>
      <c r="S170" s="1">
        <v>9.3716E7</v>
      </c>
    </row>
    <row r="171">
      <c r="A171" s="1">
        <v>169.0</v>
      </c>
      <c r="B171" s="3">
        <v>44286.0</v>
      </c>
      <c r="C171" s="1" t="s">
        <v>107</v>
      </c>
      <c r="D171" s="1" t="s">
        <v>108</v>
      </c>
      <c r="E171" s="1">
        <v>1.00479E8</v>
      </c>
      <c r="F171" s="1">
        <v>4.7623E7</v>
      </c>
      <c r="G171" s="1">
        <v>7.2398E7</v>
      </c>
      <c r="H171" s="1">
        <v>1.44245E8</v>
      </c>
      <c r="I171" s="1">
        <v>3.16072E8</v>
      </c>
      <c r="J171" s="1">
        <v>5.1992E7</v>
      </c>
      <c r="K171" s="1">
        <v>5.1992E7</v>
      </c>
      <c r="L171" s="1">
        <v>-3315000.0</v>
      </c>
      <c r="M171" s="1">
        <v>-2.4775E7</v>
      </c>
      <c r="N171" s="1">
        <v>3.63226E8</v>
      </c>
      <c r="O171" s="1">
        <v>3.11234E8</v>
      </c>
      <c r="P171" s="1">
        <v>4.7154E7</v>
      </c>
      <c r="Q171" s="1">
        <v>-4369000.0</v>
      </c>
      <c r="R171" s="1">
        <v>7.2398E7</v>
      </c>
      <c r="S171" s="1">
        <v>7.2398E7</v>
      </c>
    </row>
    <row r="172">
      <c r="A172" s="1">
        <v>170.0</v>
      </c>
      <c r="B172" s="3">
        <v>44196.0</v>
      </c>
      <c r="C172" s="1" t="s">
        <v>107</v>
      </c>
      <c r="D172" s="1" t="s">
        <v>108</v>
      </c>
      <c r="E172" s="1">
        <v>9.651E7</v>
      </c>
      <c r="F172" s="1">
        <v>2.57872E8</v>
      </c>
      <c r="G172" s="1">
        <v>2.15632E8</v>
      </c>
      <c r="H172" s="1">
        <v>1.93524E8</v>
      </c>
      <c r="I172" s="1">
        <v>5.67198E8</v>
      </c>
      <c r="J172" s="1">
        <v>2.61712E8</v>
      </c>
      <c r="K172" s="1">
        <v>2.61712E8</v>
      </c>
      <c r="L172" s="1">
        <v>-2444000.0</v>
      </c>
      <c r="M172" s="1">
        <v>4.224E7</v>
      </c>
      <c r="N172" s="1">
        <v>6.23686E8</v>
      </c>
      <c r="O172" s="1">
        <v>3.61974E8</v>
      </c>
      <c r="P172" s="1">
        <v>5.6488E7</v>
      </c>
      <c r="Q172" s="1">
        <v>-3840000.0</v>
      </c>
      <c r="R172" s="1">
        <v>2.15632E8</v>
      </c>
      <c r="S172" s="1">
        <v>2.15632E8</v>
      </c>
    </row>
    <row r="173">
      <c r="A173" s="1">
        <v>171.0</v>
      </c>
      <c r="B173" s="3">
        <v>44104.0</v>
      </c>
      <c r="C173" s="1" t="s">
        <v>107</v>
      </c>
      <c r="D173" s="1" t="s">
        <v>108</v>
      </c>
      <c r="E173" s="1">
        <v>8.6616E7</v>
      </c>
      <c r="F173" s="1">
        <v>9.0144E7</v>
      </c>
      <c r="G173" s="1">
        <v>7.5627E7</v>
      </c>
      <c r="H173" s="1">
        <v>1.31093E8</v>
      </c>
      <c r="I173" s="1">
        <v>3.23491E8</v>
      </c>
      <c r="J173" s="1">
        <v>9.1634E7</v>
      </c>
      <c r="K173" s="1">
        <v>9.1634E7</v>
      </c>
      <c r="L173" s="1">
        <v>-1853000.0</v>
      </c>
      <c r="M173" s="1">
        <v>1.4517E7</v>
      </c>
      <c r="N173" s="1">
        <v>3.66965E8</v>
      </c>
      <c r="O173" s="1">
        <v>2.75331E8</v>
      </c>
      <c r="P173" s="1">
        <v>4.3474E7</v>
      </c>
      <c r="Q173" s="1">
        <v>-1490000.0</v>
      </c>
      <c r="R173" s="1">
        <v>7.5627E7</v>
      </c>
      <c r="S173" s="1">
        <v>7.5627E7</v>
      </c>
    </row>
    <row r="174">
      <c r="A174" s="1">
        <v>172.0</v>
      </c>
      <c r="B174" s="3">
        <v>44469.0</v>
      </c>
      <c r="C174" s="1" t="s">
        <v>109</v>
      </c>
      <c r="D174" s="1" t="s">
        <v>110</v>
      </c>
      <c r="F174" s="1">
        <v>1.996E9</v>
      </c>
      <c r="G174" s="1">
        <v>1.509E9</v>
      </c>
      <c r="H174" s="1">
        <v>6.844E9</v>
      </c>
      <c r="I174" s="1">
        <v>9.177E9</v>
      </c>
      <c r="J174" s="1">
        <v>2.197E9</v>
      </c>
      <c r="K174" s="1">
        <v>2.197E9</v>
      </c>
      <c r="L174" s="1">
        <v>-2.01E8</v>
      </c>
      <c r="M174" s="1">
        <v>4.94E8</v>
      </c>
      <c r="N174" s="1">
        <v>3.5822E10</v>
      </c>
      <c r="O174" s="1">
        <v>3.3625E10</v>
      </c>
      <c r="P174" s="1">
        <v>2.6645E10</v>
      </c>
      <c r="Q174" s="1">
        <v>-2.01E8</v>
      </c>
      <c r="R174" s="1">
        <v>1.502E9</v>
      </c>
      <c r="S174" s="1">
        <v>1.509E9</v>
      </c>
    </row>
    <row r="175">
      <c r="A175" s="1">
        <v>173.0</v>
      </c>
      <c r="B175" s="3">
        <v>44377.0</v>
      </c>
      <c r="C175" s="1" t="s">
        <v>109</v>
      </c>
      <c r="D175" s="1" t="s">
        <v>110</v>
      </c>
      <c r="F175" s="1">
        <v>2.353E9</v>
      </c>
      <c r="G175" s="1">
        <v>1.793E9</v>
      </c>
      <c r="H175" s="1">
        <v>6.435E9</v>
      </c>
      <c r="I175" s="1">
        <v>9.088E9</v>
      </c>
      <c r="J175" s="1">
        <v>2.563E9</v>
      </c>
      <c r="K175" s="1">
        <v>2.563E9</v>
      </c>
      <c r="L175" s="1">
        <v>-2.05E8</v>
      </c>
      <c r="M175" s="1">
        <v>5.52E8</v>
      </c>
      <c r="N175" s="1">
        <v>3.3851E10</v>
      </c>
      <c r="O175" s="1">
        <v>3.1288E10</v>
      </c>
      <c r="P175" s="1">
        <v>2.4763E10</v>
      </c>
      <c r="Q175" s="1">
        <v>-2.1E8</v>
      </c>
      <c r="R175" s="1">
        <v>1.801E9</v>
      </c>
      <c r="S175" s="1">
        <v>1.793E9</v>
      </c>
    </row>
    <row r="176">
      <c r="A176" s="1">
        <v>174.0</v>
      </c>
      <c r="B176" s="3">
        <v>44286.0</v>
      </c>
      <c r="C176" s="1" t="s">
        <v>109</v>
      </c>
      <c r="D176" s="1" t="s">
        <v>110</v>
      </c>
      <c r="F176" s="1">
        <v>2.176E9</v>
      </c>
      <c r="G176" s="1">
        <v>1.665E9</v>
      </c>
      <c r="H176" s="1">
        <v>6.238E9</v>
      </c>
      <c r="I176" s="1">
        <v>8.686E9</v>
      </c>
      <c r="J176" s="1">
        <v>2.368E9</v>
      </c>
      <c r="K176" s="1">
        <v>2.368E9</v>
      </c>
      <c r="L176" s="1">
        <v>-1.92E8</v>
      </c>
      <c r="M176" s="1">
        <v>5.09E8</v>
      </c>
      <c r="N176" s="1">
        <v>3.2385E10</v>
      </c>
      <c r="O176" s="1">
        <v>3.0017E10</v>
      </c>
      <c r="P176" s="1">
        <v>2.3699E10</v>
      </c>
      <c r="Q176" s="1">
        <v>-1.92E8</v>
      </c>
      <c r="R176" s="1">
        <v>1.667E9</v>
      </c>
      <c r="S176" s="1">
        <v>1.665E9</v>
      </c>
    </row>
    <row r="177">
      <c r="A177" s="1">
        <v>175.0</v>
      </c>
      <c r="B177" s="3">
        <v>44196.0</v>
      </c>
      <c r="C177" s="1" t="s">
        <v>109</v>
      </c>
      <c r="D177" s="1" t="s">
        <v>110</v>
      </c>
      <c r="F177" s="1">
        <v>6.11E8</v>
      </c>
      <c r="G177" s="1">
        <v>5.51E8</v>
      </c>
      <c r="H177" s="1">
        <v>6.84E9</v>
      </c>
      <c r="I177" s="1">
        <v>7.737E9</v>
      </c>
      <c r="J177" s="1">
        <v>8.05E8</v>
      </c>
      <c r="K177" s="1">
        <v>8.05E8</v>
      </c>
      <c r="L177" s="1">
        <v>-1.92E8</v>
      </c>
      <c r="M177" s="1">
        <v>6.0E7</v>
      </c>
      <c r="N177" s="1">
        <v>3.1825E10</v>
      </c>
      <c r="O177" s="1">
        <v>3.102E10</v>
      </c>
      <c r="P177" s="1">
        <v>2.4088E10</v>
      </c>
      <c r="Q177" s="1">
        <v>-1.94E8</v>
      </c>
      <c r="R177" s="1">
        <v>5.51E8</v>
      </c>
      <c r="S177" s="1">
        <v>5.51E8</v>
      </c>
    </row>
    <row r="178">
      <c r="A178" s="1">
        <v>176.0</v>
      </c>
      <c r="B178" s="3">
        <v>44377.0</v>
      </c>
      <c r="C178" s="1" t="s">
        <v>111</v>
      </c>
      <c r="D178" s="1" t="s">
        <v>112</v>
      </c>
      <c r="F178" s="1">
        <v>5.96E8</v>
      </c>
      <c r="G178" s="1">
        <v>3.79E8</v>
      </c>
      <c r="H178" s="1">
        <v>4.71E8</v>
      </c>
      <c r="I178" s="1">
        <v>1.266E9</v>
      </c>
      <c r="J178" s="1">
        <v>7.18E8</v>
      </c>
      <c r="K178" s="1">
        <v>7.18E8</v>
      </c>
      <c r="L178" s="1">
        <v>-7.8E7</v>
      </c>
      <c r="M178" s="1">
        <v>2.03E8</v>
      </c>
      <c r="N178" s="1">
        <v>2.886E9</v>
      </c>
      <c r="O178" s="1">
        <v>2.168E9</v>
      </c>
      <c r="P178" s="1">
        <v>1.62E9</v>
      </c>
      <c r="Q178" s="1">
        <v>-1.22E8</v>
      </c>
      <c r="R178" s="1">
        <v>3.93E8</v>
      </c>
      <c r="S178" s="1">
        <v>3.79E8</v>
      </c>
    </row>
    <row r="179">
      <c r="A179" s="1">
        <v>177.0</v>
      </c>
      <c r="B179" s="3">
        <v>44286.0</v>
      </c>
      <c r="C179" s="1" t="s">
        <v>111</v>
      </c>
      <c r="D179" s="1" t="s">
        <v>112</v>
      </c>
      <c r="F179" s="1">
        <v>1.167E9</v>
      </c>
      <c r="G179" s="1">
        <v>9.13E8</v>
      </c>
      <c r="H179" s="1">
        <v>4.45E8</v>
      </c>
      <c r="I179" s="1">
        <v>1.812E9</v>
      </c>
      <c r="J179" s="1">
        <v>1.286E9</v>
      </c>
      <c r="K179" s="1">
        <v>1.286E9</v>
      </c>
      <c r="L179" s="1">
        <v>-7.9E7</v>
      </c>
      <c r="M179" s="1">
        <v>2.34E8</v>
      </c>
      <c r="N179" s="1">
        <v>3.525E9</v>
      </c>
      <c r="O179" s="1">
        <v>2.239E9</v>
      </c>
      <c r="P179" s="1">
        <v>1.713E9</v>
      </c>
      <c r="Q179" s="1">
        <v>-1.19E8</v>
      </c>
      <c r="R179" s="1">
        <v>9.33E8</v>
      </c>
      <c r="S179" s="1">
        <v>9.13E8</v>
      </c>
    </row>
    <row r="180">
      <c r="A180" s="1">
        <v>178.0</v>
      </c>
      <c r="B180" s="3">
        <v>44196.0</v>
      </c>
      <c r="C180" s="1" t="s">
        <v>111</v>
      </c>
      <c r="D180" s="1" t="s">
        <v>112</v>
      </c>
      <c r="F180" s="1">
        <v>6.26E8</v>
      </c>
      <c r="G180" s="1">
        <v>5.24E8</v>
      </c>
      <c r="H180" s="1">
        <v>5.04E8</v>
      </c>
      <c r="I180" s="1">
        <v>1.333E9</v>
      </c>
      <c r="J180" s="1">
        <v>7.45E8</v>
      </c>
      <c r="K180" s="1">
        <v>7.45E8</v>
      </c>
      <c r="L180" s="1">
        <v>-8.2E7</v>
      </c>
      <c r="M180" s="1">
        <v>9.2E7</v>
      </c>
      <c r="N180" s="1">
        <v>2.965E9</v>
      </c>
      <c r="O180" s="1">
        <v>2.22E9</v>
      </c>
      <c r="P180" s="1">
        <v>1.632E9</v>
      </c>
      <c r="Q180" s="1">
        <v>-1.19E8</v>
      </c>
      <c r="R180" s="1">
        <v>5.34E8</v>
      </c>
      <c r="S180" s="1">
        <v>5.24E8</v>
      </c>
    </row>
    <row r="181">
      <c r="A181" s="1">
        <v>179.0</v>
      </c>
      <c r="B181" s="3">
        <v>44104.0</v>
      </c>
      <c r="C181" s="1" t="s">
        <v>111</v>
      </c>
      <c r="D181" s="1" t="s">
        <v>112</v>
      </c>
      <c r="F181" s="1">
        <v>3.63E8</v>
      </c>
      <c r="G181" s="1">
        <v>2.75E8</v>
      </c>
      <c r="H181" s="1">
        <v>4.22E8</v>
      </c>
      <c r="I181" s="1">
        <v>1.002E9</v>
      </c>
      <c r="J181" s="1">
        <v>4.88E8</v>
      </c>
      <c r="K181" s="1">
        <v>4.88E8</v>
      </c>
      <c r="L181" s="1">
        <v>-8.0E7</v>
      </c>
      <c r="M181" s="1">
        <v>8.2E7</v>
      </c>
      <c r="N181" s="1">
        <v>2.385E9</v>
      </c>
      <c r="O181" s="1">
        <v>1.897E9</v>
      </c>
      <c r="P181" s="1">
        <v>1.383E9</v>
      </c>
      <c r="Q181" s="1">
        <v>-1.25E8</v>
      </c>
      <c r="R181" s="1">
        <v>2.81E8</v>
      </c>
      <c r="S181" s="1">
        <v>2.75E8</v>
      </c>
    </row>
    <row r="182">
      <c r="A182" s="1">
        <v>180.0</v>
      </c>
      <c r="B182" s="3">
        <v>44377.0</v>
      </c>
      <c r="C182" s="1" t="s">
        <v>113</v>
      </c>
      <c r="D182" s="1" t="s">
        <v>114</v>
      </c>
      <c r="F182" s="1">
        <v>4.95E8</v>
      </c>
      <c r="G182" s="1">
        <v>3.16E8</v>
      </c>
      <c r="H182" s="1">
        <v>8.6E7</v>
      </c>
      <c r="I182" s="1">
        <v>1.196E9</v>
      </c>
      <c r="J182" s="1">
        <v>5.1E8</v>
      </c>
      <c r="K182" s="1">
        <v>5.1E8</v>
      </c>
      <c r="L182" s="1">
        <v>-1.11E8</v>
      </c>
      <c r="M182" s="1">
        <v>8.7E7</v>
      </c>
      <c r="N182" s="1">
        <v>1.83E9</v>
      </c>
      <c r="O182" s="1">
        <v>1.32E9</v>
      </c>
      <c r="P182" s="1">
        <v>6.34E8</v>
      </c>
      <c r="Q182" s="1">
        <v>-1.5E7</v>
      </c>
      <c r="R182" s="1">
        <v>4.08E8</v>
      </c>
      <c r="S182" s="1">
        <v>3.16E8</v>
      </c>
    </row>
    <row r="183">
      <c r="A183" s="1">
        <v>181.0</v>
      </c>
      <c r="B183" s="3">
        <v>44286.0</v>
      </c>
      <c r="C183" s="1" t="s">
        <v>113</v>
      </c>
      <c r="D183" s="1" t="s">
        <v>114</v>
      </c>
      <c r="F183" s="1">
        <v>6.2E8</v>
      </c>
      <c r="G183" s="1">
        <v>3.88E8</v>
      </c>
      <c r="H183" s="1">
        <v>8.3E7</v>
      </c>
      <c r="I183" s="1">
        <v>1.116E9</v>
      </c>
      <c r="J183" s="1">
        <v>7.45E8</v>
      </c>
      <c r="K183" s="1">
        <v>7.45E8</v>
      </c>
      <c r="L183" s="1">
        <v>-1.12E8</v>
      </c>
      <c r="M183" s="1">
        <v>1.7E8</v>
      </c>
      <c r="N183" s="1">
        <v>1.932E9</v>
      </c>
      <c r="O183" s="1">
        <v>1.187E9</v>
      </c>
      <c r="P183" s="1">
        <v>8.16E8</v>
      </c>
      <c r="Q183" s="1">
        <v>-1.25E8</v>
      </c>
      <c r="R183" s="1">
        <v>4.5E8</v>
      </c>
      <c r="S183" s="1">
        <v>3.88E8</v>
      </c>
    </row>
    <row r="184">
      <c r="A184" s="1">
        <v>182.0</v>
      </c>
      <c r="B184" s="3">
        <v>44196.0</v>
      </c>
      <c r="C184" s="1" t="s">
        <v>113</v>
      </c>
      <c r="D184" s="1" t="s">
        <v>114</v>
      </c>
      <c r="F184" s="1">
        <v>7.0E7</v>
      </c>
      <c r="G184" s="1">
        <v>1.0E7</v>
      </c>
      <c r="H184" s="1">
        <v>7.6E7</v>
      </c>
      <c r="I184" s="1">
        <v>7.46E8</v>
      </c>
      <c r="J184" s="1">
        <v>-4.11E9</v>
      </c>
      <c r="K184" s="1">
        <v>-4.11E9</v>
      </c>
      <c r="L184" s="1">
        <v>-1.1E8</v>
      </c>
      <c r="M184" s="1">
        <v>1.5E7</v>
      </c>
      <c r="N184" s="1">
        <v>1.136E9</v>
      </c>
      <c r="O184" s="1">
        <v>5.246E9</v>
      </c>
      <c r="P184" s="1">
        <v>3.9E8</v>
      </c>
      <c r="Q184" s="1">
        <v>4.18E9</v>
      </c>
      <c r="R184" s="1">
        <v>5.5E7</v>
      </c>
      <c r="S184" s="1">
        <v>1.0E7</v>
      </c>
    </row>
    <row r="185">
      <c r="A185" s="1">
        <v>183.0</v>
      </c>
      <c r="B185" s="3">
        <v>44104.0</v>
      </c>
      <c r="C185" s="1" t="s">
        <v>113</v>
      </c>
      <c r="D185" s="1" t="s">
        <v>114</v>
      </c>
      <c r="F185" s="1">
        <v>7.2E7</v>
      </c>
      <c r="G185" s="1">
        <v>-4000000.0</v>
      </c>
      <c r="H185" s="1">
        <v>5.2E7</v>
      </c>
      <c r="I185" s="1">
        <v>7.32E8</v>
      </c>
      <c r="J185" s="1">
        <v>1.79E8</v>
      </c>
      <c r="K185" s="1">
        <v>1.79E8</v>
      </c>
      <c r="L185" s="1">
        <v>-1.12E8</v>
      </c>
      <c r="M185" s="1">
        <v>3.1E7</v>
      </c>
      <c r="N185" s="1">
        <v>1.129E9</v>
      </c>
      <c r="O185" s="1">
        <v>9.5E8</v>
      </c>
      <c r="P185" s="1">
        <v>3.97E8</v>
      </c>
      <c r="Q185" s="1">
        <v>-1.07E8</v>
      </c>
      <c r="R185" s="1">
        <v>4.1E7</v>
      </c>
      <c r="S185" s="1">
        <v>-4000000.0</v>
      </c>
    </row>
    <row r="186">
      <c r="A186" s="1">
        <v>184.0</v>
      </c>
      <c r="B186" s="3">
        <v>44373.0</v>
      </c>
      <c r="C186" s="1" t="s">
        <v>116</v>
      </c>
      <c r="D186" s="1" t="s">
        <v>117</v>
      </c>
      <c r="E186" s="1">
        <v>5.717E9</v>
      </c>
      <c r="F186" s="1">
        <v>2.4369E10</v>
      </c>
      <c r="G186" s="1">
        <v>2.1744E10</v>
      </c>
      <c r="H186" s="1">
        <v>5.412E9</v>
      </c>
      <c r="I186" s="1">
        <v>3.5255E10</v>
      </c>
      <c r="J186" s="1">
        <v>2.4126E10</v>
      </c>
      <c r="K186" s="1">
        <v>2.4126E10</v>
      </c>
      <c r="L186" s="1">
        <v>-6.65E8</v>
      </c>
      <c r="M186" s="1">
        <v>2.625E9</v>
      </c>
      <c r="N186" s="1">
        <v>8.1434E10</v>
      </c>
      <c r="O186" s="1">
        <v>5.7308E10</v>
      </c>
      <c r="P186" s="1">
        <v>4.6179E10</v>
      </c>
      <c r="Q186" s="1">
        <v>2.43E8</v>
      </c>
      <c r="R186" s="1">
        <v>2.1744E10</v>
      </c>
      <c r="S186" s="1">
        <v>2.1744E10</v>
      </c>
    </row>
    <row r="187">
      <c r="A187" s="1">
        <v>185.0</v>
      </c>
      <c r="B187" s="3">
        <v>44282.0</v>
      </c>
      <c r="C187" s="1" t="s">
        <v>116</v>
      </c>
      <c r="D187" s="1" t="s">
        <v>117</v>
      </c>
      <c r="E187" s="1">
        <v>5.262E9</v>
      </c>
      <c r="F187" s="1">
        <v>2.8011E10</v>
      </c>
      <c r="G187" s="1">
        <v>2.363E10</v>
      </c>
      <c r="H187" s="1">
        <v>5.314E9</v>
      </c>
      <c r="I187" s="1">
        <v>3.8079E10</v>
      </c>
      <c r="J187" s="1">
        <v>2.7503E10</v>
      </c>
      <c r="K187" s="1">
        <v>2.7503E10</v>
      </c>
      <c r="L187" s="1">
        <v>-6.7E8</v>
      </c>
      <c r="M187" s="1">
        <v>4.381E9</v>
      </c>
      <c r="N187" s="1">
        <v>8.9584E10</v>
      </c>
      <c r="O187" s="1">
        <v>6.2081E10</v>
      </c>
      <c r="P187" s="1">
        <v>5.1505E10</v>
      </c>
      <c r="Q187" s="1">
        <v>5.08E8</v>
      </c>
      <c r="R187" s="1">
        <v>2.363E10</v>
      </c>
      <c r="S187" s="1">
        <v>2.363E10</v>
      </c>
    </row>
    <row r="188">
      <c r="A188" s="1">
        <v>186.0</v>
      </c>
      <c r="B188" s="3">
        <v>44191.0</v>
      </c>
      <c r="C188" s="1" t="s">
        <v>116</v>
      </c>
      <c r="D188" s="1" t="s">
        <v>117</v>
      </c>
      <c r="E188" s="1">
        <v>5.163E9</v>
      </c>
      <c r="F188" s="1">
        <v>3.3579E10</v>
      </c>
      <c r="G188" s="1">
        <v>2.8755E10</v>
      </c>
      <c r="H188" s="1">
        <v>5.631E9</v>
      </c>
      <c r="I188" s="1">
        <v>4.4328E10</v>
      </c>
      <c r="J188" s="1">
        <v>3.3534E10</v>
      </c>
      <c r="K188" s="1">
        <v>3.3534E10</v>
      </c>
      <c r="L188" s="1">
        <v>-6.38E8</v>
      </c>
      <c r="M188" s="1">
        <v>4.824E9</v>
      </c>
      <c r="N188" s="1">
        <v>1.11439E11</v>
      </c>
      <c r="O188" s="1">
        <v>7.7905E10</v>
      </c>
      <c r="P188" s="1">
        <v>6.7111E10</v>
      </c>
      <c r="Q188" s="1">
        <v>4.5E7</v>
      </c>
      <c r="R188" s="1">
        <v>2.8755E10</v>
      </c>
      <c r="S188" s="1">
        <v>2.8755E10</v>
      </c>
    </row>
    <row r="189">
      <c r="A189" s="1">
        <v>187.0</v>
      </c>
      <c r="B189" s="3">
        <v>44100.0</v>
      </c>
      <c r="C189" s="1" t="s">
        <v>116</v>
      </c>
      <c r="D189" s="1" t="s">
        <v>117</v>
      </c>
      <c r="E189" s="1">
        <v>4.978E9</v>
      </c>
      <c r="F189" s="1">
        <v>1.4901E10</v>
      </c>
      <c r="G189" s="1">
        <v>1.2673E10</v>
      </c>
      <c r="H189" s="1">
        <v>4.936E9</v>
      </c>
      <c r="I189" s="1">
        <v>2.4689E10</v>
      </c>
      <c r="J189" s="1">
        <v>1.4775E10</v>
      </c>
      <c r="K189" s="1">
        <v>1.4775E10</v>
      </c>
      <c r="L189" s="1">
        <v>-6.34E8</v>
      </c>
      <c r="M189" s="1">
        <v>2.228E9</v>
      </c>
      <c r="N189" s="1">
        <v>6.4698E10</v>
      </c>
      <c r="O189" s="1">
        <v>4.9923E10</v>
      </c>
      <c r="P189" s="1">
        <v>4.0009E10</v>
      </c>
      <c r="Q189" s="1">
        <v>1.26E8</v>
      </c>
      <c r="R189" s="1">
        <v>1.2673E10</v>
      </c>
      <c r="S189" s="1">
        <v>1.2673E10</v>
      </c>
    </row>
    <row r="190">
      <c r="A190" s="1">
        <v>188.0</v>
      </c>
      <c r="B190" s="3">
        <v>44409.0</v>
      </c>
      <c r="C190" s="1" t="s">
        <v>118</v>
      </c>
      <c r="D190" s="1" t="s">
        <v>119</v>
      </c>
      <c r="E190" s="1">
        <v>6.4E8</v>
      </c>
      <c r="F190" s="1">
        <v>1.98E9</v>
      </c>
      <c r="G190" s="1">
        <v>1.716E9</v>
      </c>
      <c r="H190" s="1">
        <v>3.09E8</v>
      </c>
      <c r="I190" s="1">
        <v>2.967E9</v>
      </c>
      <c r="J190" s="1">
        <v>2.018E9</v>
      </c>
      <c r="K190" s="1">
        <v>2.018E9</v>
      </c>
      <c r="L190" s="1">
        <v>-5.7E7</v>
      </c>
      <c r="M190" s="1">
        <v>2.64E8</v>
      </c>
      <c r="N190" s="1">
        <v>6.196E9</v>
      </c>
      <c r="O190" s="1">
        <v>4.178E9</v>
      </c>
      <c r="P190" s="1">
        <v>3.229E9</v>
      </c>
      <c r="Q190" s="1">
        <v>-3.8E7</v>
      </c>
      <c r="R190" s="1">
        <v>1.716E9</v>
      </c>
      <c r="S190" s="1">
        <v>1.716E9</v>
      </c>
    </row>
    <row r="191">
      <c r="A191" s="1">
        <v>189.0</v>
      </c>
      <c r="B191" s="3">
        <v>44318.0</v>
      </c>
      <c r="C191" s="1" t="s">
        <v>118</v>
      </c>
      <c r="D191" s="1" t="s">
        <v>119</v>
      </c>
      <c r="E191" s="1">
        <v>6.17E8</v>
      </c>
      <c r="F191" s="1">
        <v>1.545E9</v>
      </c>
      <c r="G191" s="1">
        <v>1.33E9</v>
      </c>
      <c r="H191" s="1">
        <v>2.85E8</v>
      </c>
      <c r="I191" s="1">
        <v>2.653E9</v>
      </c>
      <c r="J191" s="1">
        <v>1.751E9</v>
      </c>
      <c r="K191" s="1">
        <v>1.751E9</v>
      </c>
      <c r="L191" s="1">
        <v>-6.1E7</v>
      </c>
      <c r="M191" s="1">
        <v>2.15E8</v>
      </c>
      <c r="N191" s="1">
        <v>5.582E9</v>
      </c>
      <c r="O191" s="1">
        <v>3.831E9</v>
      </c>
      <c r="P191" s="1">
        <v>2.929E9</v>
      </c>
      <c r="Q191" s="1">
        <v>-2.06E8</v>
      </c>
      <c r="R191" s="1">
        <v>1.33E9</v>
      </c>
      <c r="S191" s="1">
        <v>1.33E9</v>
      </c>
    </row>
    <row r="192">
      <c r="A192" s="1">
        <v>190.0</v>
      </c>
      <c r="B192" s="3">
        <v>44227.0</v>
      </c>
      <c r="C192" s="1" t="s">
        <v>118</v>
      </c>
      <c r="D192" s="1" t="s">
        <v>119</v>
      </c>
      <c r="E192" s="1">
        <v>6.06E8</v>
      </c>
      <c r="F192" s="1">
        <v>1.24E9</v>
      </c>
      <c r="G192" s="1">
        <v>1.13E9</v>
      </c>
      <c r="H192" s="1">
        <v>2.84E8</v>
      </c>
      <c r="I192" s="1">
        <v>2.361E9</v>
      </c>
      <c r="J192" s="1">
        <v>1.471E9</v>
      </c>
      <c r="K192" s="1">
        <v>1.471E9</v>
      </c>
      <c r="L192" s="1">
        <v>-6.1E7</v>
      </c>
      <c r="M192" s="1">
        <v>1.1E8</v>
      </c>
      <c r="N192" s="1">
        <v>5.162E9</v>
      </c>
      <c r="O192" s="1">
        <v>3.691E9</v>
      </c>
      <c r="P192" s="1">
        <v>2.801E9</v>
      </c>
      <c r="Q192" s="1">
        <v>-2.31E8</v>
      </c>
      <c r="R192" s="1">
        <v>1.13E9</v>
      </c>
      <c r="S192" s="1">
        <v>1.13E9</v>
      </c>
    </row>
    <row r="193">
      <c r="A193" s="1">
        <v>191.0</v>
      </c>
      <c r="B193" s="3">
        <v>44129.0</v>
      </c>
      <c r="C193" s="1" t="s">
        <v>118</v>
      </c>
      <c r="D193" s="1" t="s">
        <v>119</v>
      </c>
      <c r="E193" s="1">
        <v>5.6E8</v>
      </c>
      <c r="F193" s="1">
        <v>1.243E9</v>
      </c>
      <c r="G193" s="1">
        <v>1.131E9</v>
      </c>
      <c r="H193" s="1">
        <v>2.61E8</v>
      </c>
      <c r="I193" s="1">
        <v>2.13E9</v>
      </c>
      <c r="J193" s="1">
        <v>1.309E9</v>
      </c>
      <c r="K193" s="1">
        <v>1.309E9</v>
      </c>
      <c r="L193" s="1">
        <v>-5.9E7</v>
      </c>
      <c r="M193" s="1">
        <v>1.12E8</v>
      </c>
      <c r="N193" s="1">
        <v>4.688E9</v>
      </c>
      <c r="O193" s="1">
        <v>3.379E9</v>
      </c>
      <c r="P193" s="1">
        <v>2.558E9</v>
      </c>
      <c r="Q193" s="1">
        <v>-6.6E7</v>
      </c>
      <c r="R193" s="1">
        <v>1.131E9</v>
      </c>
      <c r="S193" s="1">
        <v>1.131E9</v>
      </c>
    </row>
    <row r="194">
      <c r="A194" s="1">
        <v>192.0</v>
      </c>
      <c r="B194" s="3">
        <v>44377.0</v>
      </c>
      <c r="C194" s="1" t="s">
        <v>121</v>
      </c>
      <c r="D194" s="1" t="s">
        <v>122</v>
      </c>
      <c r="F194" s="1">
        <v>1.94E8</v>
      </c>
      <c r="G194" s="1">
        <v>1.63E8</v>
      </c>
      <c r="H194" s="1">
        <v>2.75E8</v>
      </c>
      <c r="I194" s="1">
        <v>6.02E8</v>
      </c>
      <c r="J194" s="1">
        <v>2.9E8</v>
      </c>
      <c r="K194" s="1">
        <v>2.9E8</v>
      </c>
      <c r="L194" s="1">
        <v>-3.8E7</v>
      </c>
      <c r="M194" s="1">
        <v>2.8E7</v>
      </c>
      <c r="N194" s="1">
        <v>3.807E9</v>
      </c>
      <c r="O194" s="1">
        <v>3.517E9</v>
      </c>
      <c r="P194" s="1">
        <v>3.205E9</v>
      </c>
      <c r="Q194" s="1">
        <v>-9.6E7</v>
      </c>
      <c r="R194" s="1">
        <v>1.66E8</v>
      </c>
      <c r="S194" s="1">
        <v>1.47E8</v>
      </c>
    </row>
    <row r="195">
      <c r="A195" s="1">
        <v>193.0</v>
      </c>
      <c r="B195" s="3">
        <v>44286.0</v>
      </c>
      <c r="C195" s="1" t="s">
        <v>121</v>
      </c>
      <c r="D195" s="1" t="s">
        <v>122</v>
      </c>
      <c r="F195" s="1">
        <v>3.48E8</v>
      </c>
      <c r="G195" s="1">
        <v>2.95E8</v>
      </c>
      <c r="H195" s="1">
        <v>2.6E8</v>
      </c>
      <c r="I195" s="1">
        <v>7.27E8</v>
      </c>
      <c r="J195" s="1">
        <v>4.3E8</v>
      </c>
      <c r="K195" s="1">
        <v>4.3E8</v>
      </c>
      <c r="L195" s="1">
        <v>-4.0E7</v>
      </c>
      <c r="M195" s="1">
        <v>4.8E7</v>
      </c>
      <c r="N195" s="1">
        <v>4.023E9</v>
      </c>
      <c r="O195" s="1">
        <v>3.593E9</v>
      </c>
      <c r="P195" s="1">
        <v>3.296E9</v>
      </c>
      <c r="Q195" s="1">
        <v>-8.2E7</v>
      </c>
      <c r="R195" s="1">
        <v>3.0E8</v>
      </c>
      <c r="S195" s="1">
        <v>2.79E8</v>
      </c>
    </row>
    <row r="196">
      <c r="A196" s="1">
        <v>194.0</v>
      </c>
      <c r="B196" s="3">
        <v>44196.0</v>
      </c>
      <c r="C196" s="1" t="s">
        <v>121</v>
      </c>
      <c r="D196" s="1" t="s">
        <v>122</v>
      </c>
      <c r="F196" s="1">
        <v>3.7E8</v>
      </c>
      <c r="G196" s="1">
        <v>2.99E8</v>
      </c>
      <c r="H196" s="1">
        <v>3.09E8</v>
      </c>
      <c r="I196" s="1">
        <v>8.12E8</v>
      </c>
      <c r="J196" s="1">
        <v>4.66E8</v>
      </c>
      <c r="K196" s="1">
        <v>4.66E8</v>
      </c>
      <c r="L196" s="1">
        <v>-3.9E7</v>
      </c>
      <c r="M196" s="1">
        <v>5.5E7</v>
      </c>
      <c r="N196" s="1">
        <v>4.212E9</v>
      </c>
      <c r="O196" s="1">
        <v>3.746E9</v>
      </c>
      <c r="P196" s="1">
        <v>3.4E9</v>
      </c>
      <c r="Q196" s="1">
        <v>-9.6E7</v>
      </c>
      <c r="R196" s="1">
        <v>3.15E8</v>
      </c>
      <c r="S196" s="1">
        <v>2.83E8</v>
      </c>
    </row>
    <row r="197">
      <c r="A197" s="1">
        <v>195.0</v>
      </c>
      <c r="B197" s="3">
        <v>44104.0</v>
      </c>
      <c r="C197" s="1" t="s">
        <v>121</v>
      </c>
      <c r="D197" s="1" t="s">
        <v>122</v>
      </c>
      <c r="F197" s="1">
        <v>3.03E8</v>
      </c>
      <c r="G197" s="1">
        <v>2.99E8</v>
      </c>
      <c r="H197" s="1">
        <v>2.62E8</v>
      </c>
      <c r="I197" s="1">
        <v>6.74E8</v>
      </c>
      <c r="J197" s="1">
        <v>3.76E8</v>
      </c>
      <c r="K197" s="1">
        <v>3.76E8</v>
      </c>
      <c r="L197" s="1">
        <v>-3.8E7</v>
      </c>
      <c r="M197" s="1">
        <v>-2000000.0</v>
      </c>
      <c r="N197" s="1">
        <v>3.668E9</v>
      </c>
      <c r="O197" s="1">
        <v>3.292E9</v>
      </c>
      <c r="P197" s="1">
        <v>2.994E9</v>
      </c>
      <c r="Q197" s="1">
        <v>-7.3E7</v>
      </c>
      <c r="R197" s="1">
        <v>3.05E8</v>
      </c>
      <c r="S197" s="1">
        <v>2.83E8</v>
      </c>
    </row>
    <row r="198">
      <c r="A198" s="1">
        <v>196.0</v>
      </c>
      <c r="B198" s="3">
        <v>44377.0</v>
      </c>
      <c r="C198" s="1" t="s">
        <v>123</v>
      </c>
      <c r="D198" s="1" t="s">
        <v>124</v>
      </c>
      <c r="E198" s="1">
        <v>1.43293E8</v>
      </c>
      <c r="F198" s="1">
        <v>2.21084E8</v>
      </c>
      <c r="G198" s="1">
        <v>1.96888E8</v>
      </c>
      <c r="H198" s="1">
        <v>9.152E7</v>
      </c>
      <c r="I198" s="1">
        <v>4.54178E8</v>
      </c>
      <c r="J198" s="1">
        <v>2.19365E8</v>
      </c>
      <c r="K198" s="1">
        <v>2.19365E8</v>
      </c>
      <c r="M198" s="1">
        <v>2.4196E7</v>
      </c>
      <c r="N198" s="1">
        <v>7.07319E8</v>
      </c>
      <c r="O198" s="1">
        <v>4.87954E8</v>
      </c>
      <c r="P198" s="1">
        <v>2.53141E8</v>
      </c>
      <c r="Q198" s="1">
        <v>1719000.0</v>
      </c>
      <c r="R198" s="1">
        <v>1.96888E8</v>
      </c>
      <c r="S198" s="1">
        <v>1.96888E8</v>
      </c>
    </row>
    <row r="199">
      <c r="A199" s="1">
        <v>197.0</v>
      </c>
      <c r="B199" s="3">
        <v>44286.0</v>
      </c>
      <c r="C199" s="1" t="s">
        <v>123</v>
      </c>
      <c r="D199" s="1" t="s">
        <v>124</v>
      </c>
      <c r="E199" s="1">
        <v>1.32487E8</v>
      </c>
      <c r="F199" s="1">
        <v>2.07867E8</v>
      </c>
      <c r="G199" s="1">
        <v>1.80366E8</v>
      </c>
      <c r="H199" s="1">
        <v>8.6493E7</v>
      </c>
      <c r="I199" s="1">
        <v>4.25272E8</v>
      </c>
      <c r="J199" s="1">
        <v>2.06292E8</v>
      </c>
      <c r="K199" s="1">
        <v>2.06292E8</v>
      </c>
      <c r="M199" s="1">
        <v>2.7501E7</v>
      </c>
      <c r="N199" s="1">
        <v>6.67562E8</v>
      </c>
      <c r="O199" s="1">
        <v>4.6127E8</v>
      </c>
      <c r="P199" s="1">
        <v>2.4229E8</v>
      </c>
      <c r="Q199" s="1">
        <v>1575000.0</v>
      </c>
      <c r="R199" s="1">
        <v>1.80366E8</v>
      </c>
      <c r="S199" s="1">
        <v>1.80366E8</v>
      </c>
    </row>
    <row r="200">
      <c r="A200" s="1">
        <v>198.0</v>
      </c>
      <c r="B200" s="3">
        <v>44196.0</v>
      </c>
      <c r="C200" s="1" t="s">
        <v>123</v>
      </c>
      <c r="D200" s="1" t="s">
        <v>124</v>
      </c>
      <c r="E200" s="1">
        <v>1.41147E8</v>
      </c>
      <c r="F200" s="1">
        <v>2.0018E8</v>
      </c>
      <c r="G200" s="1">
        <v>1.82958E8</v>
      </c>
      <c r="H200" s="1">
        <v>8.4099E7</v>
      </c>
      <c r="I200" s="1">
        <v>4.14584E8</v>
      </c>
      <c r="J200" s="1">
        <v>1.89338E8</v>
      </c>
      <c r="K200" s="1">
        <v>1.89338E8</v>
      </c>
      <c r="M200" s="1">
        <v>1.7222E7</v>
      </c>
      <c r="N200" s="1">
        <v>6.48482E8</v>
      </c>
      <c r="O200" s="1">
        <v>4.59144E8</v>
      </c>
      <c r="P200" s="1">
        <v>2.33898E8</v>
      </c>
      <c r="Q200" s="1">
        <v>1.0842E7</v>
      </c>
      <c r="R200" s="1">
        <v>1.82958E8</v>
      </c>
      <c r="S200" s="1">
        <v>1.82958E8</v>
      </c>
    </row>
    <row r="201">
      <c r="A201" s="1">
        <v>199.0</v>
      </c>
      <c r="B201" s="3">
        <v>44104.0</v>
      </c>
      <c r="C201" s="1" t="s">
        <v>123</v>
      </c>
      <c r="D201" s="1" t="s">
        <v>124</v>
      </c>
      <c r="E201" s="1">
        <v>1.28049E8</v>
      </c>
      <c r="F201" s="1">
        <v>2.01619E8</v>
      </c>
      <c r="G201" s="1">
        <v>1.68375E8</v>
      </c>
      <c r="H201" s="1">
        <v>6.8518E7</v>
      </c>
      <c r="I201" s="1">
        <v>3.84962E8</v>
      </c>
      <c r="J201" s="1">
        <v>1.88395E8</v>
      </c>
      <c r="K201" s="1">
        <v>1.88395E8</v>
      </c>
      <c r="M201" s="1">
        <v>3.3244E7</v>
      </c>
      <c r="N201" s="1">
        <v>6.05431E8</v>
      </c>
      <c r="O201" s="1">
        <v>4.17036E8</v>
      </c>
      <c r="P201" s="1">
        <v>2.20469E8</v>
      </c>
      <c r="Q201" s="1">
        <v>1.3224E7</v>
      </c>
      <c r="R201" s="1">
        <v>1.68375E8</v>
      </c>
      <c r="S201" s="1">
        <v>1.68375E8</v>
      </c>
    </row>
    <row r="202">
      <c r="A202" s="1">
        <v>200.0</v>
      </c>
      <c r="B202" s="3">
        <v>44377.0</v>
      </c>
      <c r="C202" s="1" t="s">
        <v>126</v>
      </c>
      <c r="D202" s="1" t="s">
        <v>127</v>
      </c>
      <c r="F202" s="1">
        <v>2.223E8</v>
      </c>
      <c r="G202" s="1">
        <v>1.902E8</v>
      </c>
      <c r="H202" s="1">
        <v>2.376E8</v>
      </c>
      <c r="I202" s="1">
        <v>6.869E8</v>
      </c>
      <c r="J202" s="1">
        <v>3.041E8</v>
      </c>
      <c r="K202" s="1">
        <v>3.041E8</v>
      </c>
      <c r="L202" s="1">
        <v>-5.62E7</v>
      </c>
      <c r="M202" s="1">
        <v>2.05E7</v>
      </c>
      <c r="N202" s="1">
        <v>1.8781E9</v>
      </c>
      <c r="O202" s="1">
        <v>1.574E9</v>
      </c>
      <c r="P202" s="1">
        <v>1.1912E9</v>
      </c>
      <c r="Q202" s="1">
        <v>-8.18E7</v>
      </c>
      <c r="R202" s="1">
        <v>2.018E8</v>
      </c>
      <c r="S202" s="1">
        <v>1.902E8</v>
      </c>
    </row>
    <row r="203">
      <c r="A203" s="1">
        <v>201.0</v>
      </c>
      <c r="B203" s="3">
        <v>44286.0</v>
      </c>
      <c r="C203" s="1" t="s">
        <v>126</v>
      </c>
      <c r="D203" s="1" t="s">
        <v>127</v>
      </c>
      <c r="F203" s="1">
        <v>4.084E8</v>
      </c>
      <c r="G203" s="1">
        <v>3.821E8</v>
      </c>
      <c r="H203" s="1">
        <v>2.286E8</v>
      </c>
      <c r="I203" s="1">
        <v>8.413E8</v>
      </c>
      <c r="J203" s="1">
        <v>4.694E8</v>
      </c>
      <c r="K203" s="1">
        <v>4.694E8</v>
      </c>
      <c r="L203" s="1">
        <v>-4.81E7</v>
      </c>
      <c r="M203" s="1">
        <v>1.47E7</v>
      </c>
      <c r="N203" s="1">
        <v>2.1114E9</v>
      </c>
      <c r="O203" s="1">
        <v>1.642E9</v>
      </c>
      <c r="P203" s="1">
        <v>1.2701E9</v>
      </c>
      <c r="Q203" s="1">
        <v>-6.1E7</v>
      </c>
      <c r="R203" s="1">
        <v>3.937E8</v>
      </c>
      <c r="S203" s="1">
        <v>3.821E8</v>
      </c>
    </row>
    <row r="204">
      <c r="A204" s="1">
        <v>202.0</v>
      </c>
      <c r="B204" s="3">
        <v>44196.0</v>
      </c>
      <c r="C204" s="1" t="s">
        <v>126</v>
      </c>
      <c r="D204" s="1" t="s">
        <v>127</v>
      </c>
      <c r="F204" s="1">
        <v>1.337E8</v>
      </c>
      <c r="G204" s="1">
        <v>1.422E8</v>
      </c>
      <c r="H204" s="1">
        <v>2.208E8</v>
      </c>
      <c r="I204" s="1">
        <v>5.696E8</v>
      </c>
      <c r="J204" s="1">
        <v>2.67E8</v>
      </c>
      <c r="K204" s="1">
        <v>2.67E8</v>
      </c>
      <c r="L204" s="1">
        <v>-4.78E7</v>
      </c>
      <c r="M204" s="1">
        <v>-1.94E7</v>
      </c>
      <c r="N204" s="1">
        <v>1.6513E9</v>
      </c>
      <c r="O204" s="1">
        <v>1.3843E9</v>
      </c>
      <c r="P204" s="1">
        <v>1.0817E9</v>
      </c>
      <c r="Q204" s="1">
        <v>-1.333E8</v>
      </c>
      <c r="R204" s="1">
        <v>1.531E8</v>
      </c>
      <c r="S204" s="1">
        <v>1.422E8</v>
      </c>
    </row>
    <row r="205">
      <c r="A205" s="1">
        <v>203.0</v>
      </c>
      <c r="B205" s="3">
        <v>44104.0</v>
      </c>
      <c r="C205" s="1" t="s">
        <v>126</v>
      </c>
      <c r="D205" s="1" t="s">
        <v>127</v>
      </c>
      <c r="F205" s="1">
        <v>2.095E8</v>
      </c>
      <c r="G205" s="1">
        <v>1.766E8</v>
      </c>
      <c r="H205" s="1">
        <v>1.974E8</v>
      </c>
      <c r="I205" s="1">
        <v>6.141E8</v>
      </c>
      <c r="J205" s="1">
        <v>2.828E8</v>
      </c>
      <c r="K205" s="1">
        <v>2.828E8</v>
      </c>
      <c r="L205" s="1">
        <v>-4.81E7</v>
      </c>
      <c r="M205" s="1">
        <v>2.17E7</v>
      </c>
      <c r="N205" s="1">
        <v>1.7857E9</v>
      </c>
      <c r="O205" s="1">
        <v>1.5029E9</v>
      </c>
      <c r="P205" s="1">
        <v>1.1716E9</v>
      </c>
      <c r="Q205" s="1">
        <v>-7.33E7</v>
      </c>
      <c r="R205" s="1">
        <v>1.878E8</v>
      </c>
      <c r="S205" s="1">
        <v>1.766E8</v>
      </c>
    </row>
    <row r="206">
      <c r="A206" s="1">
        <v>204.0</v>
      </c>
      <c r="B206" s="3">
        <v>44377.0</v>
      </c>
      <c r="C206" s="1" t="s">
        <v>128</v>
      </c>
      <c r="D206" s="1" t="s">
        <v>129</v>
      </c>
      <c r="F206" s="1">
        <v>2.366E8</v>
      </c>
      <c r="G206" s="1">
        <v>2.034E8</v>
      </c>
      <c r="I206" s="1">
        <v>3.014E8</v>
      </c>
      <c r="J206" s="1">
        <v>2.654E8</v>
      </c>
      <c r="K206" s="1">
        <v>2.654E8</v>
      </c>
      <c r="L206" s="1">
        <v>-2.88E7</v>
      </c>
      <c r="M206" s="1">
        <v>5.19E7</v>
      </c>
      <c r="N206" s="1">
        <v>2.5423E9</v>
      </c>
      <c r="O206" s="1">
        <v>2.2769E9</v>
      </c>
      <c r="P206" s="1">
        <v>2.2409E9</v>
      </c>
      <c r="Q206" s="1">
        <v>-2.88E7</v>
      </c>
      <c r="R206" s="1">
        <v>1.847E8</v>
      </c>
      <c r="S206" s="1">
        <v>2.034E8</v>
      </c>
    </row>
    <row r="207">
      <c r="A207" s="1">
        <v>205.0</v>
      </c>
      <c r="B207" s="3">
        <v>44286.0</v>
      </c>
      <c r="C207" s="1" t="s">
        <v>128</v>
      </c>
      <c r="D207" s="1" t="s">
        <v>129</v>
      </c>
      <c r="F207" s="1">
        <v>1.931E8</v>
      </c>
      <c r="G207" s="1">
        <v>1.63E8</v>
      </c>
      <c r="H207" s="1">
        <v>1.6824E9</v>
      </c>
      <c r="I207" s="1">
        <v>2.612E8</v>
      </c>
      <c r="J207" s="1">
        <v>2.215E8</v>
      </c>
      <c r="K207" s="1">
        <v>2.215E8</v>
      </c>
      <c r="L207" s="1">
        <v>-2.84E7</v>
      </c>
      <c r="M207" s="1">
        <v>4.46E7</v>
      </c>
      <c r="N207" s="1">
        <v>2.4326E9</v>
      </c>
      <c r="O207" s="1">
        <v>2.2111E9</v>
      </c>
      <c r="P207" s="1">
        <v>2.1714E9</v>
      </c>
      <c r="Q207" s="1">
        <v>-2.84E7</v>
      </c>
      <c r="R207" s="1">
        <v>1.485E8</v>
      </c>
      <c r="S207" s="1">
        <v>1.583E8</v>
      </c>
    </row>
    <row r="208">
      <c r="A208" s="1">
        <v>206.0</v>
      </c>
      <c r="B208" s="3">
        <v>44196.0</v>
      </c>
      <c r="C208" s="1" t="s">
        <v>128</v>
      </c>
      <c r="D208" s="1" t="s">
        <v>129</v>
      </c>
      <c r="F208" s="1">
        <v>1.834E8</v>
      </c>
      <c r="G208" s="1">
        <v>1.392E8</v>
      </c>
      <c r="H208" s="1">
        <v>1.6824E9</v>
      </c>
      <c r="I208" s="1">
        <v>3.294E8</v>
      </c>
      <c r="J208" s="1">
        <v>2.295E8</v>
      </c>
      <c r="K208" s="1">
        <v>2.295E8</v>
      </c>
      <c r="L208" s="1">
        <v>-2.68E7</v>
      </c>
      <c r="M208" s="1">
        <v>4.44E7</v>
      </c>
      <c r="N208" s="1">
        <v>2.5551E9</v>
      </c>
      <c r="O208" s="1">
        <v>2.3256E9</v>
      </c>
      <c r="P208" s="1">
        <v>2.2257E9</v>
      </c>
      <c r="Q208" s="1">
        <v>-4.61E7</v>
      </c>
      <c r="R208" s="1">
        <v>1.39E8</v>
      </c>
      <c r="S208" s="1">
        <v>1.345E8</v>
      </c>
    </row>
    <row r="209">
      <c r="A209" s="1">
        <v>207.0</v>
      </c>
      <c r="B209" s="3">
        <v>44104.0</v>
      </c>
      <c r="C209" s="1" t="s">
        <v>128</v>
      </c>
      <c r="D209" s="1" t="s">
        <v>129</v>
      </c>
      <c r="F209" s="1">
        <v>-4100000.0</v>
      </c>
      <c r="G209" s="1">
        <v>-3.02E7</v>
      </c>
      <c r="H209" s="1">
        <v>1.6824E9</v>
      </c>
      <c r="I209" s="1">
        <v>1.945E8</v>
      </c>
      <c r="J209" s="1">
        <v>1.653E8</v>
      </c>
      <c r="K209" s="1">
        <v>1.653E8</v>
      </c>
      <c r="L209" s="1">
        <v>-2.55E7</v>
      </c>
      <c r="M209" s="1">
        <v>2.64E7</v>
      </c>
      <c r="N209" s="1">
        <v>2.5025E9</v>
      </c>
      <c r="O209" s="1">
        <v>2.3372E9</v>
      </c>
      <c r="P209" s="1">
        <v>2.308E9</v>
      </c>
      <c r="Q209" s="1">
        <v>-1.694E8</v>
      </c>
      <c r="R209" s="1">
        <v>-3.05E7</v>
      </c>
      <c r="S209" s="1">
        <v>-3.49E7</v>
      </c>
    </row>
    <row r="210">
      <c r="A210" s="1">
        <v>208.0</v>
      </c>
      <c r="B210" s="3">
        <v>44377.0</v>
      </c>
      <c r="C210" s="1" t="s">
        <v>131</v>
      </c>
      <c r="D210" s="1" t="s">
        <v>132</v>
      </c>
      <c r="F210" s="1">
        <v>2.625E9</v>
      </c>
      <c r="G210" s="1">
        <v>1.57E9</v>
      </c>
      <c r="H210" s="1">
        <v>8.39E9</v>
      </c>
      <c r="I210" s="1">
        <v>2.2946E10</v>
      </c>
      <c r="J210" s="1">
        <v>8.795E9</v>
      </c>
      <c r="K210" s="1">
        <v>8.795E9</v>
      </c>
      <c r="L210" s="1">
        <v>-1.684E9</v>
      </c>
      <c r="M210" s="1">
        <v>7.51E8</v>
      </c>
      <c r="N210" s="1">
        <v>4.4045E10</v>
      </c>
      <c r="O210" s="1">
        <v>3.525E10</v>
      </c>
      <c r="P210" s="1">
        <v>2.1099E10</v>
      </c>
      <c r="Q210" s="1">
        <v>-6.17E9</v>
      </c>
      <c r="R210" s="1">
        <v>1.874E9</v>
      </c>
      <c r="S210" s="1">
        <v>1.514E9</v>
      </c>
    </row>
    <row r="211">
      <c r="A211" s="1">
        <v>209.0</v>
      </c>
      <c r="B211" s="3">
        <v>44286.0</v>
      </c>
      <c r="C211" s="1" t="s">
        <v>131</v>
      </c>
      <c r="D211" s="1" t="s">
        <v>132</v>
      </c>
      <c r="F211" s="1">
        <v>1.0064E10</v>
      </c>
      <c r="G211" s="1">
        <v>7.55E9</v>
      </c>
      <c r="H211" s="1">
        <v>5.297E9</v>
      </c>
      <c r="I211" s="1">
        <v>2.2852E10</v>
      </c>
      <c r="J211" s="1">
        <v>1.1746E10</v>
      </c>
      <c r="K211" s="1">
        <v>1.1746E10</v>
      </c>
      <c r="L211" s="1">
        <v>-1.87E9</v>
      </c>
      <c r="M211" s="1">
        <v>2.122E9</v>
      </c>
      <c r="N211" s="1">
        <v>4.3939E10</v>
      </c>
      <c r="O211" s="1">
        <v>3.2193E10</v>
      </c>
      <c r="P211" s="1">
        <v>2.1087E10</v>
      </c>
      <c r="Q211" s="1">
        <v>-1.682E9</v>
      </c>
      <c r="R211" s="1">
        <v>7.942E9</v>
      </c>
      <c r="S211" s="1">
        <v>7.5E9</v>
      </c>
    </row>
    <row r="212">
      <c r="A212" s="1">
        <v>210.0</v>
      </c>
      <c r="B212" s="3">
        <v>44196.0</v>
      </c>
      <c r="C212" s="1" t="s">
        <v>131</v>
      </c>
      <c r="D212" s="1" t="s">
        <v>132</v>
      </c>
      <c r="F212" s="1">
        <v>-1.5553E10</v>
      </c>
      <c r="G212" s="1">
        <v>-1.3883E10</v>
      </c>
      <c r="H212" s="1">
        <v>1.2866E10</v>
      </c>
      <c r="I212" s="1">
        <v>2.2781E10</v>
      </c>
      <c r="J212" s="1">
        <v>2.936E9</v>
      </c>
      <c r="K212" s="1">
        <v>2.936E9</v>
      </c>
      <c r="L212" s="1">
        <v>-1.894E9</v>
      </c>
      <c r="M212" s="1">
        <v>-2.038E9</v>
      </c>
      <c r="N212" s="1">
        <v>4.5691E10</v>
      </c>
      <c r="O212" s="1">
        <v>4.2755E10</v>
      </c>
      <c r="P212" s="1">
        <v>2.291E10</v>
      </c>
      <c r="Q212" s="1">
        <v>-1.8489E10</v>
      </c>
      <c r="R212" s="1">
        <v>-1.3515E10</v>
      </c>
      <c r="S212" s="1">
        <v>-1.3938E10</v>
      </c>
    </row>
    <row r="213">
      <c r="A213" s="1">
        <v>211.0</v>
      </c>
      <c r="B213" s="3">
        <v>44104.0</v>
      </c>
      <c r="C213" s="1" t="s">
        <v>131</v>
      </c>
      <c r="D213" s="1" t="s">
        <v>132</v>
      </c>
      <c r="F213" s="1">
        <v>3.934E9</v>
      </c>
      <c r="G213" s="1">
        <v>2.816E9</v>
      </c>
      <c r="H213" s="1">
        <v>8.248E9</v>
      </c>
      <c r="I213" s="1">
        <v>2.2501E10</v>
      </c>
      <c r="J213" s="1">
        <v>7.223E9</v>
      </c>
      <c r="K213" s="1">
        <v>7.223E9</v>
      </c>
      <c r="L213" s="1">
        <v>-1.972E9</v>
      </c>
      <c r="M213" s="1">
        <v>7.66E8</v>
      </c>
      <c r="N213" s="1">
        <v>4.234E10</v>
      </c>
      <c r="O213" s="1">
        <v>3.5117E10</v>
      </c>
      <c r="P213" s="1">
        <v>1.9839E10</v>
      </c>
      <c r="Q213" s="1">
        <v>-3.289E9</v>
      </c>
      <c r="R213" s="1">
        <v>3.168E9</v>
      </c>
      <c r="S213" s="1">
        <v>2.762E9</v>
      </c>
    </row>
    <row r="214">
      <c r="A214" s="1">
        <v>212.0</v>
      </c>
      <c r="B214" s="3">
        <v>44377.0</v>
      </c>
      <c r="C214" s="1" t="s">
        <v>133</v>
      </c>
      <c r="D214" s="1" t="s">
        <v>134</v>
      </c>
      <c r="F214" s="1">
        <v>1.18315E8</v>
      </c>
      <c r="G214" s="1">
        <v>1.02411E8</v>
      </c>
      <c r="H214" s="1">
        <v>1.0133E7</v>
      </c>
      <c r="I214" s="1">
        <v>3.34213E8</v>
      </c>
      <c r="J214" s="1">
        <v>1.23257E8</v>
      </c>
      <c r="K214" s="1">
        <v>1.23257E8</v>
      </c>
      <c r="L214" s="1">
        <v>-2.0962E7</v>
      </c>
      <c r="M214" s="1">
        <v>1.5904E7</v>
      </c>
      <c r="N214" s="1">
        <v>6.05553E8</v>
      </c>
      <c r="O214" s="1">
        <v>4.82296E8</v>
      </c>
      <c r="P214" s="1">
        <v>2.7134E8</v>
      </c>
      <c r="Q214" s="1">
        <v>-4942000.0</v>
      </c>
      <c r="R214" s="1">
        <v>1.02411E8</v>
      </c>
      <c r="S214" s="1">
        <v>1.02341E8</v>
      </c>
    </row>
    <row r="215">
      <c r="A215" s="1">
        <v>213.0</v>
      </c>
      <c r="B215" s="3">
        <v>44286.0</v>
      </c>
      <c r="C215" s="1" t="s">
        <v>133</v>
      </c>
      <c r="D215" s="1" t="s">
        <v>134</v>
      </c>
      <c r="F215" s="1">
        <v>3.58542E8</v>
      </c>
      <c r="G215" s="1">
        <v>2.96754E8</v>
      </c>
      <c r="H215" s="1">
        <v>1252000.0</v>
      </c>
      <c r="I215" s="1">
        <v>5.88889E8</v>
      </c>
      <c r="J215" s="1">
        <v>3.80552E8</v>
      </c>
      <c r="K215" s="1">
        <v>3.80552E8</v>
      </c>
      <c r="L215" s="1">
        <v>-2.6096E7</v>
      </c>
      <c r="M215" s="1">
        <v>6.1788E7</v>
      </c>
      <c r="N215" s="1">
        <v>1.319073E9</v>
      </c>
      <c r="O215" s="1">
        <v>9.38521E8</v>
      </c>
      <c r="P215" s="1">
        <v>7.30184E8</v>
      </c>
      <c r="Q215" s="1">
        <v>-2.201E7</v>
      </c>
      <c r="R215" s="1">
        <v>2.96754E8</v>
      </c>
      <c r="S215" s="1">
        <v>2.96555E8</v>
      </c>
    </row>
    <row r="216">
      <c r="A216" s="1">
        <v>214.0</v>
      </c>
      <c r="B216" s="3">
        <v>44196.0</v>
      </c>
      <c r="C216" s="1" t="s">
        <v>133</v>
      </c>
      <c r="D216" s="1" t="s">
        <v>134</v>
      </c>
      <c r="F216" s="1">
        <v>2.82902E8</v>
      </c>
      <c r="G216" s="1">
        <v>2.17678E8</v>
      </c>
      <c r="H216" s="1">
        <v>1253000.0</v>
      </c>
      <c r="I216" s="1">
        <v>4.87577E8</v>
      </c>
      <c r="J216" s="1">
        <v>2.97587E8</v>
      </c>
      <c r="K216" s="1">
        <v>2.97587E8</v>
      </c>
      <c r="L216" s="1">
        <v>-2.201E7</v>
      </c>
      <c r="M216" s="1">
        <v>6.5224E7</v>
      </c>
      <c r="N216" s="1">
        <v>9.1448E8</v>
      </c>
      <c r="O216" s="1">
        <v>6.16893E8</v>
      </c>
      <c r="P216" s="1">
        <v>4.26903E8</v>
      </c>
      <c r="Q216" s="1">
        <v>-1.4685E7</v>
      </c>
      <c r="R216" s="1">
        <v>2.17678E8</v>
      </c>
      <c r="S216" s="1">
        <v>2.17527E8</v>
      </c>
    </row>
    <row r="217">
      <c r="A217" s="1">
        <v>215.0</v>
      </c>
      <c r="B217" s="3">
        <v>44104.0</v>
      </c>
      <c r="C217" s="1" t="s">
        <v>133</v>
      </c>
      <c r="D217" s="1" t="s">
        <v>134</v>
      </c>
      <c r="F217" s="1">
        <v>8.3389E7</v>
      </c>
      <c r="G217" s="1">
        <v>6.5333E7</v>
      </c>
      <c r="H217" s="1">
        <v>-1866000.0</v>
      </c>
      <c r="I217" s="1">
        <v>2.76811E8</v>
      </c>
      <c r="J217" s="1">
        <v>1.02711E8</v>
      </c>
      <c r="K217" s="1">
        <v>1.02711E8</v>
      </c>
      <c r="L217" s="1">
        <v>-1.5494E7</v>
      </c>
      <c r="M217" s="1">
        <v>1.8056E7</v>
      </c>
      <c r="N217" s="1">
        <v>4.74914E8</v>
      </c>
      <c r="O217" s="1">
        <v>3.72203E8</v>
      </c>
      <c r="P217" s="1">
        <v>1.98103E8</v>
      </c>
      <c r="Q217" s="1">
        <v>-1.9322E7</v>
      </c>
      <c r="R217" s="1">
        <v>6.5333E7</v>
      </c>
      <c r="S217" s="1">
        <v>6.5297E7</v>
      </c>
    </row>
    <row r="218">
      <c r="A218" s="1">
        <v>216.0</v>
      </c>
      <c r="B218" s="3">
        <v>44408.0</v>
      </c>
      <c r="C218" s="1" t="s">
        <v>136</v>
      </c>
      <c r="D218" s="1" t="s">
        <v>137</v>
      </c>
      <c r="E218" s="1">
        <v>2.678E8</v>
      </c>
      <c r="F218" s="1">
        <v>1.388E8</v>
      </c>
      <c r="G218" s="1">
        <v>1.156E8</v>
      </c>
      <c r="H218" s="1">
        <v>5.227E8</v>
      </c>
      <c r="I218" s="1">
        <v>9.681E8</v>
      </c>
      <c r="J218" s="1">
        <v>1.529E8</v>
      </c>
      <c r="K218" s="1">
        <v>1.529E8</v>
      </c>
      <c r="L218" s="1">
        <v>-1.28E7</v>
      </c>
      <c r="M218" s="1">
        <v>2.32E7</v>
      </c>
      <c r="N218" s="1">
        <v>1.0597E9</v>
      </c>
      <c r="O218" s="1">
        <v>9.068E8</v>
      </c>
      <c r="P218" s="1">
        <v>9.16E7</v>
      </c>
      <c r="Q218" s="1">
        <v>-1.41E7</v>
      </c>
      <c r="R218" s="1">
        <v>1.156E8</v>
      </c>
      <c r="S218" s="1">
        <v>1.156E8</v>
      </c>
    </row>
    <row r="219">
      <c r="A219" s="1">
        <v>217.0</v>
      </c>
      <c r="B219" s="3">
        <v>44316.0</v>
      </c>
      <c r="C219" s="1" t="s">
        <v>136</v>
      </c>
      <c r="D219" s="1" t="s">
        <v>137</v>
      </c>
      <c r="E219" s="1">
        <v>2.558E8</v>
      </c>
      <c r="F219" s="1">
        <v>1.314E8</v>
      </c>
      <c r="G219" s="1">
        <v>1.556E8</v>
      </c>
      <c r="H219" s="1">
        <v>4.87E8</v>
      </c>
      <c r="I219" s="1">
        <v>9.069E8</v>
      </c>
      <c r="J219" s="1">
        <v>1.457E8</v>
      </c>
      <c r="K219" s="1">
        <v>1.457E8</v>
      </c>
      <c r="L219" s="1">
        <v>-1.06E7</v>
      </c>
      <c r="M219" s="1">
        <v>-2.42E7</v>
      </c>
      <c r="N219" s="1">
        <v>9.893E8</v>
      </c>
      <c r="O219" s="1">
        <v>8.436E8</v>
      </c>
      <c r="P219" s="1">
        <v>8.24E7</v>
      </c>
      <c r="Q219" s="1">
        <v>-1.43E7</v>
      </c>
      <c r="R219" s="1">
        <v>1.556E8</v>
      </c>
      <c r="S219" s="1">
        <v>1.556E8</v>
      </c>
    </row>
    <row r="220">
      <c r="A220" s="1">
        <v>218.0</v>
      </c>
      <c r="B220" s="3">
        <v>44227.0</v>
      </c>
      <c r="C220" s="1" t="s">
        <v>136</v>
      </c>
      <c r="D220" s="1" t="s">
        <v>137</v>
      </c>
      <c r="E220" s="1">
        <v>2.44E8</v>
      </c>
      <c r="F220" s="1">
        <v>1.711E8</v>
      </c>
      <c r="G220" s="1">
        <v>9.113E8</v>
      </c>
      <c r="H220" s="1">
        <v>5.016E8</v>
      </c>
      <c r="I220" s="1">
        <v>9.573E8</v>
      </c>
      <c r="J220" s="1">
        <v>1.945E8</v>
      </c>
      <c r="K220" s="1">
        <v>1.945E8</v>
      </c>
      <c r="L220" s="1">
        <v>-6200000.0</v>
      </c>
      <c r="M220" s="1">
        <v>-7.402E8</v>
      </c>
      <c r="N220" s="1">
        <v>1.0392E9</v>
      </c>
      <c r="O220" s="1">
        <v>8.447E8</v>
      </c>
      <c r="P220" s="1">
        <v>8.19E7</v>
      </c>
      <c r="Q220" s="1">
        <v>-2.34E7</v>
      </c>
      <c r="R220" s="1">
        <v>9.113E8</v>
      </c>
      <c r="S220" s="1">
        <v>9.113E8</v>
      </c>
    </row>
    <row r="221">
      <c r="A221" s="1">
        <v>219.0</v>
      </c>
      <c r="B221" s="3">
        <v>44135.0</v>
      </c>
      <c r="C221" s="1" t="s">
        <v>136</v>
      </c>
      <c r="D221" s="1" t="s">
        <v>137</v>
      </c>
      <c r="E221" s="1">
        <v>2.234E8</v>
      </c>
      <c r="F221" s="1">
        <v>1.561E8</v>
      </c>
      <c r="G221" s="1">
        <v>1.322E8</v>
      </c>
      <c r="H221" s="1">
        <v>4.634E8</v>
      </c>
      <c r="I221" s="1">
        <v>8.765E8</v>
      </c>
      <c r="J221" s="1">
        <v>1.725E8</v>
      </c>
      <c r="K221" s="1">
        <v>1.725E8</v>
      </c>
      <c r="L221" s="1">
        <v>-1.46E7</v>
      </c>
      <c r="M221" s="1">
        <v>2.39E7</v>
      </c>
      <c r="N221" s="1">
        <v>9.524E8</v>
      </c>
      <c r="O221" s="1">
        <v>7.799E8</v>
      </c>
      <c r="P221" s="1">
        <v>7.59E7</v>
      </c>
      <c r="Q221" s="1">
        <v>-1.64E7</v>
      </c>
      <c r="R221" s="1">
        <v>1.322E8</v>
      </c>
      <c r="S221" s="1">
        <v>1.322E8</v>
      </c>
    </row>
    <row r="222">
      <c r="A222" s="1">
        <v>220.0</v>
      </c>
      <c r="B222" s="3">
        <v>44377.0</v>
      </c>
      <c r="C222" s="1" t="s">
        <v>138</v>
      </c>
      <c r="D222" s="1" t="s">
        <v>139</v>
      </c>
      <c r="F222" s="1">
        <v>6.971E8</v>
      </c>
      <c r="G222" s="1">
        <v>5.382E8</v>
      </c>
      <c r="H222" s="1">
        <v>8.503E8</v>
      </c>
      <c r="I222" s="1">
        <v>1.631E9</v>
      </c>
      <c r="J222" s="1">
        <v>6.812E8</v>
      </c>
      <c r="K222" s="1">
        <v>6.812E8</v>
      </c>
      <c r="L222" s="1">
        <v>-1.73E7</v>
      </c>
      <c r="M222" s="1">
        <v>1.589E8</v>
      </c>
      <c r="N222" s="1">
        <v>3.737E9</v>
      </c>
      <c r="O222" s="1">
        <v>3.0558E9</v>
      </c>
      <c r="P222" s="1">
        <v>2.106E9</v>
      </c>
      <c r="Q222" s="1">
        <v>1.59E7</v>
      </c>
      <c r="R222" s="1">
        <v>5.382E8</v>
      </c>
      <c r="S222" s="1">
        <v>5.382E8</v>
      </c>
    </row>
    <row r="223">
      <c r="A223" s="1">
        <v>221.0</v>
      </c>
      <c r="B223" s="3">
        <v>44286.0</v>
      </c>
      <c r="C223" s="1" t="s">
        <v>138</v>
      </c>
      <c r="D223" s="1" t="s">
        <v>139</v>
      </c>
      <c r="F223" s="1">
        <v>1.0662E9</v>
      </c>
      <c r="G223" s="1">
        <v>8.107E8</v>
      </c>
      <c r="H223" s="1">
        <v>7.475E8</v>
      </c>
      <c r="I223" s="1">
        <v>1.9239E9</v>
      </c>
      <c r="J223" s="1">
        <v>1.0764E9</v>
      </c>
      <c r="K223" s="1">
        <v>1.0764E9</v>
      </c>
      <c r="L223" s="1">
        <v>-1.35E7</v>
      </c>
      <c r="M223" s="1">
        <v>2.555E8</v>
      </c>
      <c r="N223" s="1">
        <v>4.102E9</v>
      </c>
      <c r="O223" s="1">
        <v>3.0256E9</v>
      </c>
      <c r="P223" s="1">
        <v>2.1781E9</v>
      </c>
      <c r="Q223" s="1">
        <v>-1.02E7</v>
      </c>
      <c r="R223" s="1">
        <v>8.107E8</v>
      </c>
      <c r="S223" s="1">
        <v>8.107E8</v>
      </c>
    </row>
    <row r="224">
      <c r="A224" s="1">
        <v>222.0</v>
      </c>
      <c r="B224" s="3">
        <v>44196.0</v>
      </c>
      <c r="C224" s="1" t="s">
        <v>138</v>
      </c>
      <c r="D224" s="1" t="s">
        <v>139</v>
      </c>
      <c r="F224" s="1">
        <v>8.326E8</v>
      </c>
      <c r="G224" s="1">
        <v>6.475E8</v>
      </c>
      <c r="H224" s="1">
        <v>7.443E8</v>
      </c>
      <c r="I224" s="1">
        <v>1.6734E9</v>
      </c>
      <c r="J224" s="1">
        <v>8.29E8</v>
      </c>
      <c r="K224" s="1">
        <v>8.29E8</v>
      </c>
      <c r="L224" s="1">
        <v>-1.39E7</v>
      </c>
      <c r="M224" s="1">
        <v>1.851E8</v>
      </c>
      <c r="N224" s="1">
        <v>3.6957E9</v>
      </c>
      <c r="O224" s="1">
        <v>2.8667E9</v>
      </c>
      <c r="P224" s="1">
        <v>2.0223E9</v>
      </c>
      <c r="Q224" s="1">
        <v>3600000.0</v>
      </c>
      <c r="R224" s="1">
        <v>6.475E8</v>
      </c>
      <c r="S224" s="1">
        <v>6.475E8</v>
      </c>
    </row>
    <row r="225">
      <c r="A225" s="1">
        <v>223.0</v>
      </c>
      <c r="B225" s="3">
        <v>44104.0</v>
      </c>
      <c r="C225" s="1" t="s">
        <v>138</v>
      </c>
      <c r="D225" s="1" t="s">
        <v>139</v>
      </c>
      <c r="F225" s="1">
        <v>7.652E8</v>
      </c>
      <c r="G225" s="1">
        <v>6.021E8</v>
      </c>
      <c r="H225" s="1">
        <v>6.676E8</v>
      </c>
      <c r="I225" s="1">
        <v>1.5399E9</v>
      </c>
      <c r="J225" s="1">
        <v>7.688E8</v>
      </c>
      <c r="K225" s="1">
        <v>7.688E8</v>
      </c>
      <c r="L225" s="1">
        <v>-1.51E7</v>
      </c>
      <c r="M225" s="1">
        <v>1.631E8</v>
      </c>
      <c r="N225" s="1">
        <v>3.4707E9</v>
      </c>
      <c r="O225" s="1">
        <v>2.7019E9</v>
      </c>
      <c r="P225" s="1">
        <v>1.9308E9</v>
      </c>
      <c r="Q225" s="1">
        <v>-3600000.0</v>
      </c>
      <c r="R225" s="1">
        <v>6.021E8</v>
      </c>
      <c r="S225" s="1">
        <v>6.021E8</v>
      </c>
    </row>
    <row r="226">
      <c r="A226" s="1">
        <v>224.0</v>
      </c>
      <c r="B226" s="3">
        <v>44436.0</v>
      </c>
      <c r="C226" s="1" t="s">
        <v>141</v>
      </c>
      <c r="D226" s="1" t="s">
        <v>142</v>
      </c>
      <c r="F226" s="1">
        <v>9.8591E8</v>
      </c>
      <c r="G226" s="1">
        <v>7.85771E8</v>
      </c>
      <c r="H226" s="1">
        <v>1.526809E9</v>
      </c>
      <c r="I226" s="1">
        <v>2.567839E9</v>
      </c>
      <c r="J226" s="1">
        <v>1.04103E9</v>
      </c>
      <c r="K226" s="1">
        <v>1.04103E9</v>
      </c>
      <c r="L226" s="1">
        <v>-6.3537E7</v>
      </c>
      <c r="M226" s="1">
        <v>2.00139E8</v>
      </c>
      <c r="N226" s="1">
        <v>4.913484E9</v>
      </c>
      <c r="O226" s="1">
        <v>3.872454E9</v>
      </c>
      <c r="P226" s="1">
        <v>2.345645E9</v>
      </c>
      <c r="Q226" s="1">
        <v>-5.512E7</v>
      </c>
      <c r="R226" s="1">
        <v>7.85771E8</v>
      </c>
      <c r="S226" s="1">
        <v>7.85771E8</v>
      </c>
    </row>
    <row r="227">
      <c r="A227" s="1">
        <v>225.0</v>
      </c>
      <c r="B227" s="3">
        <v>44324.0</v>
      </c>
      <c r="C227" s="1" t="s">
        <v>141</v>
      </c>
      <c r="D227" s="1" t="s">
        <v>142</v>
      </c>
      <c r="F227" s="1">
        <v>7.58479E8</v>
      </c>
      <c r="G227" s="1">
        <v>5.96164E8</v>
      </c>
      <c r="H227" s="1">
        <v>1.111441E9</v>
      </c>
      <c r="I227" s="1">
        <v>1.914946E9</v>
      </c>
      <c r="J227" s="1">
        <v>8.03505E8</v>
      </c>
      <c r="K227" s="1">
        <v>8.03505E8</v>
      </c>
      <c r="L227" s="1">
        <v>-4.5026E7</v>
      </c>
      <c r="M227" s="1">
        <v>1.62315E8</v>
      </c>
      <c r="N227" s="1">
        <v>3.651023E9</v>
      </c>
      <c r="O227" s="1">
        <v>2.847518E9</v>
      </c>
      <c r="P227" s="1">
        <v>1.736077E9</v>
      </c>
      <c r="Q227" s="1">
        <v>-4.5026E7</v>
      </c>
      <c r="R227" s="1">
        <v>5.96164E8</v>
      </c>
      <c r="S227" s="1">
        <v>5.96164E8</v>
      </c>
    </row>
    <row r="228">
      <c r="A228" s="1">
        <v>226.0</v>
      </c>
      <c r="B228" s="3">
        <v>44240.0</v>
      </c>
      <c r="C228" s="1" t="s">
        <v>141</v>
      </c>
      <c r="D228" s="1" t="s">
        <v>142</v>
      </c>
      <c r="F228" s="1">
        <v>4.35755E8</v>
      </c>
      <c r="G228" s="1">
        <v>3.45946E8</v>
      </c>
      <c r="H228" s="1">
        <v>1.037716E9</v>
      </c>
      <c r="I228" s="1">
        <v>1.559383E9</v>
      </c>
      <c r="J228" s="1">
        <v>5.21667E8</v>
      </c>
      <c r="K228" s="1">
        <v>5.21667E8</v>
      </c>
      <c r="L228" s="1">
        <v>-4.6012E7</v>
      </c>
      <c r="M228" s="1">
        <v>8.9809E7</v>
      </c>
      <c r="N228" s="1">
        <v>2.910818E9</v>
      </c>
      <c r="O228" s="1">
        <v>2.389151E9</v>
      </c>
      <c r="P228" s="1">
        <v>1.351435E9</v>
      </c>
      <c r="Q228" s="1">
        <v>-8.5912E7</v>
      </c>
      <c r="R228" s="1">
        <v>3.45946E8</v>
      </c>
      <c r="S228" s="1">
        <v>3.45946E8</v>
      </c>
    </row>
    <row r="229">
      <c r="A229" s="1">
        <v>227.0</v>
      </c>
      <c r="B229" s="3">
        <v>44156.0</v>
      </c>
      <c r="C229" s="1" t="s">
        <v>141</v>
      </c>
      <c r="D229" s="1" t="s">
        <v>142</v>
      </c>
      <c r="F229" s="1">
        <v>5.69046E8</v>
      </c>
      <c r="G229" s="1">
        <v>4.42433E8</v>
      </c>
      <c r="H229" s="1">
        <v>1.060392E9</v>
      </c>
      <c r="I229" s="1">
        <v>1.675617E9</v>
      </c>
      <c r="J229" s="1">
        <v>6.15225E8</v>
      </c>
      <c r="K229" s="1">
        <v>6.15225E8</v>
      </c>
      <c r="L229" s="1">
        <v>-4.6179E7</v>
      </c>
      <c r="M229" s="1">
        <v>1.26613E8</v>
      </c>
      <c r="N229" s="1">
        <v>3.154261E9</v>
      </c>
      <c r="O229" s="1">
        <v>2.539036E9</v>
      </c>
      <c r="P229" s="1">
        <v>1.478644E9</v>
      </c>
      <c r="Q229" s="1">
        <v>-4.6179E7</v>
      </c>
      <c r="R229" s="1">
        <v>4.42433E8</v>
      </c>
      <c r="S229" s="1">
        <v>4.42433E8</v>
      </c>
    </row>
    <row r="230">
      <c r="A230" s="1">
        <v>228.0</v>
      </c>
      <c r="B230" s="3">
        <v>44377.0</v>
      </c>
      <c r="C230" s="1" t="s">
        <v>143</v>
      </c>
      <c r="D230" s="1" t="s">
        <v>144</v>
      </c>
      <c r="F230" s="1">
        <v>4.47987E8</v>
      </c>
      <c r="G230" s="1">
        <v>4.47953E8</v>
      </c>
      <c r="H230" s="1">
        <v>1.9112E7</v>
      </c>
      <c r="I230" s="1">
        <v>3.47692E8</v>
      </c>
      <c r="J230" s="1">
        <v>1.44108E8</v>
      </c>
      <c r="K230" s="1">
        <v>1.44108E8</v>
      </c>
      <c r="L230" s="1">
        <v>-5.6104E7</v>
      </c>
      <c r="M230" s="1">
        <v>10000.0</v>
      </c>
      <c r="N230" s="1">
        <v>5.61743E8</v>
      </c>
      <c r="O230" s="1">
        <v>4.17635E8</v>
      </c>
      <c r="P230" s="1">
        <v>2.14051E8</v>
      </c>
      <c r="Q230" s="1">
        <v>3.03879E8</v>
      </c>
      <c r="R230" s="1">
        <v>4.47977E8</v>
      </c>
      <c r="S230" s="1">
        <v>4.47953E8</v>
      </c>
    </row>
    <row r="231">
      <c r="A231" s="1">
        <v>229.0</v>
      </c>
      <c r="B231" s="3">
        <v>44286.0</v>
      </c>
      <c r="C231" s="1" t="s">
        <v>143</v>
      </c>
      <c r="D231" s="1" t="s">
        <v>144</v>
      </c>
      <c r="F231" s="1">
        <v>1.41479E8</v>
      </c>
      <c r="G231" s="1">
        <v>1.42223E8</v>
      </c>
      <c r="H231" s="1">
        <v>1.8265E7</v>
      </c>
      <c r="I231" s="1">
        <v>3.42152E8</v>
      </c>
      <c r="J231" s="1">
        <v>1.4059E8</v>
      </c>
      <c r="K231" s="1">
        <v>1.4059E8</v>
      </c>
      <c r="L231" s="1">
        <v>-5.2613E7</v>
      </c>
      <c r="M231" s="1">
        <v>-755000.0</v>
      </c>
      <c r="N231" s="1">
        <v>5.51196E8</v>
      </c>
      <c r="O231" s="1">
        <v>4.10606E8</v>
      </c>
      <c r="P231" s="1">
        <v>2.09044E8</v>
      </c>
      <c r="Q231" s="1">
        <v>889000.0</v>
      </c>
      <c r="R231" s="1">
        <v>1.42234E8</v>
      </c>
      <c r="S231" s="1">
        <v>1.41899E8</v>
      </c>
    </row>
    <row r="232">
      <c r="A232" s="1">
        <v>230.0</v>
      </c>
      <c r="B232" s="3">
        <v>44196.0</v>
      </c>
      <c r="C232" s="1" t="s">
        <v>143</v>
      </c>
      <c r="D232" s="1" t="s">
        <v>144</v>
      </c>
      <c r="F232" s="1">
        <v>3.38936E8</v>
      </c>
      <c r="G232" s="1">
        <v>3.41128E8</v>
      </c>
      <c r="H232" s="1">
        <v>1.0914E7</v>
      </c>
      <c r="I232" s="1">
        <v>3.37684E8</v>
      </c>
      <c r="J232" s="1">
        <v>1.48947E8</v>
      </c>
      <c r="K232" s="1">
        <v>1.48947E8</v>
      </c>
      <c r="L232" s="1">
        <v>-5.1589E7</v>
      </c>
      <c r="M232" s="1">
        <v>-2178000.0</v>
      </c>
      <c r="N232" s="1">
        <v>5.4871E8</v>
      </c>
      <c r="O232" s="1">
        <v>3.99763E8</v>
      </c>
      <c r="P232" s="1">
        <v>2.11026E8</v>
      </c>
      <c r="Q232" s="1">
        <v>1.89989E8</v>
      </c>
      <c r="R232" s="1">
        <v>3.41114E8</v>
      </c>
      <c r="S232" s="1">
        <v>3.40331E8</v>
      </c>
    </row>
    <row r="233">
      <c r="A233" s="1">
        <v>231.0</v>
      </c>
      <c r="B233" s="3">
        <v>44104.0</v>
      </c>
      <c r="C233" s="1" t="s">
        <v>143</v>
      </c>
      <c r="D233" s="1" t="s">
        <v>144</v>
      </c>
      <c r="F233" s="1">
        <v>1.4769E8</v>
      </c>
      <c r="G233" s="1">
        <v>1.47703E8</v>
      </c>
      <c r="H233" s="1">
        <v>1.3985E7</v>
      </c>
      <c r="I233" s="1">
        <v>3.59605E8</v>
      </c>
      <c r="J233" s="1">
        <v>1.70272E8</v>
      </c>
      <c r="K233" s="1">
        <v>1.70272E8</v>
      </c>
      <c r="L233" s="1">
        <v>-5.3249E7</v>
      </c>
      <c r="M233" s="1">
        <v>-27000.0</v>
      </c>
      <c r="N233" s="1">
        <v>5.73015E8</v>
      </c>
      <c r="O233" s="1">
        <v>4.02743E8</v>
      </c>
      <c r="P233" s="1">
        <v>2.1341E8</v>
      </c>
      <c r="Q233" s="1">
        <v>-2.2582E7</v>
      </c>
      <c r="R233" s="1">
        <v>1.47717E8</v>
      </c>
      <c r="S233" s="1">
        <v>1.47361E8</v>
      </c>
    </row>
    <row r="234">
      <c r="A234" s="1">
        <v>232.0</v>
      </c>
      <c r="B234" s="3">
        <v>44380.0</v>
      </c>
      <c r="C234" s="1" t="s">
        <v>146</v>
      </c>
      <c r="D234" s="1" t="s">
        <v>147</v>
      </c>
      <c r="F234" s="1">
        <v>2.542E8</v>
      </c>
      <c r="G234" s="1">
        <v>1.838E8</v>
      </c>
      <c r="H234" s="1">
        <v>3.07E8</v>
      </c>
      <c r="I234" s="1">
        <v>5.763E8</v>
      </c>
      <c r="J234" s="1">
        <v>2.693E8</v>
      </c>
      <c r="K234" s="1">
        <v>2.693E8</v>
      </c>
      <c r="L234" s="1">
        <v>-1.6E7</v>
      </c>
      <c r="M234" s="1">
        <v>7.04E7</v>
      </c>
      <c r="N234" s="1">
        <v>2.102E9</v>
      </c>
      <c r="O234" s="1">
        <v>1.8327E9</v>
      </c>
      <c r="P234" s="1">
        <v>1.5257E9</v>
      </c>
      <c r="Q234" s="1">
        <v>-1.51E7</v>
      </c>
      <c r="R234" s="1">
        <v>1.838E8</v>
      </c>
      <c r="S234" s="1">
        <v>1.838E8</v>
      </c>
    </row>
    <row r="235">
      <c r="A235" s="1">
        <v>233.0</v>
      </c>
      <c r="B235" s="3">
        <v>44289.0</v>
      </c>
      <c r="C235" s="1" t="s">
        <v>146</v>
      </c>
      <c r="D235" s="1" t="s">
        <v>147</v>
      </c>
      <c r="F235" s="1">
        <v>2.676E8</v>
      </c>
      <c r="G235" s="1">
        <v>2.095E8</v>
      </c>
      <c r="H235" s="1">
        <v>3.123E8</v>
      </c>
      <c r="I235" s="1">
        <v>5.97E8</v>
      </c>
      <c r="J235" s="1">
        <v>2.847E8</v>
      </c>
      <c r="K235" s="1">
        <v>2.847E8</v>
      </c>
      <c r="L235" s="1">
        <v>-1.62E7</v>
      </c>
      <c r="M235" s="1">
        <v>5.81E7</v>
      </c>
      <c r="N235" s="1">
        <v>2.0513E9</v>
      </c>
      <c r="O235" s="1">
        <v>1.7666E9</v>
      </c>
      <c r="P235" s="1">
        <v>1.4543E9</v>
      </c>
      <c r="Q235" s="1">
        <v>-1.71E7</v>
      </c>
      <c r="R235" s="1">
        <v>2.095E8</v>
      </c>
      <c r="S235" s="1">
        <v>2.095E8</v>
      </c>
    </row>
    <row r="236">
      <c r="A236" s="1">
        <v>234.0</v>
      </c>
      <c r="B236" s="3">
        <v>44198.0</v>
      </c>
      <c r="C236" s="1" t="s">
        <v>146</v>
      </c>
      <c r="D236" s="1" t="s">
        <v>147</v>
      </c>
      <c r="E236" s="1">
        <v>1.128E8</v>
      </c>
      <c r="F236" s="1">
        <v>2.544E8</v>
      </c>
      <c r="G236" s="1">
        <v>1.915E8</v>
      </c>
      <c r="H236" s="1">
        <v>1.782E8</v>
      </c>
      <c r="I236" s="1">
        <v>5.711E8</v>
      </c>
      <c r="J236" s="1">
        <v>2.801E8</v>
      </c>
      <c r="K236" s="1">
        <v>2.801E8</v>
      </c>
      <c r="L236" s="1">
        <v>-1.56E7</v>
      </c>
      <c r="M236" s="1">
        <v>6.29E7</v>
      </c>
      <c r="N236" s="1">
        <v>1.9909E9</v>
      </c>
      <c r="O236" s="1">
        <v>1.7108E9</v>
      </c>
      <c r="P236" s="1">
        <v>1.4198E9</v>
      </c>
      <c r="Q236" s="1">
        <v>-2.57E7</v>
      </c>
      <c r="R236" s="1">
        <v>1.915E8</v>
      </c>
      <c r="S236" s="1">
        <v>1.915E8</v>
      </c>
    </row>
    <row r="237">
      <c r="A237" s="1">
        <v>235.0</v>
      </c>
      <c r="B237" s="3">
        <v>44100.0</v>
      </c>
      <c r="C237" s="1" t="s">
        <v>146</v>
      </c>
      <c r="D237" s="1" t="s">
        <v>147</v>
      </c>
      <c r="E237" s="1">
        <v>1.128E8</v>
      </c>
      <c r="F237" s="1">
        <v>1.968E8</v>
      </c>
      <c r="G237" s="1">
        <v>1.505E8</v>
      </c>
      <c r="H237" s="1">
        <v>2.583E8</v>
      </c>
      <c r="I237" s="1">
        <v>4.842E8</v>
      </c>
      <c r="J237" s="1">
        <v>2.259E8</v>
      </c>
      <c r="K237" s="1">
        <v>2.259E8</v>
      </c>
      <c r="L237" s="1">
        <v>-1.56E7</v>
      </c>
      <c r="M237" s="1">
        <v>4.63E7</v>
      </c>
      <c r="N237" s="1">
        <v>1.7291E9</v>
      </c>
      <c r="O237" s="1">
        <v>1.5032E9</v>
      </c>
      <c r="P237" s="1">
        <v>1.2449E9</v>
      </c>
      <c r="Q237" s="1">
        <v>-2.91E7</v>
      </c>
      <c r="R237" s="1">
        <v>1.505E8</v>
      </c>
      <c r="S237" s="1">
        <v>1.505E8</v>
      </c>
    </row>
    <row r="238">
      <c r="A238" s="1">
        <v>236.0</v>
      </c>
      <c r="B238" s="3">
        <v>44469.0</v>
      </c>
      <c r="C238" s="1" t="s">
        <v>148</v>
      </c>
      <c r="D238" s="1" t="s">
        <v>149</v>
      </c>
      <c r="F238" s="1">
        <v>2.09E8</v>
      </c>
      <c r="G238" s="1">
        <v>8000000.0</v>
      </c>
      <c r="H238" s="1">
        <v>6.07E8</v>
      </c>
      <c r="I238" s="1">
        <v>1.01E9</v>
      </c>
      <c r="J238" s="1">
        <v>4.03E8</v>
      </c>
      <c r="K238" s="1">
        <v>4.03E8</v>
      </c>
      <c r="L238" s="1">
        <v>-6.7E7</v>
      </c>
      <c r="M238" s="1">
        <v>1.93E8</v>
      </c>
      <c r="N238" s="1">
        <v>5.093E9</v>
      </c>
      <c r="O238" s="1">
        <v>4.69E9</v>
      </c>
      <c r="P238" s="1">
        <v>4.083E9</v>
      </c>
      <c r="Q238" s="1">
        <v>-1.94E8</v>
      </c>
      <c r="R238" s="1">
        <v>1.6E7</v>
      </c>
      <c r="S238" s="1">
        <v>8000000.0</v>
      </c>
    </row>
    <row r="239">
      <c r="A239" s="1">
        <v>237.0</v>
      </c>
      <c r="B239" s="3">
        <v>44377.0</v>
      </c>
      <c r="C239" s="1" t="s">
        <v>148</v>
      </c>
      <c r="D239" s="1" t="s">
        <v>149</v>
      </c>
      <c r="F239" s="1">
        <v>6.6E7</v>
      </c>
      <c r="G239" s="1">
        <v>-6.8E7</v>
      </c>
      <c r="H239" s="1">
        <v>6.36E8</v>
      </c>
      <c r="I239" s="1">
        <v>9.76E8</v>
      </c>
      <c r="J239" s="1">
        <v>2.8E8</v>
      </c>
      <c r="K239" s="1">
        <v>2.8E8</v>
      </c>
      <c r="L239" s="1">
        <v>-6.5E7</v>
      </c>
      <c r="M239" s="1">
        <v>1.43E8</v>
      </c>
      <c r="N239" s="1">
        <v>5.142E9</v>
      </c>
      <c r="O239" s="1">
        <v>4.862E9</v>
      </c>
      <c r="P239" s="1">
        <v>4.166E9</v>
      </c>
      <c r="Q239" s="1">
        <v>-2.14E8</v>
      </c>
      <c r="R239" s="1">
        <v>-7.7E7</v>
      </c>
      <c r="S239" s="1">
        <v>-6.8E7</v>
      </c>
    </row>
    <row r="240">
      <c r="A240" s="1">
        <v>238.0</v>
      </c>
      <c r="B240" s="3">
        <v>44286.0</v>
      </c>
      <c r="C240" s="1" t="s">
        <v>148</v>
      </c>
      <c r="D240" s="1" t="s">
        <v>149</v>
      </c>
      <c r="F240" s="1">
        <v>-5.36E8</v>
      </c>
      <c r="G240" s="1">
        <v>-4.52E8</v>
      </c>
      <c r="H240" s="1">
        <v>5.82E8</v>
      </c>
      <c r="I240" s="1">
        <v>8.58E8</v>
      </c>
      <c r="J240" s="1">
        <v>2.61E8</v>
      </c>
      <c r="K240" s="1">
        <v>2.61E8</v>
      </c>
      <c r="L240" s="1">
        <v>-7.4E7</v>
      </c>
      <c r="M240" s="1">
        <v>6.9E7</v>
      </c>
      <c r="N240" s="1">
        <v>4.782E9</v>
      </c>
      <c r="O240" s="1">
        <v>4.521E9</v>
      </c>
      <c r="P240" s="1">
        <v>3.924E9</v>
      </c>
      <c r="Q240" s="1">
        <v>-7.97E8</v>
      </c>
      <c r="R240" s="1">
        <v>-6.05E8</v>
      </c>
      <c r="S240" s="1">
        <v>-4.52E8</v>
      </c>
    </row>
    <row r="241">
      <c r="A241" s="1">
        <v>239.0</v>
      </c>
      <c r="B241" s="3">
        <v>44196.0</v>
      </c>
      <c r="C241" s="1" t="s">
        <v>148</v>
      </c>
      <c r="D241" s="1" t="s">
        <v>149</v>
      </c>
      <c r="F241" s="1">
        <v>1.52E9</v>
      </c>
      <c r="G241" s="1">
        <v>6.52E8</v>
      </c>
      <c r="H241" s="1">
        <v>5.8E8</v>
      </c>
      <c r="I241" s="1">
        <v>1.037E9</v>
      </c>
      <c r="J241" s="1">
        <v>4.63E8</v>
      </c>
      <c r="K241" s="1">
        <v>4.63E8</v>
      </c>
      <c r="L241" s="1">
        <v>-6.2E7</v>
      </c>
      <c r="M241" s="1">
        <v>5.69E8</v>
      </c>
      <c r="N241" s="1">
        <v>5.495E9</v>
      </c>
      <c r="O241" s="1">
        <v>5.032E9</v>
      </c>
      <c r="P241" s="1">
        <v>4.458E9</v>
      </c>
      <c r="Q241" s="1">
        <v>1.057E9</v>
      </c>
      <c r="R241" s="1">
        <v>9.51E8</v>
      </c>
      <c r="S241" s="1">
        <v>6.52E8</v>
      </c>
    </row>
    <row r="242">
      <c r="A242" s="1">
        <v>240.0</v>
      </c>
      <c r="B242" s="3">
        <v>44377.0</v>
      </c>
      <c r="C242" s="1" t="s">
        <v>151</v>
      </c>
      <c r="D242" s="1" t="s">
        <v>152</v>
      </c>
      <c r="F242" s="1">
        <v>3.18E8</v>
      </c>
      <c r="G242" s="1">
        <v>2.02E8</v>
      </c>
      <c r="H242" s="1">
        <v>1.66E8</v>
      </c>
      <c r="I242" s="1">
        <v>6.99E8</v>
      </c>
      <c r="J242" s="1">
        <v>3.61E8</v>
      </c>
      <c r="K242" s="1">
        <v>3.61E8</v>
      </c>
      <c r="L242" s="1">
        <v>-6.6E7</v>
      </c>
      <c r="M242" s="1">
        <v>1.16E8</v>
      </c>
      <c r="N242" s="1">
        <v>3.459E9</v>
      </c>
      <c r="O242" s="1">
        <v>3.098E9</v>
      </c>
      <c r="P242" s="1">
        <v>2.76E9</v>
      </c>
      <c r="Q242" s="1">
        <v>-4.3E7</v>
      </c>
      <c r="R242" s="1">
        <v>2.02E8</v>
      </c>
      <c r="S242" s="1">
        <v>2.02E8</v>
      </c>
    </row>
    <row r="243">
      <c r="A243" s="1">
        <v>241.0</v>
      </c>
      <c r="B243" s="3">
        <v>44286.0</v>
      </c>
      <c r="C243" s="1" t="s">
        <v>151</v>
      </c>
      <c r="D243" s="1" t="s">
        <v>152</v>
      </c>
      <c r="F243" s="1">
        <v>2.32E8</v>
      </c>
      <c r="G243" s="1">
        <v>2.0E8</v>
      </c>
      <c r="H243" s="1">
        <v>1.57E8</v>
      </c>
      <c r="I243" s="1">
        <v>6.32E8</v>
      </c>
      <c r="J243" s="1">
        <v>3.07E8</v>
      </c>
      <c r="K243" s="1">
        <v>3.07E8</v>
      </c>
      <c r="L243" s="1">
        <v>-6.7E7</v>
      </c>
      <c r="M243" s="1">
        <v>3.2E7</v>
      </c>
      <c r="N243" s="1">
        <v>3.125E9</v>
      </c>
      <c r="O243" s="1">
        <v>2.818E9</v>
      </c>
      <c r="P243" s="1">
        <v>2.493E9</v>
      </c>
      <c r="Q243" s="1">
        <v>-7.5E7</v>
      </c>
      <c r="R243" s="1">
        <v>2.0E8</v>
      </c>
      <c r="S243" s="1">
        <v>2.0E8</v>
      </c>
    </row>
    <row r="244">
      <c r="A244" s="1">
        <v>242.0</v>
      </c>
      <c r="B244" s="3">
        <v>44196.0</v>
      </c>
      <c r="C244" s="1" t="s">
        <v>151</v>
      </c>
      <c r="D244" s="1" t="s">
        <v>152</v>
      </c>
      <c r="F244" s="1">
        <v>2.34E8</v>
      </c>
      <c r="G244" s="1">
        <v>2.27E8</v>
      </c>
      <c r="H244" s="1">
        <v>1.62E8</v>
      </c>
      <c r="I244" s="1">
        <v>6.54E8</v>
      </c>
      <c r="J244" s="1">
        <v>3.23E8</v>
      </c>
      <c r="K244" s="1">
        <v>3.23E8</v>
      </c>
      <c r="L244" s="1">
        <v>-6.9E7</v>
      </c>
      <c r="M244" s="1">
        <v>7000000.0</v>
      </c>
      <c r="N244" s="1">
        <v>3.102E9</v>
      </c>
      <c r="O244" s="1">
        <v>2.779E9</v>
      </c>
      <c r="P244" s="1">
        <v>2.448E9</v>
      </c>
      <c r="Q244" s="1">
        <v>-8.9E7</v>
      </c>
      <c r="R244" s="1">
        <v>2.27E8</v>
      </c>
      <c r="S244" s="1">
        <v>2.27E8</v>
      </c>
    </row>
    <row r="245">
      <c r="A245" s="1">
        <v>243.0</v>
      </c>
      <c r="B245" s="3">
        <v>44104.0</v>
      </c>
      <c r="C245" s="1" t="s">
        <v>151</v>
      </c>
      <c r="D245" s="1" t="s">
        <v>152</v>
      </c>
      <c r="F245" s="1">
        <v>3.13E8</v>
      </c>
      <c r="G245" s="1">
        <v>2.41E8</v>
      </c>
      <c r="H245" s="1">
        <v>1.21E8</v>
      </c>
      <c r="I245" s="1">
        <v>6.63E8</v>
      </c>
      <c r="J245" s="1">
        <v>3.82E8</v>
      </c>
      <c r="K245" s="1">
        <v>3.82E8</v>
      </c>
      <c r="L245" s="1">
        <v>-6.8E7</v>
      </c>
      <c r="M245" s="1">
        <v>7.3E7</v>
      </c>
      <c r="N245" s="1">
        <v>3.093E9</v>
      </c>
      <c r="O245" s="1">
        <v>2.711E9</v>
      </c>
      <c r="P245" s="1">
        <v>2.43E9</v>
      </c>
      <c r="Q245" s="1">
        <v>-6.9E7</v>
      </c>
      <c r="R245" s="1">
        <v>2.4E8</v>
      </c>
      <c r="S245" s="1">
        <v>2.41E8</v>
      </c>
    </row>
    <row r="246">
      <c r="A246" s="1">
        <v>244.0</v>
      </c>
      <c r="B246" s="3">
        <v>44469.0</v>
      </c>
      <c r="C246" s="1" t="s">
        <v>153</v>
      </c>
      <c r="D246" s="1" t="s">
        <v>154</v>
      </c>
      <c r="F246" s="1">
        <v>8.95E9</v>
      </c>
      <c r="G246" s="1">
        <v>7.691E9</v>
      </c>
      <c r="H246" s="1">
        <v>1.2675E10</v>
      </c>
      <c r="I246" s="1">
        <v>2.339E10</v>
      </c>
      <c r="J246" s="1">
        <v>0.0</v>
      </c>
      <c r="K246" s="1">
        <v>8.95E9</v>
      </c>
      <c r="M246" s="1">
        <v>1.259E9</v>
      </c>
      <c r="N246" s="1">
        <v>2.339E10</v>
      </c>
      <c r="O246" s="1">
        <v>1.444E10</v>
      </c>
      <c r="P246" s="1">
        <v>0.0</v>
      </c>
      <c r="Q246" s="1">
        <v>0.0</v>
      </c>
      <c r="R246" s="1">
        <v>7.691E9</v>
      </c>
      <c r="S246" s="1">
        <v>7.26E9</v>
      </c>
    </row>
    <row r="247">
      <c r="A247" s="1">
        <v>245.0</v>
      </c>
      <c r="B247" s="3">
        <v>44377.0</v>
      </c>
      <c r="C247" s="1" t="s">
        <v>153</v>
      </c>
      <c r="D247" s="1" t="s">
        <v>154</v>
      </c>
      <c r="F247" s="1">
        <v>8.042E9</v>
      </c>
      <c r="G247" s="1">
        <v>9.224E9</v>
      </c>
      <c r="H247" s="1">
        <v>1.3096E10</v>
      </c>
      <c r="I247" s="1">
        <v>2.3087E10</v>
      </c>
      <c r="J247" s="1">
        <v>0.0</v>
      </c>
      <c r="K247" s="1">
        <v>8.042E9</v>
      </c>
      <c r="M247" s="1">
        <v>-1.182E9</v>
      </c>
      <c r="N247" s="1">
        <v>2.3087E10</v>
      </c>
      <c r="O247" s="1">
        <v>1.5045E10</v>
      </c>
      <c r="P247" s="1">
        <v>0.0</v>
      </c>
      <c r="Q247" s="1">
        <v>0.0</v>
      </c>
      <c r="R247" s="1">
        <v>9.224E9</v>
      </c>
      <c r="S247" s="1">
        <v>8.964E9</v>
      </c>
    </row>
    <row r="248">
      <c r="A248" s="1">
        <v>246.0</v>
      </c>
      <c r="B248" s="3">
        <v>44286.0</v>
      </c>
      <c r="C248" s="1" t="s">
        <v>153</v>
      </c>
      <c r="D248" s="1" t="s">
        <v>154</v>
      </c>
      <c r="F248" s="1">
        <v>9.166E9</v>
      </c>
      <c r="G248" s="1">
        <v>8.05E9</v>
      </c>
      <c r="H248" s="1">
        <v>1.3765E10</v>
      </c>
      <c r="I248" s="1">
        <v>2.4681E10</v>
      </c>
      <c r="J248" s="1">
        <v>0.0</v>
      </c>
      <c r="K248" s="1">
        <v>9.166E9</v>
      </c>
      <c r="M248" s="1">
        <v>1.116E9</v>
      </c>
      <c r="N248" s="1">
        <v>2.4681E10</v>
      </c>
      <c r="O248" s="1">
        <v>1.5515E10</v>
      </c>
      <c r="P248" s="1">
        <v>0.0</v>
      </c>
      <c r="Q248" s="1">
        <v>0.0</v>
      </c>
      <c r="R248" s="1">
        <v>8.05E9</v>
      </c>
      <c r="S248" s="1">
        <v>7.56E9</v>
      </c>
    </row>
    <row r="249">
      <c r="A249" s="1">
        <v>247.0</v>
      </c>
      <c r="B249" s="3">
        <v>44196.0</v>
      </c>
      <c r="C249" s="1" t="s">
        <v>153</v>
      </c>
      <c r="D249" s="1" t="s">
        <v>154</v>
      </c>
      <c r="F249" s="1">
        <v>6.119E9</v>
      </c>
      <c r="G249" s="1">
        <v>5.47E9</v>
      </c>
      <c r="H249" s="1">
        <v>1.2395E10</v>
      </c>
      <c r="I249" s="1">
        <v>2.0046E10</v>
      </c>
      <c r="J249" s="1">
        <v>0.0</v>
      </c>
      <c r="K249" s="1">
        <v>6.119E9</v>
      </c>
      <c r="M249" s="1">
        <v>6.49E8</v>
      </c>
      <c r="N249" s="1">
        <v>2.0046E10</v>
      </c>
      <c r="O249" s="1">
        <v>1.3927E10</v>
      </c>
      <c r="P249" s="1">
        <v>0.0</v>
      </c>
      <c r="Q249" s="1">
        <v>0.0</v>
      </c>
      <c r="R249" s="1">
        <v>5.47E9</v>
      </c>
      <c r="S249" s="1">
        <v>5.208E9</v>
      </c>
    </row>
    <row r="250">
      <c r="A250" s="1">
        <v>248.0</v>
      </c>
      <c r="B250" s="3">
        <v>44408.0</v>
      </c>
      <c r="C250" s="1" t="s">
        <v>155</v>
      </c>
      <c r="D250" s="1" t="s">
        <v>156</v>
      </c>
      <c r="F250" s="1">
        <v>4.99E8</v>
      </c>
      <c r="G250" s="1">
        <v>3.74E8</v>
      </c>
      <c r="H250" s="1">
        <v>8.99E8</v>
      </c>
      <c r="I250" s="1">
        <v>1.498E9</v>
      </c>
      <c r="J250" s="1">
        <v>5.99E8</v>
      </c>
      <c r="K250" s="1">
        <v>5.99E8</v>
      </c>
      <c r="L250" s="1">
        <v>-9.9E7</v>
      </c>
      <c r="M250" s="1">
        <v>1.25E8</v>
      </c>
      <c r="N250" s="1">
        <v>3.318E9</v>
      </c>
      <c r="O250" s="1">
        <v>2.719E9</v>
      </c>
      <c r="P250" s="1">
        <v>1.82E9</v>
      </c>
      <c r="Q250" s="1">
        <v>-1.0E8</v>
      </c>
      <c r="R250" s="1">
        <v>3.74E8</v>
      </c>
      <c r="S250" s="1">
        <v>3.74E8</v>
      </c>
    </row>
    <row r="251">
      <c r="A251" s="1">
        <v>249.0</v>
      </c>
      <c r="B251" s="3">
        <v>44317.0</v>
      </c>
      <c r="C251" s="1" t="s">
        <v>155</v>
      </c>
      <c r="D251" s="1" t="s">
        <v>156</v>
      </c>
      <c r="F251" s="1">
        <v>3.53E8</v>
      </c>
      <c r="G251" s="1">
        <v>2.77E8</v>
      </c>
      <c r="H251" s="1">
        <v>8.42E8</v>
      </c>
      <c r="I251" s="1">
        <v>1.414E9</v>
      </c>
      <c r="J251" s="1">
        <v>5.72E8</v>
      </c>
      <c r="K251" s="1">
        <v>5.72E8</v>
      </c>
      <c r="L251" s="1">
        <v>-1.14E8</v>
      </c>
      <c r="M251" s="1">
        <v>7.6E7</v>
      </c>
      <c r="N251" s="1">
        <v>3.024E9</v>
      </c>
      <c r="O251" s="1">
        <v>2.452E9</v>
      </c>
      <c r="P251" s="1">
        <v>1.61E9</v>
      </c>
      <c r="Q251" s="1">
        <v>-2.19E8</v>
      </c>
      <c r="R251" s="1">
        <v>2.77E8</v>
      </c>
      <c r="S251" s="1">
        <v>2.77E8</v>
      </c>
    </row>
    <row r="252">
      <c r="A252" s="1">
        <v>250.0</v>
      </c>
      <c r="B252" s="3">
        <v>44226.0</v>
      </c>
      <c r="C252" s="1" t="s">
        <v>155</v>
      </c>
      <c r="D252" s="1" t="s">
        <v>156</v>
      </c>
      <c r="F252" s="1">
        <v>1.155E9</v>
      </c>
      <c r="G252" s="1">
        <v>8.6E8</v>
      </c>
      <c r="H252" s="1">
        <v>1.731E9</v>
      </c>
      <c r="I252" s="1">
        <v>3.069E9</v>
      </c>
      <c r="J252" s="1">
        <v>1.338E9</v>
      </c>
      <c r="K252" s="1">
        <v>1.338E9</v>
      </c>
      <c r="L252" s="1">
        <v>-1.16E8</v>
      </c>
      <c r="M252" s="1">
        <v>2.95E8</v>
      </c>
      <c r="N252" s="1">
        <v>4.818E9</v>
      </c>
      <c r="O252" s="1">
        <v>3.48E9</v>
      </c>
      <c r="P252" s="1">
        <v>1.749E9</v>
      </c>
      <c r="Q252" s="1">
        <v>-1.83E8</v>
      </c>
      <c r="R252" s="1">
        <v>8.6E8</v>
      </c>
      <c r="S252" s="1">
        <v>8.6E8</v>
      </c>
    </row>
    <row r="253">
      <c r="A253" s="1">
        <v>251.0</v>
      </c>
      <c r="B253" s="3">
        <v>44135.0</v>
      </c>
      <c r="C253" s="1" t="s">
        <v>155</v>
      </c>
      <c r="D253" s="1" t="s">
        <v>156</v>
      </c>
      <c r="F253" s="1">
        <v>4.1E8</v>
      </c>
      <c r="G253" s="1">
        <v>3.31E8</v>
      </c>
      <c r="H253" s="1">
        <v>8.08E8</v>
      </c>
      <c r="I253" s="1">
        <v>1.359E9</v>
      </c>
      <c r="J253" s="1">
        <v>5.51E8</v>
      </c>
      <c r="K253" s="1">
        <v>5.51E8</v>
      </c>
      <c r="L253" s="1">
        <v>-1.21E8</v>
      </c>
      <c r="M253" s="1">
        <v>7.9E7</v>
      </c>
      <c r="N253" s="1">
        <v>3.055E9</v>
      </c>
      <c r="O253" s="1">
        <v>2.504E9</v>
      </c>
      <c r="P253" s="1">
        <v>1.696E9</v>
      </c>
      <c r="Q253" s="1">
        <v>-1.41E8</v>
      </c>
      <c r="R253" s="1">
        <v>3.31E8</v>
      </c>
      <c r="S253" s="1">
        <v>3.31E8</v>
      </c>
    </row>
    <row r="254">
      <c r="A254" s="1">
        <v>252.0</v>
      </c>
      <c r="B254" s="3">
        <v>44377.0</v>
      </c>
      <c r="C254" s="1" t="s">
        <v>157</v>
      </c>
      <c r="D254" s="1" t="s">
        <v>158</v>
      </c>
      <c r="E254" s="1">
        <v>1.39E8</v>
      </c>
      <c r="F254" s="1">
        <v>3.92E8</v>
      </c>
      <c r="G254" s="1">
        <v>2.98E8</v>
      </c>
      <c r="H254" s="1">
        <v>6.52E8</v>
      </c>
      <c r="I254" s="1">
        <v>1.254E9</v>
      </c>
      <c r="J254" s="1">
        <v>4.63E8</v>
      </c>
      <c r="K254" s="1">
        <v>4.63E8</v>
      </c>
      <c r="L254" s="1">
        <v>-3.7E7</v>
      </c>
      <c r="M254" s="1">
        <v>9.1E7</v>
      </c>
      <c r="N254" s="1">
        <v>3.098E9</v>
      </c>
      <c r="O254" s="1">
        <v>2.635E9</v>
      </c>
      <c r="P254" s="1">
        <v>1.844E9</v>
      </c>
      <c r="Q254" s="1">
        <v>-7.1E7</v>
      </c>
      <c r="R254" s="1">
        <v>3.01E8</v>
      </c>
      <c r="S254" s="1">
        <v>2.98E8</v>
      </c>
    </row>
    <row r="255">
      <c r="A255" s="1">
        <v>253.0</v>
      </c>
      <c r="B255" s="3">
        <v>44286.0</v>
      </c>
      <c r="C255" s="1" t="s">
        <v>157</v>
      </c>
      <c r="D255" s="1" t="s">
        <v>158</v>
      </c>
      <c r="E255" s="1">
        <v>1.28E8</v>
      </c>
      <c r="F255" s="1">
        <v>3.51E8</v>
      </c>
      <c r="G255" s="1">
        <v>2.98E8</v>
      </c>
      <c r="H255" s="1">
        <v>6.24E8</v>
      </c>
      <c r="I255" s="1">
        <v>1.174E9</v>
      </c>
      <c r="J255" s="1">
        <v>4.22E8</v>
      </c>
      <c r="K255" s="1">
        <v>4.22E8</v>
      </c>
      <c r="L255" s="1">
        <v>-3.7E7</v>
      </c>
      <c r="M255" s="1">
        <v>5.1E7</v>
      </c>
      <c r="N255" s="1">
        <v>2.946E9</v>
      </c>
      <c r="O255" s="1">
        <v>2.524E9</v>
      </c>
      <c r="P255" s="1">
        <v>1.772E9</v>
      </c>
      <c r="Q255" s="1">
        <v>-7.1E7</v>
      </c>
      <c r="R255" s="1">
        <v>3.0E8</v>
      </c>
      <c r="S255" s="1">
        <v>2.98E8</v>
      </c>
    </row>
    <row r="256">
      <c r="A256" s="1">
        <v>254.0</v>
      </c>
      <c r="B256" s="3">
        <v>44196.0</v>
      </c>
      <c r="C256" s="1" t="s">
        <v>157</v>
      </c>
      <c r="D256" s="1" t="s">
        <v>158</v>
      </c>
      <c r="E256" s="1">
        <v>1.32E8</v>
      </c>
      <c r="F256" s="1">
        <v>2.1E8</v>
      </c>
      <c r="G256" s="1">
        <v>1.68E8</v>
      </c>
      <c r="H256" s="1">
        <v>6.21E8</v>
      </c>
      <c r="I256" s="1">
        <v>1.26E9</v>
      </c>
      <c r="J256" s="1">
        <v>5.07E8</v>
      </c>
      <c r="K256" s="1">
        <v>5.07E8</v>
      </c>
      <c r="L256" s="1">
        <v>-4.1E7</v>
      </c>
      <c r="M256" s="1">
        <v>3.9E7</v>
      </c>
      <c r="N256" s="1">
        <v>3.181E9</v>
      </c>
      <c r="O256" s="1">
        <v>2.674E9</v>
      </c>
      <c r="P256" s="1">
        <v>1.921E9</v>
      </c>
      <c r="Q256" s="1">
        <v>-2.97E8</v>
      </c>
      <c r="R256" s="1">
        <v>1.71E8</v>
      </c>
      <c r="S256" s="1">
        <v>1.68E8</v>
      </c>
    </row>
    <row r="257">
      <c r="A257" s="1">
        <v>255.0</v>
      </c>
      <c r="B257" s="3">
        <v>44104.0</v>
      </c>
      <c r="C257" s="1" t="s">
        <v>157</v>
      </c>
      <c r="D257" s="1" t="s">
        <v>158</v>
      </c>
      <c r="E257" s="1">
        <v>1.22E8</v>
      </c>
      <c r="F257" s="1">
        <v>4.15E8</v>
      </c>
      <c r="G257" s="1">
        <v>3.56E8</v>
      </c>
      <c r="H257" s="1">
        <v>5.74E8</v>
      </c>
      <c r="I257" s="1">
        <v>1.209E9</v>
      </c>
      <c r="J257" s="1">
        <v>5.13E8</v>
      </c>
      <c r="K257" s="1">
        <v>5.13E8</v>
      </c>
      <c r="L257" s="1">
        <v>-4.2E7</v>
      </c>
      <c r="M257" s="1">
        <v>5.6E7</v>
      </c>
      <c r="N257" s="1">
        <v>2.972E9</v>
      </c>
      <c r="O257" s="1">
        <v>2.459E9</v>
      </c>
      <c r="P257" s="1">
        <v>1.763E9</v>
      </c>
      <c r="Q257" s="1">
        <v>-9.8E7</v>
      </c>
      <c r="R257" s="1">
        <v>3.59E8</v>
      </c>
      <c r="S257" s="1">
        <v>3.56E8</v>
      </c>
    </row>
    <row r="258">
      <c r="A258" s="1">
        <v>256.0</v>
      </c>
      <c r="B258" s="3">
        <v>44377.0</v>
      </c>
      <c r="C258" s="1" t="s">
        <v>159</v>
      </c>
      <c r="D258" s="1" t="s">
        <v>160</v>
      </c>
      <c r="E258" s="1">
        <v>3.44E8</v>
      </c>
      <c r="F258" s="1">
        <v>5.14E8</v>
      </c>
      <c r="G258" s="1">
        <v>5.25E8</v>
      </c>
      <c r="H258" s="1">
        <v>1.238E9</v>
      </c>
      <c r="I258" s="1">
        <v>2.161E9</v>
      </c>
      <c r="J258" s="1">
        <v>5.79E8</v>
      </c>
      <c r="K258" s="1">
        <v>5.79E8</v>
      </c>
      <c r="L258" s="1">
        <v>-1.15E8</v>
      </c>
      <c r="M258" s="1">
        <v>-1.1E7</v>
      </c>
      <c r="N258" s="1">
        <v>4.89E9</v>
      </c>
      <c r="O258" s="1">
        <v>4.311E9</v>
      </c>
      <c r="P258" s="1">
        <v>2.729E9</v>
      </c>
      <c r="Q258" s="1">
        <v>-6.5E7</v>
      </c>
      <c r="R258" s="1">
        <v>5.25E8</v>
      </c>
      <c r="S258" s="1">
        <v>5.02E8</v>
      </c>
    </row>
    <row r="259">
      <c r="A259" s="1">
        <v>257.0</v>
      </c>
      <c r="B259" s="3">
        <v>44286.0</v>
      </c>
      <c r="C259" s="1" t="s">
        <v>159</v>
      </c>
      <c r="D259" s="1" t="s">
        <v>160</v>
      </c>
      <c r="E259" s="1">
        <v>3.17E8</v>
      </c>
      <c r="F259" s="1">
        <v>3.05E8</v>
      </c>
      <c r="G259" s="1">
        <v>2.99E8</v>
      </c>
      <c r="H259" s="1">
        <v>1.144E9</v>
      </c>
      <c r="I259" s="1">
        <v>2.283E9</v>
      </c>
      <c r="J259" s="1">
        <v>8.22E8</v>
      </c>
      <c r="K259" s="1">
        <v>8.22E8</v>
      </c>
      <c r="L259" s="1">
        <v>-1.24E8</v>
      </c>
      <c r="M259" s="1">
        <v>6000000.0</v>
      </c>
      <c r="N259" s="1">
        <v>4.907E9</v>
      </c>
      <c r="O259" s="1">
        <v>4.085E9</v>
      </c>
      <c r="P259" s="1">
        <v>2.624E9</v>
      </c>
      <c r="Q259" s="1">
        <v>-5.17E8</v>
      </c>
      <c r="R259" s="1">
        <v>2.99E8</v>
      </c>
      <c r="S259" s="1">
        <v>2.76E8</v>
      </c>
    </row>
    <row r="260">
      <c r="A260" s="1">
        <v>258.0</v>
      </c>
      <c r="B260" s="3">
        <v>44196.0</v>
      </c>
      <c r="C260" s="1" t="s">
        <v>159</v>
      </c>
      <c r="D260" s="1" t="s">
        <v>160</v>
      </c>
      <c r="E260" s="1">
        <v>2.91E8</v>
      </c>
      <c r="F260" s="1">
        <v>1.157E9</v>
      </c>
      <c r="G260" s="1">
        <v>1.003E9</v>
      </c>
      <c r="H260" s="1">
        <v>1.144E9</v>
      </c>
      <c r="I260" s="1">
        <v>2.766E9</v>
      </c>
      <c r="J260" s="1">
        <v>1.331E9</v>
      </c>
      <c r="K260" s="1">
        <v>1.331E9</v>
      </c>
      <c r="L260" s="1">
        <v>-1.18E8</v>
      </c>
      <c r="M260" s="1">
        <v>1.54E8</v>
      </c>
      <c r="N260" s="1">
        <v>5.315E9</v>
      </c>
      <c r="O260" s="1">
        <v>3.984E9</v>
      </c>
      <c r="P260" s="1">
        <v>2.549E9</v>
      </c>
      <c r="Q260" s="1">
        <v>-1.74E8</v>
      </c>
      <c r="R260" s="1">
        <v>1.003E9</v>
      </c>
      <c r="S260" s="1">
        <v>9.8E8</v>
      </c>
    </row>
    <row r="261">
      <c r="A261" s="1">
        <v>259.0</v>
      </c>
      <c r="B261" s="3">
        <v>44104.0</v>
      </c>
      <c r="C261" s="1" t="s">
        <v>159</v>
      </c>
      <c r="D261" s="1" t="s">
        <v>160</v>
      </c>
      <c r="E261" s="1">
        <v>2.99E8</v>
      </c>
      <c r="F261" s="1">
        <v>1.43E8</v>
      </c>
      <c r="G261" s="1">
        <v>1.28E8</v>
      </c>
      <c r="H261" s="1">
        <v>1.205E9</v>
      </c>
      <c r="I261" s="1">
        <v>2.509E9</v>
      </c>
      <c r="J261" s="1">
        <v>9.97E8</v>
      </c>
      <c r="K261" s="1">
        <v>9.97E8</v>
      </c>
      <c r="L261" s="1">
        <v>-1.23E8</v>
      </c>
      <c r="M261" s="1">
        <v>1.5E7</v>
      </c>
      <c r="N261" s="1">
        <v>4.784E9</v>
      </c>
      <c r="O261" s="1">
        <v>3.787E9</v>
      </c>
      <c r="P261" s="1">
        <v>2.275E9</v>
      </c>
      <c r="Q261" s="1">
        <v>-8.54E8</v>
      </c>
      <c r="R261" s="1">
        <v>1.28E8</v>
      </c>
      <c r="S261" s="1">
        <v>1.05E8</v>
      </c>
    </row>
    <row r="262">
      <c r="A262" s="1">
        <v>260.0</v>
      </c>
      <c r="B262" s="3">
        <v>44408.0</v>
      </c>
      <c r="C262" s="1" t="s">
        <v>161</v>
      </c>
      <c r="D262" s="1" t="s">
        <v>162</v>
      </c>
      <c r="F262" s="1">
        <v>7.98E8</v>
      </c>
      <c r="G262" s="1">
        <v>7.34E8</v>
      </c>
      <c r="H262" s="1">
        <v>1.989E9</v>
      </c>
      <c r="I262" s="1">
        <v>2.81E9</v>
      </c>
      <c r="J262" s="1">
        <v>8.01E8</v>
      </c>
      <c r="K262" s="1">
        <v>8.01E8</v>
      </c>
      <c r="L262" s="1">
        <v>-6000000.0</v>
      </c>
      <c r="M262" s="1">
        <v>6.4E7</v>
      </c>
      <c r="N262" s="1">
        <v>1.1849E10</v>
      </c>
      <c r="O262" s="1">
        <v>1.1048E10</v>
      </c>
      <c r="P262" s="1">
        <v>9.039E9</v>
      </c>
      <c r="Q262" s="1">
        <v>-3000000.0</v>
      </c>
      <c r="R262" s="1">
        <v>7.34E8</v>
      </c>
      <c r="S262" s="1">
        <v>7.34E8</v>
      </c>
    </row>
    <row r="263">
      <c r="A263" s="1">
        <v>261.0</v>
      </c>
      <c r="B263" s="3">
        <v>44317.0</v>
      </c>
      <c r="C263" s="1" t="s">
        <v>161</v>
      </c>
      <c r="D263" s="1" t="s">
        <v>162</v>
      </c>
      <c r="F263" s="1">
        <v>7.67E8</v>
      </c>
      <c r="G263" s="1">
        <v>5.95E8</v>
      </c>
      <c r="H263" s="1">
        <v>1.968E9</v>
      </c>
      <c r="I263" s="1">
        <v>2.709E9</v>
      </c>
      <c r="J263" s="1">
        <v>7.21E8</v>
      </c>
      <c r="K263" s="1">
        <v>7.21E8</v>
      </c>
      <c r="L263" s="1">
        <v>-6000000.0</v>
      </c>
      <c r="M263" s="1">
        <v>1.72E8</v>
      </c>
      <c r="N263" s="1">
        <v>1.1637E10</v>
      </c>
      <c r="O263" s="1">
        <v>1.0916E10</v>
      </c>
      <c r="P263" s="1">
        <v>8.928E9</v>
      </c>
      <c r="Q263" s="1">
        <v>4.6E7</v>
      </c>
      <c r="R263" s="1">
        <v>5.95E8</v>
      </c>
      <c r="S263" s="1">
        <v>5.95E8</v>
      </c>
    </row>
    <row r="264">
      <c r="A264" s="1">
        <v>262.0</v>
      </c>
      <c r="B264" s="3">
        <v>44226.0</v>
      </c>
      <c r="C264" s="1" t="s">
        <v>161</v>
      </c>
      <c r="D264" s="1" t="s">
        <v>162</v>
      </c>
      <c r="F264" s="1">
        <v>1.043E9</v>
      </c>
      <c r="G264" s="1">
        <v>8.16E8</v>
      </c>
      <c r="H264" s="1">
        <v>2.348E9</v>
      </c>
      <c r="I264" s="1">
        <v>3.53E9</v>
      </c>
      <c r="J264" s="1">
        <v>1.162E9</v>
      </c>
      <c r="K264" s="1">
        <v>1.162E9</v>
      </c>
      <c r="L264" s="1">
        <v>-9000000.0</v>
      </c>
      <c r="M264" s="1">
        <v>2.27E8</v>
      </c>
      <c r="N264" s="1">
        <v>1.6937E10</v>
      </c>
      <c r="O264" s="1">
        <v>1.5775E10</v>
      </c>
      <c r="P264" s="1">
        <v>1.3407E10</v>
      </c>
      <c r="Q264" s="1">
        <v>-1.19E8</v>
      </c>
      <c r="R264" s="1">
        <v>8.16E8</v>
      </c>
      <c r="S264" s="1">
        <v>8.16E8</v>
      </c>
    </row>
    <row r="265">
      <c r="A265" s="1">
        <v>263.0</v>
      </c>
      <c r="B265" s="3">
        <v>44135.0</v>
      </c>
      <c r="C265" s="1" t="s">
        <v>161</v>
      </c>
      <c r="D265" s="1" t="s">
        <v>162</v>
      </c>
      <c r="F265" s="1">
        <v>5.55E8</v>
      </c>
      <c r="G265" s="1">
        <v>3.91E8</v>
      </c>
      <c r="H265" s="1">
        <v>2.103E9</v>
      </c>
      <c r="I265" s="1">
        <v>2.831E9</v>
      </c>
      <c r="J265" s="1">
        <v>7.08E8</v>
      </c>
      <c r="K265" s="1">
        <v>7.08E8</v>
      </c>
      <c r="L265" s="1">
        <v>-1.1E7</v>
      </c>
      <c r="M265" s="1">
        <v>1.64E8</v>
      </c>
      <c r="N265" s="1">
        <v>1.1853E10</v>
      </c>
      <c r="O265" s="1">
        <v>1.1145E10</v>
      </c>
      <c r="P265" s="1">
        <v>9.022E9</v>
      </c>
      <c r="Q265" s="1">
        <v>-1.53E8</v>
      </c>
      <c r="R265" s="1">
        <v>3.91E8</v>
      </c>
      <c r="S265" s="1">
        <v>3.91E8</v>
      </c>
    </row>
    <row r="266">
      <c r="A266" s="1">
        <v>264.0</v>
      </c>
      <c r="B266" s="3">
        <v>44377.0</v>
      </c>
      <c r="C266" s="1" t="s">
        <v>163</v>
      </c>
      <c r="D266" s="1" t="s">
        <v>164</v>
      </c>
      <c r="E266" s="1">
        <v>6.5291E7</v>
      </c>
      <c r="F266" s="1">
        <v>1.156775E9</v>
      </c>
      <c r="G266" s="1">
        <v>9.14114E8</v>
      </c>
      <c r="H266" s="1">
        <v>2.21425E8</v>
      </c>
      <c r="I266" s="1">
        <v>4.02698E8</v>
      </c>
      <c r="J266" s="1">
        <v>1.15982E8</v>
      </c>
      <c r="K266" s="1">
        <v>1.15982E8</v>
      </c>
      <c r="L266" s="1">
        <v>-363000.0</v>
      </c>
      <c r="M266" s="1">
        <v>2.42661E8</v>
      </c>
      <c r="N266" s="1">
        <v>7.15931E8</v>
      </c>
      <c r="O266" s="1">
        <v>5.99949E8</v>
      </c>
      <c r="P266" s="1">
        <v>3.13233E8</v>
      </c>
      <c r="Q266" s="1">
        <v>1.040793E9</v>
      </c>
      <c r="R266" s="1">
        <v>9.14114E8</v>
      </c>
      <c r="S266" s="1">
        <v>9.14114E8</v>
      </c>
    </row>
    <row r="267">
      <c r="A267" s="1">
        <v>265.0</v>
      </c>
      <c r="B267" s="3">
        <v>44286.0</v>
      </c>
      <c r="C267" s="1" t="s">
        <v>163</v>
      </c>
      <c r="D267" s="1" t="s">
        <v>164</v>
      </c>
      <c r="E267" s="1">
        <v>5.6912E7</v>
      </c>
      <c r="F267" s="1">
        <v>1.297203E9</v>
      </c>
      <c r="G267" s="1">
        <v>9.77414E8</v>
      </c>
      <c r="H267" s="1">
        <v>1.91653E8</v>
      </c>
      <c r="I267" s="1">
        <v>4.24527E8</v>
      </c>
      <c r="J267" s="1">
        <v>1.75962E8</v>
      </c>
      <c r="K267" s="1">
        <v>1.75962E8</v>
      </c>
      <c r="L267" s="1">
        <v>-398000.0</v>
      </c>
      <c r="M267" s="1">
        <v>3.19789E8</v>
      </c>
      <c r="N267" s="1">
        <v>7.26796E8</v>
      </c>
      <c r="O267" s="1">
        <v>5.50834E8</v>
      </c>
      <c r="P267" s="1">
        <v>3.02269E8</v>
      </c>
      <c r="Q267" s="1">
        <v>1.121241E9</v>
      </c>
      <c r="R267" s="1">
        <v>9.77414E8</v>
      </c>
      <c r="S267" s="1">
        <v>9.77414E8</v>
      </c>
    </row>
    <row r="268">
      <c r="A268" s="1">
        <v>266.0</v>
      </c>
      <c r="B268" s="3">
        <v>44196.0</v>
      </c>
      <c r="C268" s="1" t="s">
        <v>163</v>
      </c>
      <c r="D268" s="1" t="s">
        <v>164</v>
      </c>
      <c r="E268" s="1">
        <v>6.6965E7</v>
      </c>
      <c r="F268" s="1">
        <v>1.078533E9</v>
      </c>
      <c r="G268" s="1">
        <v>8.39102E8</v>
      </c>
      <c r="H268" s="1">
        <v>2.15448E8</v>
      </c>
      <c r="I268" s="1">
        <v>4.58255E8</v>
      </c>
      <c r="J268" s="1">
        <v>1.75842E8</v>
      </c>
      <c r="K268" s="1">
        <v>1.75842E8</v>
      </c>
      <c r="L268" s="1">
        <v>-4703000.0</v>
      </c>
      <c r="M268" s="1">
        <v>2.39431E8</v>
      </c>
      <c r="N268" s="1">
        <v>7.89839E8</v>
      </c>
      <c r="O268" s="1">
        <v>6.13997E8</v>
      </c>
      <c r="P268" s="1">
        <v>3.31584E8</v>
      </c>
      <c r="Q268" s="1">
        <v>9.02691E8</v>
      </c>
      <c r="R268" s="1">
        <v>8.39102E8</v>
      </c>
      <c r="S268" s="1">
        <v>8.39102E8</v>
      </c>
    </row>
    <row r="269">
      <c r="A269" s="1">
        <v>267.0</v>
      </c>
      <c r="B269" s="3">
        <v>44104.0</v>
      </c>
      <c r="C269" s="1" t="s">
        <v>163</v>
      </c>
      <c r="D269" s="1" t="s">
        <v>164</v>
      </c>
      <c r="E269" s="1">
        <v>5.9546E7</v>
      </c>
      <c r="F269" s="1">
        <v>1.684461E9</v>
      </c>
      <c r="G269" s="1">
        <v>1.314824E9</v>
      </c>
      <c r="H269" s="1">
        <v>1.99265E8</v>
      </c>
      <c r="I269" s="1">
        <v>3.67311E8</v>
      </c>
      <c r="J269" s="1">
        <v>1.085E8</v>
      </c>
      <c r="K269" s="1">
        <v>1.085E8</v>
      </c>
      <c r="L269" s="1">
        <v>-5728000.0</v>
      </c>
      <c r="M269" s="1">
        <v>3.69637E8</v>
      </c>
      <c r="N269" s="1">
        <v>6.47263E8</v>
      </c>
      <c r="O269" s="1">
        <v>5.38763E8</v>
      </c>
      <c r="P269" s="1">
        <v>2.79952E8</v>
      </c>
      <c r="Q269" s="1">
        <v>1.575961E9</v>
      </c>
      <c r="R269" s="1">
        <v>1.314824E9</v>
      </c>
      <c r="S269" s="1">
        <v>1.314824E9</v>
      </c>
    </row>
    <row r="270">
      <c r="A270" s="1">
        <v>268.0</v>
      </c>
      <c r="B270" s="3">
        <v>44377.0</v>
      </c>
      <c r="C270" s="1" t="s">
        <v>165</v>
      </c>
      <c r="D270" s="1" t="s">
        <v>166</v>
      </c>
      <c r="E270" s="1">
        <v>2.0721E7</v>
      </c>
      <c r="F270" s="1">
        <v>7113000.0</v>
      </c>
      <c r="G270" s="1">
        <v>1.496E7</v>
      </c>
      <c r="H270" s="1">
        <v>8.5691E7</v>
      </c>
      <c r="I270" s="1">
        <v>1.77509E8</v>
      </c>
      <c r="J270" s="1">
        <v>7.1097E7</v>
      </c>
      <c r="K270" s="1">
        <v>7.1097E7</v>
      </c>
      <c r="L270" s="1">
        <v>-3291000.0</v>
      </c>
      <c r="M270" s="1">
        <v>-7531000.0</v>
      </c>
      <c r="N270" s="1">
        <v>2.59028E8</v>
      </c>
      <c r="O270" s="1">
        <v>1.87931E8</v>
      </c>
      <c r="P270" s="1">
        <v>8.1519E7</v>
      </c>
      <c r="Q270" s="1">
        <v>-6.3984E7</v>
      </c>
      <c r="R270" s="1">
        <v>1.4644E7</v>
      </c>
      <c r="S270" s="1">
        <v>1.4951E7</v>
      </c>
    </row>
    <row r="271">
      <c r="A271" s="1">
        <v>269.0</v>
      </c>
      <c r="B271" s="3">
        <v>44286.0</v>
      </c>
      <c r="C271" s="1" t="s">
        <v>165</v>
      </c>
      <c r="D271" s="1" t="s">
        <v>166</v>
      </c>
      <c r="E271" s="1">
        <v>1.7052E7</v>
      </c>
      <c r="F271" s="1">
        <v>4.5354E7</v>
      </c>
      <c r="G271" s="1">
        <v>4.5782E7</v>
      </c>
      <c r="H271" s="1">
        <v>8.0865E7</v>
      </c>
      <c r="I271" s="1">
        <v>1.68274E8</v>
      </c>
      <c r="J271" s="1">
        <v>7.0357E7</v>
      </c>
      <c r="K271" s="1">
        <v>7.0357E7</v>
      </c>
      <c r="L271" s="1">
        <v>-2660000.0</v>
      </c>
      <c r="M271" s="1">
        <v>-48000.0</v>
      </c>
      <c r="N271" s="1">
        <v>2.43552E8</v>
      </c>
      <c r="O271" s="1">
        <v>1.73195E8</v>
      </c>
      <c r="P271" s="1">
        <v>7.5278E7</v>
      </c>
      <c r="Q271" s="1">
        <v>-2.5003E7</v>
      </c>
      <c r="R271" s="1">
        <v>4.5402E7</v>
      </c>
      <c r="S271" s="1">
        <v>4.5755E7</v>
      </c>
    </row>
    <row r="272">
      <c r="A272" s="1">
        <v>270.0</v>
      </c>
      <c r="B272" s="3">
        <v>44196.0</v>
      </c>
      <c r="C272" s="1" t="s">
        <v>165</v>
      </c>
      <c r="D272" s="1" t="s">
        <v>166</v>
      </c>
      <c r="E272" s="1">
        <v>1.6789E7</v>
      </c>
      <c r="F272" s="1">
        <v>5.6368E7</v>
      </c>
      <c r="G272" s="1">
        <v>4.6274E7</v>
      </c>
      <c r="H272" s="1">
        <v>7.8695E7</v>
      </c>
      <c r="I272" s="1">
        <v>1.50923E8</v>
      </c>
      <c r="J272" s="1">
        <v>5.5439E7</v>
      </c>
      <c r="K272" s="1">
        <v>5.5439E7</v>
      </c>
      <c r="L272" s="1">
        <v>-3585000.0</v>
      </c>
      <c r="M272" s="1">
        <v>1.0224E7</v>
      </c>
      <c r="N272" s="1">
        <v>2.24253E8</v>
      </c>
      <c r="O272" s="1">
        <v>1.68814E8</v>
      </c>
      <c r="P272" s="1">
        <v>7.333E7</v>
      </c>
      <c r="Q272" s="1">
        <v>929000.0</v>
      </c>
      <c r="R272" s="1">
        <v>4.6144E7</v>
      </c>
      <c r="S272" s="1">
        <v>4.6237E7</v>
      </c>
    </row>
    <row r="273">
      <c r="A273" s="1">
        <v>271.0</v>
      </c>
      <c r="B273" s="3">
        <v>44104.0</v>
      </c>
      <c r="C273" s="1" t="s">
        <v>165</v>
      </c>
      <c r="D273" s="1" t="s">
        <v>166</v>
      </c>
      <c r="E273" s="1">
        <v>1.6041E7</v>
      </c>
      <c r="F273" s="1">
        <v>3.9339E7</v>
      </c>
      <c r="G273" s="1">
        <v>3.3395E7</v>
      </c>
      <c r="H273" s="1">
        <v>7.2748E7</v>
      </c>
      <c r="I273" s="1">
        <v>1.37731E8</v>
      </c>
      <c r="J273" s="1">
        <v>4.8942E7</v>
      </c>
      <c r="K273" s="1">
        <v>4.8942E7</v>
      </c>
      <c r="L273" s="1">
        <v>-4416000.0</v>
      </c>
      <c r="M273" s="1">
        <v>5944000.0</v>
      </c>
      <c r="N273" s="1">
        <v>2.04199E8</v>
      </c>
      <c r="O273" s="1">
        <v>1.55257E8</v>
      </c>
      <c r="P273" s="1">
        <v>6.6468E7</v>
      </c>
      <c r="Q273" s="1">
        <v>-9603000.0</v>
      </c>
      <c r="R273" s="1">
        <v>3.3395E7</v>
      </c>
      <c r="S273" s="1">
        <v>3.3374E7</v>
      </c>
    </row>
    <row r="274">
      <c r="A274" s="1">
        <v>272.0</v>
      </c>
      <c r="B274" s="3">
        <v>44377.0</v>
      </c>
      <c r="C274" s="1" t="s">
        <v>169</v>
      </c>
      <c r="D274" s="1" t="s">
        <v>170</v>
      </c>
      <c r="E274" s="1">
        <v>5.851E8</v>
      </c>
      <c r="F274" s="1">
        <v>6.164E8</v>
      </c>
      <c r="G274" s="1">
        <v>4.485E8</v>
      </c>
      <c r="H274" s="1">
        <v>6.373E8</v>
      </c>
      <c r="I274" s="1">
        <v>2.3153E9</v>
      </c>
      <c r="J274" s="1">
        <v>5.04E8</v>
      </c>
      <c r="K274" s="1">
        <v>5.04E8</v>
      </c>
      <c r="L274" s="1">
        <v>-5.64E7</v>
      </c>
      <c r="M274" s="1">
        <v>-4.091E8</v>
      </c>
      <c r="N274" s="1">
        <v>2.775E9</v>
      </c>
      <c r="O274" s="1">
        <v>2.271E9</v>
      </c>
      <c r="P274" s="1">
        <v>4.597E8</v>
      </c>
      <c r="Q274" s="1">
        <v>1.124E8</v>
      </c>
      <c r="R274" s="1">
        <v>1.0255E9</v>
      </c>
      <c r="S274" s="1">
        <v>4.485E8</v>
      </c>
    </row>
    <row r="275">
      <c r="A275" s="1">
        <v>273.0</v>
      </c>
      <c r="B275" s="3">
        <v>44286.0</v>
      </c>
      <c r="C275" s="1" t="s">
        <v>169</v>
      </c>
      <c r="D275" s="1" t="s">
        <v>170</v>
      </c>
      <c r="E275" s="1">
        <v>5.142E8</v>
      </c>
      <c r="F275" s="1">
        <v>4.488E8</v>
      </c>
      <c r="G275" s="1">
        <v>4.102E8</v>
      </c>
      <c r="H275" s="1">
        <v>5.95E8</v>
      </c>
      <c r="I275" s="1">
        <v>2.2159E9</v>
      </c>
      <c r="J275" s="1">
        <v>9.401E8</v>
      </c>
      <c r="K275" s="1">
        <v>9.401E8</v>
      </c>
      <c r="L275" s="1">
        <v>-6.47E7</v>
      </c>
      <c r="M275" s="1">
        <v>4.42E7</v>
      </c>
      <c r="N275" s="1">
        <v>2.694E9</v>
      </c>
      <c r="O275" s="1">
        <v>1.7539E9</v>
      </c>
      <c r="P275" s="1">
        <v>4.781E8</v>
      </c>
      <c r="Q275" s="1">
        <v>-4.913E8</v>
      </c>
      <c r="R275" s="1">
        <v>4.046E8</v>
      </c>
      <c r="S275" s="1">
        <v>4.102E8</v>
      </c>
    </row>
    <row r="276">
      <c r="A276" s="1">
        <v>274.0</v>
      </c>
      <c r="B276" s="3">
        <v>44196.0</v>
      </c>
      <c r="C276" s="1" t="s">
        <v>169</v>
      </c>
      <c r="D276" s="1" t="s">
        <v>170</v>
      </c>
      <c r="E276" s="1">
        <v>1.7198E9</v>
      </c>
      <c r="F276" s="1">
        <v>3.709E8</v>
      </c>
      <c r="G276" s="1">
        <v>3.579E8</v>
      </c>
      <c r="H276" s="1">
        <v>8.132E8</v>
      </c>
      <c r="I276" s="1">
        <v>2.362E9</v>
      </c>
      <c r="J276" s="1">
        <v>-2.962E8</v>
      </c>
      <c r="K276" s="1">
        <v>-2.962E8</v>
      </c>
      <c r="L276" s="1">
        <v>-5.6E7</v>
      </c>
      <c r="M276" s="1">
        <v>1.33E7</v>
      </c>
      <c r="N276" s="1">
        <v>2.8526E9</v>
      </c>
      <c r="O276" s="1">
        <v>3.1488E9</v>
      </c>
      <c r="P276" s="1">
        <v>4.906E8</v>
      </c>
      <c r="Q276" s="1">
        <v>6.671E8</v>
      </c>
      <c r="R276" s="1">
        <v>3.576E8</v>
      </c>
      <c r="S276" s="1">
        <v>3.579E8</v>
      </c>
    </row>
    <row r="277">
      <c r="A277" s="1">
        <v>275.0</v>
      </c>
      <c r="B277" s="3">
        <v>44104.0</v>
      </c>
      <c r="C277" s="1" t="s">
        <v>169</v>
      </c>
      <c r="D277" s="1" t="s">
        <v>170</v>
      </c>
      <c r="E277" s="1">
        <v>1.1409E9</v>
      </c>
      <c r="F277" s="1">
        <v>9.447E8</v>
      </c>
      <c r="G277" s="1">
        <v>7.015E8</v>
      </c>
      <c r="H277" s="1">
        <v>5.731E8</v>
      </c>
      <c r="I277" s="1">
        <v>2.927E9</v>
      </c>
      <c r="J277" s="1">
        <v>1.0767E9</v>
      </c>
      <c r="K277" s="1">
        <v>1.0767E9</v>
      </c>
      <c r="L277" s="1">
        <v>-5.63E7</v>
      </c>
      <c r="M277" s="1">
        <v>2.408E8</v>
      </c>
      <c r="N277" s="1">
        <v>3.3761E9</v>
      </c>
      <c r="O277" s="1">
        <v>2.2994E9</v>
      </c>
      <c r="P277" s="1">
        <v>4.491E8</v>
      </c>
      <c r="Q277" s="1">
        <v>-1.32E8</v>
      </c>
      <c r="R277" s="1">
        <v>7.039E8</v>
      </c>
      <c r="S277" s="1">
        <v>7.015E8</v>
      </c>
    </row>
    <row r="278">
      <c r="A278" s="1">
        <v>276.0</v>
      </c>
      <c r="B278" s="3">
        <v>44377.0</v>
      </c>
      <c r="C278" s="1" t="s">
        <v>171</v>
      </c>
      <c r="D278" s="1" t="s">
        <v>172</v>
      </c>
      <c r="F278" s="1">
        <v>2.201E9</v>
      </c>
      <c r="G278" s="1">
        <v>1.378E9</v>
      </c>
      <c r="H278" s="1">
        <v>4.6E8</v>
      </c>
      <c r="I278" s="1">
        <v>2.429E9</v>
      </c>
      <c r="J278" s="1">
        <v>1.932E9</v>
      </c>
      <c r="K278" s="1">
        <v>1.932E9</v>
      </c>
      <c r="L278" s="1">
        <v>-5.2E7</v>
      </c>
      <c r="M278" s="1">
        <v>6.54E8</v>
      </c>
      <c r="N278" s="1">
        <v>4.82E9</v>
      </c>
      <c r="O278" s="1">
        <v>2.888E9</v>
      </c>
      <c r="P278" s="1">
        <v>2.391E9</v>
      </c>
      <c r="Q278" s="1">
        <v>2.69E8</v>
      </c>
      <c r="R278" s="1">
        <v>1.547E9</v>
      </c>
      <c r="S278" s="1">
        <v>1.378E9</v>
      </c>
    </row>
    <row r="279">
      <c r="A279" s="1">
        <v>277.0</v>
      </c>
      <c r="B279" s="3">
        <v>44286.0</v>
      </c>
      <c r="C279" s="1" t="s">
        <v>171</v>
      </c>
      <c r="D279" s="1" t="s">
        <v>172</v>
      </c>
      <c r="F279" s="1">
        <v>1.591E9</v>
      </c>
      <c r="G279" s="1">
        <v>1.199E9</v>
      </c>
      <c r="H279" s="1">
        <v>5.82E8</v>
      </c>
      <c r="I279" s="1">
        <v>2.164E9</v>
      </c>
      <c r="J279" s="1">
        <v>1.548E9</v>
      </c>
      <c r="K279" s="1">
        <v>1.548E9</v>
      </c>
      <c r="L279" s="1">
        <v>-5.5E7</v>
      </c>
      <c r="M279" s="1">
        <v>3.18E8</v>
      </c>
      <c r="N279" s="1">
        <v>4.398E9</v>
      </c>
      <c r="O279" s="1">
        <v>2.85E9</v>
      </c>
      <c r="P279" s="1">
        <v>2.234E9</v>
      </c>
      <c r="Q279" s="1">
        <v>4.3E7</v>
      </c>
      <c r="R279" s="1">
        <v>1.273E9</v>
      </c>
      <c r="S279" s="1">
        <v>1.199E9</v>
      </c>
    </row>
    <row r="280">
      <c r="A280" s="1">
        <v>278.0</v>
      </c>
      <c r="B280" s="3">
        <v>44196.0</v>
      </c>
      <c r="C280" s="1" t="s">
        <v>171</v>
      </c>
      <c r="D280" s="1" t="s">
        <v>172</v>
      </c>
      <c r="F280" s="1">
        <v>2.167E9</v>
      </c>
      <c r="G280" s="1">
        <v>1.548E9</v>
      </c>
      <c r="H280" s="1">
        <v>4.74E8</v>
      </c>
      <c r="I280" s="1">
        <v>2.349E9</v>
      </c>
      <c r="J280" s="1">
        <v>1.848E9</v>
      </c>
      <c r="K280" s="1">
        <v>1.848E9</v>
      </c>
      <c r="L280" s="1">
        <v>-5.4E7</v>
      </c>
      <c r="M280" s="1">
        <v>4.27E8</v>
      </c>
      <c r="N280" s="1">
        <v>4.478E9</v>
      </c>
      <c r="O280" s="1">
        <v>2.63E9</v>
      </c>
      <c r="P280" s="1">
        <v>2.129E9</v>
      </c>
      <c r="Q280" s="1">
        <v>3.19E8</v>
      </c>
      <c r="R280" s="1">
        <v>1.74E9</v>
      </c>
      <c r="S280" s="1">
        <v>1.548E9</v>
      </c>
    </row>
    <row r="281">
      <c r="A281" s="1">
        <v>279.0</v>
      </c>
      <c r="B281" s="3">
        <v>44104.0</v>
      </c>
      <c r="C281" s="1" t="s">
        <v>171</v>
      </c>
      <c r="D281" s="1" t="s">
        <v>172</v>
      </c>
      <c r="F281" s="1">
        <v>1.981E9</v>
      </c>
      <c r="G281" s="1">
        <v>1.364E9</v>
      </c>
      <c r="H281" s="1">
        <v>4.61E8</v>
      </c>
      <c r="I281" s="1">
        <v>2.245E9</v>
      </c>
      <c r="J281" s="1">
        <v>1.757E9</v>
      </c>
      <c r="K281" s="1">
        <v>1.757E9</v>
      </c>
      <c r="L281" s="1">
        <v>-5.4E7</v>
      </c>
      <c r="M281" s="1">
        <v>4.64E8</v>
      </c>
      <c r="N281" s="1">
        <v>4.369E9</v>
      </c>
      <c r="O281" s="1">
        <v>2.612E9</v>
      </c>
      <c r="P281" s="1">
        <v>2.124E9</v>
      </c>
      <c r="Q281" s="1">
        <v>2.24E8</v>
      </c>
      <c r="R281" s="1">
        <v>1.517E9</v>
      </c>
      <c r="S281" s="1">
        <v>1.364E9</v>
      </c>
    </row>
    <row r="282">
      <c r="A282" s="1">
        <v>280.0</v>
      </c>
      <c r="B282" s="3">
        <v>44469.0</v>
      </c>
      <c r="C282" s="1" t="s">
        <v>173</v>
      </c>
      <c r="D282" s="1" t="s">
        <v>174</v>
      </c>
      <c r="F282" s="1">
        <v>1.162E9</v>
      </c>
      <c r="G282" s="1">
        <v>9.47E8</v>
      </c>
      <c r="H282" s="1">
        <v>2.461E9</v>
      </c>
      <c r="I282" s="1">
        <v>4.08E9</v>
      </c>
      <c r="J282" s="1">
        <v>0.0</v>
      </c>
      <c r="K282" s="1">
        <v>1.181E9</v>
      </c>
      <c r="M282" s="1">
        <v>2.19E8</v>
      </c>
      <c r="N282" s="1">
        <v>4.08E9</v>
      </c>
      <c r="O282" s="1">
        <v>2.899E9</v>
      </c>
      <c r="P282" s="1">
        <v>0.0</v>
      </c>
      <c r="Q282" s="1">
        <v>-1.9E7</v>
      </c>
      <c r="R282" s="1">
        <v>9.43E8</v>
      </c>
      <c r="S282" s="1">
        <v>8.81E8</v>
      </c>
    </row>
    <row r="283">
      <c r="A283" s="1">
        <v>281.0</v>
      </c>
      <c r="B283" s="3">
        <v>44377.0</v>
      </c>
      <c r="C283" s="1" t="s">
        <v>173</v>
      </c>
      <c r="D283" s="1" t="s">
        <v>174</v>
      </c>
      <c r="F283" s="1">
        <v>1.268E9</v>
      </c>
      <c r="G283" s="1">
        <v>1.022E9</v>
      </c>
      <c r="H283" s="1">
        <v>2.39E9</v>
      </c>
      <c r="I283" s="1">
        <v>4.046E9</v>
      </c>
      <c r="J283" s="1">
        <v>0.0</v>
      </c>
      <c r="K283" s="1">
        <v>1.288E9</v>
      </c>
      <c r="M283" s="1">
        <v>2.41E8</v>
      </c>
      <c r="N283" s="1">
        <v>4.046E9</v>
      </c>
      <c r="O283" s="1">
        <v>2.758E9</v>
      </c>
      <c r="P283" s="1">
        <v>0.0</v>
      </c>
      <c r="Q283" s="1">
        <v>-2.0E7</v>
      </c>
      <c r="R283" s="1">
        <v>1.027E9</v>
      </c>
      <c r="S283" s="1">
        <v>9.9E8</v>
      </c>
    </row>
    <row r="284">
      <c r="A284" s="1">
        <v>282.0</v>
      </c>
      <c r="B284" s="3">
        <v>44286.0</v>
      </c>
      <c r="C284" s="1" t="s">
        <v>173</v>
      </c>
      <c r="D284" s="1" t="s">
        <v>174</v>
      </c>
      <c r="F284" s="1">
        <v>1.153E9</v>
      </c>
      <c r="G284" s="1">
        <v>9.27E8</v>
      </c>
      <c r="H284" s="1">
        <v>2.449E9</v>
      </c>
      <c r="I284" s="1">
        <v>4.004E9</v>
      </c>
      <c r="J284" s="1">
        <v>0.0</v>
      </c>
      <c r="K284" s="1">
        <v>1.177E9</v>
      </c>
      <c r="M284" s="1">
        <v>2.21E8</v>
      </c>
      <c r="N284" s="1">
        <v>4.004E9</v>
      </c>
      <c r="O284" s="1">
        <v>2.827E9</v>
      </c>
      <c r="P284" s="1">
        <v>0.0</v>
      </c>
      <c r="Q284" s="1">
        <v>-2.4E7</v>
      </c>
      <c r="R284" s="1">
        <v>9.32E8</v>
      </c>
      <c r="S284" s="1">
        <v>8.57E8</v>
      </c>
    </row>
    <row r="285">
      <c r="A285" s="1">
        <v>283.0</v>
      </c>
      <c r="B285" s="3">
        <v>44196.0</v>
      </c>
      <c r="C285" s="1" t="s">
        <v>173</v>
      </c>
      <c r="D285" s="1" t="s">
        <v>174</v>
      </c>
      <c r="F285" s="1">
        <v>9.03E8</v>
      </c>
      <c r="G285" s="1">
        <v>7.5E8</v>
      </c>
      <c r="H285" s="1">
        <v>2.493E9</v>
      </c>
      <c r="I285" s="1">
        <v>3.828E9</v>
      </c>
      <c r="J285" s="1">
        <v>0.0</v>
      </c>
      <c r="K285" s="1">
        <v>9.29E8</v>
      </c>
      <c r="M285" s="1">
        <v>1.48E8</v>
      </c>
      <c r="N285" s="1">
        <v>3.828E9</v>
      </c>
      <c r="O285" s="1">
        <v>2.899E9</v>
      </c>
      <c r="P285" s="1">
        <v>0.0</v>
      </c>
      <c r="Q285" s="1">
        <v>-2.6E7</v>
      </c>
      <c r="R285" s="1">
        <v>7.55E8</v>
      </c>
      <c r="S285" s="1">
        <v>7.01E8</v>
      </c>
    </row>
    <row r="286">
      <c r="A286" s="1">
        <v>284.0</v>
      </c>
      <c r="B286" s="3">
        <v>44469.0</v>
      </c>
      <c r="C286" s="1" t="s">
        <v>175</v>
      </c>
      <c r="D286" s="1" t="s">
        <v>176</v>
      </c>
      <c r="E286" s="1">
        <v>5.75E8</v>
      </c>
      <c r="F286" s="1">
        <v>-3.1E8</v>
      </c>
      <c r="G286" s="1">
        <v>-1.09E8</v>
      </c>
      <c r="H286" s="1">
        <v>1.062E9</v>
      </c>
      <c r="I286" s="1">
        <v>2.13E9</v>
      </c>
      <c r="J286" s="1">
        <v>4.93E8</v>
      </c>
      <c r="K286" s="1">
        <v>4.93E8</v>
      </c>
      <c r="L286" s="1">
        <v>-6.69E8</v>
      </c>
      <c r="M286" s="1">
        <v>-1.78E8</v>
      </c>
      <c r="N286" s="1">
        <v>1.5278E10</v>
      </c>
      <c r="O286" s="1">
        <v>1.4785E10</v>
      </c>
      <c r="P286" s="1">
        <v>1.3148E10</v>
      </c>
      <c r="Q286" s="1">
        <v>-8.03E8</v>
      </c>
      <c r="R286" s="1">
        <v>-1.32E8</v>
      </c>
      <c r="S286" s="1">
        <v>-1.09E8</v>
      </c>
    </row>
    <row r="287">
      <c r="A287" s="1">
        <v>285.0</v>
      </c>
      <c r="B287" s="3">
        <v>44377.0</v>
      </c>
      <c r="C287" s="1" t="s">
        <v>175</v>
      </c>
      <c r="D287" s="1" t="s">
        <v>176</v>
      </c>
      <c r="E287" s="1">
        <v>4.97E8</v>
      </c>
      <c r="F287" s="1">
        <v>5.49E8</v>
      </c>
      <c r="G287" s="1">
        <v>5.87E8</v>
      </c>
      <c r="H287" s="1">
        <v>8.6E8</v>
      </c>
      <c r="I287" s="1">
        <v>2.925E9</v>
      </c>
      <c r="J287" s="1">
        <v>1.568E9</v>
      </c>
      <c r="K287" s="1">
        <v>1.568E9</v>
      </c>
      <c r="L287" s="1">
        <v>-6.73E8</v>
      </c>
      <c r="M287" s="1">
        <v>-1.8E7</v>
      </c>
      <c r="N287" s="1">
        <v>1.6998E10</v>
      </c>
      <c r="O287" s="1">
        <v>1.543E10</v>
      </c>
      <c r="P287" s="1">
        <v>1.4073E10</v>
      </c>
      <c r="Q287" s="1">
        <v>-1.019E9</v>
      </c>
      <c r="R287" s="1">
        <v>5.67E8</v>
      </c>
      <c r="S287" s="1">
        <v>5.87E8</v>
      </c>
    </row>
    <row r="288">
      <c r="A288" s="1">
        <v>286.0</v>
      </c>
      <c r="B288" s="3">
        <v>44286.0</v>
      </c>
      <c r="C288" s="1" t="s">
        <v>175</v>
      </c>
      <c r="D288" s="1" t="s">
        <v>176</v>
      </c>
      <c r="E288" s="1">
        <v>4.99E8</v>
      </c>
      <c r="F288" s="1">
        <v>-5.72E8</v>
      </c>
      <c r="G288" s="1">
        <v>-5.37E8</v>
      </c>
      <c r="H288" s="1">
        <v>8.5E8</v>
      </c>
      <c r="I288" s="1">
        <v>1.977E9</v>
      </c>
      <c r="J288" s="1">
        <v>6.28E8</v>
      </c>
      <c r="K288" s="1">
        <v>6.28E8</v>
      </c>
      <c r="L288" s="1">
        <v>-6.79E8</v>
      </c>
      <c r="M288" s="1">
        <v>-1.1E7</v>
      </c>
      <c r="N288" s="1">
        <v>1.5217E10</v>
      </c>
      <c r="O288" s="1">
        <v>1.4589E10</v>
      </c>
      <c r="P288" s="1">
        <v>1.324E10</v>
      </c>
      <c r="Q288" s="1">
        <v>-1.2E9</v>
      </c>
      <c r="R288" s="1">
        <v>-5.61E8</v>
      </c>
      <c r="S288" s="1">
        <v>-5.37E8</v>
      </c>
    </row>
    <row r="289">
      <c r="A289" s="1">
        <v>287.0</v>
      </c>
      <c r="B289" s="3">
        <v>44196.0</v>
      </c>
      <c r="C289" s="1" t="s">
        <v>175</v>
      </c>
      <c r="D289" s="1" t="s">
        <v>176</v>
      </c>
      <c r="E289" s="1">
        <v>6.05E8</v>
      </c>
      <c r="F289" s="1">
        <v>-8.625E9</v>
      </c>
      <c r="G289" s="1">
        <v>-8.42E9</v>
      </c>
      <c r="H289" s="1">
        <v>1.722E9</v>
      </c>
      <c r="I289" s="1">
        <v>-4.062E9</v>
      </c>
      <c r="J289" s="1">
        <v>-6.389E9</v>
      </c>
      <c r="K289" s="1">
        <v>-6.389E9</v>
      </c>
      <c r="L289" s="1">
        <v>-6.98E8</v>
      </c>
      <c r="M289" s="1">
        <v>-1.86E8</v>
      </c>
      <c r="N289" s="1">
        <v>1.5304E10</v>
      </c>
      <c r="O289" s="1">
        <v>2.1693E10</v>
      </c>
      <c r="P289" s="1">
        <v>1.9366E10</v>
      </c>
      <c r="Q289" s="1">
        <v>-2.236E9</v>
      </c>
      <c r="R289" s="1">
        <v>-8.439E9</v>
      </c>
      <c r="S289" s="1">
        <v>-8.42E9</v>
      </c>
    </row>
    <row r="290">
      <c r="A290" s="1">
        <v>288.0</v>
      </c>
      <c r="B290" s="3">
        <v>44377.0</v>
      </c>
      <c r="C290" s="1" t="s">
        <v>178</v>
      </c>
      <c r="D290" s="1" t="s">
        <v>179</v>
      </c>
      <c r="F290" s="1">
        <v>-4.1E7</v>
      </c>
      <c r="G290" s="1">
        <v>-1.67E8</v>
      </c>
      <c r="H290" s="1">
        <v>1.421E9</v>
      </c>
      <c r="I290" s="1">
        <v>1.474E9</v>
      </c>
      <c r="J290" s="1">
        <v>-5.5E7</v>
      </c>
      <c r="K290" s="1">
        <v>-5.5E7</v>
      </c>
      <c r="L290" s="1">
        <v>-8.1E7</v>
      </c>
      <c r="M290" s="1">
        <v>1.26E8</v>
      </c>
      <c r="N290" s="1">
        <v>2.16E9</v>
      </c>
      <c r="O290" s="1">
        <v>2.215E9</v>
      </c>
      <c r="P290" s="1">
        <v>6.86E8</v>
      </c>
      <c r="Q290" s="1">
        <v>1.4E7</v>
      </c>
      <c r="R290" s="1">
        <v>-1.67E8</v>
      </c>
      <c r="S290" s="1">
        <v>-1.67E8</v>
      </c>
    </row>
    <row r="291">
      <c r="A291" s="1">
        <v>289.0</v>
      </c>
      <c r="B291" s="3">
        <v>44286.0</v>
      </c>
      <c r="C291" s="1" t="s">
        <v>178</v>
      </c>
      <c r="D291" s="1" t="s">
        <v>179</v>
      </c>
      <c r="F291" s="1">
        <v>-2.78E8</v>
      </c>
      <c r="G291" s="1">
        <v>-5.5E7</v>
      </c>
      <c r="H291" s="1">
        <v>7.79E8</v>
      </c>
      <c r="I291" s="1">
        <v>5.89E8</v>
      </c>
      <c r="J291" s="1">
        <v>-3.03E8</v>
      </c>
      <c r="K291" s="1">
        <v>-3.03E8</v>
      </c>
      <c r="L291" s="1">
        <v>-9.8E7</v>
      </c>
      <c r="M291" s="1">
        <v>-2.23E8</v>
      </c>
      <c r="N291" s="1">
        <v>1.141E9</v>
      </c>
      <c r="O291" s="1">
        <v>1.444E9</v>
      </c>
      <c r="P291" s="1">
        <v>5.52E8</v>
      </c>
      <c r="Q291" s="1">
        <v>2.5E7</v>
      </c>
      <c r="R291" s="1">
        <v>-5.5E7</v>
      </c>
      <c r="S291" s="1">
        <v>-5.5E7</v>
      </c>
    </row>
    <row r="292">
      <c r="A292" s="1">
        <v>290.0</v>
      </c>
      <c r="B292" s="3">
        <v>44196.0</v>
      </c>
      <c r="C292" s="1" t="s">
        <v>178</v>
      </c>
      <c r="D292" s="1" t="s">
        <v>179</v>
      </c>
      <c r="F292" s="1">
        <v>2.45E8</v>
      </c>
      <c r="G292" s="1">
        <v>-1.65E8</v>
      </c>
      <c r="H292" s="1">
        <v>7.12E8</v>
      </c>
      <c r="I292" s="1">
        <v>7.47E8</v>
      </c>
      <c r="J292" s="1">
        <v>-7.9E7</v>
      </c>
      <c r="K292" s="1">
        <v>-7.9E7</v>
      </c>
      <c r="L292" s="1">
        <v>-9.8E7</v>
      </c>
      <c r="M292" s="1">
        <v>4.1E8</v>
      </c>
      <c r="N292" s="1">
        <v>1.238E9</v>
      </c>
      <c r="O292" s="1">
        <v>1.317E9</v>
      </c>
      <c r="P292" s="1">
        <v>4.91E8</v>
      </c>
      <c r="Q292" s="1">
        <v>3.24E8</v>
      </c>
      <c r="R292" s="1">
        <v>-1.65E8</v>
      </c>
      <c r="S292" s="1">
        <v>-1.65E8</v>
      </c>
    </row>
    <row r="293">
      <c r="A293" s="1">
        <v>291.0</v>
      </c>
      <c r="B293" s="3">
        <v>44104.0</v>
      </c>
      <c r="C293" s="1" t="s">
        <v>178</v>
      </c>
      <c r="D293" s="1" t="s">
        <v>179</v>
      </c>
      <c r="F293" s="1">
        <v>8.35E8</v>
      </c>
      <c r="G293" s="1">
        <v>8.01E8</v>
      </c>
      <c r="H293" s="1">
        <v>1.079E9</v>
      </c>
      <c r="I293" s="1">
        <v>2.123E9</v>
      </c>
      <c r="J293" s="1">
        <v>9.29E8</v>
      </c>
      <c r="K293" s="1">
        <v>9.29E8</v>
      </c>
      <c r="L293" s="1">
        <v>-9.8E7</v>
      </c>
      <c r="M293" s="1">
        <v>3.4E7</v>
      </c>
      <c r="N293" s="1">
        <v>2.64E9</v>
      </c>
      <c r="O293" s="1">
        <v>1.711E9</v>
      </c>
      <c r="P293" s="1">
        <v>5.17E8</v>
      </c>
      <c r="Q293" s="1">
        <v>-9.4E7</v>
      </c>
      <c r="R293" s="1">
        <v>8.01E8</v>
      </c>
      <c r="S293" s="1">
        <v>8.01E8</v>
      </c>
    </row>
    <row r="294">
      <c r="A294" s="1">
        <v>292.0</v>
      </c>
      <c r="B294" s="3">
        <v>44377.0</v>
      </c>
      <c r="C294" s="1" t="s">
        <v>180</v>
      </c>
      <c r="D294" s="1" t="s">
        <v>181</v>
      </c>
      <c r="F294" s="1">
        <v>3.02E8</v>
      </c>
      <c r="G294" s="1">
        <v>2.47E8</v>
      </c>
      <c r="H294" s="1">
        <v>3.52E8</v>
      </c>
      <c r="I294" s="1">
        <v>7.62E8</v>
      </c>
      <c r="J294" s="1">
        <v>4.13E8</v>
      </c>
      <c r="K294" s="1">
        <v>4.13E8</v>
      </c>
      <c r="L294" s="1">
        <v>-4.2E7</v>
      </c>
      <c r="M294" s="1">
        <v>2.8E7</v>
      </c>
      <c r="N294" s="1">
        <v>3.758E9</v>
      </c>
      <c r="O294" s="1">
        <v>3.345E9</v>
      </c>
      <c r="P294" s="1">
        <v>2.996E9</v>
      </c>
      <c r="Q294" s="1">
        <v>-1.11E8</v>
      </c>
      <c r="R294" s="1">
        <v>2.74E8</v>
      </c>
      <c r="S294" s="1">
        <v>2.47E8</v>
      </c>
    </row>
    <row r="295">
      <c r="A295" s="1">
        <v>293.0</v>
      </c>
      <c r="B295" s="3">
        <v>44286.0</v>
      </c>
      <c r="C295" s="1" t="s">
        <v>180</v>
      </c>
      <c r="D295" s="1" t="s">
        <v>181</v>
      </c>
      <c r="F295" s="1">
        <v>1.36E8</v>
      </c>
      <c r="G295" s="1">
        <v>6.5E7</v>
      </c>
      <c r="H295" s="1">
        <v>3.66E8</v>
      </c>
      <c r="I295" s="1">
        <v>8.18E8</v>
      </c>
      <c r="J295" s="1">
        <v>4.55E8</v>
      </c>
      <c r="K295" s="1">
        <v>4.55E8</v>
      </c>
      <c r="L295" s="1">
        <v>-2.1E7</v>
      </c>
      <c r="M295" s="1">
        <v>4.2E7</v>
      </c>
      <c r="N295" s="1">
        <v>4.009E9</v>
      </c>
      <c r="O295" s="1">
        <v>3.554E9</v>
      </c>
      <c r="P295" s="1">
        <v>3.191E9</v>
      </c>
      <c r="Q295" s="1">
        <v>-3.19E8</v>
      </c>
      <c r="R295" s="1">
        <v>9.4E7</v>
      </c>
      <c r="S295" s="1">
        <v>6.5E7</v>
      </c>
    </row>
    <row r="296">
      <c r="A296" s="1">
        <v>294.0</v>
      </c>
      <c r="B296" s="3">
        <v>44196.0</v>
      </c>
      <c r="C296" s="1" t="s">
        <v>180</v>
      </c>
      <c r="D296" s="1" t="s">
        <v>181</v>
      </c>
      <c r="F296" s="1">
        <v>5.96E8</v>
      </c>
      <c r="G296" s="1">
        <v>3.58E8</v>
      </c>
      <c r="H296" s="1">
        <v>3.48E8</v>
      </c>
      <c r="I296" s="1">
        <v>7.72E8</v>
      </c>
      <c r="J296" s="1">
        <v>4.23E8</v>
      </c>
      <c r="K296" s="1">
        <v>4.23E8</v>
      </c>
      <c r="L296" s="1">
        <v>-2.3E7</v>
      </c>
      <c r="M296" s="1">
        <v>2.11E8</v>
      </c>
      <c r="N296" s="1">
        <v>3.926E9</v>
      </c>
      <c r="O296" s="1">
        <v>3.503E9</v>
      </c>
      <c r="P296" s="1">
        <v>3.154E9</v>
      </c>
      <c r="Q296" s="1">
        <v>1.73E8</v>
      </c>
      <c r="R296" s="1">
        <v>3.85E8</v>
      </c>
      <c r="S296" s="1">
        <v>3.58E8</v>
      </c>
    </row>
    <row r="297">
      <c r="A297" s="1">
        <v>295.0</v>
      </c>
      <c r="B297" s="3">
        <v>44104.0</v>
      </c>
      <c r="C297" s="1" t="s">
        <v>180</v>
      </c>
      <c r="D297" s="1" t="s">
        <v>181</v>
      </c>
      <c r="F297" s="1">
        <v>2.72E8</v>
      </c>
      <c r="G297" s="1">
        <v>1.11E8</v>
      </c>
      <c r="H297" s="1">
        <v>2.02E8</v>
      </c>
      <c r="I297" s="1">
        <v>5.17E8</v>
      </c>
      <c r="J297" s="1">
        <v>3.19E8</v>
      </c>
      <c r="K297" s="1">
        <v>3.19E8</v>
      </c>
      <c r="L297" s="1">
        <v>-2.0E7</v>
      </c>
      <c r="M297" s="1">
        <v>1.43E8</v>
      </c>
      <c r="N297" s="1">
        <v>2.534E9</v>
      </c>
      <c r="O297" s="1">
        <v>2.215E9</v>
      </c>
      <c r="P297" s="1">
        <v>2.017E9</v>
      </c>
      <c r="Q297" s="1">
        <v>-4.7E7</v>
      </c>
      <c r="R297" s="1">
        <v>1.29E8</v>
      </c>
      <c r="S297" s="1">
        <v>1.11E8</v>
      </c>
    </row>
    <row r="298">
      <c r="A298" s="1">
        <v>296.0</v>
      </c>
      <c r="B298" s="3">
        <v>44377.0</v>
      </c>
      <c r="C298" s="1" t="s">
        <v>182</v>
      </c>
      <c r="D298" s="1" t="s">
        <v>183</v>
      </c>
      <c r="F298" s="1">
        <v>1.4125E8</v>
      </c>
      <c r="G298" s="1">
        <v>1.11703E8</v>
      </c>
      <c r="H298" s="1">
        <v>3.8405E7</v>
      </c>
      <c r="I298" s="1">
        <v>4.57565E8</v>
      </c>
      <c r="J298" s="1">
        <v>2.45822E8</v>
      </c>
      <c r="K298" s="1">
        <v>2.45822E8</v>
      </c>
      <c r="L298" s="1">
        <v>-1.06319E8</v>
      </c>
      <c r="M298" s="1">
        <v>0.0</v>
      </c>
      <c r="N298" s="1">
        <v>7.09015E8</v>
      </c>
      <c r="O298" s="1">
        <v>4.63193E8</v>
      </c>
      <c r="P298" s="1">
        <v>2.5145E8</v>
      </c>
      <c r="Q298" s="1">
        <v>-1.04572E8</v>
      </c>
      <c r="R298" s="1">
        <v>1.4125E8</v>
      </c>
      <c r="S298" s="1">
        <v>1.11703E8</v>
      </c>
    </row>
    <row r="299">
      <c r="A299" s="1">
        <v>297.0</v>
      </c>
      <c r="B299" s="3">
        <v>44286.0</v>
      </c>
      <c r="C299" s="1" t="s">
        <v>182</v>
      </c>
      <c r="D299" s="1" t="s">
        <v>183</v>
      </c>
      <c r="F299" s="1">
        <v>1.28147E8</v>
      </c>
      <c r="G299" s="1">
        <v>1.00596E8</v>
      </c>
      <c r="H299" s="1">
        <v>4.4959E7</v>
      </c>
      <c r="I299" s="1">
        <v>4.46779E8</v>
      </c>
      <c r="J299" s="1">
        <v>2.31055E8</v>
      </c>
      <c r="K299" s="1">
        <v>2.31055E8</v>
      </c>
      <c r="L299" s="1">
        <v>-1.07902E8</v>
      </c>
      <c r="M299" s="1">
        <v>0.0</v>
      </c>
      <c r="N299" s="1">
        <v>7.0655E8</v>
      </c>
      <c r="O299" s="1">
        <v>4.75495E8</v>
      </c>
      <c r="P299" s="1">
        <v>2.59771E8</v>
      </c>
      <c r="Q299" s="1">
        <v>-1.02908E8</v>
      </c>
      <c r="R299" s="1">
        <v>1.28147E8</v>
      </c>
      <c r="S299" s="1">
        <v>9.1624E7</v>
      </c>
    </row>
    <row r="300">
      <c r="A300" s="1">
        <v>298.0</v>
      </c>
      <c r="B300" s="3">
        <v>44196.0</v>
      </c>
      <c r="C300" s="1" t="s">
        <v>182</v>
      </c>
      <c r="D300" s="1" t="s">
        <v>183</v>
      </c>
      <c r="F300" s="1">
        <v>2.4905E7</v>
      </c>
      <c r="G300" s="1">
        <v>1.0311E7</v>
      </c>
      <c r="H300" s="1">
        <v>3.1053E7</v>
      </c>
      <c r="I300" s="1">
        <v>3.9312E8</v>
      </c>
      <c r="J300" s="1">
        <v>1.94054E8</v>
      </c>
      <c r="K300" s="1">
        <v>1.94054E8</v>
      </c>
      <c r="L300" s="1">
        <v>-1.11991E8</v>
      </c>
      <c r="M300" s="1">
        <v>0.0</v>
      </c>
      <c r="N300" s="1">
        <v>6.50769E8</v>
      </c>
      <c r="O300" s="1">
        <v>4.56715E8</v>
      </c>
      <c r="P300" s="1">
        <v>2.57649E8</v>
      </c>
      <c r="Q300" s="1">
        <v>-1.69149E8</v>
      </c>
      <c r="R300" s="1">
        <v>2.4905E7</v>
      </c>
      <c r="S300" s="1">
        <v>8088000.0</v>
      </c>
    </row>
    <row r="301">
      <c r="A301" s="1">
        <v>299.0</v>
      </c>
      <c r="B301" s="3">
        <v>44104.0</v>
      </c>
      <c r="C301" s="1" t="s">
        <v>182</v>
      </c>
      <c r="D301" s="1" t="s">
        <v>183</v>
      </c>
      <c r="F301" s="1">
        <v>1.1806E8</v>
      </c>
      <c r="G301" s="1">
        <v>9.2479E7</v>
      </c>
      <c r="H301" s="1">
        <v>2.7862E7</v>
      </c>
      <c r="I301" s="1">
        <v>4.24219E8</v>
      </c>
      <c r="J301" s="1">
        <v>2.29901E8</v>
      </c>
      <c r="K301" s="1">
        <v>2.29901E8</v>
      </c>
      <c r="L301" s="1">
        <v>-1.10993E8</v>
      </c>
      <c r="M301" s="1">
        <v>0.0</v>
      </c>
      <c r="N301" s="1">
        <v>6.85951E8</v>
      </c>
      <c r="O301" s="1">
        <v>4.5605E8</v>
      </c>
      <c r="P301" s="1">
        <v>2.61732E8</v>
      </c>
      <c r="Q301" s="1">
        <v>-1.11841E8</v>
      </c>
      <c r="R301" s="1">
        <v>1.1806E8</v>
      </c>
      <c r="S301" s="1">
        <v>8.9854E7</v>
      </c>
    </row>
    <row r="302">
      <c r="A302" s="1">
        <v>300.0</v>
      </c>
      <c r="B302" s="3">
        <v>44377.0</v>
      </c>
      <c r="C302" s="1" t="s">
        <v>185</v>
      </c>
      <c r="D302" s="1" t="s">
        <v>186</v>
      </c>
      <c r="E302" s="1">
        <v>2.98E8</v>
      </c>
      <c r="F302" s="1">
        <v>1.49E8</v>
      </c>
      <c r="G302" s="1">
        <v>1.86E8</v>
      </c>
      <c r="H302" s="1">
        <v>1.121E9</v>
      </c>
      <c r="I302" s="1">
        <v>2.12E9</v>
      </c>
      <c r="J302" s="1">
        <v>5.21E8</v>
      </c>
      <c r="K302" s="1">
        <v>5.21E8</v>
      </c>
      <c r="L302" s="1">
        <v>-8.6E7</v>
      </c>
      <c r="M302" s="1">
        <v>-3.7E7</v>
      </c>
      <c r="N302" s="1">
        <v>3.077E9</v>
      </c>
      <c r="O302" s="1">
        <v>2.556E9</v>
      </c>
      <c r="P302" s="1">
        <v>9.57E8</v>
      </c>
      <c r="Q302" s="1">
        <v>-3.72E8</v>
      </c>
      <c r="R302" s="1">
        <v>1.86E8</v>
      </c>
      <c r="S302" s="1">
        <v>1.72E8</v>
      </c>
    </row>
    <row r="303">
      <c r="A303" s="1">
        <v>301.0</v>
      </c>
      <c r="B303" s="3">
        <v>44286.0</v>
      </c>
      <c r="C303" s="1" t="s">
        <v>185</v>
      </c>
      <c r="D303" s="1" t="s">
        <v>186</v>
      </c>
      <c r="E303" s="1">
        <v>2.76E8</v>
      </c>
      <c r="F303" s="1">
        <v>3.25E8</v>
      </c>
      <c r="G303" s="1">
        <v>3.41E8</v>
      </c>
      <c r="H303" s="1">
        <v>1.019E9</v>
      </c>
      <c r="I303" s="1">
        <v>1.846E9</v>
      </c>
      <c r="J303" s="1">
        <v>3.66E8</v>
      </c>
      <c r="K303" s="1">
        <v>3.66E8</v>
      </c>
      <c r="L303" s="1">
        <v>-8.2E7</v>
      </c>
      <c r="M303" s="1">
        <v>-1.6E7</v>
      </c>
      <c r="N303" s="1">
        <v>2.752E9</v>
      </c>
      <c r="O303" s="1">
        <v>2.386E9</v>
      </c>
      <c r="P303" s="1">
        <v>9.06E8</v>
      </c>
      <c r="Q303" s="1">
        <v>-4.1E7</v>
      </c>
      <c r="R303" s="1">
        <v>3.41E8</v>
      </c>
      <c r="S303" s="1">
        <v>3.27E8</v>
      </c>
    </row>
    <row r="304">
      <c r="A304" s="1">
        <v>302.0</v>
      </c>
      <c r="B304" s="3">
        <v>44196.0</v>
      </c>
      <c r="C304" s="1" t="s">
        <v>185</v>
      </c>
      <c r="D304" s="1" t="s">
        <v>186</v>
      </c>
      <c r="E304" s="1">
        <v>2.82E8</v>
      </c>
      <c r="F304" s="1">
        <v>3.06E8</v>
      </c>
      <c r="G304" s="1">
        <v>2.1E8</v>
      </c>
      <c r="H304" s="1">
        <v>9.76E8</v>
      </c>
      <c r="I304" s="1">
        <v>2.086E9</v>
      </c>
      <c r="J304" s="1">
        <v>6.34E8</v>
      </c>
      <c r="K304" s="1">
        <v>6.34E8</v>
      </c>
      <c r="L304" s="1">
        <v>-9.6E7</v>
      </c>
      <c r="M304" s="1">
        <v>9.6E7</v>
      </c>
      <c r="N304" s="1">
        <v>2.709E9</v>
      </c>
      <c r="O304" s="1">
        <v>2.075E9</v>
      </c>
      <c r="P304" s="1">
        <v>6.23E8</v>
      </c>
      <c r="Q304" s="1">
        <v>-3.28E8</v>
      </c>
      <c r="R304" s="1">
        <v>2.1E8</v>
      </c>
      <c r="S304" s="1">
        <v>1.96E8</v>
      </c>
    </row>
    <row r="305">
      <c r="A305" s="1">
        <v>303.0</v>
      </c>
      <c r="B305" s="3">
        <v>44104.0</v>
      </c>
      <c r="C305" s="1" t="s">
        <v>185</v>
      </c>
      <c r="D305" s="1" t="s">
        <v>186</v>
      </c>
      <c r="E305" s="1">
        <v>3.15E8</v>
      </c>
      <c r="F305" s="1">
        <v>-2.27E8</v>
      </c>
      <c r="G305" s="1">
        <v>-1.55E8</v>
      </c>
      <c r="H305" s="1">
        <v>9.84E8</v>
      </c>
      <c r="I305" s="1">
        <v>1.778E9</v>
      </c>
      <c r="J305" s="1">
        <v>2.82E8</v>
      </c>
      <c r="K305" s="1">
        <v>2.82E8</v>
      </c>
      <c r="L305" s="1">
        <v>-8.6E7</v>
      </c>
      <c r="M305" s="1">
        <v>-7.2E7</v>
      </c>
      <c r="N305" s="1">
        <v>2.659E9</v>
      </c>
      <c r="O305" s="1">
        <v>2.377E9</v>
      </c>
      <c r="P305" s="1">
        <v>8.81E8</v>
      </c>
      <c r="Q305" s="1">
        <v>-5.09E8</v>
      </c>
      <c r="R305" s="1">
        <v>-1.55E8</v>
      </c>
      <c r="S305" s="1">
        <v>-1.69E8</v>
      </c>
    </row>
    <row r="306">
      <c r="A306" s="1">
        <v>304.0</v>
      </c>
      <c r="B306" s="3">
        <v>44377.0</v>
      </c>
      <c r="C306" s="1" t="s">
        <v>187</v>
      </c>
      <c r="D306" s="1" t="s">
        <v>188</v>
      </c>
      <c r="E306" s="1">
        <v>2.261E9</v>
      </c>
      <c r="F306" s="1">
        <v>1.553E9</v>
      </c>
      <c r="G306" s="1">
        <v>1.055E9</v>
      </c>
      <c r="H306" s="1">
        <v>1.866E9</v>
      </c>
      <c r="I306" s="1">
        <v>9.34E9</v>
      </c>
      <c r="J306" s="1">
        <v>2.666E9</v>
      </c>
      <c r="K306" s="1">
        <v>2.666E9</v>
      </c>
      <c r="L306" s="1">
        <v>-3.2E8</v>
      </c>
      <c r="M306" s="1">
        <v>4.92E8</v>
      </c>
      <c r="N306" s="1">
        <v>1.1703E10</v>
      </c>
      <c r="O306" s="1">
        <v>9.037E9</v>
      </c>
      <c r="P306" s="1">
        <v>2.363E9</v>
      </c>
      <c r="Q306" s="1">
        <v>-1.113E9</v>
      </c>
      <c r="R306" s="1">
        <v>1.061E9</v>
      </c>
      <c r="S306" s="1">
        <v>1.055E9</v>
      </c>
    </row>
    <row r="307">
      <c r="A307" s="1">
        <v>305.0</v>
      </c>
      <c r="B307" s="3">
        <v>44286.0</v>
      </c>
      <c r="C307" s="1" t="s">
        <v>187</v>
      </c>
      <c r="D307" s="1" t="s">
        <v>188</v>
      </c>
      <c r="E307" s="1">
        <v>2.225E9</v>
      </c>
      <c r="F307" s="1">
        <v>2.53E9</v>
      </c>
      <c r="G307" s="1">
        <v>2.021E9</v>
      </c>
      <c r="H307" s="1">
        <v>1.667E9</v>
      </c>
      <c r="I307" s="1">
        <v>8.649E9</v>
      </c>
      <c r="J307" s="1">
        <v>2.244E9</v>
      </c>
      <c r="K307" s="1">
        <v>2.244E9</v>
      </c>
      <c r="L307" s="1">
        <v>-3.42E8</v>
      </c>
      <c r="M307" s="1">
        <v>5.01E8</v>
      </c>
      <c r="N307" s="1">
        <v>1.1073E10</v>
      </c>
      <c r="O307" s="1">
        <v>8.829E9</v>
      </c>
      <c r="P307" s="1">
        <v>2.424E9</v>
      </c>
      <c r="Q307" s="1">
        <v>2.86E8</v>
      </c>
      <c r="R307" s="1">
        <v>2.029E9</v>
      </c>
      <c r="S307" s="1">
        <v>2.021E9</v>
      </c>
    </row>
    <row r="308">
      <c r="A308" s="1">
        <v>306.0</v>
      </c>
      <c r="B308" s="3">
        <v>44196.0</v>
      </c>
      <c r="C308" s="1" t="s">
        <v>187</v>
      </c>
      <c r="D308" s="1" t="s">
        <v>188</v>
      </c>
      <c r="E308" s="1">
        <v>2.579E9</v>
      </c>
      <c r="F308" s="1">
        <v>-1.0451E10</v>
      </c>
      <c r="G308" s="1">
        <v>-1.0027E10</v>
      </c>
      <c r="H308" s="1">
        <v>2.48E9</v>
      </c>
      <c r="I308" s="1">
        <v>8.833E9</v>
      </c>
      <c r="J308" s="1">
        <v>1.248E9</v>
      </c>
      <c r="K308" s="1">
        <v>1.248E9</v>
      </c>
      <c r="L308" s="1">
        <v>-3.45E8</v>
      </c>
      <c r="M308" s="1">
        <v>-4.24E8</v>
      </c>
      <c r="N308" s="1">
        <v>1.1068E10</v>
      </c>
      <c r="O308" s="1">
        <v>9.82E9</v>
      </c>
      <c r="P308" s="1">
        <v>2.235E9</v>
      </c>
      <c r="Q308" s="1">
        <v>-1.1699E10</v>
      </c>
      <c r="R308" s="1">
        <v>-1.0027E10</v>
      </c>
      <c r="S308" s="1">
        <v>-1.0027E10</v>
      </c>
    </row>
    <row r="309">
      <c r="A309" s="1">
        <v>307.0</v>
      </c>
      <c r="B309" s="3">
        <v>44104.0</v>
      </c>
      <c r="C309" s="1" t="s">
        <v>187</v>
      </c>
      <c r="D309" s="1" t="s">
        <v>188</v>
      </c>
      <c r="E309" s="1">
        <v>2.273E9</v>
      </c>
      <c r="F309" s="1">
        <v>2.257E9</v>
      </c>
      <c r="G309" s="1">
        <v>1.872E9</v>
      </c>
      <c r="H309" s="1">
        <v>1.694E9</v>
      </c>
      <c r="I309" s="1">
        <v>8.497E9</v>
      </c>
      <c r="J309" s="1">
        <v>2.039E9</v>
      </c>
      <c r="K309" s="1">
        <v>2.039E9</v>
      </c>
      <c r="L309" s="1">
        <v>-3.36E8</v>
      </c>
      <c r="M309" s="1">
        <v>3.79E8</v>
      </c>
      <c r="N309" s="1">
        <v>1.054E10</v>
      </c>
      <c r="O309" s="1">
        <v>8.501E9</v>
      </c>
      <c r="P309" s="1">
        <v>2.043E9</v>
      </c>
      <c r="Q309" s="1">
        <v>2.18E8</v>
      </c>
      <c r="R309" s="1">
        <v>1.878E9</v>
      </c>
      <c r="S309" s="1">
        <v>1.872E9</v>
      </c>
    </row>
    <row r="310">
      <c r="A310" s="1">
        <v>308.0</v>
      </c>
      <c r="B310" s="3">
        <v>44409.0</v>
      </c>
      <c r="C310" s="1" t="s">
        <v>189</v>
      </c>
      <c r="D310" s="1" t="s">
        <v>190</v>
      </c>
      <c r="E310" s="1">
        <v>1.205E9</v>
      </c>
      <c r="F310" s="1">
        <v>1.726E9</v>
      </c>
      <c r="G310" s="1">
        <v>1.876E9</v>
      </c>
      <c r="H310" s="1">
        <v>3.46E8</v>
      </c>
      <c r="I310" s="1">
        <v>5.049E9</v>
      </c>
      <c r="J310" s="1">
        <v>2.153E9</v>
      </c>
      <c r="K310" s="1">
        <v>2.153E9</v>
      </c>
      <c r="L310" s="1">
        <v>-4.15E8</v>
      </c>
      <c r="M310" s="1">
        <v>-1.5E8</v>
      </c>
      <c r="N310" s="1">
        <v>6.778E9</v>
      </c>
      <c r="O310" s="1">
        <v>4.625E9</v>
      </c>
      <c r="P310" s="1">
        <v>1.729E9</v>
      </c>
      <c r="Q310" s="1">
        <v>-4.27E8</v>
      </c>
      <c r="R310" s="1">
        <v>1.876E9</v>
      </c>
      <c r="S310" s="1">
        <v>1.802E9</v>
      </c>
    </row>
    <row r="311">
      <c r="A311" s="1">
        <v>309.0</v>
      </c>
      <c r="B311" s="3">
        <v>44318.0</v>
      </c>
      <c r="C311" s="1" t="s">
        <v>189</v>
      </c>
      <c r="D311" s="1" t="s">
        <v>190</v>
      </c>
      <c r="E311" s="1">
        <v>1.238E9</v>
      </c>
      <c r="F311" s="1">
        <v>1.486E9</v>
      </c>
      <c r="G311" s="1">
        <v>1.493E9</v>
      </c>
      <c r="H311" s="1">
        <v>3.25E8</v>
      </c>
      <c r="I311" s="1">
        <v>4.911E9</v>
      </c>
      <c r="J311" s="1">
        <v>2.001E9</v>
      </c>
      <c r="K311" s="1">
        <v>2.001E9</v>
      </c>
      <c r="L311" s="1">
        <v>-4.66E8</v>
      </c>
      <c r="M311" s="1">
        <v>-7000000.0</v>
      </c>
      <c r="N311" s="1">
        <v>6.61E9</v>
      </c>
      <c r="O311" s="1">
        <v>4.609E9</v>
      </c>
      <c r="P311" s="1">
        <v>1.699E9</v>
      </c>
      <c r="Q311" s="1">
        <v>-5.15E8</v>
      </c>
      <c r="R311" s="1">
        <v>1.493E9</v>
      </c>
      <c r="S311" s="1">
        <v>1.417E9</v>
      </c>
    </row>
    <row r="312">
      <c r="A312" s="1">
        <v>310.0</v>
      </c>
      <c r="B312" s="3">
        <v>44227.0</v>
      </c>
      <c r="C312" s="1" t="s">
        <v>189</v>
      </c>
      <c r="D312" s="1" t="s">
        <v>190</v>
      </c>
      <c r="E312" s="1">
        <v>1.211E9</v>
      </c>
      <c r="F312" s="1">
        <v>1.384E9</v>
      </c>
      <c r="G312" s="1">
        <v>1.378E9</v>
      </c>
      <c r="H312" s="1">
        <v>3.39E8</v>
      </c>
      <c r="I312" s="1">
        <v>4.841E9</v>
      </c>
      <c r="J312" s="1">
        <v>1.923E9</v>
      </c>
      <c r="K312" s="1">
        <v>1.923E9</v>
      </c>
      <c r="L312" s="1">
        <v>-5.7E8</v>
      </c>
      <c r="M312" s="1">
        <v>6000000.0</v>
      </c>
      <c r="N312" s="1">
        <v>6.655E9</v>
      </c>
      <c r="O312" s="1">
        <v>4.732E9</v>
      </c>
      <c r="P312" s="1">
        <v>1.814E9</v>
      </c>
      <c r="Q312" s="1">
        <v>-5.39E8</v>
      </c>
      <c r="R312" s="1">
        <v>1.378E9</v>
      </c>
      <c r="S312" s="1">
        <v>1.304E9</v>
      </c>
    </row>
    <row r="313">
      <c r="A313" s="1">
        <v>311.0</v>
      </c>
      <c r="B313" s="3">
        <v>44136.0</v>
      </c>
      <c r="C313" s="1" t="s">
        <v>189</v>
      </c>
      <c r="D313" s="1" t="s">
        <v>190</v>
      </c>
      <c r="E313" s="1">
        <v>1.182E9</v>
      </c>
      <c r="F313" s="1">
        <v>1.137E9</v>
      </c>
      <c r="G313" s="1">
        <v>1.324E9</v>
      </c>
      <c r="H313" s="1">
        <v>5.12E8</v>
      </c>
      <c r="I313" s="1">
        <v>4.714E9</v>
      </c>
      <c r="J313" s="1">
        <v>1.459E9</v>
      </c>
      <c r="K313" s="1">
        <v>1.459E9</v>
      </c>
      <c r="L313" s="1">
        <v>-4.2E8</v>
      </c>
      <c r="M313" s="1">
        <v>-1.87E8</v>
      </c>
      <c r="N313" s="1">
        <v>6.467E9</v>
      </c>
      <c r="O313" s="1">
        <v>5.008E9</v>
      </c>
      <c r="P313" s="1">
        <v>1.753E9</v>
      </c>
      <c r="Q313" s="1">
        <v>-3.22E8</v>
      </c>
      <c r="R313" s="1">
        <v>1.324E9</v>
      </c>
      <c r="S313" s="1">
        <v>1.25E9</v>
      </c>
    </row>
    <row r="314">
      <c r="A314" s="1">
        <v>312.0</v>
      </c>
      <c r="B314" s="3">
        <v>44286.0</v>
      </c>
      <c r="C314" s="1" t="s">
        <v>192</v>
      </c>
      <c r="D314" s="1" t="s">
        <v>193</v>
      </c>
      <c r="F314" s="1">
        <v>2.169E8</v>
      </c>
      <c r="G314" s="1">
        <v>1.65E8</v>
      </c>
      <c r="H314" s="1">
        <v>1.9E8</v>
      </c>
      <c r="I314" s="1">
        <v>4.293E8</v>
      </c>
      <c r="J314" s="1">
        <v>2.393E8</v>
      </c>
      <c r="K314" s="1">
        <v>2.393E8</v>
      </c>
      <c r="L314" s="1">
        <v>-1.2E7</v>
      </c>
      <c r="M314" s="1">
        <v>5.19E7</v>
      </c>
      <c r="N314" s="1">
        <v>1.3898E9</v>
      </c>
      <c r="O314" s="1">
        <v>1.1505E9</v>
      </c>
      <c r="P314" s="1">
        <v>9.605E8</v>
      </c>
      <c r="Q314" s="1">
        <v>-2.24E7</v>
      </c>
      <c r="R314" s="1">
        <v>1.65E8</v>
      </c>
      <c r="S314" s="1">
        <v>1.65E8</v>
      </c>
    </row>
    <row r="315">
      <c r="A315" s="1">
        <v>313.0</v>
      </c>
      <c r="B315" s="3">
        <v>44196.0</v>
      </c>
      <c r="C315" s="1" t="s">
        <v>192</v>
      </c>
      <c r="D315" s="1" t="s">
        <v>193</v>
      </c>
      <c r="F315" s="1">
        <v>6.94E7</v>
      </c>
      <c r="G315" s="1">
        <v>5.63E7</v>
      </c>
      <c r="H315" s="1">
        <v>1.69E8</v>
      </c>
      <c r="I315" s="1">
        <v>2.484E8</v>
      </c>
      <c r="J315" s="1">
        <v>7.94E7</v>
      </c>
      <c r="K315" s="1">
        <v>7.94E7</v>
      </c>
      <c r="L315" s="1">
        <v>-1.21E7</v>
      </c>
      <c r="M315" s="1">
        <v>1.31E7</v>
      </c>
      <c r="N315" s="1">
        <v>1.0549E9</v>
      </c>
      <c r="O315" s="1">
        <v>9.755E8</v>
      </c>
      <c r="P315" s="1">
        <v>8.065E8</v>
      </c>
      <c r="Q315" s="1">
        <v>-1.0E7</v>
      </c>
      <c r="R315" s="1">
        <v>5.63E7</v>
      </c>
      <c r="S315" s="1">
        <v>5.63E7</v>
      </c>
    </row>
    <row r="316">
      <c r="A316" s="1">
        <v>314.0</v>
      </c>
      <c r="B316" s="3">
        <v>44104.0</v>
      </c>
      <c r="C316" s="1" t="s">
        <v>192</v>
      </c>
      <c r="D316" s="1" t="s">
        <v>193</v>
      </c>
      <c r="F316" s="1">
        <v>7.36E7</v>
      </c>
      <c r="G316" s="1">
        <v>6.58E7</v>
      </c>
      <c r="H316" s="1">
        <v>1.517E8</v>
      </c>
      <c r="I316" s="1">
        <v>2.303E8</v>
      </c>
      <c r="J316" s="1">
        <v>7.86E7</v>
      </c>
      <c r="K316" s="1">
        <v>7.86E7</v>
      </c>
      <c r="L316" s="1">
        <v>-1.5E7</v>
      </c>
      <c r="M316" s="1">
        <v>7800000.0</v>
      </c>
      <c r="N316" s="1">
        <v>1.0174E9</v>
      </c>
      <c r="O316" s="1">
        <v>9.388E8</v>
      </c>
      <c r="P316" s="1">
        <v>7.871E8</v>
      </c>
      <c r="Q316" s="1">
        <v>-5000000.0</v>
      </c>
      <c r="R316" s="1">
        <v>6.58E7</v>
      </c>
      <c r="S316" s="1">
        <v>6.58E7</v>
      </c>
    </row>
    <row r="317">
      <c r="A317" s="1">
        <v>315.0</v>
      </c>
      <c r="B317" s="3">
        <v>44012.0</v>
      </c>
      <c r="C317" s="1" t="s">
        <v>192</v>
      </c>
      <c r="D317" s="1" t="s">
        <v>193</v>
      </c>
      <c r="F317" s="1">
        <v>2.947E8</v>
      </c>
      <c r="G317" s="1">
        <v>2.297E8</v>
      </c>
      <c r="H317" s="1">
        <v>1.789E8</v>
      </c>
      <c r="I317" s="1">
        <v>4.777E8</v>
      </c>
      <c r="J317" s="1">
        <v>2.988E8</v>
      </c>
      <c r="K317" s="1">
        <v>2.988E8</v>
      </c>
      <c r="L317" s="1">
        <v>-1.62E7</v>
      </c>
      <c r="M317" s="1">
        <v>6.5E7</v>
      </c>
      <c r="N317" s="1">
        <v>1.3619E9</v>
      </c>
      <c r="O317" s="1">
        <v>1.0631E9</v>
      </c>
      <c r="P317" s="1">
        <v>8.842E8</v>
      </c>
      <c r="Q317" s="1">
        <v>-4100000.0</v>
      </c>
      <c r="R317" s="1">
        <v>2.297E8</v>
      </c>
      <c r="S317" s="1">
        <v>2.297E8</v>
      </c>
    </row>
    <row r="318">
      <c r="A318" s="1">
        <v>316.0</v>
      </c>
      <c r="B318" s="3">
        <v>44286.0</v>
      </c>
      <c r="C318" s="1" t="s">
        <v>194</v>
      </c>
      <c r="D318" s="1" t="s">
        <v>195</v>
      </c>
      <c r="F318" s="1">
        <v>2.39207E8</v>
      </c>
      <c r="G318" s="1">
        <v>1.99744E8</v>
      </c>
      <c r="I318" s="1">
        <v>3.85528E8</v>
      </c>
      <c r="J318" s="1">
        <v>2.54216E8</v>
      </c>
      <c r="K318" s="1">
        <v>2.54216E8</v>
      </c>
      <c r="L318" s="1">
        <v>-1.6342E7</v>
      </c>
      <c r="M318" s="1">
        <v>3.9463E7</v>
      </c>
      <c r="N318" s="1">
        <v>8.15026E8</v>
      </c>
      <c r="O318" s="1">
        <v>5.6081E8</v>
      </c>
      <c r="P318" s="1">
        <v>4.29498E8</v>
      </c>
      <c r="Q318" s="1">
        <v>-1.5009E7</v>
      </c>
      <c r="R318" s="1">
        <v>1.99744E8</v>
      </c>
      <c r="S318" s="1">
        <v>1.99744E8</v>
      </c>
    </row>
    <row r="319">
      <c r="A319" s="1">
        <v>317.0</v>
      </c>
      <c r="B319" s="3">
        <v>44196.0</v>
      </c>
      <c r="C319" s="1" t="s">
        <v>194</v>
      </c>
      <c r="D319" s="1" t="s">
        <v>195</v>
      </c>
      <c r="F319" s="1">
        <v>1.30916E8</v>
      </c>
      <c r="G319" s="1">
        <v>9.732E7</v>
      </c>
      <c r="I319" s="1">
        <v>2.67038E8</v>
      </c>
      <c r="J319" s="1">
        <v>1.39395E8</v>
      </c>
      <c r="K319" s="1">
        <v>1.39395E8</v>
      </c>
      <c r="L319" s="1">
        <v>-1.6639E7</v>
      </c>
      <c r="M319" s="1">
        <v>3.3596E7</v>
      </c>
      <c r="N319" s="1">
        <v>6.44508E8</v>
      </c>
      <c r="O319" s="1">
        <v>5.05113E8</v>
      </c>
      <c r="P319" s="1">
        <v>3.7747E8</v>
      </c>
      <c r="Q319" s="1">
        <v>-8479000.0</v>
      </c>
      <c r="R319" s="1">
        <v>9.732E7</v>
      </c>
      <c r="S319" s="1">
        <v>9.732E7</v>
      </c>
    </row>
    <row r="320">
      <c r="A320" s="1">
        <v>318.0</v>
      </c>
      <c r="B320" s="3">
        <v>44104.0</v>
      </c>
      <c r="C320" s="1" t="s">
        <v>194</v>
      </c>
      <c r="D320" s="1" t="s">
        <v>195</v>
      </c>
      <c r="F320" s="1">
        <v>1.58528E8</v>
      </c>
      <c r="G320" s="1">
        <v>1.33979E8</v>
      </c>
      <c r="I320" s="1">
        <v>3.08629E8</v>
      </c>
      <c r="J320" s="1">
        <v>1.8352E8</v>
      </c>
      <c r="K320" s="1">
        <v>1.8352E8</v>
      </c>
      <c r="L320" s="1">
        <v>-1.3234E7</v>
      </c>
      <c r="M320" s="1">
        <v>2.4549E7</v>
      </c>
      <c r="N320" s="1">
        <v>6.71396E8</v>
      </c>
      <c r="O320" s="1">
        <v>4.87876E8</v>
      </c>
      <c r="P320" s="1">
        <v>3.62767E8</v>
      </c>
      <c r="Q320" s="1">
        <v>-2.4992E7</v>
      </c>
      <c r="R320" s="1">
        <v>1.33979E8</v>
      </c>
      <c r="S320" s="1">
        <v>1.33979E8</v>
      </c>
    </row>
    <row r="321">
      <c r="A321" s="1">
        <v>319.0</v>
      </c>
      <c r="B321" s="3">
        <v>44012.0</v>
      </c>
      <c r="C321" s="1" t="s">
        <v>194</v>
      </c>
      <c r="D321" s="1" t="s">
        <v>195</v>
      </c>
      <c r="F321" s="1">
        <v>1.29401E8</v>
      </c>
      <c r="G321" s="1">
        <v>9.6784E7</v>
      </c>
      <c r="I321" s="1">
        <v>2.51642E8</v>
      </c>
      <c r="J321" s="1">
        <v>1.43165E8</v>
      </c>
      <c r="K321" s="1">
        <v>1.43165E8</v>
      </c>
      <c r="L321" s="1">
        <v>-1.3809E7</v>
      </c>
      <c r="M321" s="1">
        <v>3.2617E7</v>
      </c>
      <c r="N321" s="1">
        <v>5.98157E8</v>
      </c>
      <c r="O321" s="1">
        <v>4.54992E8</v>
      </c>
      <c r="P321" s="1">
        <v>3.46515E8</v>
      </c>
      <c r="Q321" s="1">
        <v>-1.3764E7</v>
      </c>
      <c r="R321" s="1">
        <v>9.6784E7</v>
      </c>
      <c r="S321" s="1">
        <v>9.6784E7</v>
      </c>
    </row>
    <row r="322">
      <c r="A322" s="1">
        <v>320.0</v>
      </c>
      <c r="B322" s="3">
        <v>44286.0</v>
      </c>
      <c r="C322" s="1" t="s">
        <v>197</v>
      </c>
      <c r="D322" s="1" t="s">
        <v>198</v>
      </c>
      <c r="F322" s="1">
        <v>2.12069E8</v>
      </c>
      <c r="G322" s="1">
        <v>1.73305E8</v>
      </c>
      <c r="H322" s="1">
        <v>1.18216E8</v>
      </c>
      <c r="I322" s="1">
        <v>3.41545E8</v>
      </c>
      <c r="J322" s="1">
        <v>2.23329E8</v>
      </c>
      <c r="K322" s="1">
        <v>2.23329E8</v>
      </c>
      <c r="L322" s="1">
        <v>-1.22E7</v>
      </c>
      <c r="M322" s="1">
        <v>3.8764E7</v>
      </c>
      <c r="N322" s="1">
        <v>4.803869E9</v>
      </c>
      <c r="O322" s="1">
        <v>4.58054E9</v>
      </c>
      <c r="P322" s="1">
        <v>4.462324E9</v>
      </c>
      <c r="Q322" s="1">
        <v>-1.126E7</v>
      </c>
      <c r="R322" s="1">
        <v>1.73305E8</v>
      </c>
      <c r="S322" s="1">
        <v>1.73305E8</v>
      </c>
    </row>
    <row r="323">
      <c r="A323" s="1">
        <v>321.0</v>
      </c>
      <c r="B323" s="3">
        <v>44196.0</v>
      </c>
      <c r="C323" s="1" t="s">
        <v>197</v>
      </c>
      <c r="D323" s="1" t="s">
        <v>198</v>
      </c>
      <c r="F323" s="1">
        <v>1.94769E8</v>
      </c>
      <c r="G323" s="1">
        <v>1.47807E8</v>
      </c>
      <c r="H323" s="1">
        <v>1.24516E8</v>
      </c>
      <c r="I323" s="1">
        <v>3.31318E8</v>
      </c>
      <c r="J323" s="1">
        <v>2.06802E8</v>
      </c>
      <c r="K323" s="1">
        <v>2.06802E8</v>
      </c>
      <c r="L323" s="1">
        <v>-1.25E7</v>
      </c>
      <c r="M323" s="1">
        <v>4.6962E7</v>
      </c>
      <c r="N323" s="1">
        <v>4.549452E9</v>
      </c>
      <c r="O323" s="1">
        <v>4.34265E9</v>
      </c>
      <c r="P323" s="1">
        <v>4.218134E9</v>
      </c>
      <c r="Q323" s="1">
        <v>-1.2033E7</v>
      </c>
      <c r="R323" s="1">
        <v>1.47807E8</v>
      </c>
      <c r="S323" s="1">
        <v>1.47807E8</v>
      </c>
    </row>
    <row r="324">
      <c r="A324" s="1">
        <v>322.0</v>
      </c>
      <c r="B324" s="3">
        <v>44104.0</v>
      </c>
      <c r="C324" s="1" t="s">
        <v>197</v>
      </c>
      <c r="D324" s="1" t="s">
        <v>198</v>
      </c>
      <c r="F324" s="1">
        <v>1.60774E8</v>
      </c>
      <c r="G324" s="1">
        <v>1.36529E8</v>
      </c>
      <c r="H324" s="1">
        <v>1.1813E8</v>
      </c>
      <c r="I324" s="1">
        <v>2.86369E8</v>
      </c>
      <c r="J324" s="1">
        <v>1.68239E8</v>
      </c>
      <c r="K324" s="1">
        <v>1.68239E8</v>
      </c>
      <c r="L324" s="1">
        <v>-1.19E7</v>
      </c>
      <c r="M324" s="1">
        <v>2.4245E7</v>
      </c>
      <c r="N324" s="1">
        <v>4.2248E9</v>
      </c>
      <c r="O324" s="1">
        <v>4.056561E9</v>
      </c>
      <c r="P324" s="1">
        <v>3.938431E9</v>
      </c>
      <c r="Q324" s="1">
        <v>-7465000.0</v>
      </c>
      <c r="R324" s="1">
        <v>1.36529E8</v>
      </c>
      <c r="S324" s="1">
        <v>1.36529E8</v>
      </c>
    </row>
    <row r="325">
      <c r="A325" s="1">
        <v>323.0</v>
      </c>
      <c r="B325" s="3">
        <v>44012.0</v>
      </c>
      <c r="C325" s="1" t="s">
        <v>197</v>
      </c>
      <c r="D325" s="1" t="s">
        <v>198</v>
      </c>
      <c r="F325" s="1">
        <v>1.78576E8</v>
      </c>
      <c r="G325" s="1">
        <v>1.43939E8</v>
      </c>
      <c r="H325" s="1">
        <v>1.25183E8</v>
      </c>
      <c r="I325" s="1">
        <v>3.1397E8</v>
      </c>
      <c r="J325" s="1">
        <v>1.88787E8</v>
      </c>
      <c r="K325" s="1">
        <v>1.88787E8</v>
      </c>
      <c r="L325" s="1">
        <v>-1.24E7</v>
      </c>
      <c r="M325" s="1">
        <v>3.4637E7</v>
      </c>
      <c r="N325" s="1">
        <v>3.627846E9</v>
      </c>
      <c r="O325" s="1">
        <v>3.439059E9</v>
      </c>
      <c r="P325" s="1">
        <v>3.313876E9</v>
      </c>
      <c r="Q325" s="1">
        <v>-1.0211E7</v>
      </c>
      <c r="R325" s="1">
        <v>1.43939E8</v>
      </c>
      <c r="S325" s="1">
        <v>1.43939E8</v>
      </c>
    </row>
    <row r="326">
      <c r="A326" s="1">
        <v>324.0</v>
      </c>
      <c r="B326" s="3">
        <v>44380.0</v>
      </c>
      <c r="C326" s="1" t="s">
        <v>202</v>
      </c>
      <c r="D326" s="1" t="s">
        <v>203</v>
      </c>
      <c r="E326" s="1">
        <v>2.85227E8</v>
      </c>
      <c r="F326" s="1">
        <v>1.83265E8</v>
      </c>
      <c r="G326" s="1">
        <v>1.559E8</v>
      </c>
      <c r="H326" s="1">
        <v>1.763E8</v>
      </c>
      <c r="I326" s="1">
        <v>6.51526E8</v>
      </c>
      <c r="J326" s="1">
        <v>1.84969E8</v>
      </c>
      <c r="K326" s="1">
        <v>1.84969E8</v>
      </c>
      <c r="L326" s="1">
        <v>-4316000.0</v>
      </c>
      <c r="M326" s="1">
        <v>2.7365E7</v>
      </c>
      <c r="N326" s="1">
        <v>7.28285E8</v>
      </c>
      <c r="O326" s="1">
        <v>5.43316E8</v>
      </c>
      <c r="P326" s="1">
        <v>7.6759E7</v>
      </c>
      <c r="Q326" s="1">
        <v>-1704000.0</v>
      </c>
      <c r="R326" s="1">
        <v>1.559E8</v>
      </c>
      <c r="S326" s="1">
        <v>1.559E8</v>
      </c>
    </row>
    <row r="327">
      <c r="A327" s="1">
        <v>325.0</v>
      </c>
      <c r="B327" s="3">
        <v>44289.0</v>
      </c>
      <c r="C327" s="1" t="s">
        <v>202</v>
      </c>
      <c r="D327" s="1" t="s">
        <v>203</v>
      </c>
      <c r="E327" s="1">
        <v>2.70992E8</v>
      </c>
      <c r="F327" s="1">
        <v>2.02421E8</v>
      </c>
      <c r="G327" s="1">
        <v>1.87169E8</v>
      </c>
      <c r="H327" s="1">
        <v>1.72778E8</v>
      </c>
      <c r="I327" s="1">
        <v>6.52061E8</v>
      </c>
      <c r="J327" s="1">
        <v>2.0366E8</v>
      </c>
      <c r="K327" s="1">
        <v>2.0366E8</v>
      </c>
      <c r="L327" s="1">
        <v>-4217000.0</v>
      </c>
      <c r="M327" s="1">
        <v>1.5252E7</v>
      </c>
      <c r="N327" s="1">
        <v>7.36028E8</v>
      </c>
      <c r="O327" s="1">
        <v>5.32368E8</v>
      </c>
      <c r="P327" s="1">
        <v>8.3967E7</v>
      </c>
      <c r="Q327" s="1">
        <v>-1239000.0</v>
      </c>
      <c r="R327" s="1">
        <v>1.87169E8</v>
      </c>
      <c r="S327" s="1">
        <v>1.87169E8</v>
      </c>
    </row>
    <row r="328">
      <c r="A328" s="1">
        <v>326.0</v>
      </c>
      <c r="B328" s="3">
        <v>44198.0</v>
      </c>
      <c r="C328" s="1" t="s">
        <v>202</v>
      </c>
      <c r="D328" s="1" t="s">
        <v>203</v>
      </c>
      <c r="E328" s="1">
        <v>2.90309E8</v>
      </c>
      <c r="F328" s="1">
        <v>1.86189E8</v>
      </c>
      <c r="G328" s="1">
        <v>1.73738E8</v>
      </c>
      <c r="H328" s="1">
        <v>1.95766E8</v>
      </c>
      <c r="I328" s="1">
        <v>6.86373E8</v>
      </c>
      <c r="J328" s="1">
        <v>1.95523E8</v>
      </c>
      <c r="K328" s="1">
        <v>1.95523E8</v>
      </c>
      <c r="L328" s="1">
        <v>-4873000.0</v>
      </c>
      <c r="M328" s="1">
        <v>1.2451E7</v>
      </c>
      <c r="N328" s="1">
        <v>7.59909E8</v>
      </c>
      <c r="O328" s="1">
        <v>5.64386E8</v>
      </c>
      <c r="P328" s="1">
        <v>7.3536E7</v>
      </c>
      <c r="Q328" s="1">
        <v>-9334000.0</v>
      </c>
      <c r="R328" s="1">
        <v>1.73738E8</v>
      </c>
      <c r="S328" s="1">
        <v>1.73738E8</v>
      </c>
    </row>
    <row r="329">
      <c r="A329" s="1">
        <v>327.0</v>
      </c>
      <c r="B329" s="3">
        <v>44100.0</v>
      </c>
      <c r="C329" s="1" t="s">
        <v>202</v>
      </c>
      <c r="D329" s="1" t="s">
        <v>203</v>
      </c>
      <c r="E329" s="1">
        <v>2.50934E8</v>
      </c>
      <c r="F329" s="1">
        <v>1.65713E8</v>
      </c>
      <c r="G329" s="1">
        <v>1.6163E8</v>
      </c>
      <c r="H329" s="1">
        <v>1.59666E8</v>
      </c>
      <c r="I329" s="1">
        <v>5.84323E8</v>
      </c>
      <c r="J329" s="1">
        <v>1.69285E8</v>
      </c>
      <c r="K329" s="1">
        <v>1.69285E8</v>
      </c>
      <c r="L329" s="1">
        <v>-5325000.0</v>
      </c>
      <c r="M329" s="1">
        <v>4083000.0</v>
      </c>
      <c r="N329" s="1">
        <v>6.66607E8</v>
      </c>
      <c r="O329" s="1">
        <v>4.97322E8</v>
      </c>
      <c r="P329" s="1">
        <v>8.2284E7</v>
      </c>
      <c r="Q329" s="1">
        <v>-3572000.0</v>
      </c>
      <c r="R329" s="1">
        <v>1.6163E8</v>
      </c>
      <c r="S329" s="1">
        <v>1.6163E8</v>
      </c>
    </row>
    <row r="330">
      <c r="A330" s="1">
        <v>328.0</v>
      </c>
      <c r="B330" s="3">
        <v>44377.0</v>
      </c>
      <c r="C330" s="1" t="s">
        <v>204</v>
      </c>
      <c r="D330" s="1" t="s">
        <v>205</v>
      </c>
      <c r="F330" s="1">
        <v>1.01E8</v>
      </c>
      <c r="G330" s="1">
        <v>7.1E7</v>
      </c>
      <c r="H330" s="1">
        <v>4.94E8</v>
      </c>
      <c r="I330" s="1">
        <v>1.457E9</v>
      </c>
      <c r="J330" s="1">
        <v>6.62E8</v>
      </c>
      <c r="K330" s="1">
        <v>6.62E8</v>
      </c>
      <c r="L330" s="1">
        <v>-5.76E8</v>
      </c>
      <c r="M330" s="1">
        <v>-1000000.0</v>
      </c>
      <c r="N330" s="1">
        <v>2.502E9</v>
      </c>
      <c r="O330" s="1">
        <v>1.84E9</v>
      </c>
      <c r="P330" s="1">
        <v>1.045E9</v>
      </c>
      <c r="Q330" s="1">
        <v>-5.61E8</v>
      </c>
      <c r="R330" s="1">
        <v>1.02E8</v>
      </c>
      <c r="S330" s="1">
        <v>7.1E7</v>
      </c>
    </row>
    <row r="331">
      <c r="A331" s="1">
        <v>329.0</v>
      </c>
      <c r="B331" s="3">
        <v>44286.0</v>
      </c>
      <c r="C331" s="1" t="s">
        <v>204</v>
      </c>
      <c r="D331" s="1" t="s">
        <v>205</v>
      </c>
      <c r="F331" s="1">
        <v>-4.96E8</v>
      </c>
      <c r="G331" s="1">
        <v>-4.23E8</v>
      </c>
      <c r="H331" s="1">
        <v>4.46E8</v>
      </c>
      <c r="I331" s="1">
        <v>9.47E8</v>
      </c>
      <c r="J331" s="1">
        <v>2.36E8</v>
      </c>
      <c r="K331" s="1">
        <v>2.36E8</v>
      </c>
      <c r="L331" s="1">
        <v>-5.79E8</v>
      </c>
      <c r="M331" s="1">
        <v>-7.6E7</v>
      </c>
      <c r="N331" s="1">
        <v>1.792E9</v>
      </c>
      <c r="O331" s="1">
        <v>1.556E9</v>
      </c>
      <c r="P331" s="1">
        <v>8.45E8</v>
      </c>
      <c r="Q331" s="1">
        <v>-7.32E8</v>
      </c>
      <c r="R331" s="1">
        <v>-4.2E8</v>
      </c>
      <c r="S331" s="1">
        <v>-4.23E8</v>
      </c>
    </row>
    <row r="332">
      <c r="A332" s="1">
        <v>330.0</v>
      </c>
      <c r="B332" s="3">
        <v>44196.0</v>
      </c>
      <c r="C332" s="1" t="s">
        <v>204</v>
      </c>
      <c r="D332" s="1" t="s">
        <v>205</v>
      </c>
      <c r="F332" s="1">
        <v>-4.96E8</v>
      </c>
      <c r="G332" s="1">
        <v>-5.55E8</v>
      </c>
      <c r="H332" s="1">
        <v>4.62E8</v>
      </c>
      <c r="I332" s="1">
        <v>7.12E8</v>
      </c>
      <c r="J332" s="1">
        <v>1.02E8</v>
      </c>
      <c r="K332" s="1">
        <v>1.02E8</v>
      </c>
      <c r="L332" s="1">
        <v>-5.66E8</v>
      </c>
      <c r="M332" s="1">
        <v>6.2E7</v>
      </c>
      <c r="N332" s="1">
        <v>1.489E9</v>
      </c>
      <c r="O332" s="1">
        <v>1.387E9</v>
      </c>
      <c r="P332" s="1">
        <v>7.77E8</v>
      </c>
      <c r="Q332" s="1">
        <v>-5.98E8</v>
      </c>
      <c r="R332" s="1">
        <v>-5.58E8</v>
      </c>
      <c r="S332" s="1">
        <v>-5.55E8</v>
      </c>
    </row>
    <row r="333">
      <c r="A333" s="1">
        <v>331.0</v>
      </c>
      <c r="B333" s="3">
        <v>44104.0</v>
      </c>
      <c r="C333" s="1" t="s">
        <v>204</v>
      </c>
      <c r="D333" s="1" t="s">
        <v>205</v>
      </c>
      <c r="F333" s="1">
        <v>-7.89E8</v>
      </c>
      <c r="G333" s="1">
        <v>-9.26E8</v>
      </c>
      <c r="H333" s="1">
        <v>4.2E8</v>
      </c>
      <c r="I333" s="1">
        <v>7.1E8</v>
      </c>
      <c r="J333" s="1">
        <v>-4.5E7</v>
      </c>
      <c r="K333" s="1">
        <v>-4.5E7</v>
      </c>
      <c r="L333" s="1">
        <v>-4.73E8</v>
      </c>
      <c r="M333" s="1">
        <v>1.35E8</v>
      </c>
      <c r="N333" s="1">
        <v>1.377E9</v>
      </c>
      <c r="O333" s="1">
        <v>1.422E9</v>
      </c>
      <c r="P333" s="1">
        <v>6.67E8</v>
      </c>
      <c r="Q333" s="1">
        <v>-7.44E8</v>
      </c>
      <c r="R333" s="1">
        <v>-9.24E8</v>
      </c>
      <c r="S333" s="1">
        <v>-9.26E8</v>
      </c>
    </row>
    <row r="334">
      <c r="A334" s="1">
        <v>332.0</v>
      </c>
      <c r="B334" s="3">
        <v>44318.0</v>
      </c>
      <c r="C334" s="1" t="s">
        <v>206</v>
      </c>
      <c r="D334" s="1" t="s">
        <v>207</v>
      </c>
      <c r="E334" s="1">
        <v>2.2E7</v>
      </c>
      <c r="F334" s="1">
        <v>2.19E8</v>
      </c>
      <c r="G334" s="1">
        <v>1.6E8</v>
      </c>
      <c r="H334" s="1">
        <v>3.44E8</v>
      </c>
      <c r="I334" s="1">
        <v>6.3E8</v>
      </c>
      <c r="J334" s="1">
        <v>2.87E8</v>
      </c>
      <c r="K334" s="1">
        <v>2.87E8</v>
      </c>
      <c r="L334" s="1">
        <v>-5.3E7</v>
      </c>
      <c r="M334" s="1">
        <v>5.3E7</v>
      </c>
      <c r="N334" s="1">
        <v>1.984E9</v>
      </c>
      <c r="O334" s="1">
        <v>1.697E9</v>
      </c>
      <c r="P334" s="1">
        <v>1.354E9</v>
      </c>
      <c r="Q334" s="1">
        <v>-6.8E7</v>
      </c>
      <c r="R334" s="1">
        <v>1.66E8</v>
      </c>
      <c r="S334" s="1">
        <v>1.6E8</v>
      </c>
    </row>
    <row r="335">
      <c r="A335" s="1">
        <v>333.0</v>
      </c>
      <c r="B335" s="3">
        <v>44227.0</v>
      </c>
      <c r="C335" s="1" t="s">
        <v>206</v>
      </c>
      <c r="D335" s="1" t="s">
        <v>207</v>
      </c>
      <c r="E335" s="1">
        <v>1.9E7</v>
      </c>
      <c r="F335" s="1">
        <v>3.47E8</v>
      </c>
      <c r="G335" s="1">
        <v>2.45E8</v>
      </c>
      <c r="H335" s="1">
        <v>3.84E8</v>
      </c>
      <c r="I335" s="1">
        <v>7.81E8</v>
      </c>
      <c r="J335" s="1">
        <v>4.23E8</v>
      </c>
      <c r="K335" s="1">
        <v>4.23E8</v>
      </c>
      <c r="L335" s="1">
        <v>-5.5E7</v>
      </c>
      <c r="M335" s="1">
        <v>1.02E8</v>
      </c>
      <c r="N335" s="1">
        <v>2.279E9</v>
      </c>
      <c r="O335" s="1">
        <v>1.856E9</v>
      </c>
      <c r="P335" s="1">
        <v>1.498E9</v>
      </c>
      <c r="Q335" s="1">
        <v>-7.6E7</v>
      </c>
      <c r="R335" s="1">
        <v>2.45E8</v>
      </c>
      <c r="S335" s="1">
        <v>2.45E8</v>
      </c>
    </row>
    <row r="336">
      <c r="A336" s="1">
        <v>334.0</v>
      </c>
      <c r="B336" s="3">
        <v>44136.0</v>
      </c>
      <c r="C336" s="1" t="s">
        <v>206</v>
      </c>
      <c r="D336" s="1" t="s">
        <v>207</v>
      </c>
      <c r="E336" s="1">
        <v>2.0E7</v>
      </c>
      <c r="F336" s="1">
        <v>4.06E8</v>
      </c>
      <c r="G336" s="1">
        <v>3.09E8</v>
      </c>
      <c r="H336" s="1">
        <v>3.45E8</v>
      </c>
      <c r="I336" s="1">
        <v>8.14E8</v>
      </c>
      <c r="J336" s="1">
        <v>4.67E8</v>
      </c>
      <c r="K336" s="1">
        <v>4.67E8</v>
      </c>
      <c r="L336" s="1">
        <v>-5.5E7</v>
      </c>
      <c r="M336" s="1">
        <v>9.7E7</v>
      </c>
      <c r="N336" s="1">
        <v>2.34E9</v>
      </c>
      <c r="O336" s="1">
        <v>1.873E9</v>
      </c>
      <c r="P336" s="1">
        <v>1.526E9</v>
      </c>
      <c r="Q336" s="1">
        <v>-6.1E7</v>
      </c>
      <c r="R336" s="1">
        <v>3.09E8</v>
      </c>
      <c r="S336" s="1">
        <v>3.09E8</v>
      </c>
    </row>
    <row r="337">
      <c r="A337" s="1">
        <v>335.0</v>
      </c>
      <c r="B337" s="3">
        <v>44045.0</v>
      </c>
      <c r="C337" s="1" t="s">
        <v>206</v>
      </c>
      <c r="D337" s="1" t="s">
        <v>207</v>
      </c>
      <c r="E337" s="1">
        <v>2.4E7</v>
      </c>
      <c r="F337" s="1">
        <v>1.07E8</v>
      </c>
      <c r="G337" s="1">
        <v>8.6E7</v>
      </c>
      <c r="H337" s="1">
        <v>4.34E8</v>
      </c>
      <c r="I337" s="1">
        <v>7.5E8</v>
      </c>
      <c r="J337" s="1">
        <v>1.86E8</v>
      </c>
      <c r="K337" s="1">
        <v>1.86E8</v>
      </c>
      <c r="L337" s="1">
        <v>-6.1E7</v>
      </c>
      <c r="M337" s="1">
        <v>2.1E7</v>
      </c>
      <c r="N337" s="1">
        <v>2.108E9</v>
      </c>
      <c r="O337" s="1">
        <v>1.922E9</v>
      </c>
      <c r="P337" s="1">
        <v>1.358E9</v>
      </c>
      <c r="Q337" s="1">
        <v>-7.9E7</v>
      </c>
      <c r="R337" s="1">
        <v>8.6E7</v>
      </c>
      <c r="S337" s="1">
        <v>8.6E7</v>
      </c>
    </row>
    <row r="338">
      <c r="A338" s="1">
        <v>336.0</v>
      </c>
      <c r="B338" s="3">
        <v>44377.0</v>
      </c>
      <c r="C338" s="1" t="s">
        <v>208</v>
      </c>
      <c r="D338" s="1" t="s">
        <v>209</v>
      </c>
      <c r="F338" s="1">
        <v>4.568E9</v>
      </c>
      <c r="G338" s="1">
        <v>3.536E9</v>
      </c>
      <c r="H338" s="1">
        <v>3.58E9</v>
      </c>
      <c r="I338" s="1">
        <v>8.534E9</v>
      </c>
      <c r="J338" s="1">
        <v>0.0</v>
      </c>
      <c r="K338" s="1">
        <v>4.613E9</v>
      </c>
      <c r="M338" s="1">
        <v>1.031E9</v>
      </c>
      <c r="N338" s="1">
        <v>8.534E9</v>
      </c>
      <c r="O338" s="1">
        <v>3.921E9</v>
      </c>
      <c r="P338" s="1">
        <v>0.0</v>
      </c>
      <c r="Q338" s="1">
        <v>-4.5E7</v>
      </c>
      <c r="R338" s="1">
        <v>3.537E9</v>
      </c>
      <c r="S338" s="1">
        <v>3.446E9</v>
      </c>
    </row>
    <row r="339">
      <c r="A339" s="1">
        <v>337.0</v>
      </c>
      <c r="B339" s="3">
        <v>44286.0</v>
      </c>
      <c r="C339" s="1" t="s">
        <v>208</v>
      </c>
      <c r="D339" s="1" t="s">
        <v>209</v>
      </c>
      <c r="F339" s="1">
        <v>4.196E9</v>
      </c>
      <c r="G339" s="1">
        <v>3.325E9</v>
      </c>
      <c r="H339" s="1">
        <v>3.414E9</v>
      </c>
      <c r="I339" s="1">
        <v>7.936E9</v>
      </c>
      <c r="J339" s="1">
        <v>0.0</v>
      </c>
      <c r="K339" s="1">
        <v>4.237E9</v>
      </c>
      <c r="M339" s="1">
        <v>8.69E8</v>
      </c>
      <c r="N339" s="1">
        <v>7.936E9</v>
      </c>
      <c r="O339" s="1">
        <v>3.699E9</v>
      </c>
      <c r="P339" s="1">
        <v>0.0</v>
      </c>
      <c r="Q339" s="1">
        <v>-4.1E7</v>
      </c>
      <c r="R339" s="1">
        <v>3.327E9</v>
      </c>
      <c r="S339" s="1">
        <v>3.236E9</v>
      </c>
    </row>
    <row r="340">
      <c r="A340" s="1">
        <v>338.0</v>
      </c>
      <c r="B340" s="3">
        <v>44196.0</v>
      </c>
      <c r="C340" s="1" t="s">
        <v>208</v>
      </c>
      <c r="D340" s="1" t="s">
        <v>209</v>
      </c>
      <c r="F340" s="1">
        <v>3.064E9</v>
      </c>
      <c r="G340" s="1">
        <v>2.566E9</v>
      </c>
      <c r="H340" s="1">
        <v>3.579E9</v>
      </c>
      <c r="I340" s="1">
        <v>7.073E9</v>
      </c>
      <c r="J340" s="1">
        <v>0.0</v>
      </c>
      <c r="K340" s="1">
        <v>3.401E9</v>
      </c>
      <c r="M340" s="1">
        <v>4.96E8</v>
      </c>
      <c r="N340" s="1">
        <v>7.073E9</v>
      </c>
      <c r="O340" s="1">
        <v>3.672E9</v>
      </c>
      <c r="P340" s="1">
        <v>0.0</v>
      </c>
      <c r="Q340" s="1">
        <v>-3.37E8</v>
      </c>
      <c r="R340" s="1">
        <v>2.568E9</v>
      </c>
      <c r="S340" s="1">
        <v>2.466E9</v>
      </c>
    </row>
    <row r="341">
      <c r="A341" s="1">
        <v>339.0</v>
      </c>
      <c r="B341" s="3">
        <v>44104.0</v>
      </c>
      <c r="C341" s="1" t="s">
        <v>208</v>
      </c>
      <c r="D341" s="1" t="s">
        <v>209</v>
      </c>
      <c r="F341" s="1">
        <v>3.502E9</v>
      </c>
      <c r="G341" s="1">
        <v>2.406E9</v>
      </c>
      <c r="H341" s="1">
        <v>3.145E9</v>
      </c>
      <c r="I341" s="1">
        <v>7.05E9</v>
      </c>
      <c r="J341" s="1">
        <v>0.0</v>
      </c>
      <c r="K341" s="1">
        <v>3.565E9</v>
      </c>
      <c r="M341" s="1">
        <v>1.096E9</v>
      </c>
      <c r="N341" s="1">
        <v>7.05E9</v>
      </c>
      <c r="O341" s="1">
        <v>3.485E9</v>
      </c>
      <c r="P341" s="1">
        <v>0.0</v>
      </c>
      <c r="Q341" s="1">
        <v>-6.3E7</v>
      </c>
      <c r="R341" s="1">
        <v>2.406E9</v>
      </c>
      <c r="S341" s="1">
        <v>2.319E9</v>
      </c>
    </row>
    <row r="342">
      <c r="A342" s="1">
        <v>340.0</v>
      </c>
      <c r="B342" s="3">
        <v>44377.0</v>
      </c>
      <c r="C342" s="1" t="s">
        <v>210</v>
      </c>
      <c r="D342" s="1" t="s">
        <v>211</v>
      </c>
      <c r="F342" s="1">
        <v>1.19E8</v>
      </c>
      <c r="G342" s="1">
        <v>1.16E8</v>
      </c>
      <c r="H342" s="1">
        <v>1.129E9</v>
      </c>
      <c r="I342" s="1">
        <v>1.672E9</v>
      </c>
      <c r="J342" s="1">
        <v>4.37E8</v>
      </c>
      <c r="K342" s="1">
        <v>4.37E8</v>
      </c>
      <c r="L342" s="1">
        <v>-4.4E7</v>
      </c>
      <c r="M342" s="1">
        <v>4000000.0</v>
      </c>
      <c r="N342" s="1">
        <v>4.2586E10</v>
      </c>
      <c r="O342" s="1">
        <v>4.2149E10</v>
      </c>
      <c r="P342" s="1">
        <v>4.0914E10</v>
      </c>
      <c r="Q342" s="1">
        <v>-3.18E8</v>
      </c>
      <c r="R342" s="1">
        <v>1.15E8</v>
      </c>
      <c r="S342" s="1">
        <v>1.16E8</v>
      </c>
    </row>
    <row r="343">
      <c r="A343" s="1">
        <v>341.0</v>
      </c>
      <c r="B343" s="3">
        <v>44286.0</v>
      </c>
      <c r="C343" s="1" t="s">
        <v>210</v>
      </c>
      <c r="D343" s="1" t="s">
        <v>211</v>
      </c>
      <c r="F343" s="1">
        <v>4.4E8</v>
      </c>
      <c r="G343" s="1">
        <v>1.19E8</v>
      </c>
      <c r="H343" s="1">
        <v>1.12E9</v>
      </c>
      <c r="I343" s="1">
        <v>1.812E9</v>
      </c>
      <c r="J343" s="1">
        <v>5.81E8</v>
      </c>
      <c r="K343" s="1">
        <v>5.81E8</v>
      </c>
      <c r="L343" s="1">
        <v>-4.5E7</v>
      </c>
      <c r="M343" s="1">
        <v>3.2E8</v>
      </c>
      <c r="N343" s="1">
        <v>3.9275E10</v>
      </c>
      <c r="O343" s="1">
        <v>3.8694E10</v>
      </c>
      <c r="P343" s="1">
        <v>3.7463E10</v>
      </c>
      <c r="Q343" s="1">
        <v>-1.41E8</v>
      </c>
      <c r="R343" s="1">
        <v>1.2E8</v>
      </c>
      <c r="S343" s="1">
        <v>1.19E8</v>
      </c>
    </row>
    <row r="344">
      <c r="A344" s="1">
        <v>342.0</v>
      </c>
      <c r="B344" s="3">
        <v>44196.0</v>
      </c>
      <c r="C344" s="1" t="s">
        <v>210</v>
      </c>
      <c r="D344" s="1" t="s">
        <v>211</v>
      </c>
      <c r="F344" s="1">
        <v>4.27E8</v>
      </c>
      <c r="G344" s="1">
        <v>6.29E8</v>
      </c>
      <c r="H344" s="1">
        <v>1.147E9</v>
      </c>
      <c r="I344" s="1">
        <v>1.776E9</v>
      </c>
      <c r="J344" s="1">
        <v>5.13E8</v>
      </c>
      <c r="K344" s="1">
        <v>5.13E8</v>
      </c>
      <c r="L344" s="1">
        <v>-4.6E7</v>
      </c>
      <c r="M344" s="1">
        <v>-2.03E8</v>
      </c>
      <c r="N344" s="1">
        <v>4.1541E10</v>
      </c>
      <c r="O344" s="1">
        <v>4.1028E10</v>
      </c>
      <c r="P344" s="1">
        <v>3.9765E10</v>
      </c>
      <c r="Q344" s="1">
        <v>-8.6E7</v>
      </c>
      <c r="R344" s="1">
        <v>6.3E8</v>
      </c>
      <c r="S344" s="1">
        <v>6.29E8</v>
      </c>
    </row>
    <row r="345">
      <c r="A345" s="1">
        <v>343.0</v>
      </c>
      <c r="B345" s="3">
        <v>44104.0</v>
      </c>
      <c r="C345" s="1" t="s">
        <v>210</v>
      </c>
      <c r="D345" s="1" t="s">
        <v>211</v>
      </c>
      <c r="F345" s="1">
        <v>-6.63E8</v>
      </c>
      <c r="G345" s="1">
        <v>-2.53E8</v>
      </c>
      <c r="H345" s="1">
        <v>1.137E9</v>
      </c>
      <c r="I345" s="1">
        <v>1.715E9</v>
      </c>
      <c r="J345" s="1">
        <v>4.6E8</v>
      </c>
      <c r="K345" s="1">
        <v>4.6E8</v>
      </c>
      <c r="L345" s="1">
        <v>-4.5E7</v>
      </c>
      <c r="M345" s="1">
        <v>-4.1E8</v>
      </c>
      <c r="N345" s="1">
        <v>3.9065E10</v>
      </c>
      <c r="O345" s="1">
        <v>3.8605E10</v>
      </c>
      <c r="P345" s="1">
        <v>3.735E10</v>
      </c>
      <c r="Q345" s="1">
        <v>-1.123E9</v>
      </c>
      <c r="R345" s="1">
        <v>-2.53E8</v>
      </c>
      <c r="S345" s="1">
        <v>-2.53E8</v>
      </c>
    </row>
    <row r="346">
      <c r="A346" s="1">
        <v>344.0</v>
      </c>
      <c r="B346" s="3">
        <v>44347.0</v>
      </c>
      <c r="C346" s="1" t="s">
        <v>212</v>
      </c>
      <c r="D346" s="1" t="s">
        <v>213</v>
      </c>
      <c r="F346" s="1">
        <v>5.67324E8</v>
      </c>
      <c r="G346" s="1">
        <v>4.36756E8</v>
      </c>
      <c r="H346" s="1">
        <v>5.54069E8</v>
      </c>
      <c r="I346" s="1">
        <v>1.16624E9</v>
      </c>
      <c r="J346" s="1">
        <v>5.62281E8</v>
      </c>
      <c r="K346" s="1">
        <v>5.62281E8</v>
      </c>
      <c r="L346" s="1">
        <v>-2.0534E7</v>
      </c>
      <c r="M346" s="1">
        <v>1.30568E8</v>
      </c>
      <c r="N346" s="1">
        <v>8.007899E9</v>
      </c>
      <c r="O346" s="1">
        <v>7.445618E9</v>
      </c>
      <c r="P346" s="1">
        <v>6.841659E9</v>
      </c>
      <c r="Q346" s="1">
        <v>5043000.0</v>
      </c>
      <c r="R346" s="1">
        <v>4.36756E8</v>
      </c>
      <c r="S346" s="1">
        <v>4.36756E8</v>
      </c>
    </row>
    <row r="347">
      <c r="A347" s="1">
        <v>345.0</v>
      </c>
      <c r="B347" s="3">
        <v>44255.0</v>
      </c>
      <c r="C347" s="1" t="s">
        <v>212</v>
      </c>
      <c r="D347" s="1" t="s">
        <v>213</v>
      </c>
      <c r="F347" s="1">
        <v>2.62249E8</v>
      </c>
      <c r="G347" s="1">
        <v>2.09945E8</v>
      </c>
      <c r="H347" s="1">
        <v>5.56128E8</v>
      </c>
      <c r="I347" s="1">
        <v>8.29589E8</v>
      </c>
      <c r="J347" s="1">
        <v>2.73535E8</v>
      </c>
      <c r="K347" s="1">
        <v>2.73535E8</v>
      </c>
      <c r="L347" s="1">
        <v>-2.0289E7</v>
      </c>
      <c r="M347" s="1">
        <v>5.2304E7</v>
      </c>
      <c r="N347" s="1">
        <v>5.455157E9</v>
      </c>
      <c r="O347" s="1">
        <v>5.181622E9</v>
      </c>
      <c r="P347" s="1">
        <v>4.625568E9</v>
      </c>
      <c r="Q347" s="1">
        <v>-1.1286E7</v>
      </c>
      <c r="R347" s="1">
        <v>2.09945E8</v>
      </c>
      <c r="S347" s="1">
        <v>2.09945E8</v>
      </c>
    </row>
    <row r="348">
      <c r="A348" s="1">
        <v>346.0</v>
      </c>
      <c r="B348" s="3">
        <v>44165.0</v>
      </c>
      <c r="C348" s="1" t="s">
        <v>212</v>
      </c>
      <c r="D348" s="1" t="s">
        <v>213</v>
      </c>
      <c r="F348" s="1">
        <v>3.10503E8</v>
      </c>
      <c r="G348" s="1">
        <v>2.353E8</v>
      </c>
      <c r="H348" s="1">
        <v>4.788E8</v>
      </c>
      <c r="I348" s="1">
        <v>8.07875E8</v>
      </c>
      <c r="J348" s="1">
        <v>3.29078E8</v>
      </c>
      <c r="K348" s="1">
        <v>3.29078E8</v>
      </c>
      <c r="L348" s="1">
        <v>-1.9462E7</v>
      </c>
      <c r="M348" s="1">
        <v>7.5203E7</v>
      </c>
      <c r="N348" s="1">
        <v>5.473444E9</v>
      </c>
      <c r="O348" s="1">
        <v>5.144366E9</v>
      </c>
      <c r="P348" s="1">
        <v>4.665569E9</v>
      </c>
      <c r="Q348" s="1">
        <v>-1.8575E7</v>
      </c>
      <c r="R348" s="1">
        <v>2.353E8</v>
      </c>
      <c r="S348" s="1">
        <v>2.353E8</v>
      </c>
    </row>
    <row r="349">
      <c r="A349" s="1">
        <v>347.0</v>
      </c>
      <c r="B349" s="3">
        <v>44074.0</v>
      </c>
      <c r="C349" s="1" t="s">
        <v>212</v>
      </c>
      <c r="D349" s="1" t="s">
        <v>213</v>
      </c>
      <c r="F349" s="1">
        <v>3.88341E8</v>
      </c>
      <c r="G349" s="1">
        <v>2.96696E8</v>
      </c>
      <c r="H349" s="1">
        <v>4.90208E8</v>
      </c>
      <c r="I349" s="1">
        <v>8.99338E8</v>
      </c>
      <c r="J349" s="1">
        <v>4.0913E8</v>
      </c>
      <c r="K349" s="1">
        <v>4.0913E8</v>
      </c>
      <c r="L349" s="1">
        <v>-2.2469E7</v>
      </c>
      <c r="M349" s="1">
        <v>9.1645E7</v>
      </c>
      <c r="N349" s="1">
        <v>5.652266E9</v>
      </c>
      <c r="O349" s="1">
        <v>5.243136E9</v>
      </c>
      <c r="P349" s="1">
        <v>4.752928E9</v>
      </c>
      <c r="Q349" s="1">
        <v>-2.0789E7</v>
      </c>
      <c r="R349" s="1">
        <v>2.96696E8</v>
      </c>
      <c r="S349" s="1">
        <v>2.96696E8</v>
      </c>
    </row>
    <row r="350">
      <c r="A350" s="1">
        <v>348.0</v>
      </c>
      <c r="B350" s="3">
        <v>44347.0</v>
      </c>
      <c r="C350" s="1" t="s">
        <v>214</v>
      </c>
      <c r="D350" s="1" t="s">
        <v>215</v>
      </c>
      <c r="F350" s="1">
        <v>-2.06E9</v>
      </c>
      <c r="G350" s="1">
        <v>-2.072E9</v>
      </c>
      <c r="H350" s="1">
        <v>4.17E8</v>
      </c>
      <c r="I350" s="1">
        <v>-3.59E8</v>
      </c>
      <c r="J350" s="1">
        <v>-1.567E9</v>
      </c>
      <c r="K350" s="1">
        <v>-1.567E9</v>
      </c>
      <c r="L350" s="1">
        <v>-4.37E8</v>
      </c>
      <c r="M350" s="1">
        <v>1.2E7</v>
      </c>
      <c r="N350" s="1">
        <v>4.9E7</v>
      </c>
      <c r="O350" s="1">
        <v>1.616E9</v>
      </c>
      <c r="P350" s="1">
        <v>4.08E8</v>
      </c>
      <c r="Q350" s="1">
        <v>-4.93E8</v>
      </c>
      <c r="R350" s="1">
        <v>-2.072E9</v>
      </c>
      <c r="S350" s="1">
        <v>-2.072E9</v>
      </c>
    </row>
    <row r="351">
      <c r="A351" s="1">
        <v>349.0</v>
      </c>
      <c r="B351" s="3">
        <v>44255.0</v>
      </c>
      <c r="C351" s="1" t="s">
        <v>214</v>
      </c>
      <c r="D351" s="1" t="s">
        <v>215</v>
      </c>
      <c r="F351" s="1">
        <v>-1.979E9</v>
      </c>
      <c r="G351" s="1">
        <v>-1.973E9</v>
      </c>
      <c r="H351" s="1">
        <v>4.62E8</v>
      </c>
      <c r="I351" s="1">
        <v>-3.28E8</v>
      </c>
      <c r="J351" s="1">
        <v>-1.523E9</v>
      </c>
      <c r="K351" s="1">
        <v>-1.523E9</v>
      </c>
      <c r="L351" s="1">
        <v>-3.98E8</v>
      </c>
      <c r="M351" s="1">
        <v>-6000000.0</v>
      </c>
      <c r="N351" s="1">
        <v>2.6E7</v>
      </c>
      <c r="O351" s="1">
        <v>1.549E9</v>
      </c>
      <c r="P351" s="1">
        <v>3.54E8</v>
      </c>
      <c r="Q351" s="1">
        <v>-4.56E8</v>
      </c>
      <c r="R351" s="1">
        <v>-1.973E9</v>
      </c>
      <c r="S351" s="1">
        <v>-1.973E9</v>
      </c>
    </row>
    <row r="352">
      <c r="A352" s="1">
        <v>350.0</v>
      </c>
      <c r="B352" s="3">
        <v>44165.0</v>
      </c>
      <c r="C352" s="1" t="s">
        <v>214</v>
      </c>
      <c r="D352" s="1" t="s">
        <v>215</v>
      </c>
      <c r="F352" s="1">
        <v>-2.237E9</v>
      </c>
      <c r="G352" s="1">
        <v>-2.222E9</v>
      </c>
      <c r="H352" s="1">
        <v>4.92E8</v>
      </c>
      <c r="I352" s="1">
        <v>-3.51E8</v>
      </c>
      <c r="J352" s="1">
        <v>-1.555E9</v>
      </c>
      <c r="K352" s="1">
        <v>-1.555E9</v>
      </c>
      <c r="L352" s="1">
        <v>-3.48E8</v>
      </c>
      <c r="M352" s="1">
        <v>-1.5E7</v>
      </c>
      <c r="N352" s="1">
        <v>3.3E7</v>
      </c>
      <c r="O352" s="1">
        <v>1.588E9</v>
      </c>
      <c r="P352" s="1">
        <v>3.84E8</v>
      </c>
      <c r="Q352" s="1">
        <v>-6.82E8</v>
      </c>
      <c r="R352" s="1">
        <v>-2.222E9</v>
      </c>
      <c r="S352" s="1">
        <v>-2.222E9</v>
      </c>
    </row>
    <row r="353">
      <c r="A353" s="1">
        <v>351.0</v>
      </c>
      <c r="B353" s="3">
        <v>44074.0</v>
      </c>
      <c r="C353" s="1" t="s">
        <v>214</v>
      </c>
      <c r="D353" s="1" t="s">
        <v>215</v>
      </c>
      <c r="F353" s="1">
        <v>-2.86E9</v>
      </c>
      <c r="G353" s="1">
        <v>-2.858E9</v>
      </c>
      <c r="H353" s="1">
        <v>2.62E8</v>
      </c>
      <c r="I353" s="1">
        <v>-4.0E8</v>
      </c>
      <c r="J353" s="1">
        <v>-1.421E9</v>
      </c>
      <c r="K353" s="1">
        <v>-1.421E9</v>
      </c>
      <c r="L353" s="1">
        <v>-3.1E8</v>
      </c>
      <c r="M353" s="1">
        <v>-2000000.0</v>
      </c>
      <c r="N353" s="1">
        <v>3.1E7</v>
      </c>
      <c r="O353" s="1">
        <v>1.452E9</v>
      </c>
      <c r="P353" s="1">
        <v>4.31E8</v>
      </c>
      <c r="Q353" s="1">
        <v>-1.439E9</v>
      </c>
      <c r="R353" s="1">
        <v>-2.858E9</v>
      </c>
      <c r="S353" s="1">
        <v>-2.858E9</v>
      </c>
    </row>
    <row r="354">
      <c r="A354" s="1">
        <v>352.0</v>
      </c>
      <c r="B354" s="3">
        <v>44377.0</v>
      </c>
      <c r="C354" s="1" t="s">
        <v>216</v>
      </c>
      <c r="D354" s="1" t="s">
        <v>217</v>
      </c>
      <c r="E354" s="1">
        <v>1.25E8</v>
      </c>
      <c r="F354" s="1">
        <v>7.31E8</v>
      </c>
      <c r="G354" s="1">
        <v>4.87E8</v>
      </c>
      <c r="H354" s="1">
        <v>7.76E8</v>
      </c>
      <c r="I354" s="1">
        <v>1.625E9</v>
      </c>
      <c r="J354" s="1">
        <v>7.39E8</v>
      </c>
      <c r="K354" s="1">
        <v>7.39E8</v>
      </c>
      <c r="L354" s="1">
        <v>-7.5E7</v>
      </c>
      <c r="M354" s="1">
        <v>2.34E8</v>
      </c>
      <c r="N354" s="1">
        <v>5.44E9</v>
      </c>
      <c r="O354" s="1">
        <v>4.701E9</v>
      </c>
      <c r="P354" s="1">
        <v>3.815E9</v>
      </c>
      <c r="Q354" s="1">
        <v>-8000000.0</v>
      </c>
      <c r="R354" s="1">
        <v>4.97E8</v>
      </c>
      <c r="S354" s="1">
        <v>4.87E8</v>
      </c>
    </row>
    <row r="355">
      <c r="A355" s="1">
        <v>353.0</v>
      </c>
      <c r="B355" s="3">
        <v>44286.0</v>
      </c>
      <c r="C355" s="1" t="s">
        <v>216</v>
      </c>
      <c r="D355" s="1" t="s">
        <v>217</v>
      </c>
      <c r="E355" s="1">
        <v>1.21E8</v>
      </c>
      <c r="F355" s="1">
        <v>4.96E8</v>
      </c>
      <c r="G355" s="1">
        <v>3.84E8</v>
      </c>
      <c r="H355" s="1">
        <v>7.12E8</v>
      </c>
      <c r="I355" s="1">
        <v>1.399E9</v>
      </c>
      <c r="J355" s="1">
        <v>5.69E8</v>
      </c>
      <c r="K355" s="1">
        <v>5.69E8</v>
      </c>
      <c r="L355" s="1">
        <v>-9.6E7</v>
      </c>
      <c r="M355" s="1">
        <v>1.04E8</v>
      </c>
      <c r="N355" s="1">
        <v>4.699E9</v>
      </c>
      <c r="O355" s="1">
        <v>4.13E9</v>
      </c>
      <c r="P355" s="1">
        <v>3.3E9</v>
      </c>
      <c r="Q355" s="1">
        <v>-7.3E7</v>
      </c>
      <c r="R355" s="1">
        <v>3.92E8</v>
      </c>
      <c r="S355" s="1">
        <v>3.84E8</v>
      </c>
    </row>
    <row r="356">
      <c r="A356" s="1">
        <v>354.0</v>
      </c>
      <c r="B356" s="3">
        <v>44196.0</v>
      </c>
      <c r="C356" s="1" t="s">
        <v>216</v>
      </c>
      <c r="D356" s="1" t="s">
        <v>217</v>
      </c>
      <c r="E356" s="1">
        <v>1.27E8</v>
      </c>
      <c r="F356" s="1">
        <v>1.176E9</v>
      </c>
      <c r="G356" s="1">
        <v>8.84E8</v>
      </c>
      <c r="H356" s="1">
        <v>8.74E8</v>
      </c>
      <c r="I356" s="1">
        <v>1.3E9</v>
      </c>
      <c r="J356" s="1">
        <v>2.63E8</v>
      </c>
      <c r="K356" s="1">
        <v>2.63E8</v>
      </c>
      <c r="L356" s="1">
        <v>-8.5E7</v>
      </c>
      <c r="M356" s="1">
        <v>2.89E8</v>
      </c>
      <c r="N356" s="1">
        <v>4.594E9</v>
      </c>
      <c r="O356" s="1">
        <v>4.331E9</v>
      </c>
      <c r="P356" s="1">
        <v>3.294E9</v>
      </c>
      <c r="Q356" s="1">
        <v>9.13E8</v>
      </c>
      <c r="R356" s="1">
        <v>8.87E8</v>
      </c>
      <c r="S356" s="1">
        <v>8.84E8</v>
      </c>
    </row>
    <row r="357">
      <c r="A357" s="1">
        <v>355.0</v>
      </c>
      <c r="B357" s="3">
        <v>44104.0</v>
      </c>
      <c r="C357" s="1" t="s">
        <v>216</v>
      </c>
      <c r="D357" s="1" t="s">
        <v>217</v>
      </c>
      <c r="E357" s="1">
        <v>1.0E8</v>
      </c>
      <c r="F357" s="1">
        <v>1.009E9</v>
      </c>
      <c r="G357" s="1">
        <v>7.41E8</v>
      </c>
      <c r="H357" s="1">
        <v>6.37E8</v>
      </c>
      <c r="I357" s="1">
        <v>1.56E9</v>
      </c>
      <c r="J357" s="1">
        <v>8.21E8</v>
      </c>
      <c r="K357" s="1">
        <v>8.21E8</v>
      </c>
      <c r="L357" s="1">
        <v>-9.0E7</v>
      </c>
      <c r="M357" s="1">
        <v>2.61E8</v>
      </c>
      <c r="N357" s="1">
        <v>5.002E9</v>
      </c>
      <c r="O357" s="1">
        <v>4.181E9</v>
      </c>
      <c r="P357" s="1">
        <v>3.442E9</v>
      </c>
      <c r="Q357" s="1">
        <v>1.88E8</v>
      </c>
      <c r="R357" s="1">
        <v>7.48E8</v>
      </c>
      <c r="S357" s="1">
        <v>7.41E8</v>
      </c>
    </row>
    <row r="358">
      <c r="A358" s="1">
        <v>356.0</v>
      </c>
      <c r="B358" s="3">
        <v>44377.0</v>
      </c>
      <c r="C358" s="1" t="s">
        <v>218</v>
      </c>
      <c r="D358" s="1" t="s">
        <v>219</v>
      </c>
      <c r="F358" s="1">
        <v>2.215E8</v>
      </c>
      <c r="G358" s="1">
        <v>1.824E8</v>
      </c>
      <c r="H358" s="1">
        <v>1.862E8</v>
      </c>
      <c r="I358" s="1">
        <v>4.393E8</v>
      </c>
      <c r="J358" s="1">
        <v>2.531E8</v>
      </c>
      <c r="K358" s="1">
        <v>2.531E8</v>
      </c>
      <c r="L358" s="1">
        <v>-3.19E7</v>
      </c>
      <c r="M358" s="1">
        <v>3.91E7</v>
      </c>
      <c r="N358" s="1">
        <v>1.1882E9</v>
      </c>
      <c r="O358" s="1">
        <v>9.351E8</v>
      </c>
      <c r="P358" s="1">
        <v>7.489E8</v>
      </c>
      <c r="Q358" s="1">
        <v>-3.16E7</v>
      </c>
      <c r="R358" s="1">
        <v>1.824E8</v>
      </c>
      <c r="S358" s="1">
        <v>1.689E8</v>
      </c>
    </row>
    <row r="359">
      <c r="A359" s="1">
        <v>357.0</v>
      </c>
      <c r="B359" s="3">
        <v>44286.0</v>
      </c>
      <c r="C359" s="1" t="s">
        <v>218</v>
      </c>
      <c r="D359" s="1" t="s">
        <v>219</v>
      </c>
      <c r="F359" s="1">
        <v>3.171E8</v>
      </c>
      <c r="G359" s="1">
        <v>2.318E8</v>
      </c>
      <c r="H359" s="1">
        <v>1.72E8</v>
      </c>
      <c r="I359" s="1">
        <v>3.656E8</v>
      </c>
      <c r="J359" s="1">
        <v>1.936E8</v>
      </c>
      <c r="K359" s="1">
        <v>1.936E8</v>
      </c>
      <c r="L359" s="1">
        <v>-2.69E7</v>
      </c>
      <c r="M359" s="1">
        <v>8.53E7</v>
      </c>
      <c r="N359" s="1">
        <v>1.0533E9</v>
      </c>
      <c r="O359" s="1">
        <v>8.597E8</v>
      </c>
      <c r="P359" s="1">
        <v>6.877E8</v>
      </c>
      <c r="Q359" s="1">
        <v>1.235E8</v>
      </c>
      <c r="R359" s="1">
        <v>2.318E8</v>
      </c>
      <c r="S359" s="1">
        <v>2.171E8</v>
      </c>
    </row>
    <row r="360">
      <c r="A360" s="1">
        <v>358.0</v>
      </c>
      <c r="B360" s="3">
        <v>44196.0</v>
      </c>
      <c r="C360" s="1" t="s">
        <v>218</v>
      </c>
      <c r="D360" s="1" t="s">
        <v>219</v>
      </c>
      <c r="F360" s="1">
        <v>1.09E8</v>
      </c>
      <c r="G360" s="1">
        <v>8.84E7</v>
      </c>
      <c r="H360" s="1">
        <v>1.648E8</v>
      </c>
      <c r="I360" s="1">
        <v>2.982E8</v>
      </c>
      <c r="J360" s="1">
        <v>1.334E8</v>
      </c>
      <c r="K360" s="1">
        <v>1.334E8</v>
      </c>
      <c r="L360" s="1">
        <v>-2.59E7</v>
      </c>
      <c r="M360" s="1">
        <v>2.06E7</v>
      </c>
      <c r="N360" s="1">
        <v>9.108E8</v>
      </c>
      <c r="O360" s="1">
        <v>7.774E8</v>
      </c>
      <c r="P360" s="1">
        <v>6.126E8</v>
      </c>
      <c r="Q360" s="1">
        <v>-2.44E7</v>
      </c>
      <c r="R360" s="1">
        <v>8.84E7</v>
      </c>
      <c r="S360" s="1">
        <v>7.42E7</v>
      </c>
    </row>
    <row r="361">
      <c r="A361" s="1">
        <v>359.0</v>
      </c>
      <c r="B361" s="3">
        <v>44104.0</v>
      </c>
      <c r="C361" s="1" t="s">
        <v>218</v>
      </c>
      <c r="D361" s="1" t="s">
        <v>219</v>
      </c>
      <c r="F361" s="1">
        <v>6.74E7</v>
      </c>
      <c r="G361" s="1">
        <v>8.24E7</v>
      </c>
      <c r="H361" s="1">
        <v>1.64E8</v>
      </c>
      <c r="I361" s="1">
        <v>2.489E8</v>
      </c>
      <c r="J361" s="1">
        <v>8.49E7</v>
      </c>
      <c r="K361" s="1">
        <v>8.49E7</v>
      </c>
      <c r="L361" s="1">
        <v>-2.53E7</v>
      </c>
      <c r="M361" s="1">
        <v>-1.5E7</v>
      </c>
      <c r="N361" s="1">
        <v>8.457E8</v>
      </c>
      <c r="O361" s="1">
        <v>7.608E8</v>
      </c>
      <c r="P361" s="1">
        <v>5.968E8</v>
      </c>
      <c r="Q361" s="1">
        <v>-1.75E7</v>
      </c>
      <c r="R361" s="1">
        <v>8.24E7</v>
      </c>
      <c r="S361" s="1">
        <v>6.88E7</v>
      </c>
    </row>
    <row r="362">
      <c r="A362" s="1">
        <v>360.0</v>
      </c>
      <c r="B362" s="3">
        <v>44286.0</v>
      </c>
      <c r="C362" s="1" t="s">
        <v>220</v>
      </c>
      <c r="D362" s="1" t="s">
        <v>221</v>
      </c>
      <c r="E362" s="1">
        <v>3.74E8</v>
      </c>
      <c r="F362" s="1">
        <v>2.006E9</v>
      </c>
      <c r="G362" s="1">
        <v>1.53E9</v>
      </c>
      <c r="H362" s="1">
        <v>1.004E9</v>
      </c>
      <c r="I362" s="1">
        <v>3.331E9</v>
      </c>
      <c r="J362" s="1">
        <v>2.0E9</v>
      </c>
      <c r="K362" s="1">
        <v>2.0E9</v>
      </c>
      <c r="L362" s="1">
        <v>-1.42E8</v>
      </c>
      <c r="M362" s="1">
        <v>4.75E8</v>
      </c>
      <c r="N362" s="1">
        <v>1.1887E10</v>
      </c>
      <c r="O362" s="1">
        <v>9.887E9</v>
      </c>
      <c r="P362" s="1">
        <v>8.556E9</v>
      </c>
      <c r="Q362" s="1">
        <v>6000000.0</v>
      </c>
      <c r="R362" s="1">
        <v>1.531E9</v>
      </c>
      <c r="S362" s="1">
        <v>1.53E9</v>
      </c>
    </row>
    <row r="363">
      <c r="A363" s="1">
        <v>361.0</v>
      </c>
      <c r="B363" s="3">
        <v>44196.0</v>
      </c>
      <c r="C363" s="1" t="s">
        <v>220</v>
      </c>
      <c r="D363" s="1" t="s">
        <v>221</v>
      </c>
      <c r="E363" s="1">
        <v>3.74E8</v>
      </c>
      <c r="F363" s="1">
        <v>9.47E8</v>
      </c>
      <c r="G363" s="1">
        <v>7.8E8</v>
      </c>
      <c r="H363" s="1">
        <v>1.276E9</v>
      </c>
      <c r="I363" s="1">
        <v>2.843E9</v>
      </c>
      <c r="J363" s="1">
        <v>1.2E9</v>
      </c>
      <c r="K363" s="1">
        <v>1.2E9</v>
      </c>
      <c r="L363" s="1">
        <v>-1.3E8</v>
      </c>
      <c r="M363" s="1">
        <v>1.67E8</v>
      </c>
      <c r="N363" s="1">
        <v>1.1235E10</v>
      </c>
      <c r="O363" s="1">
        <v>1.0035E10</v>
      </c>
      <c r="P363" s="1">
        <v>8.392E9</v>
      </c>
      <c r="Q363" s="1">
        <v>-2.53E8</v>
      </c>
      <c r="R363" s="1">
        <v>7.8E8</v>
      </c>
      <c r="S363" s="1">
        <v>7.8E8</v>
      </c>
    </row>
    <row r="364">
      <c r="A364" s="1">
        <v>362.0</v>
      </c>
      <c r="B364" s="3">
        <v>44104.0</v>
      </c>
      <c r="C364" s="1" t="s">
        <v>220</v>
      </c>
      <c r="D364" s="1" t="s">
        <v>221</v>
      </c>
      <c r="E364" s="1">
        <v>3.44E8</v>
      </c>
      <c r="F364" s="1">
        <v>8.58E8</v>
      </c>
      <c r="G364" s="1">
        <v>6.68E8</v>
      </c>
      <c r="H364" s="1">
        <v>9.33E8</v>
      </c>
      <c r="I364" s="1">
        <v>2.37E9</v>
      </c>
      <c r="J364" s="1">
        <v>1.11E9</v>
      </c>
      <c r="K364" s="1">
        <v>1.11E9</v>
      </c>
      <c r="L364" s="1">
        <v>-1.36E8</v>
      </c>
      <c r="M364" s="1">
        <v>1.87E8</v>
      </c>
      <c r="N364" s="1">
        <v>9.881E9</v>
      </c>
      <c r="O364" s="1">
        <v>8.771E9</v>
      </c>
      <c r="P364" s="1">
        <v>7.511E9</v>
      </c>
      <c r="Q364" s="1">
        <v>-2.52E8</v>
      </c>
      <c r="R364" s="1">
        <v>6.71E8</v>
      </c>
      <c r="S364" s="1">
        <v>6.68E8</v>
      </c>
    </row>
    <row r="365">
      <c r="A365" s="1">
        <v>363.0</v>
      </c>
      <c r="B365" s="3">
        <v>44012.0</v>
      </c>
      <c r="C365" s="1" t="s">
        <v>220</v>
      </c>
      <c r="D365" s="1" t="s">
        <v>221</v>
      </c>
      <c r="E365" s="1">
        <v>3.41E8</v>
      </c>
      <c r="F365" s="1">
        <v>6.86E8</v>
      </c>
      <c r="G365" s="1">
        <v>4.58E8</v>
      </c>
      <c r="H365" s="1">
        <v>1.02E9</v>
      </c>
      <c r="I365" s="1">
        <v>2.245E9</v>
      </c>
      <c r="J365" s="1">
        <v>9.12E8</v>
      </c>
      <c r="K365" s="1">
        <v>9.12E8</v>
      </c>
      <c r="L365" s="1">
        <v>-1.35E8</v>
      </c>
      <c r="M365" s="1">
        <v>2.27E8</v>
      </c>
      <c r="N365" s="1">
        <v>9.997E9</v>
      </c>
      <c r="O365" s="1">
        <v>9.085E9</v>
      </c>
      <c r="P365" s="1">
        <v>7.752E9</v>
      </c>
      <c r="Q365" s="1">
        <v>-2.26E8</v>
      </c>
      <c r="R365" s="1">
        <v>4.59E8</v>
      </c>
      <c r="S365" s="1">
        <v>4.58E8</v>
      </c>
    </row>
    <row r="366">
      <c r="A366" s="1">
        <v>364.0</v>
      </c>
      <c r="B366" s="3">
        <v>44377.0</v>
      </c>
      <c r="C366" s="1" t="s">
        <v>222</v>
      </c>
      <c r="D366" s="1" t="s">
        <v>223</v>
      </c>
      <c r="F366" s="1">
        <v>1.792E8</v>
      </c>
      <c r="G366" s="1">
        <v>1.055E8</v>
      </c>
      <c r="H366" s="1">
        <v>1.136E8</v>
      </c>
      <c r="I366" s="1">
        <v>3.506E8</v>
      </c>
      <c r="J366" s="1">
        <v>1.918E8</v>
      </c>
      <c r="K366" s="1">
        <v>1.918E8</v>
      </c>
      <c r="L366" s="1">
        <v>-1.24E7</v>
      </c>
      <c r="M366" s="1">
        <v>7.37E7</v>
      </c>
      <c r="N366" s="1">
        <v>8.008E8</v>
      </c>
      <c r="O366" s="1">
        <v>6.09E8</v>
      </c>
      <c r="P366" s="1">
        <v>4.502E8</v>
      </c>
      <c r="Q366" s="1">
        <v>-1.26E7</v>
      </c>
      <c r="R366" s="1">
        <v>1.055E8</v>
      </c>
      <c r="S366" s="1">
        <v>1.052E8</v>
      </c>
    </row>
    <row r="367">
      <c r="A367" s="1">
        <v>365.0</v>
      </c>
      <c r="B367" s="3">
        <v>44286.0</v>
      </c>
      <c r="C367" s="1" t="s">
        <v>222</v>
      </c>
      <c r="D367" s="1" t="s">
        <v>223</v>
      </c>
      <c r="F367" s="1">
        <v>1.929E8</v>
      </c>
      <c r="G367" s="1">
        <v>1.372E8</v>
      </c>
      <c r="H367" s="1">
        <v>1.12E8</v>
      </c>
      <c r="I367" s="1">
        <v>3.655E8</v>
      </c>
      <c r="J367" s="1">
        <v>2.08E8</v>
      </c>
      <c r="K367" s="1">
        <v>2.08E8</v>
      </c>
      <c r="L367" s="1">
        <v>-1.24E7</v>
      </c>
      <c r="M367" s="1">
        <v>5.57E7</v>
      </c>
      <c r="N367" s="1">
        <v>1.0108E9</v>
      </c>
      <c r="O367" s="1">
        <v>8.028E8</v>
      </c>
      <c r="P367" s="1">
        <v>6.453E8</v>
      </c>
      <c r="Q367" s="1">
        <v>-1.51E7</v>
      </c>
      <c r="R367" s="1">
        <v>1.372E8</v>
      </c>
      <c r="S367" s="1">
        <v>1.368E8</v>
      </c>
    </row>
    <row r="368">
      <c r="A368" s="1">
        <v>366.0</v>
      </c>
      <c r="B368" s="3">
        <v>44196.0</v>
      </c>
      <c r="C368" s="1" t="s">
        <v>222</v>
      </c>
      <c r="D368" s="1" t="s">
        <v>223</v>
      </c>
      <c r="F368" s="1">
        <v>1.229E8</v>
      </c>
      <c r="G368" s="1">
        <v>8.73E7</v>
      </c>
      <c r="H368" s="1">
        <v>9.74E7</v>
      </c>
      <c r="I368" s="1">
        <v>3.071E8</v>
      </c>
      <c r="J368" s="1">
        <v>1.636E8</v>
      </c>
      <c r="K368" s="1">
        <v>1.636E8</v>
      </c>
      <c r="L368" s="1">
        <v>-1.39E7</v>
      </c>
      <c r="M368" s="1">
        <v>3.56E7</v>
      </c>
      <c r="N368" s="1">
        <v>8.442E8</v>
      </c>
      <c r="O368" s="1">
        <v>6.806E8</v>
      </c>
      <c r="P368" s="1">
        <v>5.371E8</v>
      </c>
      <c r="Q368" s="1">
        <v>-4.07E7</v>
      </c>
      <c r="R368" s="1">
        <v>8.73E7</v>
      </c>
      <c r="S368" s="1">
        <v>8.71E7</v>
      </c>
    </row>
    <row r="369">
      <c r="A369" s="1">
        <v>367.0</v>
      </c>
      <c r="B369" s="3">
        <v>44104.0</v>
      </c>
      <c r="C369" s="1" t="s">
        <v>222</v>
      </c>
      <c r="D369" s="1" t="s">
        <v>223</v>
      </c>
      <c r="F369" s="1">
        <v>1.634E8</v>
      </c>
      <c r="G369" s="1">
        <v>1.099E8</v>
      </c>
      <c r="H369" s="1">
        <v>9.58E7</v>
      </c>
      <c r="I369" s="1">
        <v>2.92E8</v>
      </c>
      <c r="J369" s="1">
        <v>1.522E8</v>
      </c>
      <c r="K369" s="1">
        <v>1.522E8</v>
      </c>
      <c r="L369" s="1">
        <v>-9600000.0</v>
      </c>
      <c r="M369" s="1">
        <v>5.35E7</v>
      </c>
      <c r="N369" s="1">
        <v>7.927E8</v>
      </c>
      <c r="O369" s="1">
        <v>6.405E8</v>
      </c>
      <c r="P369" s="1">
        <v>5.007E8</v>
      </c>
      <c r="Q369" s="1">
        <v>1.12E7</v>
      </c>
      <c r="R369" s="1">
        <v>1.099E8</v>
      </c>
      <c r="S369" s="1">
        <v>1.096E8</v>
      </c>
    </row>
    <row r="370">
      <c r="A370" s="1">
        <v>368.0</v>
      </c>
      <c r="B370" s="3">
        <v>44377.0</v>
      </c>
      <c r="C370" s="1" t="s">
        <v>225</v>
      </c>
      <c r="D370" s="1" t="s">
        <v>225</v>
      </c>
      <c r="F370" s="1">
        <v>5.76887E8</v>
      </c>
      <c r="G370" s="1">
        <v>4.42637E8</v>
      </c>
      <c r="H370" s="1">
        <v>9.57216E8</v>
      </c>
      <c r="I370" s="1">
        <v>1.441854E9</v>
      </c>
      <c r="J370" s="1">
        <v>3.65553E8</v>
      </c>
      <c r="K370" s="1">
        <v>3.65553E8</v>
      </c>
      <c r="L370" s="1">
        <v>-1.3772E7</v>
      </c>
      <c r="M370" s="1">
        <v>1.33445E8</v>
      </c>
      <c r="N370" s="1">
        <v>6.458613E9</v>
      </c>
      <c r="O370" s="1">
        <v>6.09306E9</v>
      </c>
      <c r="P370" s="1">
        <v>5.016759E9</v>
      </c>
      <c r="Q370" s="1">
        <v>2.11334E8</v>
      </c>
      <c r="R370" s="1">
        <v>4.43442E8</v>
      </c>
      <c r="S370" s="1">
        <v>4.42637E8</v>
      </c>
    </row>
    <row r="371">
      <c r="A371" s="1">
        <v>369.0</v>
      </c>
      <c r="B371" s="3">
        <v>44286.0</v>
      </c>
      <c r="C371" s="1" t="s">
        <v>225</v>
      </c>
      <c r="D371" s="1" t="s">
        <v>225</v>
      </c>
      <c r="F371" s="1">
        <v>3.45304E8</v>
      </c>
      <c r="G371" s="1">
        <v>2.66202E8</v>
      </c>
      <c r="H371" s="1">
        <v>8.28327E8</v>
      </c>
      <c r="I371" s="1">
        <v>1.219333E9</v>
      </c>
      <c r="J371" s="1">
        <v>2.68928E8</v>
      </c>
      <c r="K371" s="1">
        <v>2.68928E8</v>
      </c>
      <c r="L371" s="1">
        <v>-1.0106E7</v>
      </c>
      <c r="M371" s="1">
        <v>7.6327E7</v>
      </c>
      <c r="N371" s="1">
        <v>5.938879E9</v>
      </c>
      <c r="O371" s="1">
        <v>5.669951E9</v>
      </c>
      <c r="P371" s="1">
        <v>4.719546E9</v>
      </c>
      <c r="Q371" s="1">
        <v>7.6376E7</v>
      </c>
      <c r="R371" s="1">
        <v>2.68977E8</v>
      </c>
      <c r="S371" s="1">
        <v>2.66202E8</v>
      </c>
    </row>
    <row r="372">
      <c r="A372" s="1">
        <v>370.0</v>
      </c>
      <c r="B372" s="3">
        <v>44196.0</v>
      </c>
      <c r="C372" s="1" t="s">
        <v>225</v>
      </c>
      <c r="D372" s="1" t="s">
        <v>225</v>
      </c>
      <c r="F372" s="1">
        <v>4.1044E8</v>
      </c>
      <c r="G372" s="1">
        <v>3.13765E8</v>
      </c>
      <c r="H372" s="1">
        <v>8.7605E8</v>
      </c>
      <c r="I372" s="1">
        <v>1.566071E9</v>
      </c>
      <c r="J372" s="1">
        <v>5.66888E8</v>
      </c>
      <c r="K372" s="1">
        <v>5.66888E8</v>
      </c>
      <c r="L372" s="1">
        <v>-1.5958E7</v>
      </c>
      <c r="M372" s="1">
        <v>9.5054E7</v>
      </c>
      <c r="N372" s="1">
        <v>6.910501E9</v>
      </c>
      <c r="O372" s="1">
        <v>6.343613E9</v>
      </c>
      <c r="P372" s="1">
        <v>5.34443E9</v>
      </c>
      <c r="Q372" s="1">
        <v>-1.56448E8</v>
      </c>
      <c r="R372" s="1">
        <v>3.15386E8</v>
      </c>
      <c r="S372" s="1">
        <v>3.13765E8</v>
      </c>
    </row>
    <row r="373">
      <c r="A373" s="1">
        <v>371.0</v>
      </c>
      <c r="B373" s="3">
        <v>44104.0</v>
      </c>
      <c r="C373" s="1" t="s">
        <v>225</v>
      </c>
      <c r="D373" s="1" t="s">
        <v>225</v>
      </c>
      <c r="F373" s="1">
        <v>2.33902E8</v>
      </c>
      <c r="G373" s="1">
        <v>1.84132E8</v>
      </c>
      <c r="H373" s="1">
        <v>7.54527E8</v>
      </c>
      <c r="I373" s="1">
        <v>1.096263E9</v>
      </c>
      <c r="J373" s="1">
        <v>2.14011E8</v>
      </c>
      <c r="K373" s="1">
        <v>2.14011E8</v>
      </c>
      <c r="L373" s="1">
        <v>-1.7829E7</v>
      </c>
      <c r="M373" s="1">
        <v>4.9062E7</v>
      </c>
      <c r="N373" s="1">
        <v>5.645142E9</v>
      </c>
      <c r="O373" s="1">
        <v>5.431131E9</v>
      </c>
      <c r="P373" s="1">
        <v>4.548879E9</v>
      </c>
      <c r="Q373" s="1">
        <v>1.9891E7</v>
      </c>
      <c r="R373" s="1">
        <v>1.8484E8</v>
      </c>
      <c r="S373" s="1">
        <v>1.84132E8</v>
      </c>
    </row>
    <row r="374">
      <c r="A374" s="1">
        <v>372.0</v>
      </c>
      <c r="B374" s="3">
        <v>44377.0</v>
      </c>
      <c r="C374" s="1" t="s">
        <v>226</v>
      </c>
      <c r="D374" s="1" t="s">
        <v>226</v>
      </c>
      <c r="F374" s="1">
        <v>3.712E8</v>
      </c>
      <c r="G374" s="1">
        <v>2.741E8</v>
      </c>
      <c r="H374" s="1">
        <v>5.129E8</v>
      </c>
      <c r="I374" s="1">
        <v>8.828E8</v>
      </c>
      <c r="J374" s="1">
        <v>3.699E8</v>
      </c>
      <c r="K374" s="1">
        <v>3.699E8</v>
      </c>
      <c r="L374" s="1">
        <v>-3.55E7</v>
      </c>
      <c r="M374" s="1">
        <v>9.71E7</v>
      </c>
      <c r="N374" s="1">
        <v>5.1464E9</v>
      </c>
      <c r="O374" s="1">
        <v>4.7765E9</v>
      </c>
      <c r="P374" s="1">
        <v>4.2636E9</v>
      </c>
      <c r="Q374" s="1">
        <v>1300000.0</v>
      </c>
      <c r="R374" s="1">
        <v>2.741E8</v>
      </c>
      <c r="S374" s="1">
        <v>2.741E8</v>
      </c>
    </row>
    <row r="375">
      <c r="A375" s="1">
        <v>373.0</v>
      </c>
      <c r="B375" s="3">
        <v>44286.0</v>
      </c>
      <c r="C375" s="1" t="s">
        <v>226</v>
      </c>
      <c r="D375" s="1" t="s">
        <v>226</v>
      </c>
      <c r="F375" s="1">
        <v>2.889E8</v>
      </c>
      <c r="G375" s="1">
        <v>2.326E8</v>
      </c>
      <c r="H375" s="1">
        <v>4.718E8</v>
      </c>
      <c r="I375" s="1">
        <v>7.952E8</v>
      </c>
      <c r="J375" s="1">
        <v>3.234E8</v>
      </c>
      <c r="K375" s="1">
        <v>3.234E8</v>
      </c>
      <c r="L375" s="1">
        <v>-3.56E7</v>
      </c>
      <c r="M375" s="1">
        <v>5.63E7</v>
      </c>
      <c r="N375" s="1">
        <v>4.8375E9</v>
      </c>
      <c r="O375" s="1">
        <v>4.5141E9</v>
      </c>
      <c r="P375" s="1">
        <v>4.0423E9</v>
      </c>
      <c r="Q375" s="1">
        <v>-3.45E7</v>
      </c>
      <c r="R375" s="1">
        <v>2.326E8</v>
      </c>
      <c r="S375" s="1">
        <v>2.326E8</v>
      </c>
    </row>
    <row r="376">
      <c r="A376" s="1">
        <v>374.0</v>
      </c>
      <c r="B376" s="3">
        <v>44196.0</v>
      </c>
      <c r="C376" s="1" t="s">
        <v>226</v>
      </c>
      <c r="D376" s="1" t="s">
        <v>226</v>
      </c>
      <c r="F376" s="1">
        <v>2.95E8</v>
      </c>
      <c r="G376" s="1">
        <v>2.383E8</v>
      </c>
      <c r="H376" s="1">
        <v>5.487E8</v>
      </c>
      <c r="I376" s="1">
        <v>8.809E8</v>
      </c>
      <c r="J376" s="1">
        <v>3.322E8</v>
      </c>
      <c r="K376" s="1">
        <v>3.322E8</v>
      </c>
      <c r="L376" s="1">
        <v>-3.71E7</v>
      </c>
      <c r="M376" s="1">
        <v>5.67E7</v>
      </c>
      <c r="N376" s="1">
        <v>4.9562E9</v>
      </c>
      <c r="O376" s="1">
        <v>4.624E9</v>
      </c>
      <c r="P376" s="1">
        <v>4.0753E9</v>
      </c>
      <c r="Q376" s="1">
        <v>-3.72E7</v>
      </c>
      <c r="R376" s="1">
        <v>2.383E8</v>
      </c>
      <c r="S376" s="1">
        <v>2.383E8</v>
      </c>
    </row>
    <row r="377">
      <c r="A377" s="1">
        <v>375.0</v>
      </c>
      <c r="B377" s="3">
        <v>44104.0</v>
      </c>
      <c r="C377" s="1" t="s">
        <v>226</v>
      </c>
      <c r="D377" s="1" t="s">
        <v>226</v>
      </c>
      <c r="F377" s="1">
        <v>2.501E8</v>
      </c>
      <c r="G377" s="1">
        <v>1.932E8</v>
      </c>
      <c r="H377" s="1">
        <v>4.992E8</v>
      </c>
      <c r="I377" s="1">
        <v>8.255E8</v>
      </c>
      <c r="J377" s="1">
        <v>3.263E8</v>
      </c>
      <c r="K377" s="1">
        <v>3.263E8</v>
      </c>
      <c r="L377" s="1">
        <v>-4.02E7</v>
      </c>
      <c r="M377" s="1">
        <v>5.69E7</v>
      </c>
      <c r="N377" s="1">
        <v>4.7564E9</v>
      </c>
      <c r="O377" s="1">
        <v>4.4301E9</v>
      </c>
      <c r="P377" s="1">
        <v>3.9309E9</v>
      </c>
      <c r="Q377" s="1">
        <v>-7.62E7</v>
      </c>
      <c r="R377" s="1">
        <v>1.932E8</v>
      </c>
      <c r="S377" s="1">
        <v>1.932E8</v>
      </c>
    </row>
    <row r="378">
      <c r="A378" s="1">
        <v>376.0</v>
      </c>
      <c r="B378" s="3">
        <v>44377.0</v>
      </c>
      <c r="C378" s="1" t="s">
        <v>228</v>
      </c>
      <c r="D378" s="1" t="s">
        <v>229</v>
      </c>
      <c r="E378" s="1">
        <v>2.2E7</v>
      </c>
      <c r="F378" s="1">
        <v>6.6E8</v>
      </c>
      <c r="G378" s="1">
        <v>5.38E8</v>
      </c>
      <c r="H378" s="1">
        <v>1.23E8</v>
      </c>
      <c r="I378" s="1">
        <v>7.61E8</v>
      </c>
      <c r="J378" s="1">
        <v>6.11E8</v>
      </c>
      <c r="K378" s="1">
        <v>6.11E8</v>
      </c>
      <c r="L378" s="1">
        <v>-2.4E7</v>
      </c>
      <c r="M378" s="1">
        <v>1.16E8</v>
      </c>
      <c r="N378" s="1">
        <v>2.198E9</v>
      </c>
      <c r="O378" s="1">
        <v>1.587E9</v>
      </c>
      <c r="P378" s="1">
        <v>1.437E9</v>
      </c>
      <c r="Q378" s="1">
        <v>4.9E7</v>
      </c>
      <c r="R378" s="1">
        <v>5.44E8</v>
      </c>
      <c r="S378" s="1">
        <v>5.38E8</v>
      </c>
    </row>
    <row r="379">
      <c r="A379" s="1">
        <v>377.0</v>
      </c>
      <c r="B379" s="3">
        <v>44286.0</v>
      </c>
      <c r="C379" s="1" t="s">
        <v>228</v>
      </c>
      <c r="D379" s="1" t="s">
        <v>229</v>
      </c>
      <c r="E379" s="1">
        <v>2.0E7</v>
      </c>
      <c r="F379" s="1">
        <v>4.09E8</v>
      </c>
      <c r="G379" s="1">
        <v>3.22E8</v>
      </c>
      <c r="H379" s="1">
        <v>9.9E7</v>
      </c>
      <c r="I379" s="1">
        <v>4.85E8</v>
      </c>
      <c r="J379" s="1">
        <v>3.6E8</v>
      </c>
      <c r="K379" s="1">
        <v>3.6E8</v>
      </c>
      <c r="L379" s="1">
        <v>-2.5E7</v>
      </c>
      <c r="M379" s="1">
        <v>8.5E7</v>
      </c>
      <c r="N379" s="1">
        <v>1.798E9</v>
      </c>
      <c r="O379" s="1">
        <v>1.438E9</v>
      </c>
      <c r="P379" s="1">
        <v>1.313E9</v>
      </c>
      <c r="Q379" s="1">
        <v>4.9E7</v>
      </c>
      <c r="R379" s="1">
        <v>3.24E8</v>
      </c>
      <c r="S379" s="1">
        <v>3.22E8</v>
      </c>
    </row>
    <row r="380">
      <c r="A380" s="1">
        <v>378.0</v>
      </c>
      <c r="B380" s="3">
        <v>44196.0</v>
      </c>
      <c r="C380" s="1" t="s">
        <v>228</v>
      </c>
      <c r="D380" s="1" t="s">
        <v>229</v>
      </c>
      <c r="E380" s="1">
        <v>2.0E7</v>
      </c>
      <c r="F380" s="1">
        <v>1.571E9</v>
      </c>
      <c r="G380" s="1">
        <v>1.453E9</v>
      </c>
      <c r="H380" s="1">
        <v>2.02E8</v>
      </c>
      <c r="I380" s="1">
        <v>3.76E8</v>
      </c>
      <c r="J380" s="1">
        <v>1.49E8</v>
      </c>
      <c r="K380" s="1">
        <v>1.49E8</v>
      </c>
      <c r="L380" s="1">
        <v>-2.6E7</v>
      </c>
      <c r="M380" s="1">
        <v>1.17E8</v>
      </c>
      <c r="N380" s="1">
        <v>1.591E9</v>
      </c>
      <c r="O380" s="1">
        <v>1.442E9</v>
      </c>
      <c r="P380" s="1">
        <v>1.215E9</v>
      </c>
      <c r="Q380" s="1">
        <v>1.422E9</v>
      </c>
      <c r="R380" s="1">
        <v>1.454E9</v>
      </c>
      <c r="S380" s="1">
        <v>1.453E9</v>
      </c>
    </row>
    <row r="381">
      <c r="A381" s="1">
        <v>379.0</v>
      </c>
      <c r="B381" s="3">
        <v>44104.0</v>
      </c>
      <c r="C381" s="1" t="s">
        <v>228</v>
      </c>
      <c r="D381" s="1" t="s">
        <v>229</v>
      </c>
      <c r="E381" s="1">
        <v>1.9E7</v>
      </c>
      <c r="F381" s="1">
        <v>2.41E8</v>
      </c>
      <c r="G381" s="1">
        <v>2.07E8</v>
      </c>
      <c r="H381" s="1">
        <v>7.8E7</v>
      </c>
      <c r="I381" s="1">
        <v>3.27E8</v>
      </c>
      <c r="J381" s="1">
        <v>2.24E8</v>
      </c>
      <c r="K381" s="1">
        <v>2.24E8</v>
      </c>
      <c r="L381" s="1">
        <v>-2.8E7</v>
      </c>
      <c r="M381" s="1">
        <v>3.0E7</v>
      </c>
      <c r="N381" s="1">
        <v>1.411E9</v>
      </c>
      <c r="O381" s="1">
        <v>1.187E9</v>
      </c>
      <c r="P381" s="1">
        <v>1.084E9</v>
      </c>
      <c r="Q381" s="1">
        <v>1.7E7</v>
      </c>
      <c r="R381" s="1">
        <v>2.11E8</v>
      </c>
      <c r="S381" s="1">
        <v>2.07E8</v>
      </c>
    </row>
    <row r="382">
      <c r="A382" s="1">
        <v>380.0</v>
      </c>
      <c r="B382" s="3">
        <v>44469.0</v>
      </c>
      <c r="C382" s="1" t="s">
        <v>230</v>
      </c>
      <c r="D382" s="1" t="s">
        <v>231</v>
      </c>
      <c r="F382" s="1">
        <v>7.2E8</v>
      </c>
      <c r="G382" s="1">
        <v>5.84E8</v>
      </c>
      <c r="H382" s="1">
        <v>2.642E9</v>
      </c>
      <c r="I382" s="1">
        <v>4.97E9</v>
      </c>
      <c r="J382" s="1">
        <v>7.02E8</v>
      </c>
      <c r="K382" s="1">
        <v>7.02E8</v>
      </c>
      <c r="L382" s="1">
        <v>-1.7E8</v>
      </c>
      <c r="M382" s="1">
        <v>1.39E8</v>
      </c>
      <c r="N382" s="1">
        <v>3.04E10</v>
      </c>
      <c r="O382" s="1">
        <v>2.9698E10</v>
      </c>
      <c r="P382" s="1">
        <v>2.543E10</v>
      </c>
      <c r="Q382" s="1">
        <v>1.8E7</v>
      </c>
      <c r="R382" s="1">
        <v>5.81E8</v>
      </c>
      <c r="S382" s="1">
        <v>5.84E8</v>
      </c>
    </row>
    <row r="383">
      <c r="A383" s="1">
        <v>381.0</v>
      </c>
      <c r="B383" s="3">
        <v>44377.0</v>
      </c>
      <c r="C383" s="1" t="s">
        <v>230</v>
      </c>
      <c r="D383" s="1" t="s">
        <v>231</v>
      </c>
      <c r="F383" s="1">
        <v>-5.42E8</v>
      </c>
      <c r="G383" s="1">
        <v>-5.35E8</v>
      </c>
      <c r="H383" s="1">
        <v>2.232E9</v>
      </c>
      <c r="I383" s="1">
        <v>4.574E9</v>
      </c>
      <c r="J383" s="1">
        <v>9.74E8</v>
      </c>
      <c r="K383" s="1">
        <v>9.74E8</v>
      </c>
      <c r="L383" s="1">
        <v>-1.63E8</v>
      </c>
      <c r="M383" s="1">
        <v>-7000000.0</v>
      </c>
      <c r="N383" s="1">
        <v>2.8963E10</v>
      </c>
      <c r="O383" s="1">
        <v>2.7989E10</v>
      </c>
      <c r="P383" s="1">
        <v>2.4389E10</v>
      </c>
      <c r="Q383" s="1">
        <v>-1.516E9</v>
      </c>
      <c r="R383" s="1">
        <v>-5.35E8</v>
      </c>
      <c r="S383" s="1">
        <v>-5.35E8</v>
      </c>
    </row>
    <row r="384">
      <c r="A384" s="1">
        <v>382.0</v>
      </c>
      <c r="B384" s="3">
        <v>44286.0</v>
      </c>
      <c r="C384" s="1" t="s">
        <v>230</v>
      </c>
      <c r="D384" s="1" t="s">
        <v>231</v>
      </c>
      <c r="F384" s="1">
        <v>9.41E8</v>
      </c>
      <c r="G384" s="1">
        <v>6.99E8</v>
      </c>
      <c r="H384" s="1">
        <v>2.265E9</v>
      </c>
      <c r="I384" s="1">
        <v>4.826E9</v>
      </c>
      <c r="J384" s="1">
        <v>1.259E9</v>
      </c>
      <c r="K384" s="1">
        <v>1.259E9</v>
      </c>
      <c r="L384" s="1">
        <v>-1.7E8</v>
      </c>
      <c r="M384" s="1">
        <v>2.44E8</v>
      </c>
      <c r="N384" s="1">
        <v>2.8217E10</v>
      </c>
      <c r="O384" s="1">
        <v>2.6958E10</v>
      </c>
      <c r="P384" s="1">
        <v>2.3391E10</v>
      </c>
      <c r="Q384" s="1">
        <v>-3.18E8</v>
      </c>
      <c r="R384" s="1">
        <v>6.97E8</v>
      </c>
      <c r="S384" s="1">
        <v>6.99E8</v>
      </c>
    </row>
    <row r="385">
      <c r="A385" s="1">
        <v>383.0</v>
      </c>
      <c r="B385" s="3">
        <v>44196.0</v>
      </c>
      <c r="C385" s="1" t="s">
        <v>230</v>
      </c>
      <c r="D385" s="1" t="s">
        <v>231</v>
      </c>
      <c r="F385" s="1">
        <v>-7.4E7</v>
      </c>
      <c r="G385" s="1">
        <v>-1.2E7</v>
      </c>
      <c r="H385" s="1">
        <v>2.943E9</v>
      </c>
      <c r="I385" s="1">
        <v>3.945E9</v>
      </c>
      <c r="J385" s="1">
        <v>2.74E8</v>
      </c>
      <c r="K385" s="1">
        <v>2.74E8</v>
      </c>
      <c r="L385" s="1">
        <v>-1.77E8</v>
      </c>
      <c r="M385" s="1">
        <v>-5.5E7</v>
      </c>
      <c r="N385" s="1">
        <v>2.655E10</v>
      </c>
      <c r="O385" s="1">
        <v>2.6276E10</v>
      </c>
      <c r="P385" s="1">
        <v>2.2605E10</v>
      </c>
      <c r="Q385" s="1">
        <v>-3.48E8</v>
      </c>
      <c r="R385" s="1">
        <v>-1.9E7</v>
      </c>
      <c r="S385" s="1">
        <v>-1.2E7</v>
      </c>
    </row>
    <row r="386">
      <c r="A386" s="1">
        <v>384.0</v>
      </c>
      <c r="B386" s="3">
        <v>44377.0</v>
      </c>
      <c r="C386" s="1" t="s">
        <v>233</v>
      </c>
      <c r="D386" s="1" t="s">
        <v>234</v>
      </c>
      <c r="F386" s="1">
        <v>2.48E8</v>
      </c>
      <c r="G386" s="1">
        <v>2.51E8</v>
      </c>
      <c r="H386" s="1">
        <v>-2000000.0</v>
      </c>
      <c r="I386" s="1">
        <v>7.49E8</v>
      </c>
      <c r="J386" s="1">
        <v>2.98E8</v>
      </c>
      <c r="K386" s="1">
        <v>2.98E8</v>
      </c>
      <c r="L386" s="1">
        <v>-1.24E8</v>
      </c>
      <c r="M386" s="1">
        <v>-3000000.0</v>
      </c>
      <c r="N386" s="1">
        <v>1.742E9</v>
      </c>
      <c r="O386" s="1">
        <v>1.444E9</v>
      </c>
      <c r="P386" s="1">
        <v>9.93E8</v>
      </c>
      <c r="Q386" s="1">
        <v>-5.0E7</v>
      </c>
      <c r="R386" s="1">
        <v>2.51E8</v>
      </c>
      <c r="S386" s="1">
        <v>2.21E8</v>
      </c>
    </row>
    <row r="387">
      <c r="A387" s="1">
        <v>385.0</v>
      </c>
      <c r="B387" s="3">
        <v>44286.0</v>
      </c>
      <c r="C387" s="1" t="s">
        <v>233</v>
      </c>
      <c r="D387" s="1" t="s">
        <v>234</v>
      </c>
      <c r="F387" s="1">
        <v>4.37E8</v>
      </c>
      <c r="G387" s="1">
        <v>3.63E8</v>
      </c>
      <c r="H387" s="1">
        <v>-2000000.0</v>
      </c>
      <c r="I387" s="1">
        <v>9.03E8</v>
      </c>
      <c r="J387" s="1">
        <v>4.55E8</v>
      </c>
      <c r="K387" s="1">
        <v>4.55E8</v>
      </c>
      <c r="L387" s="1">
        <v>-1.19E8</v>
      </c>
      <c r="M387" s="1">
        <v>7.4E7</v>
      </c>
      <c r="N387" s="1">
        <v>2.547E9</v>
      </c>
      <c r="O387" s="1">
        <v>2.092E9</v>
      </c>
      <c r="P387" s="1">
        <v>1.644E9</v>
      </c>
      <c r="Q387" s="1">
        <v>-1.8E7</v>
      </c>
      <c r="R387" s="1">
        <v>3.63E8</v>
      </c>
      <c r="S387" s="1">
        <v>3.34E8</v>
      </c>
    </row>
    <row r="388">
      <c r="A388" s="1">
        <v>386.0</v>
      </c>
      <c r="B388" s="3">
        <v>44196.0</v>
      </c>
      <c r="C388" s="1" t="s">
        <v>233</v>
      </c>
      <c r="D388" s="1" t="s">
        <v>234</v>
      </c>
      <c r="F388" s="1">
        <v>2.54E8</v>
      </c>
      <c r="G388" s="1">
        <v>2.0E8</v>
      </c>
      <c r="H388" s="1">
        <v>2.6E7</v>
      </c>
      <c r="I388" s="1">
        <v>7.41E8</v>
      </c>
      <c r="J388" s="1">
        <v>2.82E8</v>
      </c>
      <c r="K388" s="1">
        <v>2.82E8</v>
      </c>
      <c r="L388" s="1">
        <v>-1.19E8</v>
      </c>
      <c r="M388" s="1">
        <v>5.4E7</v>
      </c>
      <c r="N388" s="1">
        <v>2.054E9</v>
      </c>
      <c r="O388" s="1">
        <v>1.772E9</v>
      </c>
      <c r="P388" s="1">
        <v>1.313E9</v>
      </c>
      <c r="Q388" s="1">
        <v>-2.8E7</v>
      </c>
      <c r="R388" s="1">
        <v>2.0E8</v>
      </c>
      <c r="S388" s="1">
        <v>1.51E8</v>
      </c>
    </row>
    <row r="389">
      <c r="A389" s="1">
        <v>387.0</v>
      </c>
      <c r="B389" s="3">
        <v>44104.0</v>
      </c>
      <c r="C389" s="1" t="s">
        <v>233</v>
      </c>
      <c r="D389" s="1" t="s">
        <v>234</v>
      </c>
      <c r="F389" s="1">
        <v>1.17E8</v>
      </c>
      <c r="G389" s="1">
        <v>1.21E8</v>
      </c>
      <c r="H389" s="1">
        <v>2.6E7</v>
      </c>
      <c r="I389" s="1">
        <v>7.3E8</v>
      </c>
      <c r="J389" s="1">
        <v>3.02E8</v>
      </c>
      <c r="K389" s="1">
        <v>3.02E8</v>
      </c>
      <c r="L389" s="1">
        <v>-1.28E8</v>
      </c>
      <c r="M389" s="1">
        <v>-1.0E7</v>
      </c>
      <c r="N389" s="1">
        <v>1.622E9</v>
      </c>
      <c r="O389" s="1">
        <v>1.32E9</v>
      </c>
      <c r="P389" s="1">
        <v>8.92E8</v>
      </c>
      <c r="Q389" s="1">
        <v>-1.85E8</v>
      </c>
      <c r="R389" s="1">
        <v>1.27E8</v>
      </c>
      <c r="S389" s="1">
        <v>6.9E7</v>
      </c>
    </row>
    <row r="390">
      <c r="A390" s="1">
        <v>388.0</v>
      </c>
      <c r="B390" s="3">
        <v>44377.0</v>
      </c>
      <c r="C390" s="1" t="s">
        <v>235</v>
      </c>
      <c r="D390" s="1" t="s">
        <v>236</v>
      </c>
      <c r="F390" s="1">
        <v>-3.78E7</v>
      </c>
      <c r="G390" s="1">
        <v>-2.58E7</v>
      </c>
      <c r="H390" s="1">
        <v>1.072E8</v>
      </c>
      <c r="I390" s="1">
        <v>1.066E8</v>
      </c>
      <c r="J390" s="1">
        <v>-1.44E7</v>
      </c>
      <c r="K390" s="1">
        <v>-1.44E7</v>
      </c>
      <c r="L390" s="1">
        <v>-9900000.0</v>
      </c>
      <c r="M390" s="1">
        <v>-1.2E7</v>
      </c>
      <c r="N390" s="1">
        <v>2.504E8</v>
      </c>
      <c r="O390" s="1">
        <v>2.648E8</v>
      </c>
      <c r="P390" s="1">
        <v>1.438E8</v>
      </c>
      <c r="Q390" s="1">
        <v>-2.34E7</v>
      </c>
      <c r="R390" s="1">
        <v>-2.58E7</v>
      </c>
      <c r="S390" s="1">
        <v>-2.58E7</v>
      </c>
    </row>
    <row r="391">
      <c r="A391" s="1">
        <v>389.0</v>
      </c>
      <c r="B391" s="3">
        <v>44286.0</v>
      </c>
      <c r="C391" s="1" t="s">
        <v>235</v>
      </c>
      <c r="D391" s="1" t="s">
        <v>236</v>
      </c>
      <c r="F391" s="1">
        <v>-1.26E7</v>
      </c>
      <c r="G391" s="1">
        <v>-1.92E7</v>
      </c>
      <c r="H391" s="1">
        <v>8.74E7</v>
      </c>
      <c r="I391" s="1">
        <v>1.052E8</v>
      </c>
      <c r="J391" s="1">
        <v>6700000.0</v>
      </c>
      <c r="K391" s="1">
        <v>6700000.0</v>
      </c>
      <c r="L391" s="1">
        <v>-5600000.0</v>
      </c>
      <c r="M391" s="1">
        <v>6600000.0</v>
      </c>
      <c r="N391" s="1">
        <v>2.345E8</v>
      </c>
      <c r="O391" s="1">
        <v>2.278E8</v>
      </c>
      <c r="P391" s="1">
        <v>1.293E8</v>
      </c>
      <c r="Q391" s="1">
        <v>-1.93E7</v>
      </c>
      <c r="R391" s="1">
        <v>-1.92E7</v>
      </c>
      <c r="S391" s="1">
        <v>-1.92E7</v>
      </c>
    </row>
    <row r="392">
      <c r="A392" s="1">
        <v>390.0</v>
      </c>
      <c r="B392" s="3">
        <v>44196.0</v>
      </c>
      <c r="C392" s="1" t="s">
        <v>235</v>
      </c>
      <c r="D392" s="1" t="s">
        <v>236</v>
      </c>
      <c r="F392" s="1">
        <v>-2.76E7</v>
      </c>
      <c r="G392" s="1">
        <v>-1.73E7</v>
      </c>
      <c r="H392" s="1">
        <v>8.06E7</v>
      </c>
      <c r="I392" s="1">
        <v>9.66E7</v>
      </c>
      <c r="J392" s="1">
        <v>5400000.0</v>
      </c>
      <c r="K392" s="1">
        <v>5400000.0</v>
      </c>
      <c r="L392" s="1">
        <v>-5700000.0</v>
      </c>
      <c r="M392" s="1">
        <v>-1.03E7</v>
      </c>
      <c r="N392" s="1">
        <v>2.228E8</v>
      </c>
      <c r="O392" s="1">
        <v>2.174E8</v>
      </c>
      <c r="P392" s="1">
        <v>1.262E8</v>
      </c>
      <c r="Q392" s="1">
        <v>-3.3E7</v>
      </c>
      <c r="R392" s="1">
        <v>-1.73E7</v>
      </c>
      <c r="S392" s="1">
        <v>-1.73E7</v>
      </c>
    </row>
    <row r="393">
      <c r="A393" s="1">
        <v>391.0</v>
      </c>
      <c r="B393" s="3">
        <v>44104.0</v>
      </c>
      <c r="C393" s="1" t="s">
        <v>235</v>
      </c>
      <c r="D393" s="1" t="s">
        <v>236</v>
      </c>
      <c r="F393" s="1">
        <v>-6300000.0</v>
      </c>
      <c r="G393" s="1">
        <v>-800000.0</v>
      </c>
      <c r="H393" s="1">
        <v>7.75E7</v>
      </c>
      <c r="I393" s="1">
        <v>8.86E7</v>
      </c>
      <c r="J393" s="1">
        <v>800000.0</v>
      </c>
      <c r="K393" s="1">
        <v>800000.0</v>
      </c>
      <c r="L393" s="1">
        <v>-5900000.0</v>
      </c>
      <c r="M393" s="1">
        <v>-5500000.0</v>
      </c>
      <c r="N393" s="1">
        <v>2.044E8</v>
      </c>
      <c r="O393" s="1">
        <v>2.036E8</v>
      </c>
      <c r="P393" s="1">
        <v>1.158E8</v>
      </c>
      <c r="Q393" s="1">
        <v>-7100000.0</v>
      </c>
      <c r="R393" s="1">
        <v>-800000.0</v>
      </c>
      <c r="S393" s="1">
        <v>-800000.0</v>
      </c>
    </row>
    <row r="394">
      <c r="A394" s="1">
        <v>392.0</v>
      </c>
      <c r="B394" s="3">
        <v>44377.0</v>
      </c>
      <c r="C394" s="1" t="s">
        <v>238</v>
      </c>
      <c r="D394" s="1" t="s">
        <v>239</v>
      </c>
      <c r="E394" s="1">
        <v>1.936E8</v>
      </c>
      <c r="F394" s="1">
        <v>4.7882E7</v>
      </c>
      <c r="G394" s="1">
        <v>3.2707E7</v>
      </c>
      <c r="H394" s="1">
        <v>7.65384E8</v>
      </c>
      <c r="I394" s="1">
        <v>1.19543E9</v>
      </c>
      <c r="J394" s="1">
        <v>2.1956E8</v>
      </c>
      <c r="K394" s="1">
        <v>2.1956E8</v>
      </c>
      <c r="M394" s="1">
        <v>1.5175E7</v>
      </c>
      <c r="N394" s="1">
        <v>1.456755E9</v>
      </c>
      <c r="O394" s="1">
        <v>1.237195E9</v>
      </c>
      <c r="P394" s="1">
        <v>2.61325E8</v>
      </c>
      <c r="Q394" s="1">
        <v>-1.71678E8</v>
      </c>
      <c r="R394" s="1">
        <v>3.2707E7</v>
      </c>
      <c r="S394" s="1">
        <v>3.2707E7</v>
      </c>
    </row>
    <row r="395">
      <c r="A395" s="1">
        <v>393.0</v>
      </c>
      <c r="B395" s="3">
        <v>44286.0</v>
      </c>
      <c r="C395" s="1" t="s">
        <v>238</v>
      </c>
      <c r="D395" s="1" t="s">
        <v>239</v>
      </c>
      <c r="E395" s="1">
        <v>1.92327E8</v>
      </c>
      <c r="F395" s="1">
        <v>2.19264E8</v>
      </c>
      <c r="G395" s="1">
        <v>1.72252E8</v>
      </c>
      <c r="H395" s="1">
        <v>7.14541E8</v>
      </c>
      <c r="I395" s="1">
        <v>1.157122E9</v>
      </c>
      <c r="J395" s="1">
        <v>2.38058E8</v>
      </c>
      <c r="K395" s="1">
        <v>2.38058E8</v>
      </c>
      <c r="M395" s="1">
        <v>4.7012E7</v>
      </c>
      <c r="N395" s="1">
        <v>1.387778E9</v>
      </c>
      <c r="O395" s="1">
        <v>1.14972E9</v>
      </c>
      <c r="P395" s="1">
        <v>2.30656E8</v>
      </c>
      <c r="Q395" s="1">
        <v>-1.8794E7</v>
      </c>
      <c r="R395" s="1">
        <v>1.72252E8</v>
      </c>
      <c r="S395" s="1">
        <v>1.72252E8</v>
      </c>
    </row>
    <row r="396">
      <c r="A396" s="1">
        <v>394.0</v>
      </c>
      <c r="B396" s="3">
        <v>44196.0</v>
      </c>
      <c r="C396" s="1" t="s">
        <v>238</v>
      </c>
      <c r="D396" s="1" t="s">
        <v>239</v>
      </c>
      <c r="E396" s="1">
        <v>1.97906E8</v>
      </c>
      <c r="F396" s="1">
        <v>1.76132E8</v>
      </c>
      <c r="G396" s="1">
        <v>1.41505E8</v>
      </c>
      <c r="H396" s="1">
        <v>7.28063E8</v>
      </c>
      <c r="I396" s="1">
        <v>1.160352E9</v>
      </c>
      <c r="J396" s="1">
        <v>2.21819E8</v>
      </c>
      <c r="K396" s="1">
        <v>2.21819E8</v>
      </c>
      <c r="L396" s="1">
        <v>-2.908E7</v>
      </c>
      <c r="M396" s="1">
        <v>3.4627E7</v>
      </c>
      <c r="N396" s="1">
        <v>1.395025E9</v>
      </c>
      <c r="O396" s="1">
        <v>1.173206E9</v>
      </c>
      <c r="P396" s="1">
        <v>2.34673E8</v>
      </c>
      <c r="Q396" s="1">
        <v>-4.5687E7</v>
      </c>
      <c r="R396" s="1">
        <v>1.41505E8</v>
      </c>
      <c r="S396" s="1">
        <v>1.41505E8</v>
      </c>
    </row>
    <row r="397">
      <c r="A397" s="1">
        <v>395.0</v>
      </c>
      <c r="B397" s="3">
        <v>44104.0</v>
      </c>
      <c r="C397" s="1" t="s">
        <v>238</v>
      </c>
      <c r="D397" s="1" t="s">
        <v>239</v>
      </c>
      <c r="E397" s="1">
        <v>1.86826E8</v>
      </c>
      <c r="F397" s="1">
        <v>4.5984E8</v>
      </c>
      <c r="G397" s="1">
        <v>3.56676E8</v>
      </c>
      <c r="H397" s="1">
        <v>7.42218E8</v>
      </c>
      <c r="I397" s="1">
        <v>1.136784E9</v>
      </c>
      <c r="J397" s="1">
        <v>1.94951E8</v>
      </c>
      <c r="K397" s="1">
        <v>1.94951E8</v>
      </c>
      <c r="L397" s="1">
        <v>-2.908E7</v>
      </c>
      <c r="M397" s="1">
        <v>1.03164E8</v>
      </c>
      <c r="N397" s="1">
        <v>1.368673E9</v>
      </c>
      <c r="O397" s="1">
        <v>1.173722E9</v>
      </c>
      <c r="P397" s="1">
        <v>2.31889E8</v>
      </c>
      <c r="Q397" s="1">
        <v>2.64889E8</v>
      </c>
      <c r="R397" s="1">
        <v>3.56676E8</v>
      </c>
      <c r="S397" s="1">
        <v>3.56676E8</v>
      </c>
    </row>
    <row r="398">
      <c r="A398" s="1">
        <v>396.0</v>
      </c>
      <c r="B398" s="3">
        <v>44377.0</v>
      </c>
      <c r="C398" s="1" t="s">
        <v>240</v>
      </c>
      <c r="D398" s="1" t="s">
        <v>241</v>
      </c>
      <c r="F398" s="1">
        <v>4.02E8</v>
      </c>
      <c r="G398" s="1">
        <v>2.46E8</v>
      </c>
      <c r="H398" s="1">
        <v>6.0E7</v>
      </c>
      <c r="I398" s="1">
        <v>5.03E8</v>
      </c>
      <c r="J398" s="1">
        <v>4.42E8</v>
      </c>
      <c r="K398" s="1">
        <v>4.42E8</v>
      </c>
      <c r="L398" s="1">
        <v>-4.6E7</v>
      </c>
      <c r="M398" s="1">
        <v>8.5E7</v>
      </c>
      <c r="N398" s="1">
        <v>1.588E9</v>
      </c>
      <c r="O398" s="1">
        <v>1.146E9</v>
      </c>
      <c r="P398" s="1">
        <v>1.085E9</v>
      </c>
      <c r="Q398" s="1">
        <v>-4.0E7</v>
      </c>
      <c r="R398" s="1">
        <v>3.17E8</v>
      </c>
      <c r="S398" s="1">
        <v>2.46E8</v>
      </c>
    </row>
    <row r="399">
      <c r="A399" s="1">
        <v>397.0</v>
      </c>
      <c r="B399" s="3">
        <v>44286.0</v>
      </c>
      <c r="C399" s="1" t="s">
        <v>240</v>
      </c>
      <c r="D399" s="1" t="s">
        <v>241</v>
      </c>
      <c r="F399" s="1">
        <v>1.93E8</v>
      </c>
      <c r="G399" s="1">
        <v>1.51E8</v>
      </c>
      <c r="H399" s="1">
        <v>5.5E7</v>
      </c>
      <c r="I399" s="1">
        <v>2.89E8</v>
      </c>
      <c r="J399" s="1">
        <v>2.36E8</v>
      </c>
      <c r="K399" s="1">
        <v>2.36E8</v>
      </c>
      <c r="L399" s="1">
        <v>-4.8E7</v>
      </c>
      <c r="M399" s="1">
        <v>1.8E7</v>
      </c>
      <c r="N399" s="1">
        <v>1.048E9</v>
      </c>
      <c r="O399" s="1">
        <v>8.12E8</v>
      </c>
      <c r="P399" s="1">
        <v>7.59E8</v>
      </c>
      <c r="Q399" s="1">
        <v>-4.3E7</v>
      </c>
      <c r="R399" s="1">
        <v>1.75E8</v>
      </c>
      <c r="S399" s="1">
        <v>1.51E8</v>
      </c>
    </row>
    <row r="400">
      <c r="A400" s="1">
        <v>398.0</v>
      </c>
      <c r="B400" s="3">
        <v>44196.0</v>
      </c>
      <c r="C400" s="1" t="s">
        <v>240</v>
      </c>
      <c r="D400" s="1" t="s">
        <v>241</v>
      </c>
      <c r="F400" s="1">
        <v>1.17E8</v>
      </c>
      <c r="G400" s="1">
        <v>8.7E7</v>
      </c>
      <c r="H400" s="1">
        <v>5.1E7</v>
      </c>
      <c r="I400" s="1">
        <v>1.8E8</v>
      </c>
      <c r="J400" s="1">
        <v>1.29E8</v>
      </c>
      <c r="K400" s="1">
        <v>1.29E8</v>
      </c>
      <c r="L400" s="1">
        <v>-3.8E7</v>
      </c>
      <c r="M400" s="1">
        <v>-2000000.0</v>
      </c>
      <c r="N400" s="1">
        <v>1.102E9</v>
      </c>
      <c r="O400" s="1">
        <v>9.73E8</v>
      </c>
      <c r="P400" s="1">
        <v>9.22E8</v>
      </c>
      <c r="Q400" s="1">
        <v>-1.2E7</v>
      </c>
      <c r="R400" s="1">
        <v>1.19E8</v>
      </c>
      <c r="S400" s="1">
        <v>8.7E7</v>
      </c>
    </row>
    <row r="401">
      <c r="A401" s="1">
        <v>399.0</v>
      </c>
      <c r="B401" s="3">
        <v>44104.0</v>
      </c>
      <c r="C401" s="1" t="s">
        <v>240</v>
      </c>
      <c r="D401" s="1" t="s">
        <v>241</v>
      </c>
      <c r="F401" s="1">
        <v>-9000000.0</v>
      </c>
      <c r="G401" s="1">
        <v>-2.8E7</v>
      </c>
      <c r="H401" s="1">
        <v>4.9E7</v>
      </c>
      <c r="I401" s="1">
        <v>9.4E7</v>
      </c>
      <c r="J401" s="1">
        <v>4.6E7</v>
      </c>
      <c r="K401" s="1">
        <v>4.6E7</v>
      </c>
      <c r="L401" s="1">
        <v>-4.8E7</v>
      </c>
      <c r="M401" s="1">
        <v>-1.3E7</v>
      </c>
      <c r="N401" s="1">
        <v>8.47E8</v>
      </c>
      <c r="O401" s="1">
        <v>8.01E8</v>
      </c>
      <c r="P401" s="1">
        <v>7.53E8</v>
      </c>
      <c r="Q401" s="1">
        <v>-5.5E7</v>
      </c>
      <c r="R401" s="1">
        <v>4000000.0</v>
      </c>
      <c r="S401" s="1">
        <v>-2.8E7</v>
      </c>
    </row>
    <row r="402">
      <c r="A402" s="1">
        <v>400.0</v>
      </c>
      <c r="B402" s="3">
        <v>44373.0</v>
      </c>
      <c r="C402" s="1" t="s">
        <v>242</v>
      </c>
      <c r="D402" s="1" t="s">
        <v>243</v>
      </c>
      <c r="F402" s="1">
        <v>1.27496E8</v>
      </c>
      <c r="G402" s="1">
        <v>8.8448E7</v>
      </c>
      <c r="H402" s="1">
        <v>1.54756E8</v>
      </c>
      <c r="I402" s="1">
        <v>3.42414E8</v>
      </c>
      <c r="J402" s="1">
        <v>1.54688E8</v>
      </c>
      <c r="K402" s="1">
        <v>1.54688E8</v>
      </c>
      <c r="L402" s="1">
        <v>-1.619E7</v>
      </c>
      <c r="M402" s="1">
        <v>3.758E7</v>
      </c>
      <c r="N402" s="1">
        <v>9.14607E8</v>
      </c>
      <c r="O402" s="1">
        <v>7.59919E8</v>
      </c>
      <c r="P402" s="1">
        <v>5.72193E8</v>
      </c>
      <c r="Q402" s="1">
        <v>-2.7192E7</v>
      </c>
      <c r="R402" s="1">
        <v>8.9916E7</v>
      </c>
      <c r="S402" s="1">
        <v>8.8448E7</v>
      </c>
    </row>
    <row r="403">
      <c r="A403" s="1">
        <v>401.0</v>
      </c>
      <c r="B403" s="3">
        <v>44282.0</v>
      </c>
      <c r="C403" s="1" t="s">
        <v>242</v>
      </c>
      <c r="D403" s="1" t="s">
        <v>243</v>
      </c>
      <c r="F403" s="1">
        <v>6.6302E7</v>
      </c>
      <c r="G403" s="1">
        <v>6.153E7</v>
      </c>
      <c r="H403" s="1">
        <v>1.4789E8</v>
      </c>
      <c r="I403" s="1">
        <v>3.08841E8</v>
      </c>
      <c r="J403" s="1">
        <v>1.32109E8</v>
      </c>
      <c r="K403" s="1">
        <v>1.32109E8</v>
      </c>
      <c r="L403" s="1">
        <v>-2.9719E7</v>
      </c>
      <c r="M403" s="1">
        <v>2367000.0</v>
      </c>
      <c r="N403" s="1">
        <v>8.24566E8</v>
      </c>
      <c r="O403" s="1">
        <v>6.92457E8</v>
      </c>
      <c r="P403" s="1">
        <v>5.15725E8</v>
      </c>
      <c r="Q403" s="1">
        <v>-6.5807E7</v>
      </c>
      <c r="R403" s="1">
        <v>6.3935E7</v>
      </c>
      <c r="S403" s="1">
        <v>6.153E7</v>
      </c>
    </row>
    <row r="404">
      <c r="A404" s="1">
        <v>402.0</v>
      </c>
      <c r="B404" s="3">
        <v>44191.0</v>
      </c>
      <c r="C404" s="1" t="s">
        <v>242</v>
      </c>
      <c r="D404" s="1" t="s">
        <v>243</v>
      </c>
      <c r="F404" s="1">
        <v>1.72427E8</v>
      </c>
      <c r="G404" s="1">
        <v>1.43191E8</v>
      </c>
      <c r="H404" s="1">
        <v>1.43735E8</v>
      </c>
      <c r="I404" s="1">
        <v>3.00631E8</v>
      </c>
      <c r="J404" s="1">
        <v>1.28888E8</v>
      </c>
      <c r="K404" s="1">
        <v>1.28888E8</v>
      </c>
      <c r="L404" s="1">
        <v>-3.3147E7</v>
      </c>
      <c r="M404" s="1">
        <v>2.8237E7</v>
      </c>
      <c r="N404" s="1">
        <v>7.9099E8</v>
      </c>
      <c r="O404" s="1">
        <v>6.62102E8</v>
      </c>
      <c r="P404" s="1">
        <v>4.90359E8</v>
      </c>
      <c r="Q404" s="1">
        <v>4.3539E7</v>
      </c>
      <c r="R404" s="1">
        <v>1.4419E8</v>
      </c>
      <c r="S404" s="1">
        <v>1.43191E8</v>
      </c>
    </row>
    <row r="405">
      <c r="A405" s="1">
        <v>403.0</v>
      </c>
      <c r="B405" s="3">
        <v>44100.0</v>
      </c>
      <c r="C405" s="1" t="s">
        <v>242</v>
      </c>
      <c r="D405" s="1" t="s">
        <v>243</v>
      </c>
      <c r="F405" s="1">
        <v>1.35276E8</v>
      </c>
      <c r="G405" s="1">
        <v>1.02909E8</v>
      </c>
      <c r="H405" s="1">
        <v>1.28575E8</v>
      </c>
      <c r="I405" s="1">
        <v>2.9018E8</v>
      </c>
      <c r="J405" s="1">
        <v>1.33373E8</v>
      </c>
      <c r="K405" s="1">
        <v>1.33373E8</v>
      </c>
      <c r="L405" s="1">
        <v>-1.8867E7</v>
      </c>
      <c r="M405" s="1">
        <v>3.2665E7</v>
      </c>
      <c r="N405" s="1">
        <v>7.433E8</v>
      </c>
      <c r="O405" s="1">
        <v>6.09927E8</v>
      </c>
      <c r="P405" s="1">
        <v>4.5312E8</v>
      </c>
      <c r="Q405" s="1">
        <v>1903000.0</v>
      </c>
      <c r="R405" s="1">
        <v>1.02611E8</v>
      </c>
      <c r="S405" s="1">
        <v>1.02909E8</v>
      </c>
    </row>
    <row r="406">
      <c r="A406" s="1">
        <v>404.0</v>
      </c>
      <c r="B406" s="3">
        <v>44377.0</v>
      </c>
      <c r="C406" s="1" t="s">
        <v>245</v>
      </c>
      <c r="D406" s="1" t="s">
        <v>246</v>
      </c>
      <c r="F406" s="1">
        <v>1.719E9</v>
      </c>
      <c r="G406" s="1">
        <v>1.265E9</v>
      </c>
      <c r="H406" s="1">
        <v>1.857E9</v>
      </c>
      <c r="I406" s="1">
        <v>4.361E9</v>
      </c>
      <c r="J406" s="1">
        <v>0.0</v>
      </c>
      <c r="K406" s="1">
        <v>1.86E9</v>
      </c>
      <c r="M406" s="1">
        <v>4.54E8</v>
      </c>
      <c r="N406" s="1">
        <v>4.527E9</v>
      </c>
      <c r="O406" s="1">
        <v>2.667E9</v>
      </c>
      <c r="P406" s="1">
        <v>1.66E8</v>
      </c>
      <c r="Q406" s="1">
        <v>-1.41E8</v>
      </c>
      <c r="R406" s="1">
        <v>1.265E9</v>
      </c>
      <c r="S406" s="1">
        <v>1.117E9</v>
      </c>
    </row>
    <row r="407">
      <c r="A407" s="1">
        <v>405.0</v>
      </c>
      <c r="B407" s="3">
        <v>44286.0</v>
      </c>
      <c r="C407" s="1" t="s">
        <v>245</v>
      </c>
      <c r="D407" s="1" t="s">
        <v>246</v>
      </c>
      <c r="F407" s="1">
        <v>1.96E9</v>
      </c>
      <c r="G407" s="1">
        <v>1.484E9</v>
      </c>
      <c r="H407" s="1">
        <v>1.972E9</v>
      </c>
      <c r="I407" s="1">
        <v>4.568E9</v>
      </c>
      <c r="J407" s="1">
        <v>0.0</v>
      </c>
      <c r="K407" s="1">
        <v>2.075E9</v>
      </c>
      <c r="M407" s="1">
        <v>4.76E8</v>
      </c>
      <c r="N407" s="1">
        <v>4.715E9</v>
      </c>
      <c r="O407" s="1">
        <v>2.64E9</v>
      </c>
      <c r="P407" s="1">
        <v>1.47E8</v>
      </c>
      <c r="Q407" s="1">
        <v>-1.15E8</v>
      </c>
      <c r="R407" s="1">
        <v>1.484E9</v>
      </c>
      <c r="S407" s="1">
        <v>1.388E9</v>
      </c>
    </row>
    <row r="408">
      <c r="A408" s="1">
        <v>406.0</v>
      </c>
      <c r="B408" s="3">
        <v>44196.0</v>
      </c>
      <c r="C408" s="1" t="s">
        <v>245</v>
      </c>
      <c r="D408" s="1" t="s">
        <v>246</v>
      </c>
      <c r="F408" s="1">
        <v>1.476E9</v>
      </c>
      <c r="G408" s="1">
        <v>1.135E9</v>
      </c>
      <c r="H408" s="1">
        <v>1.708E9</v>
      </c>
      <c r="I408" s="1">
        <v>4.049E9</v>
      </c>
      <c r="J408" s="1">
        <v>0.0</v>
      </c>
      <c r="K408" s="1">
        <v>1.899E9</v>
      </c>
      <c r="M408" s="1">
        <v>3.41E8</v>
      </c>
      <c r="N408" s="1">
        <v>4.176E9</v>
      </c>
      <c r="O408" s="1">
        <v>2.277E9</v>
      </c>
      <c r="P408" s="1">
        <v>1.27E8</v>
      </c>
      <c r="Q408" s="1">
        <v>-4.23E8</v>
      </c>
      <c r="R408" s="1">
        <v>1.135E9</v>
      </c>
      <c r="S408" s="1">
        <v>1.05E9</v>
      </c>
    </row>
    <row r="409">
      <c r="A409" s="1">
        <v>407.0</v>
      </c>
      <c r="B409" s="3">
        <v>44104.0</v>
      </c>
      <c r="C409" s="1" t="s">
        <v>245</v>
      </c>
      <c r="D409" s="1" t="s">
        <v>246</v>
      </c>
      <c r="F409" s="1">
        <v>8.89E8</v>
      </c>
      <c r="G409" s="1">
        <v>6.98E8</v>
      </c>
      <c r="H409" s="1">
        <v>1.291E9</v>
      </c>
      <c r="I409" s="1">
        <v>2.375E9</v>
      </c>
      <c r="J409" s="1">
        <v>0.0</v>
      </c>
      <c r="K409" s="1">
        <v>8.89E8</v>
      </c>
      <c r="M409" s="1">
        <v>1.91E8</v>
      </c>
      <c r="N409" s="1">
        <v>2.448E9</v>
      </c>
      <c r="O409" s="1">
        <v>1.559E9</v>
      </c>
      <c r="P409" s="1">
        <v>7.3E7</v>
      </c>
      <c r="Q409" s="1">
        <v>0.0</v>
      </c>
      <c r="R409" s="1">
        <v>6.98E8</v>
      </c>
      <c r="S409" s="1">
        <v>6.15E8</v>
      </c>
    </row>
    <row r="410">
      <c r="A410" s="1">
        <v>408.0</v>
      </c>
      <c r="B410" s="3">
        <v>44469.0</v>
      </c>
      <c r="C410" s="1" t="s">
        <v>247</v>
      </c>
      <c r="D410" s="1" t="s">
        <v>248</v>
      </c>
      <c r="F410" s="1">
        <v>1.754E9</v>
      </c>
      <c r="G410" s="1">
        <v>1.217E9</v>
      </c>
      <c r="H410" s="1">
        <v>9.18E8</v>
      </c>
      <c r="I410" s="1">
        <v>6.091E9</v>
      </c>
      <c r="J410" s="1">
        <v>2.903E9</v>
      </c>
      <c r="K410" s="1">
        <v>2.903E9</v>
      </c>
      <c r="L410" s="1">
        <v>-1.016E9</v>
      </c>
      <c r="M410" s="1">
        <v>3.47E8</v>
      </c>
      <c r="N410" s="1">
        <v>1.3146E10</v>
      </c>
      <c r="O410" s="1">
        <v>1.0243E10</v>
      </c>
      <c r="P410" s="1">
        <v>7.055E9</v>
      </c>
      <c r="Q410" s="1">
        <v>-1.149E9</v>
      </c>
      <c r="R410" s="1">
        <v>1.407E9</v>
      </c>
      <c r="S410" s="1">
        <v>1.217E9</v>
      </c>
    </row>
    <row r="411">
      <c r="A411" s="1">
        <v>409.0</v>
      </c>
      <c r="B411" s="3">
        <v>44377.0</v>
      </c>
      <c r="C411" s="1" t="s">
        <v>247</v>
      </c>
      <c r="D411" s="1" t="s">
        <v>248</v>
      </c>
      <c r="F411" s="1">
        <v>1.439E9</v>
      </c>
      <c r="G411" s="1">
        <v>1.02E9</v>
      </c>
      <c r="H411" s="1">
        <v>6.83E8</v>
      </c>
      <c r="I411" s="1">
        <v>5.776E9</v>
      </c>
      <c r="J411" s="1">
        <v>2.739E9</v>
      </c>
      <c r="K411" s="1">
        <v>2.739E9</v>
      </c>
      <c r="L411" s="1">
        <v>-1.004E9</v>
      </c>
      <c r="M411" s="1">
        <v>2.81E8</v>
      </c>
      <c r="N411" s="1">
        <v>1.2802E10</v>
      </c>
      <c r="O411" s="1">
        <v>1.0063E10</v>
      </c>
      <c r="P411" s="1">
        <v>7.026E9</v>
      </c>
      <c r="Q411" s="1">
        <v>-1.3E9</v>
      </c>
      <c r="R411" s="1">
        <v>1.158E9</v>
      </c>
      <c r="S411" s="1">
        <v>1.02E9</v>
      </c>
    </row>
    <row r="412">
      <c r="A412" s="1">
        <v>410.0</v>
      </c>
      <c r="B412" s="3">
        <v>44286.0</v>
      </c>
      <c r="C412" s="1" t="s">
        <v>247</v>
      </c>
      <c r="D412" s="1" t="s">
        <v>248</v>
      </c>
      <c r="F412" s="1">
        <v>1.137E9</v>
      </c>
      <c r="G412" s="1">
        <v>8.07E8</v>
      </c>
      <c r="H412" s="1">
        <v>7.33E8</v>
      </c>
      <c r="I412" s="1">
        <v>5.562E9</v>
      </c>
      <c r="J412" s="1">
        <v>2.388E9</v>
      </c>
      <c r="K412" s="1">
        <v>2.388E9</v>
      </c>
      <c r="L412" s="1">
        <v>-9.83E8</v>
      </c>
      <c r="M412" s="1">
        <v>2.16E8</v>
      </c>
      <c r="N412" s="1">
        <v>1.2522E10</v>
      </c>
      <c r="O412" s="1">
        <v>1.0134E10</v>
      </c>
      <c r="P412" s="1">
        <v>6.96E9</v>
      </c>
      <c r="Q412" s="1">
        <v>-1.251E9</v>
      </c>
      <c r="R412" s="1">
        <v>9.21E8</v>
      </c>
      <c r="S412" s="1">
        <v>8.07E8</v>
      </c>
    </row>
    <row r="413">
      <c r="A413" s="1">
        <v>411.0</v>
      </c>
      <c r="B413" s="3">
        <v>44196.0</v>
      </c>
      <c r="C413" s="1" t="s">
        <v>247</v>
      </c>
      <c r="D413" s="1" t="s">
        <v>248</v>
      </c>
      <c r="F413" s="1">
        <v>1.655E9</v>
      </c>
      <c r="G413" s="1">
        <v>1.246E9</v>
      </c>
      <c r="H413" s="1">
        <v>-3.613E9</v>
      </c>
      <c r="I413" s="1">
        <v>1.321E9</v>
      </c>
      <c r="J413" s="1">
        <v>2.525E9</v>
      </c>
      <c r="K413" s="1">
        <v>2.525E9</v>
      </c>
      <c r="L413" s="1">
        <v>-9.65E8</v>
      </c>
      <c r="M413" s="1">
        <v>2.54E8</v>
      </c>
      <c r="N413" s="1">
        <v>1.2624E10</v>
      </c>
      <c r="O413" s="1">
        <v>1.0099E10</v>
      </c>
      <c r="P413" s="1">
        <v>1.1303E10</v>
      </c>
      <c r="Q413" s="1">
        <v>-8.7E8</v>
      </c>
      <c r="R413" s="1">
        <v>1.401E9</v>
      </c>
      <c r="S413" s="1">
        <v>1.246E9</v>
      </c>
    </row>
    <row r="414">
      <c r="A414" s="1">
        <v>412.0</v>
      </c>
      <c r="B414" s="3">
        <v>44377.0</v>
      </c>
      <c r="C414" s="1" t="s">
        <v>249</v>
      </c>
      <c r="D414" s="1" t="s">
        <v>250</v>
      </c>
      <c r="F414" s="1">
        <v>4.422E9</v>
      </c>
      <c r="G414" s="1">
        <v>3.082E9</v>
      </c>
      <c r="H414" s="1">
        <v>6.16E9</v>
      </c>
      <c r="I414" s="1">
        <v>1.5488E10</v>
      </c>
      <c r="J414" s="1">
        <v>3.131E9</v>
      </c>
      <c r="K414" s="1">
        <v>3.131E9</v>
      </c>
      <c r="L414" s="1">
        <v>-1.85E8</v>
      </c>
      <c r="M414" s="1">
        <v>1.328E9</v>
      </c>
      <c r="N414" s="1">
        <v>3.6117E10</v>
      </c>
      <c r="O414" s="1">
        <v>3.2986E10</v>
      </c>
      <c r="P414" s="1">
        <v>2.0629E10</v>
      </c>
      <c r="Q414" s="1">
        <v>1.291E9</v>
      </c>
      <c r="R414" s="1">
        <v>3.094E9</v>
      </c>
      <c r="S414" s="1">
        <v>3.082E9</v>
      </c>
    </row>
    <row r="415">
      <c r="A415" s="1">
        <v>413.0</v>
      </c>
      <c r="B415" s="3">
        <v>44286.0</v>
      </c>
      <c r="C415" s="1" t="s">
        <v>249</v>
      </c>
      <c r="D415" s="1" t="s">
        <v>250</v>
      </c>
      <c r="F415" s="1">
        <v>2.177E9</v>
      </c>
      <c r="G415" s="1">
        <v>1.377E9</v>
      </c>
      <c r="H415" s="1">
        <v>6.294E9</v>
      </c>
      <c r="I415" s="1">
        <v>1.3508E10</v>
      </c>
      <c r="J415" s="1">
        <v>1.383E9</v>
      </c>
      <c r="K415" s="1">
        <v>1.383E9</v>
      </c>
      <c r="L415" s="1">
        <v>-1.98E8</v>
      </c>
      <c r="M415" s="1">
        <v>7.79E8</v>
      </c>
      <c r="N415" s="1">
        <v>3.1076E10</v>
      </c>
      <c r="O415" s="1">
        <v>2.9693E10</v>
      </c>
      <c r="P415" s="1">
        <v>1.7568E10</v>
      </c>
      <c r="Q415" s="1">
        <v>7.94E8</v>
      </c>
      <c r="R415" s="1">
        <v>1.398E9</v>
      </c>
      <c r="S415" s="1">
        <v>1.377E9</v>
      </c>
    </row>
    <row r="416">
      <c r="A416" s="1">
        <v>414.0</v>
      </c>
      <c r="B416" s="3">
        <v>44196.0</v>
      </c>
      <c r="C416" s="1" t="s">
        <v>249</v>
      </c>
      <c r="D416" s="1" t="s">
        <v>250</v>
      </c>
      <c r="F416" s="1">
        <v>-9.57E8</v>
      </c>
      <c r="G416" s="1">
        <v>-6.65E8</v>
      </c>
      <c r="H416" s="1">
        <v>5.629E9</v>
      </c>
      <c r="I416" s="1">
        <v>1.1456E10</v>
      </c>
      <c r="J416" s="1">
        <v>2.494E9</v>
      </c>
      <c r="K416" s="1">
        <v>2.494E9</v>
      </c>
      <c r="L416" s="1">
        <v>-1.99E8</v>
      </c>
      <c r="M416" s="1">
        <v>-3.01E8</v>
      </c>
      <c r="N416" s="1">
        <v>2.4843E10</v>
      </c>
      <c r="O416" s="1">
        <v>2.2349E10</v>
      </c>
      <c r="P416" s="1">
        <v>1.3387E10</v>
      </c>
      <c r="Q416" s="1">
        <v>-3.451E9</v>
      </c>
      <c r="R416" s="1">
        <v>-6.56E8</v>
      </c>
      <c r="S416" s="1">
        <v>-6.65E8</v>
      </c>
    </row>
    <row r="417">
      <c r="A417" s="1">
        <v>415.0</v>
      </c>
      <c r="B417" s="3">
        <v>44104.0</v>
      </c>
      <c r="C417" s="1" t="s">
        <v>249</v>
      </c>
      <c r="D417" s="1" t="s">
        <v>250</v>
      </c>
      <c r="F417" s="1">
        <v>-4.4E7</v>
      </c>
      <c r="G417" s="1">
        <v>-2.07E8</v>
      </c>
      <c r="H417" s="1">
        <v>5.658E9</v>
      </c>
      <c r="I417" s="1">
        <v>1.0549E10</v>
      </c>
      <c r="J417" s="1">
        <v>-3.28E8</v>
      </c>
      <c r="K417" s="1">
        <v>-3.28E8</v>
      </c>
      <c r="L417" s="1">
        <v>-1.64E8</v>
      </c>
      <c r="M417" s="1">
        <v>1.65E8</v>
      </c>
      <c r="N417" s="1">
        <v>2.3997E10</v>
      </c>
      <c r="O417" s="1">
        <v>2.4325E10</v>
      </c>
      <c r="P417" s="1">
        <v>1.3448E10</v>
      </c>
      <c r="Q417" s="1">
        <v>2.84E8</v>
      </c>
      <c r="R417" s="1">
        <v>-2.09E8</v>
      </c>
      <c r="S417" s="1">
        <v>-2.07E8</v>
      </c>
    </row>
    <row r="418">
      <c r="A418" s="1">
        <v>416.0</v>
      </c>
      <c r="B418" s="3">
        <v>44469.0</v>
      </c>
      <c r="C418" s="1" t="s">
        <v>251</v>
      </c>
      <c r="D418" s="1" t="s">
        <v>252</v>
      </c>
      <c r="F418" s="1">
        <v>2.39554E8</v>
      </c>
      <c r="G418" s="1">
        <v>2.04434E8</v>
      </c>
      <c r="H418" s="1">
        <v>1.4593E8</v>
      </c>
      <c r="I418" s="1">
        <v>7.54003E8</v>
      </c>
      <c r="J418" s="1">
        <v>2.44338E8</v>
      </c>
      <c r="K418" s="1">
        <v>2.44338E8</v>
      </c>
      <c r="L418" s="1">
        <v>-126000.0</v>
      </c>
      <c r="M418" s="1">
        <v>3.512E7</v>
      </c>
      <c r="N418" s="1">
        <v>1.952315E9</v>
      </c>
      <c r="O418" s="1">
        <v>1.707977E9</v>
      </c>
      <c r="P418" s="1">
        <v>1.198312E9</v>
      </c>
      <c r="Q418" s="1">
        <v>-4784000.0</v>
      </c>
      <c r="R418" s="1">
        <v>2.04434E8</v>
      </c>
      <c r="S418" s="1">
        <v>2.04434E8</v>
      </c>
    </row>
    <row r="419">
      <c r="A419" s="1">
        <v>417.0</v>
      </c>
      <c r="B419" s="3">
        <v>44377.0</v>
      </c>
      <c r="C419" s="1" t="s">
        <v>251</v>
      </c>
      <c r="D419" s="1" t="s">
        <v>252</v>
      </c>
      <c r="F419" s="1">
        <v>2.46376E8</v>
      </c>
      <c r="G419" s="1">
        <v>1.87974E8</v>
      </c>
      <c r="H419" s="1">
        <v>1.46044E8</v>
      </c>
      <c r="I419" s="1">
        <v>7.50124E8</v>
      </c>
      <c r="J419" s="1">
        <v>2.49791E8</v>
      </c>
      <c r="K419" s="1">
        <v>2.49791E8</v>
      </c>
      <c r="L419" s="1">
        <v>-126000.0</v>
      </c>
      <c r="M419" s="1">
        <v>5.8402E7</v>
      </c>
      <c r="N419" s="1">
        <v>1.892538E9</v>
      </c>
      <c r="O419" s="1">
        <v>1.642747E9</v>
      </c>
      <c r="P419" s="1">
        <v>1.142414E9</v>
      </c>
      <c r="Q419" s="1">
        <v>-3415000.0</v>
      </c>
      <c r="R419" s="1">
        <v>1.87974E8</v>
      </c>
      <c r="S419" s="1">
        <v>1.87974E8</v>
      </c>
    </row>
    <row r="420">
      <c r="A420" s="1">
        <v>418.0</v>
      </c>
      <c r="B420" s="3">
        <v>44286.0</v>
      </c>
      <c r="C420" s="1" t="s">
        <v>251</v>
      </c>
      <c r="D420" s="1" t="s">
        <v>252</v>
      </c>
      <c r="F420" s="1">
        <v>1.59274E8</v>
      </c>
      <c r="G420" s="1">
        <v>1.27101E8</v>
      </c>
      <c r="H420" s="1">
        <v>1.55103E8</v>
      </c>
      <c r="I420" s="1">
        <v>6.83466E8</v>
      </c>
      <c r="J420" s="1">
        <v>1.6711E8</v>
      </c>
      <c r="K420" s="1">
        <v>1.6711E8</v>
      </c>
      <c r="L420" s="1">
        <v>-2168000.0</v>
      </c>
      <c r="M420" s="1">
        <v>3.2173E7</v>
      </c>
      <c r="N420" s="1">
        <v>1.741575E9</v>
      </c>
      <c r="O420" s="1">
        <v>1.574465E9</v>
      </c>
      <c r="P420" s="1">
        <v>1.058109E9</v>
      </c>
      <c r="Q420" s="1">
        <v>-7836000.0</v>
      </c>
      <c r="R420" s="1">
        <v>1.27101E8</v>
      </c>
      <c r="S420" s="1">
        <v>1.27101E8</v>
      </c>
    </row>
    <row r="421">
      <c r="A421" s="1">
        <v>419.0</v>
      </c>
      <c r="B421" s="3">
        <v>44196.0</v>
      </c>
      <c r="C421" s="1" t="s">
        <v>251</v>
      </c>
      <c r="D421" s="1" t="s">
        <v>252</v>
      </c>
      <c r="F421" s="1">
        <v>1.17732E8</v>
      </c>
      <c r="G421" s="1">
        <v>1.90959E8</v>
      </c>
      <c r="H421" s="1">
        <v>2.76195E8</v>
      </c>
      <c r="I421" s="1">
        <v>6.01683E8</v>
      </c>
      <c r="J421" s="1">
        <v>1.31149E8</v>
      </c>
      <c r="K421" s="1">
        <v>1.31149E8</v>
      </c>
      <c r="L421" s="1">
        <v>-554000.0</v>
      </c>
      <c r="M421" s="1">
        <v>-7.3227E7</v>
      </c>
      <c r="N421" s="1">
        <v>1.60771E9</v>
      </c>
      <c r="O421" s="1">
        <v>1.476561E9</v>
      </c>
      <c r="P421" s="1">
        <v>1.006027E9</v>
      </c>
      <c r="Q421" s="1">
        <v>-1.3417E7</v>
      </c>
      <c r="R421" s="1">
        <v>1.90959E8</v>
      </c>
      <c r="S421" s="1">
        <v>1.90959E8</v>
      </c>
    </row>
    <row r="422">
      <c r="A422" s="1">
        <v>420.0</v>
      </c>
      <c r="B422" s="3">
        <v>44377.0</v>
      </c>
      <c r="C422" s="1" t="s">
        <v>253</v>
      </c>
      <c r="D422" s="1" t="s">
        <v>254</v>
      </c>
      <c r="F422" s="1">
        <v>2.582E9</v>
      </c>
      <c r="G422" s="1">
        <v>2.265E9</v>
      </c>
      <c r="H422" s="1">
        <v>7.75E8</v>
      </c>
      <c r="I422" s="1">
        <v>2.79E9</v>
      </c>
      <c r="J422" s="1">
        <v>1.93E9</v>
      </c>
      <c r="K422" s="1">
        <v>1.93E9</v>
      </c>
      <c r="L422" s="1">
        <v>-1.22E8</v>
      </c>
      <c r="M422" s="1">
        <v>3.17E8</v>
      </c>
      <c r="N422" s="1">
        <v>9.679E9</v>
      </c>
      <c r="O422" s="1">
        <v>7.749E9</v>
      </c>
      <c r="P422" s="1">
        <v>6.889E9</v>
      </c>
      <c r="Q422" s="1">
        <v>6.52E8</v>
      </c>
      <c r="R422" s="1">
        <v>2.265E9</v>
      </c>
      <c r="S422" s="1">
        <v>2.265E9</v>
      </c>
    </row>
    <row r="423">
      <c r="A423" s="1">
        <v>421.0</v>
      </c>
      <c r="B423" s="3">
        <v>44286.0</v>
      </c>
      <c r="C423" s="1" t="s">
        <v>253</v>
      </c>
      <c r="D423" s="1" t="s">
        <v>254</v>
      </c>
      <c r="F423" s="1">
        <v>2.638E9</v>
      </c>
      <c r="G423" s="1">
        <v>2.3E9</v>
      </c>
      <c r="H423" s="1">
        <v>7.44E8</v>
      </c>
      <c r="I423" s="1">
        <v>3.09E9</v>
      </c>
      <c r="J423" s="1">
        <v>2.263E9</v>
      </c>
      <c r="K423" s="1">
        <v>2.263E9</v>
      </c>
      <c r="L423" s="1">
        <v>-1.22E8</v>
      </c>
      <c r="M423" s="1">
        <v>3.38E8</v>
      </c>
      <c r="N423" s="1">
        <v>9.975E9</v>
      </c>
      <c r="O423" s="1">
        <v>7.712E9</v>
      </c>
      <c r="P423" s="1">
        <v>6.885E9</v>
      </c>
      <c r="Q423" s="1">
        <v>3.75E8</v>
      </c>
      <c r="R423" s="1">
        <v>2.3E9</v>
      </c>
      <c r="S423" s="1">
        <v>2.3E9</v>
      </c>
    </row>
    <row r="424">
      <c r="A424" s="1">
        <v>422.0</v>
      </c>
      <c r="B424" s="3">
        <v>44196.0</v>
      </c>
      <c r="C424" s="1" t="s">
        <v>253</v>
      </c>
      <c r="D424" s="1" t="s">
        <v>254</v>
      </c>
      <c r="F424" s="1">
        <v>2.752E9</v>
      </c>
      <c r="G424" s="1">
        <v>2.418E9</v>
      </c>
      <c r="H424" s="1">
        <v>8.77E8</v>
      </c>
      <c r="I424" s="1">
        <v>3.256E9</v>
      </c>
      <c r="J424" s="1">
        <v>2.294E9</v>
      </c>
      <c r="K424" s="1">
        <v>2.294E9</v>
      </c>
      <c r="L424" s="1">
        <v>-1.26E8</v>
      </c>
      <c r="M424" s="1">
        <v>3.34E8</v>
      </c>
      <c r="N424" s="1">
        <v>9.898E9</v>
      </c>
      <c r="O424" s="1">
        <v>7.604E9</v>
      </c>
      <c r="P424" s="1">
        <v>6.642E9</v>
      </c>
      <c r="Q424" s="1">
        <v>4.58E8</v>
      </c>
      <c r="R424" s="1">
        <v>2.418E9</v>
      </c>
      <c r="S424" s="1">
        <v>2.418E9</v>
      </c>
    </row>
    <row r="425">
      <c r="A425" s="1">
        <v>423.0</v>
      </c>
      <c r="B425" s="3">
        <v>44104.0</v>
      </c>
      <c r="C425" s="1" t="s">
        <v>253</v>
      </c>
      <c r="D425" s="1" t="s">
        <v>254</v>
      </c>
      <c r="F425" s="1">
        <v>1.336E9</v>
      </c>
      <c r="G425" s="1">
        <v>1.194E9</v>
      </c>
      <c r="H425" s="1">
        <v>7.33E8</v>
      </c>
      <c r="I425" s="1">
        <v>1.81E9</v>
      </c>
      <c r="J425" s="1">
        <v>9.87E8</v>
      </c>
      <c r="K425" s="1">
        <v>9.87E8</v>
      </c>
      <c r="L425" s="1">
        <v>-1.3E8</v>
      </c>
      <c r="M425" s="1">
        <v>1.42E8</v>
      </c>
      <c r="N425" s="1">
        <v>9.488E9</v>
      </c>
      <c r="O425" s="1">
        <v>8.501E9</v>
      </c>
      <c r="P425" s="1">
        <v>7.678E9</v>
      </c>
      <c r="Q425" s="1">
        <v>3.49E8</v>
      </c>
      <c r="R425" s="1">
        <v>1.194E9</v>
      </c>
      <c r="S425" s="1">
        <v>1.194E9</v>
      </c>
    </row>
    <row r="426">
      <c r="A426" s="1">
        <v>424.0</v>
      </c>
      <c r="B426" s="3">
        <v>44469.0</v>
      </c>
      <c r="C426" s="1" t="s">
        <v>255</v>
      </c>
      <c r="D426" s="1" t="s">
        <v>256</v>
      </c>
      <c r="F426" s="1">
        <v>2.893E8</v>
      </c>
      <c r="G426" s="1">
        <v>2.304E8</v>
      </c>
      <c r="H426" s="1">
        <v>3.188E8</v>
      </c>
      <c r="I426" s="1">
        <v>5.792E8</v>
      </c>
      <c r="J426" s="1">
        <v>2.604E8</v>
      </c>
      <c r="K426" s="1">
        <v>2.604E8</v>
      </c>
      <c r="L426" s="1">
        <v>-1.34E7</v>
      </c>
      <c r="M426" s="1">
        <v>5.89E7</v>
      </c>
      <c r="N426" s="1">
        <v>1.3114E9</v>
      </c>
      <c r="O426" s="1">
        <v>1.051E9</v>
      </c>
      <c r="P426" s="1">
        <v>7.322E8</v>
      </c>
      <c r="Q426" s="1">
        <v>2.89E7</v>
      </c>
      <c r="R426" s="1">
        <v>2.304E8</v>
      </c>
      <c r="S426" s="1">
        <v>2.304E8</v>
      </c>
    </row>
    <row r="427">
      <c r="A427" s="1">
        <v>425.0</v>
      </c>
      <c r="B427" s="3">
        <v>44377.0</v>
      </c>
      <c r="C427" s="1" t="s">
        <v>255</v>
      </c>
      <c r="D427" s="1" t="s">
        <v>256</v>
      </c>
      <c r="F427" s="1">
        <v>2.873E8</v>
      </c>
      <c r="G427" s="1">
        <v>2.183E8</v>
      </c>
      <c r="H427" s="1">
        <v>2.915E8</v>
      </c>
      <c r="I427" s="1">
        <v>5.522E8</v>
      </c>
      <c r="J427" s="1">
        <v>2.607E8</v>
      </c>
      <c r="K427" s="1">
        <v>2.607E8</v>
      </c>
      <c r="L427" s="1">
        <v>-1.41E7</v>
      </c>
      <c r="M427" s="1">
        <v>6.9E7</v>
      </c>
      <c r="N427" s="1">
        <v>1.2711E9</v>
      </c>
      <c r="O427" s="1">
        <v>1.0104E9</v>
      </c>
      <c r="P427" s="1">
        <v>7.189E8</v>
      </c>
      <c r="Q427" s="1">
        <v>2.66E7</v>
      </c>
      <c r="R427" s="1">
        <v>2.183E8</v>
      </c>
      <c r="S427" s="1">
        <v>2.183E8</v>
      </c>
    </row>
    <row r="428">
      <c r="A428" s="1">
        <v>426.0</v>
      </c>
      <c r="B428" s="3">
        <v>44286.0</v>
      </c>
      <c r="C428" s="1" t="s">
        <v>255</v>
      </c>
      <c r="D428" s="1" t="s">
        <v>256</v>
      </c>
      <c r="F428" s="1">
        <v>2.91E8</v>
      </c>
      <c r="G428" s="1">
        <v>2.207E8</v>
      </c>
      <c r="H428" s="1">
        <v>2.673E8</v>
      </c>
      <c r="I428" s="1">
        <v>5.509E8</v>
      </c>
      <c r="J428" s="1">
        <v>2.836E8</v>
      </c>
      <c r="K428" s="1">
        <v>2.836E8</v>
      </c>
      <c r="L428" s="1">
        <v>-1.4E7</v>
      </c>
      <c r="M428" s="1">
        <v>7.03E7</v>
      </c>
      <c r="N428" s="1">
        <v>1.2389E9</v>
      </c>
      <c r="O428" s="1">
        <v>9.553E8</v>
      </c>
      <c r="P428" s="1">
        <v>6.88E8</v>
      </c>
      <c r="Q428" s="1">
        <v>7400000.0</v>
      </c>
      <c r="R428" s="1">
        <v>2.207E8</v>
      </c>
      <c r="S428" s="1">
        <v>2.207E8</v>
      </c>
    </row>
    <row r="429">
      <c r="A429" s="1">
        <v>427.0</v>
      </c>
      <c r="B429" s="3">
        <v>44196.0</v>
      </c>
      <c r="C429" s="1" t="s">
        <v>255</v>
      </c>
      <c r="D429" s="1" t="s">
        <v>256</v>
      </c>
      <c r="F429" s="1">
        <v>1.769E8</v>
      </c>
      <c r="G429" s="1">
        <v>1.502E8</v>
      </c>
      <c r="H429" s="1">
        <v>3.888E8</v>
      </c>
      <c r="I429" s="1">
        <v>5.574E8</v>
      </c>
      <c r="J429" s="1">
        <v>1.686E8</v>
      </c>
      <c r="K429" s="1">
        <v>1.686E8</v>
      </c>
      <c r="L429" s="1">
        <v>-1.4E7</v>
      </c>
      <c r="M429" s="1">
        <v>2.67E7</v>
      </c>
      <c r="N429" s="1">
        <v>1.2953E9</v>
      </c>
      <c r="O429" s="1">
        <v>1.1267E9</v>
      </c>
      <c r="P429" s="1">
        <v>7.379E8</v>
      </c>
      <c r="Q429" s="1">
        <v>8300000.0</v>
      </c>
      <c r="R429" s="1">
        <v>1.502E8</v>
      </c>
      <c r="S429" s="1">
        <v>1.502E8</v>
      </c>
    </row>
    <row r="430">
      <c r="A430" s="1">
        <v>428.0</v>
      </c>
      <c r="B430" s="3">
        <v>44377.0</v>
      </c>
      <c r="C430" s="1" t="s">
        <v>257</v>
      </c>
      <c r="D430" s="1" t="s">
        <v>258</v>
      </c>
      <c r="F430" s="1">
        <v>1.898E9</v>
      </c>
      <c r="G430" s="1">
        <v>1.467E9</v>
      </c>
      <c r="H430" s="1">
        <v>3.0E9</v>
      </c>
      <c r="I430" s="1">
        <v>5.705E9</v>
      </c>
      <c r="J430" s="1">
        <v>2.202E9</v>
      </c>
      <c r="K430" s="1">
        <v>2.202E9</v>
      </c>
      <c r="L430" s="1">
        <v>-2.78E8</v>
      </c>
      <c r="M430" s="1">
        <v>4.22E8</v>
      </c>
      <c r="N430" s="1">
        <v>4.319E10</v>
      </c>
      <c r="O430" s="1">
        <v>4.0988E10</v>
      </c>
      <c r="P430" s="1">
        <v>3.7485E10</v>
      </c>
      <c r="Q430" s="1">
        <v>-3.04E8</v>
      </c>
      <c r="R430" s="1">
        <v>1.476E9</v>
      </c>
      <c r="S430" s="1">
        <v>1.467E9</v>
      </c>
    </row>
    <row r="431">
      <c r="A431" s="1">
        <v>429.0</v>
      </c>
      <c r="B431" s="3">
        <v>44286.0</v>
      </c>
      <c r="C431" s="1" t="s">
        <v>257</v>
      </c>
      <c r="D431" s="1" t="s">
        <v>258</v>
      </c>
      <c r="F431" s="1">
        <v>1.513E9</v>
      </c>
      <c r="G431" s="1">
        <v>1.161E9</v>
      </c>
      <c r="H431" s="1">
        <v>3.3E9</v>
      </c>
      <c r="I431" s="1">
        <v>5.732E9</v>
      </c>
      <c r="J431" s="1">
        <v>1.937E9</v>
      </c>
      <c r="K431" s="1">
        <v>1.937E9</v>
      </c>
      <c r="L431" s="1">
        <v>-2.91E8</v>
      </c>
      <c r="M431" s="1">
        <v>3.42E8</v>
      </c>
      <c r="N431" s="1">
        <v>4.0972E10</v>
      </c>
      <c r="O431" s="1">
        <v>3.9035E10</v>
      </c>
      <c r="P431" s="1">
        <v>3.524E10</v>
      </c>
      <c r="Q431" s="1">
        <v>-4.24E8</v>
      </c>
      <c r="R431" s="1">
        <v>1.171E9</v>
      </c>
      <c r="S431" s="1">
        <v>1.161E9</v>
      </c>
    </row>
    <row r="432">
      <c r="A432" s="1">
        <v>430.0</v>
      </c>
      <c r="B432" s="3">
        <v>44196.0</v>
      </c>
      <c r="C432" s="1" t="s">
        <v>257</v>
      </c>
      <c r="D432" s="1" t="s">
        <v>258</v>
      </c>
      <c r="F432" s="1">
        <v>5.378E9</v>
      </c>
      <c r="G432" s="1">
        <v>4.135E9</v>
      </c>
      <c r="H432" s="1">
        <v>3.71E9</v>
      </c>
      <c r="I432" s="1">
        <v>5.973E9</v>
      </c>
      <c r="J432" s="1">
        <v>1.768E9</v>
      </c>
      <c r="K432" s="1">
        <v>1.768E9</v>
      </c>
      <c r="L432" s="1">
        <v>-3.53E8</v>
      </c>
      <c r="M432" s="1">
        <v>1.236E9</v>
      </c>
      <c r="N432" s="1">
        <v>4.1879E10</v>
      </c>
      <c r="O432" s="1">
        <v>4.0111E10</v>
      </c>
      <c r="P432" s="1">
        <v>3.5906E10</v>
      </c>
      <c r="Q432" s="1">
        <v>3.61E9</v>
      </c>
      <c r="R432" s="1">
        <v>4.142E9</v>
      </c>
      <c r="S432" s="1">
        <v>4.135E9</v>
      </c>
    </row>
    <row r="433">
      <c r="A433" s="1">
        <v>431.0</v>
      </c>
      <c r="B433" s="3">
        <v>44104.0</v>
      </c>
      <c r="C433" s="1" t="s">
        <v>257</v>
      </c>
      <c r="D433" s="1" t="s">
        <v>258</v>
      </c>
      <c r="F433" s="1">
        <v>1.804E9</v>
      </c>
      <c r="G433" s="1">
        <v>1.388E9</v>
      </c>
      <c r="H433" s="1">
        <v>3.207E9</v>
      </c>
      <c r="I433" s="1">
        <v>5.934E9</v>
      </c>
      <c r="J433" s="1">
        <v>2.234E9</v>
      </c>
      <c r="K433" s="1">
        <v>2.234E9</v>
      </c>
      <c r="L433" s="1">
        <v>-3.18E8</v>
      </c>
      <c r="M433" s="1">
        <v>4.06E8</v>
      </c>
      <c r="N433" s="1">
        <v>4.0987E10</v>
      </c>
      <c r="O433" s="1">
        <v>3.8753E10</v>
      </c>
      <c r="P433" s="1">
        <v>3.5053E10</v>
      </c>
      <c r="Q433" s="1">
        <v>-4.3E8</v>
      </c>
      <c r="R433" s="1">
        <v>1.398E9</v>
      </c>
      <c r="S433" s="1">
        <v>1.388E9</v>
      </c>
    </row>
    <row r="434">
      <c r="A434" s="1">
        <v>432.0</v>
      </c>
      <c r="B434" s="3">
        <v>44286.0</v>
      </c>
      <c r="C434" s="1" t="s">
        <v>259</v>
      </c>
      <c r="D434" s="1" t="s">
        <v>260</v>
      </c>
      <c r="F434" s="1">
        <v>7.68E8</v>
      </c>
      <c r="G434" s="1">
        <v>6.2E8</v>
      </c>
      <c r="I434" s="1">
        <v>8.03E8</v>
      </c>
      <c r="J434" s="1">
        <v>7.81E8</v>
      </c>
      <c r="K434" s="1">
        <v>7.81E8</v>
      </c>
      <c r="L434" s="1">
        <v>-1.3E7</v>
      </c>
      <c r="M434" s="1">
        <v>1.48E8</v>
      </c>
      <c r="N434" s="1">
        <v>2.227E9</v>
      </c>
      <c r="O434" s="1">
        <v>1.446E9</v>
      </c>
      <c r="P434" s="1">
        <v>1.424E9</v>
      </c>
      <c r="Q434" s="1">
        <v>-1.3E7</v>
      </c>
      <c r="R434" s="1">
        <v>6.2E8</v>
      </c>
      <c r="S434" s="1">
        <v>6.2E8</v>
      </c>
    </row>
    <row r="435">
      <c r="A435" s="1">
        <v>433.0</v>
      </c>
      <c r="B435" s="3">
        <v>44196.0</v>
      </c>
      <c r="C435" s="1" t="s">
        <v>259</v>
      </c>
      <c r="D435" s="1" t="s">
        <v>260</v>
      </c>
      <c r="F435" s="1">
        <v>1.316E9</v>
      </c>
      <c r="G435" s="1">
        <v>1.049E9</v>
      </c>
      <c r="I435" s="1">
        <v>1.357E9</v>
      </c>
      <c r="J435" s="1">
        <v>1.33E9</v>
      </c>
      <c r="K435" s="1">
        <v>1.33E9</v>
      </c>
      <c r="L435" s="1">
        <v>-1.4E7</v>
      </c>
      <c r="M435" s="1">
        <v>2.67E8</v>
      </c>
      <c r="N435" s="1">
        <v>2.694E9</v>
      </c>
      <c r="O435" s="1">
        <v>1.364E9</v>
      </c>
      <c r="P435" s="1">
        <v>1.337E9</v>
      </c>
      <c r="Q435" s="1">
        <v>-1.4E7</v>
      </c>
      <c r="R435" s="1">
        <v>1.049E9</v>
      </c>
      <c r="S435" s="1">
        <v>1.049E9</v>
      </c>
    </row>
    <row r="436">
      <c r="A436" s="1">
        <v>434.0</v>
      </c>
      <c r="B436" s="3">
        <v>44104.0</v>
      </c>
      <c r="C436" s="1" t="s">
        <v>259</v>
      </c>
      <c r="D436" s="1" t="s">
        <v>260</v>
      </c>
      <c r="F436" s="1">
        <v>6.14E8</v>
      </c>
      <c r="G436" s="1">
        <v>4.84E8</v>
      </c>
      <c r="I436" s="1">
        <v>6.52E8</v>
      </c>
      <c r="J436" s="1">
        <v>6.27E8</v>
      </c>
      <c r="K436" s="1">
        <v>6.27E8</v>
      </c>
      <c r="L436" s="1">
        <v>-1.3E7</v>
      </c>
      <c r="M436" s="1">
        <v>1.3E8</v>
      </c>
      <c r="N436" s="1">
        <v>2.227E9</v>
      </c>
      <c r="O436" s="1">
        <v>1.6E9</v>
      </c>
      <c r="P436" s="1">
        <v>1.575E9</v>
      </c>
      <c r="Q436" s="1">
        <v>-1.3E7</v>
      </c>
      <c r="R436" s="1">
        <v>4.84E8</v>
      </c>
      <c r="S436" s="1">
        <v>4.84E8</v>
      </c>
    </row>
    <row r="437">
      <c r="A437" s="1">
        <v>435.0</v>
      </c>
      <c r="B437" s="3">
        <v>44012.0</v>
      </c>
      <c r="C437" s="1" t="s">
        <v>259</v>
      </c>
      <c r="D437" s="1" t="s">
        <v>260</v>
      </c>
      <c r="F437" s="1">
        <v>1.145E9</v>
      </c>
      <c r="G437" s="1">
        <v>9.09E8</v>
      </c>
      <c r="I437" s="1">
        <v>1.189E9</v>
      </c>
      <c r="J437" s="1">
        <v>1.159E9</v>
      </c>
      <c r="K437" s="1">
        <v>1.159E9</v>
      </c>
      <c r="L437" s="1">
        <v>-1.4E7</v>
      </c>
      <c r="M437" s="1">
        <v>2.36E8</v>
      </c>
      <c r="N437" s="1">
        <v>2.714E9</v>
      </c>
      <c r="O437" s="1">
        <v>1.555E9</v>
      </c>
      <c r="P437" s="1">
        <v>1.525E9</v>
      </c>
      <c r="Q437" s="1">
        <v>-1.4E7</v>
      </c>
      <c r="R437" s="1">
        <v>9.09E8</v>
      </c>
      <c r="S437" s="1">
        <v>9.09E8</v>
      </c>
    </row>
    <row r="438">
      <c r="A438" s="1">
        <v>436.0</v>
      </c>
      <c r="B438" s="3">
        <v>44439.0</v>
      </c>
      <c r="C438" s="1" t="s">
        <v>261</v>
      </c>
      <c r="D438" s="1" t="s">
        <v>262</v>
      </c>
      <c r="F438" s="1">
        <v>3.72303E8</v>
      </c>
      <c r="G438" s="1">
        <v>3.31179E8</v>
      </c>
      <c r="H438" s="1">
        <v>5.08655E8</v>
      </c>
      <c r="I438" s="1">
        <v>9.02756E8</v>
      </c>
      <c r="J438" s="1">
        <v>3.94101E8</v>
      </c>
      <c r="K438" s="1">
        <v>3.94101E8</v>
      </c>
      <c r="L438" s="1">
        <v>-2.1854E7</v>
      </c>
      <c r="M438" s="1">
        <v>4.1124E7</v>
      </c>
      <c r="N438" s="1">
        <v>1.89695E9</v>
      </c>
      <c r="O438" s="1">
        <v>1.502849E9</v>
      </c>
      <c r="P438" s="1">
        <v>9.94194E8</v>
      </c>
      <c r="Q438" s="1">
        <v>-2.1798E7</v>
      </c>
      <c r="R438" s="1">
        <v>3.31179E8</v>
      </c>
      <c r="S438" s="1">
        <v>3.29414E8</v>
      </c>
    </row>
    <row r="439">
      <c r="A439" s="1">
        <v>437.0</v>
      </c>
      <c r="B439" s="3">
        <v>44347.0</v>
      </c>
      <c r="C439" s="1" t="s">
        <v>261</v>
      </c>
      <c r="D439" s="1" t="s">
        <v>262</v>
      </c>
      <c r="F439" s="1">
        <v>3.31993E8</v>
      </c>
      <c r="G439" s="1">
        <v>2.67722E8</v>
      </c>
      <c r="H439" s="1">
        <v>4.9749E8</v>
      </c>
      <c r="I439" s="1">
        <v>8.5905E8</v>
      </c>
      <c r="J439" s="1">
        <v>3.6156E8</v>
      </c>
      <c r="K439" s="1">
        <v>3.6156E8</v>
      </c>
      <c r="L439" s="1">
        <v>-2.4551E7</v>
      </c>
      <c r="M439" s="1">
        <v>6.4271E7</v>
      </c>
      <c r="N439" s="1">
        <v>1.835662E9</v>
      </c>
      <c r="O439" s="1">
        <v>1.474102E9</v>
      </c>
      <c r="P439" s="1">
        <v>9.76612E8</v>
      </c>
      <c r="Q439" s="1">
        <v>-2.9567E7</v>
      </c>
      <c r="R439" s="1">
        <v>2.67722E8</v>
      </c>
      <c r="S439" s="1">
        <v>2.66007E8</v>
      </c>
    </row>
    <row r="440">
      <c r="A440" s="1">
        <v>438.0</v>
      </c>
      <c r="B440" s="3">
        <v>44255.0</v>
      </c>
      <c r="C440" s="1" t="s">
        <v>261</v>
      </c>
      <c r="D440" s="1" t="s">
        <v>262</v>
      </c>
      <c r="F440" s="1">
        <v>3.02003E8</v>
      </c>
      <c r="G440" s="1">
        <v>2.58384E8</v>
      </c>
      <c r="H440" s="1">
        <v>4.83048E8</v>
      </c>
      <c r="I440" s="1">
        <v>8.09516E8</v>
      </c>
      <c r="J440" s="1">
        <v>3.26468E8</v>
      </c>
      <c r="K440" s="1">
        <v>3.26468E8</v>
      </c>
      <c r="L440" s="1">
        <v>-2.4552E7</v>
      </c>
      <c r="M440" s="1">
        <v>4.3619E7</v>
      </c>
      <c r="N440" s="1">
        <v>1.777056E9</v>
      </c>
      <c r="O440" s="1">
        <v>1.450588E9</v>
      </c>
      <c r="P440" s="1">
        <v>9.6754E8</v>
      </c>
      <c r="Q440" s="1">
        <v>-2.4465E7</v>
      </c>
      <c r="R440" s="1">
        <v>2.58384E8</v>
      </c>
      <c r="S440" s="1">
        <v>2.5649E8</v>
      </c>
    </row>
    <row r="441">
      <c r="A441" s="1">
        <v>439.0</v>
      </c>
      <c r="B441" s="3">
        <v>44165.0</v>
      </c>
      <c r="C441" s="1" t="s">
        <v>261</v>
      </c>
      <c r="D441" s="1" t="s">
        <v>262</v>
      </c>
      <c r="F441" s="1">
        <v>3.28533E8</v>
      </c>
      <c r="G441" s="1">
        <v>2.84857E8</v>
      </c>
      <c r="H441" s="1">
        <v>4.67012E8</v>
      </c>
      <c r="I441" s="1">
        <v>8.19884E8</v>
      </c>
      <c r="J441" s="1">
        <v>3.52872E8</v>
      </c>
      <c r="K441" s="1">
        <v>3.52872E8</v>
      </c>
      <c r="L441" s="1">
        <v>-2.4557E7</v>
      </c>
      <c r="M441" s="1">
        <v>4.3676E7</v>
      </c>
      <c r="N441" s="1">
        <v>1.757048E9</v>
      </c>
      <c r="O441" s="1">
        <v>1.404176E9</v>
      </c>
      <c r="P441" s="1">
        <v>9.37164E8</v>
      </c>
      <c r="Q441" s="1">
        <v>-2.4339E7</v>
      </c>
      <c r="R441" s="1">
        <v>2.84857E8</v>
      </c>
      <c r="S441" s="1">
        <v>2.82842E8</v>
      </c>
    </row>
    <row r="442">
      <c r="A442" s="1">
        <v>440.0</v>
      </c>
      <c r="B442" s="3">
        <v>44317.0</v>
      </c>
      <c r="C442" s="1" t="s">
        <v>263</v>
      </c>
      <c r="D442" s="1" t="s">
        <v>264</v>
      </c>
      <c r="E442" s="1">
        <v>1.697E9</v>
      </c>
      <c r="F442" s="1">
        <v>3.591E9</v>
      </c>
      <c r="G442" s="1">
        <v>2.863E9</v>
      </c>
      <c r="H442" s="1">
        <v>2.92E9</v>
      </c>
      <c r="I442" s="1">
        <v>8.185E9</v>
      </c>
      <c r="J442" s="1">
        <v>3.507E9</v>
      </c>
      <c r="K442" s="1">
        <v>3.507E9</v>
      </c>
      <c r="L442" s="1">
        <v>-1.11E8</v>
      </c>
      <c r="M442" s="1">
        <v>7.28E8</v>
      </c>
      <c r="N442" s="1">
        <v>1.2803E10</v>
      </c>
      <c r="O442" s="1">
        <v>9.296E9</v>
      </c>
      <c r="P442" s="1">
        <v>4.618E9</v>
      </c>
      <c r="Q442" s="1">
        <v>8.4E7</v>
      </c>
      <c r="R442" s="1">
        <v>2.863E9</v>
      </c>
      <c r="S442" s="1">
        <v>2.863E9</v>
      </c>
    </row>
    <row r="443">
      <c r="A443" s="1">
        <v>441.0</v>
      </c>
      <c r="B443" s="3">
        <v>44219.0</v>
      </c>
      <c r="C443" s="1" t="s">
        <v>263</v>
      </c>
      <c r="D443" s="1" t="s">
        <v>264</v>
      </c>
      <c r="E443" s="1">
        <v>1.527E9</v>
      </c>
      <c r="F443" s="1">
        <v>3.255E9</v>
      </c>
      <c r="G443" s="1">
        <v>2.545E9</v>
      </c>
      <c r="H443" s="1">
        <v>2.761E9</v>
      </c>
      <c r="I443" s="1">
        <v>7.784E9</v>
      </c>
      <c r="J443" s="1">
        <v>3.457E9</v>
      </c>
      <c r="K443" s="1">
        <v>3.457E9</v>
      </c>
      <c r="L443" s="1">
        <v>-1.13E8</v>
      </c>
      <c r="M443" s="1">
        <v>7.1E8</v>
      </c>
      <c r="N443" s="1">
        <v>1.196E10</v>
      </c>
      <c r="O443" s="1">
        <v>8.503E9</v>
      </c>
      <c r="P443" s="1">
        <v>4.176E9</v>
      </c>
      <c r="Q443" s="1">
        <v>-2.02E8</v>
      </c>
      <c r="R443" s="1">
        <v>2.545E9</v>
      </c>
      <c r="S443" s="1">
        <v>2.545E9</v>
      </c>
    </row>
    <row r="444">
      <c r="A444" s="1">
        <v>442.0</v>
      </c>
      <c r="B444" s="3">
        <v>44128.0</v>
      </c>
      <c r="C444" s="1" t="s">
        <v>263</v>
      </c>
      <c r="D444" s="1" t="s">
        <v>264</v>
      </c>
      <c r="E444" s="1">
        <v>1.612E9</v>
      </c>
      <c r="F444" s="1">
        <v>2.681E9</v>
      </c>
      <c r="G444" s="1">
        <v>2.174E9</v>
      </c>
      <c r="H444" s="1">
        <v>2.757E9</v>
      </c>
      <c r="I444" s="1">
        <v>7.581E9</v>
      </c>
      <c r="J444" s="1">
        <v>3.176E9</v>
      </c>
      <c r="K444" s="1">
        <v>3.176E9</v>
      </c>
      <c r="L444" s="1">
        <v>-1.12E8</v>
      </c>
      <c r="M444" s="1">
        <v>5.07E8</v>
      </c>
      <c r="N444" s="1">
        <v>1.1929E10</v>
      </c>
      <c r="O444" s="1">
        <v>8.753E9</v>
      </c>
      <c r="P444" s="1">
        <v>4.348E9</v>
      </c>
      <c r="Q444" s="1">
        <v>-4.95E8</v>
      </c>
      <c r="R444" s="1">
        <v>2.174E9</v>
      </c>
      <c r="S444" s="1">
        <v>2.174E9</v>
      </c>
    </row>
    <row r="445">
      <c r="A445" s="1">
        <v>443.0</v>
      </c>
      <c r="B445" s="3">
        <v>44037.0</v>
      </c>
      <c r="C445" s="1" t="s">
        <v>263</v>
      </c>
      <c r="D445" s="1" t="s">
        <v>264</v>
      </c>
      <c r="E445" s="1">
        <v>1.565E9</v>
      </c>
      <c r="F445" s="1">
        <v>3.306E9</v>
      </c>
      <c r="G445" s="1">
        <v>2.636E9</v>
      </c>
      <c r="H445" s="1">
        <v>2.704E9</v>
      </c>
      <c r="I445" s="1">
        <v>7.684E9</v>
      </c>
      <c r="J445" s="1">
        <v>3.382E9</v>
      </c>
      <c r="K445" s="1">
        <v>3.382E9</v>
      </c>
      <c r="L445" s="1">
        <v>-1.19E8</v>
      </c>
      <c r="M445" s="1">
        <v>6.7E8</v>
      </c>
      <c r="N445" s="1">
        <v>1.2154E10</v>
      </c>
      <c r="O445" s="1">
        <v>8.772E9</v>
      </c>
      <c r="P445" s="1">
        <v>4.47E9</v>
      </c>
      <c r="Q445" s="1">
        <v>-7.6E7</v>
      </c>
      <c r="R445" s="1">
        <v>2.636E9</v>
      </c>
      <c r="S445" s="1">
        <v>2.636E9</v>
      </c>
    </row>
    <row r="446">
      <c r="A446" s="1">
        <v>444.0</v>
      </c>
      <c r="B446" s="3">
        <v>44377.0</v>
      </c>
      <c r="C446" s="1" t="s">
        <v>265</v>
      </c>
      <c r="D446" s="1" t="s">
        <v>266</v>
      </c>
      <c r="F446" s="1">
        <v>7.348E9</v>
      </c>
      <c r="G446" s="1">
        <v>6.193E9</v>
      </c>
      <c r="H446" s="1">
        <v>8.775E9</v>
      </c>
      <c r="I446" s="1">
        <v>1.8596E10</v>
      </c>
      <c r="J446" s="1">
        <v>0.0</v>
      </c>
      <c r="K446" s="1">
        <v>7.348E9</v>
      </c>
      <c r="M446" s="1">
        <v>1.155E9</v>
      </c>
      <c r="N446" s="1">
        <v>1.8596E10</v>
      </c>
      <c r="O446" s="1">
        <v>1.1248E10</v>
      </c>
      <c r="P446" s="1">
        <v>0.0</v>
      </c>
      <c r="Q446" s="1">
        <v>0.0</v>
      </c>
      <c r="R446" s="1">
        <v>6.193E9</v>
      </c>
      <c r="S446" s="1">
        <v>5.899E9</v>
      </c>
    </row>
    <row r="447">
      <c r="A447" s="1">
        <v>445.0</v>
      </c>
      <c r="B447" s="3">
        <v>44286.0</v>
      </c>
      <c r="C447" s="1" t="s">
        <v>265</v>
      </c>
      <c r="D447" s="1" t="s">
        <v>266</v>
      </c>
      <c r="F447" s="1">
        <v>1.0309E10</v>
      </c>
      <c r="G447" s="1">
        <v>7.942E9</v>
      </c>
      <c r="H447" s="1">
        <v>8.699E9</v>
      </c>
      <c r="I447" s="1">
        <v>2.0817E10</v>
      </c>
      <c r="J447" s="1">
        <v>0.0</v>
      </c>
      <c r="K447" s="1">
        <v>1.0309E10</v>
      </c>
      <c r="M447" s="1">
        <v>2.332E9</v>
      </c>
      <c r="N447" s="1">
        <v>2.0817E10</v>
      </c>
      <c r="O447" s="1">
        <v>1.0508E10</v>
      </c>
      <c r="P447" s="1">
        <v>0.0</v>
      </c>
      <c r="Q447" s="1">
        <v>0.0</v>
      </c>
      <c r="R447" s="1">
        <v>7.977E9</v>
      </c>
      <c r="S447" s="1">
        <v>7.584E9</v>
      </c>
    </row>
    <row r="448">
      <c r="A448" s="1">
        <v>446.0</v>
      </c>
      <c r="B448" s="3">
        <v>44196.0</v>
      </c>
      <c r="C448" s="1" t="s">
        <v>265</v>
      </c>
      <c r="D448" s="1" t="s">
        <v>266</v>
      </c>
      <c r="F448" s="1">
        <v>4.998E9</v>
      </c>
      <c r="G448" s="1">
        <v>3.979E9</v>
      </c>
      <c r="H448" s="1">
        <v>8.352E9</v>
      </c>
      <c r="I448" s="1">
        <v>1.654E10</v>
      </c>
      <c r="J448" s="1">
        <v>0.0</v>
      </c>
      <c r="K448" s="1">
        <v>4.998E9</v>
      </c>
      <c r="M448" s="1">
        <v>1.003E9</v>
      </c>
      <c r="N448" s="1">
        <v>1.654E10</v>
      </c>
      <c r="O448" s="1">
        <v>1.1542E10</v>
      </c>
      <c r="P448" s="1">
        <v>0.0</v>
      </c>
      <c r="Q448" s="1">
        <v>0.0</v>
      </c>
      <c r="R448" s="1">
        <v>3.995E9</v>
      </c>
      <c r="S448" s="1">
        <v>3.689E9</v>
      </c>
    </row>
    <row r="449">
      <c r="A449" s="1">
        <v>447.0</v>
      </c>
      <c r="B449" s="3">
        <v>44104.0</v>
      </c>
      <c r="C449" s="1" t="s">
        <v>265</v>
      </c>
      <c r="D449" s="1" t="s">
        <v>266</v>
      </c>
      <c r="F449" s="1">
        <v>4.076E9</v>
      </c>
      <c r="G449" s="1">
        <v>3.23E9</v>
      </c>
      <c r="H449" s="1">
        <v>8.299E9</v>
      </c>
      <c r="I449" s="1">
        <v>1.5509E10</v>
      </c>
      <c r="J449" s="1">
        <v>0.0</v>
      </c>
      <c r="K449" s="1">
        <v>4.076E9</v>
      </c>
      <c r="M449" s="1">
        <v>8.15E8</v>
      </c>
      <c r="N449" s="1">
        <v>1.5509E10</v>
      </c>
      <c r="O449" s="1">
        <v>1.1433E10</v>
      </c>
      <c r="P449" s="1">
        <v>0.0</v>
      </c>
      <c r="Q449" s="1">
        <v>0.0</v>
      </c>
      <c r="R449" s="1">
        <v>3.261E9</v>
      </c>
      <c r="S449" s="1">
        <v>2.928E9</v>
      </c>
    </row>
    <row r="450">
      <c r="A450" s="1">
        <v>448.0</v>
      </c>
      <c r="B450" s="3">
        <v>44377.0</v>
      </c>
      <c r="C450" s="1" t="s">
        <v>267</v>
      </c>
      <c r="D450" s="1" t="s">
        <v>268</v>
      </c>
      <c r="F450" s="1">
        <v>8.31E8</v>
      </c>
      <c r="G450" s="1">
        <v>6.48E8</v>
      </c>
      <c r="H450" s="1">
        <v>9.29E8</v>
      </c>
      <c r="I450" s="1">
        <v>1.822E9</v>
      </c>
      <c r="J450" s="1">
        <v>0.0</v>
      </c>
      <c r="K450" s="1">
        <v>8.31E8</v>
      </c>
      <c r="M450" s="1">
        <v>1.83E8</v>
      </c>
      <c r="N450" s="1">
        <v>1.822E9</v>
      </c>
      <c r="O450" s="1">
        <v>9.91E8</v>
      </c>
      <c r="P450" s="1">
        <v>0.0</v>
      </c>
      <c r="Q450" s="1">
        <v>0.0</v>
      </c>
      <c r="R450" s="1">
        <v>6.48E8</v>
      </c>
      <c r="S450" s="1">
        <v>6.16E8</v>
      </c>
    </row>
    <row r="451">
      <c r="A451" s="1">
        <v>449.0</v>
      </c>
      <c r="B451" s="3">
        <v>44286.0</v>
      </c>
      <c r="C451" s="1" t="s">
        <v>267</v>
      </c>
      <c r="D451" s="1" t="s">
        <v>268</v>
      </c>
      <c r="F451" s="1">
        <v>7.81E8</v>
      </c>
      <c r="G451" s="1">
        <v>6.11E8</v>
      </c>
      <c r="H451" s="1">
        <v>9.46E8</v>
      </c>
      <c r="I451" s="1">
        <v>1.799E9</v>
      </c>
      <c r="J451" s="1">
        <v>0.0</v>
      </c>
      <c r="K451" s="1">
        <v>7.81E8</v>
      </c>
      <c r="M451" s="1">
        <v>1.7E8</v>
      </c>
      <c r="N451" s="1">
        <v>1.799E9</v>
      </c>
      <c r="O451" s="1">
        <v>1.018E9</v>
      </c>
      <c r="P451" s="1">
        <v>0.0</v>
      </c>
      <c r="Q451" s="1">
        <v>0.0</v>
      </c>
      <c r="R451" s="1">
        <v>6.11E8</v>
      </c>
      <c r="S451" s="1">
        <v>5.88E8</v>
      </c>
    </row>
    <row r="452">
      <c r="A452" s="1">
        <v>450.0</v>
      </c>
      <c r="B452" s="3">
        <v>44196.0</v>
      </c>
      <c r="C452" s="1" t="s">
        <v>267</v>
      </c>
      <c r="D452" s="1" t="s">
        <v>268</v>
      </c>
      <c r="F452" s="1">
        <v>5.71E8</v>
      </c>
      <c r="G452" s="1">
        <v>4.56E8</v>
      </c>
      <c r="H452" s="1">
        <v>9.35E8</v>
      </c>
      <c r="I452" s="1">
        <v>1.583E9</v>
      </c>
      <c r="J452" s="1">
        <v>0.0</v>
      </c>
      <c r="K452" s="1">
        <v>5.71E8</v>
      </c>
      <c r="M452" s="1">
        <v>1.15E8</v>
      </c>
      <c r="N452" s="1">
        <v>1.583E9</v>
      </c>
      <c r="O452" s="1">
        <v>1.012E9</v>
      </c>
      <c r="P452" s="1">
        <v>0.0</v>
      </c>
      <c r="Q452" s="1">
        <v>0.0</v>
      </c>
      <c r="R452" s="1">
        <v>4.56E8</v>
      </c>
      <c r="S452" s="1">
        <v>4.24E8</v>
      </c>
    </row>
    <row r="453">
      <c r="A453" s="1">
        <v>451.0</v>
      </c>
      <c r="B453" s="3">
        <v>44104.0</v>
      </c>
      <c r="C453" s="1" t="s">
        <v>267</v>
      </c>
      <c r="D453" s="1" t="s">
        <v>268</v>
      </c>
      <c r="F453" s="1">
        <v>3.75E8</v>
      </c>
      <c r="G453" s="1">
        <v>3.14E8</v>
      </c>
      <c r="H453" s="1">
        <v>9.17E8</v>
      </c>
      <c r="I453" s="1">
        <v>1.363E9</v>
      </c>
      <c r="J453" s="1">
        <v>0.0</v>
      </c>
      <c r="K453" s="1">
        <v>3.75E8</v>
      </c>
      <c r="M453" s="1">
        <v>6.1E7</v>
      </c>
      <c r="N453" s="1">
        <v>1.363E9</v>
      </c>
      <c r="O453" s="1">
        <v>9.88E8</v>
      </c>
      <c r="P453" s="1">
        <v>0.0</v>
      </c>
      <c r="Q453" s="1">
        <v>0.0</v>
      </c>
      <c r="R453" s="1">
        <v>3.14E8</v>
      </c>
      <c r="S453" s="1">
        <v>2.89E8</v>
      </c>
    </row>
    <row r="454">
      <c r="A454" s="1">
        <v>452.0</v>
      </c>
      <c r="B454" s="3">
        <v>44377.0</v>
      </c>
      <c r="C454" s="1" t="s">
        <v>269</v>
      </c>
      <c r="D454" s="1" t="s">
        <v>270</v>
      </c>
      <c r="E454" s="1">
        <v>1.46179E8</v>
      </c>
      <c r="F454" s="1">
        <v>6.8679E7</v>
      </c>
      <c r="G454" s="1">
        <v>6.2766E7</v>
      </c>
      <c r="H454" s="1">
        <v>4.00214E8</v>
      </c>
      <c r="I454" s="1">
        <v>6.70924E8</v>
      </c>
      <c r="J454" s="1">
        <v>8.4977E7</v>
      </c>
      <c r="K454" s="1">
        <v>8.4977E7</v>
      </c>
      <c r="L454" s="1">
        <v>-2.2905E7</v>
      </c>
      <c r="M454" s="1">
        <v>5913000.0</v>
      </c>
      <c r="N454" s="1">
        <v>8.12111E8</v>
      </c>
      <c r="O454" s="1">
        <v>7.27134E8</v>
      </c>
      <c r="P454" s="1">
        <v>1.41187E8</v>
      </c>
      <c r="Q454" s="1">
        <v>-1.6298E7</v>
      </c>
      <c r="R454" s="1">
        <v>6.2766E7</v>
      </c>
      <c r="S454" s="1">
        <v>6.2766E7</v>
      </c>
    </row>
    <row r="455">
      <c r="A455" s="1">
        <v>453.0</v>
      </c>
      <c r="B455" s="3">
        <v>44286.0</v>
      </c>
      <c r="C455" s="1" t="s">
        <v>269</v>
      </c>
      <c r="D455" s="1" t="s">
        <v>270</v>
      </c>
      <c r="E455" s="1">
        <v>1.44158E8</v>
      </c>
      <c r="F455" s="1">
        <v>8.119E7</v>
      </c>
      <c r="G455" s="1">
        <v>9.0048E7</v>
      </c>
      <c r="H455" s="1">
        <v>3.72774E8</v>
      </c>
      <c r="I455" s="1">
        <v>6.43306E8</v>
      </c>
      <c r="J455" s="1">
        <v>1.07833E8</v>
      </c>
      <c r="K455" s="1">
        <v>1.07833E8</v>
      </c>
      <c r="L455" s="1">
        <v>-2.436E7</v>
      </c>
      <c r="M455" s="1">
        <v>-8858000.0</v>
      </c>
      <c r="N455" s="1">
        <v>7.75766E8</v>
      </c>
      <c r="O455" s="1">
        <v>6.67933E8</v>
      </c>
      <c r="P455" s="1">
        <v>1.3246E8</v>
      </c>
      <c r="Q455" s="1">
        <v>-2.6643E7</v>
      </c>
      <c r="R455" s="1">
        <v>9.0048E7</v>
      </c>
      <c r="S455" s="1">
        <v>9.0048E7</v>
      </c>
    </row>
    <row r="456">
      <c r="A456" s="1">
        <v>454.0</v>
      </c>
      <c r="B456" s="3">
        <v>44196.0</v>
      </c>
      <c r="C456" s="1" t="s">
        <v>269</v>
      </c>
      <c r="D456" s="1" t="s">
        <v>270</v>
      </c>
      <c r="E456" s="1">
        <v>1.32517E8</v>
      </c>
      <c r="F456" s="1">
        <v>1.19148E8</v>
      </c>
      <c r="G456" s="1">
        <v>1.12091E8</v>
      </c>
      <c r="H456" s="1">
        <v>4.07709E8</v>
      </c>
      <c r="I456" s="1">
        <v>6.84118E8</v>
      </c>
      <c r="J456" s="1">
        <v>1.35285E8</v>
      </c>
      <c r="K456" s="1">
        <v>1.35285E8</v>
      </c>
      <c r="L456" s="1">
        <v>-1.6361E7</v>
      </c>
      <c r="M456" s="1">
        <v>7057000.0</v>
      </c>
      <c r="N456" s="1">
        <v>8.09656E8</v>
      </c>
      <c r="O456" s="1">
        <v>6.74371E8</v>
      </c>
      <c r="P456" s="1">
        <v>1.25538E8</v>
      </c>
      <c r="Q456" s="1">
        <v>-1.6137E7</v>
      </c>
      <c r="R456" s="1">
        <v>1.12091E8</v>
      </c>
      <c r="S456" s="1">
        <v>1.12091E8</v>
      </c>
    </row>
    <row r="457">
      <c r="A457" s="1">
        <v>455.0</v>
      </c>
      <c r="B457" s="3">
        <v>44104.0</v>
      </c>
      <c r="C457" s="1" t="s">
        <v>269</v>
      </c>
      <c r="D457" s="1" t="s">
        <v>270</v>
      </c>
      <c r="E457" s="1">
        <v>1.30628E8</v>
      </c>
      <c r="F457" s="1">
        <v>1.15998E8</v>
      </c>
      <c r="G457" s="1">
        <v>9.8227E7</v>
      </c>
      <c r="H457" s="1">
        <v>3.8025E8</v>
      </c>
      <c r="I457" s="1">
        <v>6.48177E8</v>
      </c>
      <c r="J457" s="1">
        <v>1.28305E8</v>
      </c>
      <c r="K457" s="1">
        <v>1.28305E8</v>
      </c>
      <c r="L457" s="1">
        <v>-1.6639E7</v>
      </c>
      <c r="M457" s="1">
        <v>1.7771E7</v>
      </c>
      <c r="N457" s="1">
        <v>7.6717E8</v>
      </c>
      <c r="O457" s="1">
        <v>6.38865E8</v>
      </c>
      <c r="P457" s="1">
        <v>1.18993E8</v>
      </c>
      <c r="Q457" s="1">
        <v>-1.2307E7</v>
      </c>
      <c r="R457" s="1">
        <v>9.8227E7</v>
      </c>
      <c r="S457" s="1">
        <v>9.8227E7</v>
      </c>
    </row>
    <row r="458">
      <c r="A458" s="1">
        <v>456.0</v>
      </c>
      <c r="B458" s="3">
        <v>44377.0</v>
      </c>
      <c r="C458" s="1" t="s">
        <v>271</v>
      </c>
      <c r="D458" s="1" t="s">
        <v>272</v>
      </c>
      <c r="E458" s="1">
        <v>4.5E7</v>
      </c>
      <c r="F458" s="1">
        <v>1.01E8</v>
      </c>
      <c r="G458" s="1">
        <v>9.7E7</v>
      </c>
      <c r="H458" s="1">
        <v>4.91E8</v>
      </c>
      <c r="I458" s="1">
        <v>6.68E8</v>
      </c>
      <c r="J458" s="1">
        <v>1.01E8</v>
      </c>
      <c r="K458" s="1">
        <v>1.01E8</v>
      </c>
      <c r="L458" s="1">
        <v>-2.5E7</v>
      </c>
      <c r="M458" s="1">
        <v>1000000.0</v>
      </c>
      <c r="N458" s="1">
        <v>1.802E9</v>
      </c>
      <c r="O458" s="1">
        <v>1.701E9</v>
      </c>
      <c r="P458" s="1">
        <v>1.134E9</v>
      </c>
      <c r="Q458" s="1">
        <v>0.0</v>
      </c>
      <c r="R458" s="1">
        <v>1.0E8</v>
      </c>
      <c r="S458" s="1">
        <v>9.7E7</v>
      </c>
    </row>
    <row r="459">
      <c r="A459" s="1">
        <v>457.0</v>
      </c>
      <c r="B459" s="3">
        <v>44286.0</v>
      </c>
      <c r="C459" s="1" t="s">
        <v>271</v>
      </c>
      <c r="D459" s="1" t="s">
        <v>272</v>
      </c>
      <c r="E459" s="1">
        <v>3.2E7</v>
      </c>
      <c r="F459" s="1">
        <v>-5.9E7</v>
      </c>
      <c r="G459" s="1">
        <v>-6.1E7</v>
      </c>
      <c r="H459" s="1">
        <v>4.4E8</v>
      </c>
      <c r="I459" s="1">
        <v>7.74E8</v>
      </c>
      <c r="J459" s="1">
        <v>2.95E8</v>
      </c>
      <c r="K459" s="1">
        <v>2.95E8</v>
      </c>
      <c r="L459" s="1">
        <v>-2.5E7</v>
      </c>
      <c r="M459" s="1">
        <v>0.0</v>
      </c>
      <c r="N459" s="1">
        <v>1.781E9</v>
      </c>
      <c r="O459" s="1">
        <v>1.486E9</v>
      </c>
      <c r="P459" s="1">
        <v>1.007E9</v>
      </c>
      <c r="Q459" s="1">
        <v>-3.54E8</v>
      </c>
      <c r="R459" s="1">
        <v>-5.9E7</v>
      </c>
      <c r="S459" s="1">
        <v>-6.1E7</v>
      </c>
    </row>
    <row r="460">
      <c r="A460" s="1">
        <v>458.0</v>
      </c>
      <c r="B460" s="3">
        <v>44196.0</v>
      </c>
      <c r="C460" s="1" t="s">
        <v>271</v>
      </c>
      <c r="D460" s="1" t="s">
        <v>272</v>
      </c>
      <c r="E460" s="1">
        <v>4.0E7</v>
      </c>
      <c r="F460" s="1">
        <v>3.32E8</v>
      </c>
      <c r="G460" s="1">
        <v>2.59E8</v>
      </c>
      <c r="H460" s="1">
        <v>4.58E8</v>
      </c>
      <c r="I460" s="1">
        <v>8.37E8</v>
      </c>
      <c r="J460" s="1">
        <v>3.56E8</v>
      </c>
      <c r="K460" s="1">
        <v>3.56E8</v>
      </c>
      <c r="L460" s="1">
        <v>-2.4E7</v>
      </c>
      <c r="M460" s="1">
        <v>7.1E7</v>
      </c>
      <c r="N460" s="1">
        <v>1.842E9</v>
      </c>
      <c r="O460" s="1">
        <v>1.486E9</v>
      </c>
      <c r="P460" s="1">
        <v>1.005E9</v>
      </c>
      <c r="Q460" s="1">
        <v>-2.4E7</v>
      </c>
      <c r="R460" s="1">
        <v>2.61E8</v>
      </c>
      <c r="S460" s="1">
        <v>2.59E8</v>
      </c>
    </row>
    <row r="461">
      <c r="A461" s="1">
        <v>459.0</v>
      </c>
      <c r="B461" s="3">
        <v>44104.0</v>
      </c>
      <c r="C461" s="1" t="s">
        <v>271</v>
      </c>
      <c r="D461" s="1" t="s">
        <v>272</v>
      </c>
      <c r="E461" s="1">
        <v>3.2E7</v>
      </c>
      <c r="F461" s="1">
        <v>5.26E8</v>
      </c>
      <c r="G461" s="1">
        <v>4.15E8</v>
      </c>
      <c r="H461" s="1">
        <v>4.2E8</v>
      </c>
      <c r="I461" s="1">
        <v>9.2E8</v>
      </c>
      <c r="J461" s="1">
        <v>4.66E8</v>
      </c>
      <c r="K461" s="1">
        <v>4.66E8</v>
      </c>
      <c r="L461" s="1">
        <v>-2.5E7</v>
      </c>
      <c r="M461" s="1">
        <v>1.09E8</v>
      </c>
      <c r="N461" s="1">
        <v>1.916E9</v>
      </c>
      <c r="O461" s="1">
        <v>1.45E9</v>
      </c>
      <c r="P461" s="1">
        <v>9.96E8</v>
      </c>
      <c r="Q461" s="1">
        <v>6.0E7</v>
      </c>
      <c r="R461" s="1">
        <v>4.17E8</v>
      </c>
      <c r="S461" s="1">
        <v>4.15E8</v>
      </c>
    </row>
    <row r="462">
      <c r="A462" s="1">
        <v>460.0</v>
      </c>
      <c r="B462" s="3">
        <v>44377.0</v>
      </c>
      <c r="C462" s="1" t="s">
        <v>273</v>
      </c>
      <c r="D462" s="1" t="s">
        <v>274</v>
      </c>
      <c r="F462" s="1">
        <v>7.261E8</v>
      </c>
      <c r="G462" s="1">
        <v>5.103E8</v>
      </c>
      <c r="H462" s="1">
        <v>3.685E8</v>
      </c>
      <c r="I462" s="1">
        <v>1.1768E9</v>
      </c>
      <c r="J462" s="1">
        <v>6.747E8</v>
      </c>
      <c r="K462" s="1">
        <v>6.747E8</v>
      </c>
      <c r="L462" s="1">
        <v>-4.17E7</v>
      </c>
      <c r="M462" s="1">
        <v>2.155E8</v>
      </c>
      <c r="N462" s="1">
        <v>1.1768E9</v>
      </c>
      <c r="O462" s="1">
        <v>5.021E8</v>
      </c>
      <c r="P462" s="1">
        <v>0.0</v>
      </c>
      <c r="Q462" s="1">
        <v>5.14E7</v>
      </c>
      <c r="R462" s="1">
        <v>5.106E8</v>
      </c>
      <c r="S462" s="1">
        <v>5.103E8</v>
      </c>
    </row>
    <row r="463">
      <c r="A463" s="1">
        <v>461.0</v>
      </c>
      <c r="B463" s="3">
        <v>44286.0</v>
      </c>
      <c r="C463" s="1" t="s">
        <v>273</v>
      </c>
      <c r="D463" s="1" t="s">
        <v>274</v>
      </c>
      <c r="F463" s="1">
        <v>7.523E8</v>
      </c>
      <c r="G463" s="1">
        <v>5.744E8</v>
      </c>
      <c r="H463" s="1">
        <v>3.923E8</v>
      </c>
      <c r="I463" s="1">
        <v>1.2508E9</v>
      </c>
      <c r="J463" s="1">
        <v>7.251E8</v>
      </c>
      <c r="K463" s="1">
        <v>7.251E8</v>
      </c>
      <c r="L463" s="1">
        <v>-4.15E7</v>
      </c>
      <c r="M463" s="1">
        <v>1.775E8</v>
      </c>
      <c r="N463" s="1">
        <v>1.2508E9</v>
      </c>
      <c r="O463" s="1">
        <v>5.257E8</v>
      </c>
      <c r="P463" s="1">
        <v>0.0</v>
      </c>
      <c r="Q463" s="1">
        <v>2.72E7</v>
      </c>
      <c r="R463" s="1">
        <v>5.748E8</v>
      </c>
      <c r="S463" s="1">
        <v>5.744E8</v>
      </c>
    </row>
    <row r="464">
      <c r="A464" s="1">
        <v>462.0</v>
      </c>
      <c r="B464" s="3">
        <v>44196.0</v>
      </c>
      <c r="C464" s="1" t="s">
        <v>273</v>
      </c>
      <c r="D464" s="1" t="s">
        <v>274</v>
      </c>
      <c r="F464" s="1">
        <v>5.35E8</v>
      </c>
      <c r="G464" s="1">
        <v>4.24E8</v>
      </c>
      <c r="H464" s="1">
        <v>3.94E8</v>
      </c>
      <c r="I464" s="1">
        <v>1.0953E9</v>
      </c>
      <c r="J464" s="1">
        <v>5.51E8</v>
      </c>
      <c r="K464" s="1">
        <v>5.51E8</v>
      </c>
      <c r="L464" s="1">
        <v>-4.17E7</v>
      </c>
      <c r="M464" s="1">
        <v>1.102E8</v>
      </c>
      <c r="N464" s="1">
        <v>1.0953E9</v>
      </c>
      <c r="O464" s="1">
        <v>5.443E8</v>
      </c>
      <c r="P464" s="1">
        <v>0.0</v>
      </c>
      <c r="Q464" s="1">
        <v>-1.6E7</v>
      </c>
      <c r="R464" s="1">
        <v>4.248E8</v>
      </c>
      <c r="S464" s="1">
        <v>4.24E8</v>
      </c>
    </row>
    <row r="465">
      <c r="A465" s="1">
        <v>463.0</v>
      </c>
      <c r="B465" s="3">
        <v>44104.0</v>
      </c>
      <c r="C465" s="1" t="s">
        <v>273</v>
      </c>
      <c r="D465" s="1" t="s">
        <v>274</v>
      </c>
      <c r="F465" s="1">
        <v>5.365E8</v>
      </c>
      <c r="G465" s="1">
        <v>4.117E8</v>
      </c>
      <c r="H465" s="1">
        <v>3.885E8</v>
      </c>
      <c r="I465" s="1">
        <v>1.0773E9</v>
      </c>
      <c r="J465" s="1">
        <v>5.25E8</v>
      </c>
      <c r="K465" s="1">
        <v>5.25E8</v>
      </c>
      <c r="L465" s="1">
        <v>-4.17E7</v>
      </c>
      <c r="M465" s="1">
        <v>1.25E8</v>
      </c>
      <c r="N465" s="1">
        <v>1.0773E9</v>
      </c>
      <c r="O465" s="1">
        <v>5.523E8</v>
      </c>
      <c r="P465" s="1">
        <v>0.0</v>
      </c>
      <c r="Q465" s="1">
        <v>1.15E7</v>
      </c>
      <c r="R465" s="1">
        <v>4.115E8</v>
      </c>
      <c r="S465" s="1">
        <v>4.117E8</v>
      </c>
    </row>
    <row r="466">
      <c r="A466" s="1">
        <v>464.0</v>
      </c>
      <c r="B466" s="3">
        <v>44469.0</v>
      </c>
      <c r="C466" s="1" t="s">
        <v>275</v>
      </c>
      <c r="D466" s="1" t="s">
        <v>276</v>
      </c>
      <c r="F466" s="1">
        <v>1.79E8</v>
      </c>
      <c r="G466" s="1">
        <v>1.89E8</v>
      </c>
      <c r="H466" s="1">
        <v>-4.0E7</v>
      </c>
      <c r="I466" s="1">
        <v>5.91E8</v>
      </c>
      <c r="J466" s="1">
        <v>3.0E8</v>
      </c>
      <c r="K466" s="1">
        <v>3.0E8</v>
      </c>
      <c r="L466" s="1">
        <v>-1.26E8</v>
      </c>
      <c r="M466" s="1">
        <v>2.6E7</v>
      </c>
      <c r="N466" s="1">
        <v>1.725E9</v>
      </c>
      <c r="O466" s="1">
        <v>1.425E9</v>
      </c>
      <c r="P466" s="1">
        <v>1.134E9</v>
      </c>
      <c r="Q466" s="1">
        <v>-1.21E8</v>
      </c>
      <c r="R466" s="1">
        <v>1.53E8</v>
      </c>
      <c r="S466" s="1">
        <v>1.86E8</v>
      </c>
    </row>
    <row r="467">
      <c r="A467" s="1">
        <v>465.0</v>
      </c>
      <c r="B467" s="3">
        <v>44377.0</v>
      </c>
      <c r="C467" s="1" t="s">
        <v>275</v>
      </c>
      <c r="D467" s="1" t="s">
        <v>276</v>
      </c>
      <c r="F467" s="1">
        <v>1.75E8</v>
      </c>
      <c r="G467" s="1">
        <v>1.76E8</v>
      </c>
      <c r="H467" s="1">
        <v>-4.0E7</v>
      </c>
      <c r="I467" s="1">
        <v>5.83E8</v>
      </c>
      <c r="J467" s="1">
        <v>2.92E8</v>
      </c>
      <c r="K467" s="1">
        <v>2.92E8</v>
      </c>
      <c r="L467" s="1">
        <v>-1.25E8</v>
      </c>
      <c r="M467" s="1">
        <v>2.2E7</v>
      </c>
      <c r="N467" s="1">
        <v>1.558E9</v>
      </c>
      <c r="O467" s="1">
        <v>1.266E9</v>
      </c>
      <c r="P467" s="1">
        <v>9.75E8</v>
      </c>
      <c r="Q467" s="1">
        <v>-1.17E8</v>
      </c>
      <c r="R467" s="1">
        <v>1.53E8</v>
      </c>
      <c r="S467" s="1">
        <v>1.76E8</v>
      </c>
    </row>
    <row r="468">
      <c r="A468" s="1">
        <v>466.0</v>
      </c>
      <c r="B468" s="3">
        <v>44286.0</v>
      </c>
      <c r="C468" s="1" t="s">
        <v>275</v>
      </c>
      <c r="D468" s="1" t="s">
        <v>276</v>
      </c>
      <c r="F468" s="1">
        <v>3.5E8</v>
      </c>
      <c r="G468" s="1">
        <v>3.49E8</v>
      </c>
      <c r="H468" s="1">
        <v>-4.1E7</v>
      </c>
      <c r="I468" s="1">
        <v>8.87E8</v>
      </c>
      <c r="J468" s="1">
        <v>4.68E8</v>
      </c>
      <c r="K468" s="1">
        <v>4.68E8</v>
      </c>
      <c r="L468" s="1">
        <v>-1.25E8</v>
      </c>
      <c r="M468" s="1">
        <v>4.2E7</v>
      </c>
      <c r="N468" s="1">
        <v>2.013E9</v>
      </c>
      <c r="O468" s="1">
        <v>1.545E9</v>
      </c>
      <c r="P468" s="1">
        <v>1.126E9</v>
      </c>
      <c r="Q468" s="1">
        <v>-1.18E8</v>
      </c>
      <c r="R468" s="1">
        <v>3.08E8</v>
      </c>
      <c r="S468" s="1">
        <v>3.49E8</v>
      </c>
    </row>
    <row r="469">
      <c r="A469" s="1">
        <v>467.0</v>
      </c>
      <c r="B469" s="3">
        <v>44196.0</v>
      </c>
      <c r="C469" s="1" t="s">
        <v>275</v>
      </c>
      <c r="D469" s="1" t="s">
        <v>276</v>
      </c>
      <c r="F469" s="1">
        <v>1.97E8</v>
      </c>
      <c r="G469" s="1">
        <v>1.58E8</v>
      </c>
      <c r="H469" s="1">
        <v>-2.8E7</v>
      </c>
      <c r="I469" s="1">
        <v>7.28E8</v>
      </c>
      <c r="J469" s="1">
        <v>3.8E8</v>
      </c>
      <c r="K469" s="1">
        <v>3.8E8</v>
      </c>
      <c r="L469" s="1">
        <v>-1.4E8</v>
      </c>
      <c r="M469" s="1">
        <v>3.5E7</v>
      </c>
      <c r="N469" s="1">
        <v>1.798E9</v>
      </c>
      <c r="O469" s="1">
        <v>1.418E9</v>
      </c>
      <c r="P469" s="1">
        <v>1.07E9</v>
      </c>
      <c r="Q469" s="1">
        <v>-1.83E8</v>
      </c>
      <c r="R469" s="1">
        <v>1.62E8</v>
      </c>
      <c r="S469" s="1">
        <v>1.58E8</v>
      </c>
    </row>
    <row r="470">
      <c r="A470" s="1">
        <v>468.0</v>
      </c>
      <c r="B470" s="3">
        <v>44379.0</v>
      </c>
      <c r="C470" s="1" t="s">
        <v>277</v>
      </c>
      <c r="D470" s="1" t="s">
        <v>278</v>
      </c>
      <c r="F470" s="1">
        <v>3.618E9</v>
      </c>
      <c r="G470" s="1">
        <v>2.641E9</v>
      </c>
      <c r="H470" s="1">
        <v>2.944E9</v>
      </c>
      <c r="I470" s="1">
        <v>6.342E9</v>
      </c>
      <c r="J470" s="1">
        <v>3.398E9</v>
      </c>
      <c r="K470" s="1">
        <v>3.398E9</v>
      </c>
      <c r="L470" s="1">
        <v>-7.8E8</v>
      </c>
      <c r="M470" s="1">
        <v>9.94E8</v>
      </c>
      <c r="N470" s="1">
        <v>1.0129E10</v>
      </c>
      <c r="O470" s="1">
        <v>6.731E9</v>
      </c>
      <c r="P470" s="1">
        <v>3.787E9</v>
      </c>
      <c r="Q470" s="1">
        <v>2.2E8</v>
      </c>
      <c r="R470" s="1">
        <v>2.624E9</v>
      </c>
      <c r="S470" s="1">
        <v>2.641E9</v>
      </c>
    </row>
    <row r="471">
      <c r="A471" s="1">
        <v>469.0</v>
      </c>
      <c r="B471" s="3">
        <v>44288.0</v>
      </c>
      <c r="C471" s="1" t="s">
        <v>277</v>
      </c>
      <c r="D471" s="1" t="s">
        <v>278</v>
      </c>
      <c r="F471" s="1">
        <v>2.763E9</v>
      </c>
      <c r="G471" s="1">
        <v>2.245E9</v>
      </c>
      <c r="H471" s="1">
        <v>2.609E9</v>
      </c>
      <c r="I471" s="1">
        <v>5.515E9</v>
      </c>
      <c r="J471" s="1">
        <v>2.906E9</v>
      </c>
      <c r="K471" s="1">
        <v>2.906E9</v>
      </c>
      <c r="L471" s="1">
        <v>-4.42E8</v>
      </c>
      <c r="M471" s="1">
        <v>5.08E8</v>
      </c>
      <c r="N471" s="1">
        <v>9.02E9</v>
      </c>
      <c r="O471" s="1">
        <v>6.114E9</v>
      </c>
      <c r="P471" s="1">
        <v>3.505E9</v>
      </c>
      <c r="Q471" s="1">
        <v>-1.43E8</v>
      </c>
      <c r="R471" s="1">
        <v>2.255E9</v>
      </c>
      <c r="S471" s="1">
        <v>2.245E9</v>
      </c>
    </row>
    <row r="472">
      <c r="A472" s="1">
        <v>470.0</v>
      </c>
      <c r="B472" s="3">
        <v>44196.0</v>
      </c>
      <c r="C472" s="1" t="s">
        <v>277</v>
      </c>
      <c r="D472" s="1" t="s">
        <v>278</v>
      </c>
      <c r="F472" s="1">
        <v>2.361E9</v>
      </c>
      <c r="G472" s="1">
        <v>1.456E9</v>
      </c>
      <c r="H472" s="1">
        <v>2.566E9</v>
      </c>
      <c r="I472" s="1">
        <v>5.033E9</v>
      </c>
      <c r="J472" s="1">
        <v>2.445E9</v>
      </c>
      <c r="K472" s="1">
        <v>2.445E9</v>
      </c>
      <c r="L472" s="1">
        <v>-3.1E8</v>
      </c>
      <c r="M472" s="1">
        <v>8.87E8</v>
      </c>
      <c r="N472" s="1">
        <v>8.611E9</v>
      </c>
      <c r="O472" s="1">
        <v>6.166E9</v>
      </c>
      <c r="P472" s="1">
        <v>3.578E9</v>
      </c>
      <c r="Q472" s="1">
        <v>-8.4E7</v>
      </c>
      <c r="R472" s="1">
        <v>1.474E9</v>
      </c>
      <c r="S472" s="1">
        <v>1.456E9</v>
      </c>
    </row>
    <row r="473">
      <c r="A473" s="1">
        <v>471.0</v>
      </c>
      <c r="B473" s="3">
        <v>44099.0</v>
      </c>
      <c r="C473" s="1" t="s">
        <v>277</v>
      </c>
      <c r="D473" s="1" t="s">
        <v>278</v>
      </c>
      <c r="F473" s="1">
        <v>2.181E9</v>
      </c>
      <c r="G473" s="1">
        <v>1.737E9</v>
      </c>
      <c r="H473" s="1">
        <v>2.467E9</v>
      </c>
      <c r="I473" s="1">
        <v>5.181E9</v>
      </c>
      <c r="J473" s="1">
        <v>2.714E9</v>
      </c>
      <c r="K473" s="1">
        <v>2.714E9</v>
      </c>
      <c r="L473" s="1">
        <v>-6.6E8</v>
      </c>
      <c r="M473" s="1">
        <v>4.41E8</v>
      </c>
      <c r="N473" s="1">
        <v>8.652E9</v>
      </c>
      <c r="O473" s="1">
        <v>5.938E9</v>
      </c>
      <c r="P473" s="1">
        <v>3.471E9</v>
      </c>
      <c r="Q473" s="1">
        <v>-5.33E8</v>
      </c>
      <c r="R473" s="1">
        <v>1.74E9</v>
      </c>
      <c r="S473" s="1">
        <v>1.737E9</v>
      </c>
    </row>
    <row r="474">
      <c r="A474" s="1">
        <v>472.0</v>
      </c>
      <c r="B474" s="3">
        <v>44377.0</v>
      </c>
      <c r="C474" s="1" t="s">
        <v>279</v>
      </c>
      <c r="D474" s="1" t="s">
        <v>280</v>
      </c>
      <c r="F474" s="1">
        <v>6.96E8</v>
      </c>
      <c r="G474" s="1">
        <v>5.12E8</v>
      </c>
      <c r="H474" s="1">
        <v>8.81E8</v>
      </c>
      <c r="I474" s="1">
        <v>1.722E9</v>
      </c>
      <c r="J474" s="1">
        <v>6.96E8</v>
      </c>
      <c r="K474" s="1">
        <v>6.96E8</v>
      </c>
      <c r="L474" s="1">
        <v>-2000000.0</v>
      </c>
      <c r="M474" s="1">
        <v>1.84E8</v>
      </c>
      <c r="N474" s="1">
        <v>4.585E9</v>
      </c>
      <c r="O474" s="1">
        <v>3.889E9</v>
      </c>
      <c r="P474" s="1">
        <v>2.863E9</v>
      </c>
      <c r="Q474" s="1">
        <v>0.0</v>
      </c>
      <c r="R474" s="1">
        <v>5.12E8</v>
      </c>
      <c r="S474" s="1">
        <v>5.12E8</v>
      </c>
    </row>
    <row r="475">
      <c r="A475" s="1">
        <v>473.0</v>
      </c>
      <c r="B475" s="3">
        <v>44286.0</v>
      </c>
      <c r="C475" s="1" t="s">
        <v>279</v>
      </c>
      <c r="D475" s="1" t="s">
        <v>280</v>
      </c>
      <c r="F475" s="1">
        <v>6.65E8</v>
      </c>
      <c r="G475" s="1">
        <v>5.05E8</v>
      </c>
      <c r="H475" s="1">
        <v>8.27E8</v>
      </c>
      <c r="I475" s="1">
        <v>1.637E9</v>
      </c>
      <c r="J475" s="1">
        <v>6.69E8</v>
      </c>
      <c r="K475" s="1">
        <v>6.69E8</v>
      </c>
      <c r="L475" s="1">
        <v>-2000000.0</v>
      </c>
      <c r="M475" s="1">
        <v>1.6E8</v>
      </c>
      <c r="N475" s="1">
        <v>4.401E9</v>
      </c>
      <c r="O475" s="1">
        <v>3.732E9</v>
      </c>
      <c r="P475" s="1">
        <v>2.764E9</v>
      </c>
      <c r="Q475" s="1">
        <v>-4000000.0</v>
      </c>
      <c r="R475" s="1">
        <v>5.05E8</v>
      </c>
      <c r="S475" s="1">
        <v>5.05E8</v>
      </c>
    </row>
    <row r="476">
      <c r="A476" s="1">
        <v>474.0</v>
      </c>
      <c r="B476" s="3">
        <v>44196.0</v>
      </c>
      <c r="C476" s="1" t="s">
        <v>279</v>
      </c>
      <c r="D476" s="1" t="s">
        <v>280</v>
      </c>
      <c r="F476" s="1">
        <v>4.68E8</v>
      </c>
      <c r="G476" s="1">
        <v>3.16E8</v>
      </c>
      <c r="H476" s="1">
        <v>8.97E8</v>
      </c>
      <c r="I476" s="1">
        <v>1.539E9</v>
      </c>
      <c r="J476" s="1">
        <v>4.97E8</v>
      </c>
      <c r="K476" s="1">
        <v>4.97E8</v>
      </c>
      <c r="L476" s="1">
        <v>-3000000.0</v>
      </c>
      <c r="M476" s="1">
        <v>1.52E8</v>
      </c>
      <c r="N476" s="1">
        <v>4.184E9</v>
      </c>
      <c r="O476" s="1">
        <v>3.687E9</v>
      </c>
      <c r="P476" s="1">
        <v>2.645E9</v>
      </c>
      <c r="Q476" s="1">
        <v>-2.9E7</v>
      </c>
      <c r="R476" s="1">
        <v>3.16E8</v>
      </c>
      <c r="S476" s="1">
        <v>3.16E8</v>
      </c>
    </row>
    <row r="477">
      <c r="A477" s="1">
        <v>475.0</v>
      </c>
      <c r="B477" s="3">
        <v>44104.0</v>
      </c>
      <c r="C477" s="1" t="s">
        <v>279</v>
      </c>
      <c r="D477" s="1" t="s">
        <v>280</v>
      </c>
      <c r="F477" s="1">
        <v>6.24E8</v>
      </c>
      <c r="G477" s="1">
        <v>3.48E8</v>
      </c>
      <c r="H477" s="1">
        <v>8.04E8</v>
      </c>
      <c r="I477" s="1">
        <v>1.617E9</v>
      </c>
      <c r="J477" s="1">
        <v>6.75E8</v>
      </c>
      <c r="K477" s="1">
        <v>6.75E8</v>
      </c>
      <c r="L477" s="1">
        <v>-6000000.0</v>
      </c>
      <c r="M477" s="1">
        <v>2.76E8</v>
      </c>
      <c r="N477" s="1">
        <v>4.243E9</v>
      </c>
      <c r="O477" s="1">
        <v>3.568E9</v>
      </c>
      <c r="P477" s="1">
        <v>2.626E9</v>
      </c>
      <c r="Q477" s="1">
        <v>-5.1E7</v>
      </c>
      <c r="R477" s="1">
        <v>3.48E8</v>
      </c>
      <c r="S477" s="1">
        <v>3.48E8</v>
      </c>
    </row>
    <row r="478">
      <c r="A478" s="1">
        <v>476.0</v>
      </c>
      <c r="B478" s="3">
        <v>44377.0</v>
      </c>
      <c r="C478" s="1" t="s">
        <v>281</v>
      </c>
      <c r="D478" s="1" t="s">
        <v>282</v>
      </c>
      <c r="F478" s="1">
        <v>9.53E8</v>
      </c>
      <c r="G478" s="1">
        <v>7.03E8</v>
      </c>
      <c r="H478" s="1">
        <v>1.586E9</v>
      </c>
      <c r="I478" s="1">
        <v>2.556E9</v>
      </c>
      <c r="J478" s="1">
        <v>9.78E8</v>
      </c>
      <c r="K478" s="1">
        <v>9.78E8</v>
      </c>
      <c r="L478" s="1">
        <v>-2.5E7</v>
      </c>
      <c r="M478" s="1">
        <v>2.12E8</v>
      </c>
      <c r="N478" s="1">
        <v>4.26E9</v>
      </c>
      <c r="O478" s="1">
        <v>3.282E9</v>
      </c>
      <c r="P478" s="1">
        <v>1.704E9</v>
      </c>
      <c r="Q478" s="1">
        <v>-2.5E7</v>
      </c>
      <c r="R478" s="1">
        <v>7.41E8</v>
      </c>
      <c r="S478" s="1">
        <v>7.03E8</v>
      </c>
    </row>
    <row r="479">
      <c r="A479" s="1">
        <v>477.0</v>
      </c>
      <c r="B479" s="3">
        <v>44286.0</v>
      </c>
      <c r="C479" s="1" t="s">
        <v>281</v>
      </c>
      <c r="D479" s="1" t="s">
        <v>282</v>
      </c>
      <c r="F479" s="1">
        <v>9.57E8</v>
      </c>
      <c r="G479" s="1">
        <v>6.81E8</v>
      </c>
      <c r="H479" s="1">
        <v>1.623E9</v>
      </c>
      <c r="I479" s="1">
        <v>2.637E9</v>
      </c>
      <c r="J479" s="1">
        <v>9.86E8</v>
      </c>
      <c r="K479" s="1">
        <v>9.86E8</v>
      </c>
      <c r="L479" s="1">
        <v>-2.9E7</v>
      </c>
      <c r="M479" s="1">
        <v>2.29E8</v>
      </c>
      <c r="N479" s="1">
        <v>4.344E9</v>
      </c>
      <c r="O479" s="1">
        <v>3.358E9</v>
      </c>
      <c r="P479" s="1">
        <v>1.707E9</v>
      </c>
      <c r="Q479" s="1">
        <v>-2.9E7</v>
      </c>
      <c r="R479" s="1">
        <v>7.28E8</v>
      </c>
      <c r="S479" s="1">
        <v>6.81E8</v>
      </c>
    </row>
    <row r="480">
      <c r="A480" s="1">
        <v>478.0</v>
      </c>
      <c r="B480" s="3">
        <v>44196.0</v>
      </c>
      <c r="C480" s="1" t="s">
        <v>281</v>
      </c>
      <c r="D480" s="1" t="s">
        <v>282</v>
      </c>
      <c r="F480" s="1">
        <v>8.94E8</v>
      </c>
      <c r="G480" s="1">
        <v>6.47E8</v>
      </c>
      <c r="H480" s="1">
        <v>1.654E9</v>
      </c>
      <c r="I480" s="1">
        <v>2.643E9</v>
      </c>
      <c r="J480" s="1">
        <v>9.25E8</v>
      </c>
      <c r="K480" s="1">
        <v>9.25E8</v>
      </c>
      <c r="L480" s="1">
        <v>-7.6E7</v>
      </c>
      <c r="M480" s="1">
        <v>2.02E8</v>
      </c>
      <c r="N480" s="1">
        <v>4.324E9</v>
      </c>
      <c r="O480" s="1">
        <v>3.399E9</v>
      </c>
      <c r="P480" s="1">
        <v>1.681E9</v>
      </c>
      <c r="Q480" s="1">
        <v>-3.1E7</v>
      </c>
      <c r="R480" s="1">
        <v>6.92E8</v>
      </c>
      <c r="S480" s="1">
        <v>6.47E8</v>
      </c>
    </row>
    <row r="481">
      <c r="A481" s="1">
        <v>479.0</v>
      </c>
      <c r="B481" s="3">
        <v>44104.0</v>
      </c>
      <c r="C481" s="1" t="s">
        <v>281</v>
      </c>
      <c r="D481" s="1" t="s">
        <v>282</v>
      </c>
      <c r="F481" s="1">
        <v>9.67E8</v>
      </c>
      <c r="G481" s="1">
        <v>6.98E8</v>
      </c>
      <c r="H481" s="1">
        <v>1.533E9</v>
      </c>
      <c r="I481" s="1">
        <v>2.54E9</v>
      </c>
      <c r="J481" s="1">
        <v>1.003E9</v>
      </c>
      <c r="K481" s="1">
        <v>1.003E9</v>
      </c>
      <c r="L481" s="1">
        <v>-3.6E7</v>
      </c>
      <c r="M481" s="1">
        <v>2.22E8</v>
      </c>
      <c r="N481" s="1">
        <v>4.153E9</v>
      </c>
      <c r="O481" s="1">
        <v>3.15E9</v>
      </c>
      <c r="P481" s="1">
        <v>1.613E9</v>
      </c>
      <c r="Q481" s="1">
        <v>-3.6E7</v>
      </c>
      <c r="R481" s="1">
        <v>7.45E8</v>
      </c>
      <c r="S481" s="1">
        <v>6.98E8</v>
      </c>
    </row>
    <row r="482">
      <c r="A482" s="1">
        <v>480.0</v>
      </c>
      <c r="B482" s="3">
        <v>44377.0</v>
      </c>
      <c r="C482" s="1" t="s">
        <v>283</v>
      </c>
      <c r="D482" s="1" t="s">
        <v>284</v>
      </c>
      <c r="F482" s="1">
        <v>5.63E9</v>
      </c>
      <c r="G482" s="1">
        <v>3.738E9</v>
      </c>
      <c r="H482" s="1">
        <v>1.04E10</v>
      </c>
      <c r="I482" s="1">
        <v>1.929E10</v>
      </c>
      <c r="J482" s="1">
        <v>5.507E9</v>
      </c>
      <c r="K482" s="1">
        <v>5.507E9</v>
      </c>
      <c r="L482" s="1">
        <v>-1.093E9</v>
      </c>
      <c r="M482" s="1">
        <v>2.0E9</v>
      </c>
      <c r="N482" s="1">
        <v>2.8546E10</v>
      </c>
      <c r="O482" s="1">
        <v>2.3039E10</v>
      </c>
      <c r="P482" s="1">
        <v>9.256E9</v>
      </c>
      <c r="Q482" s="1">
        <v>1.23E8</v>
      </c>
      <c r="R482" s="1">
        <v>3.63E9</v>
      </c>
      <c r="S482" s="1">
        <v>3.738E9</v>
      </c>
    </row>
    <row r="483">
      <c r="A483" s="1">
        <v>481.0</v>
      </c>
      <c r="B483" s="3">
        <v>44286.0</v>
      </c>
      <c r="C483" s="1" t="s">
        <v>283</v>
      </c>
      <c r="D483" s="1" t="s">
        <v>284</v>
      </c>
      <c r="F483" s="1">
        <v>4.411E9</v>
      </c>
      <c r="G483" s="1">
        <v>3.329E9</v>
      </c>
      <c r="H483" s="1">
        <v>9.885E9</v>
      </c>
      <c r="I483" s="1">
        <v>1.8286E10</v>
      </c>
      <c r="J483" s="1">
        <v>5.039E9</v>
      </c>
      <c r="K483" s="1">
        <v>5.039E9</v>
      </c>
      <c r="L483" s="1">
        <v>-1.018E9</v>
      </c>
      <c r="M483" s="1">
        <v>1.119E9</v>
      </c>
      <c r="N483" s="1">
        <v>2.7205E10</v>
      </c>
      <c r="O483" s="1">
        <v>2.2166E10</v>
      </c>
      <c r="P483" s="1">
        <v>8.919E9</v>
      </c>
      <c r="Q483" s="1">
        <v>-6.28E8</v>
      </c>
      <c r="R483" s="1">
        <v>3.292E9</v>
      </c>
      <c r="S483" s="1">
        <v>3.329E9</v>
      </c>
    </row>
    <row r="484">
      <c r="A484" s="1">
        <v>482.0</v>
      </c>
      <c r="B484" s="3">
        <v>44196.0</v>
      </c>
      <c r="C484" s="1" t="s">
        <v>283</v>
      </c>
      <c r="D484" s="1" t="s">
        <v>284</v>
      </c>
      <c r="F484" s="1">
        <v>4.416E9</v>
      </c>
      <c r="G484" s="1">
        <v>3.38E9</v>
      </c>
      <c r="H484" s="1">
        <v>1.11E10</v>
      </c>
      <c r="I484" s="1">
        <v>1.827E10</v>
      </c>
      <c r="J484" s="1">
        <v>3.918E9</v>
      </c>
      <c r="K484" s="1">
        <v>3.918E9</v>
      </c>
      <c r="L484" s="1">
        <v>-1.231E9</v>
      </c>
      <c r="M484" s="1">
        <v>9.79E8</v>
      </c>
      <c r="N484" s="1">
        <v>2.7708E10</v>
      </c>
      <c r="O484" s="1">
        <v>2.379E10</v>
      </c>
      <c r="P484" s="1">
        <v>9.438E9</v>
      </c>
      <c r="Q484" s="1">
        <v>4.98E8</v>
      </c>
      <c r="R484" s="1">
        <v>3.437E9</v>
      </c>
      <c r="S484" s="1">
        <v>3.38E9</v>
      </c>
    </row>
    <row r="485">
      <c r="A485" s="1">
        <v>483.0</v>
      </c>
      <c r="B485" s="3">
        <v>44104.0</v>
      </c>
      <c r="C485" s="1" t="s">
        <v>283</v>
      </c>
      <c r="D485" s="1" t="s">
        <v>284</v>
      </c>
      <c r="F485" s="1">
        <v>2.77E9</v>
      </c>
      <c r="G485" s="1">
        <v>2.019E9</v>
      </c>
      <c r="H485" s="1">
        <v>9.571E9</v>
      </c>
      <c r="I485" s="1">
        <v>1.6967E10</v>
      </c>
      <c r="J485" s="1">
        <v>4.076E9</v>
      </c>
      <c r="K485" s="1">
        <v>4.076E9</v>
      </c>
      <c r="L485" s="1">
        <v>-1.22E9</v>
      </c>
      <c r="M485" s="1">
        <v>7.39E8</v>
      </c>
      <c r="N485" s="1">
        <v>2.5532E10</v>
      </c>
      <c r="O485" s="1">
        <v>2.1456E10</v>
      </c>
      <c r="P485" s="1">
        <v>8.565E9</v>
      </c>
      <c r="Q485" s="1">
        <v>-1.306E9</v>
      </c>
      <c r="R485" s="1">
        <v>2.031E9</v>
      </c>
      <c r="S485" s="1">
        <v>2.019E9</v>
      </c>
    </row>
    <row r="486">
      <c r="A486" s="1">
        <v>484.0</v>
      </c>
      <c r="B486" s="3">
        <v>44377.0</v>
      </c>
      <c r="C486" s="1" t="s">
        <v>285</v>
      </c>
      <c r="D486" s="1" t="s">
        <v>286</v>
      </c>
      <c r="F486" s="1">
        <v>4.21E8</v>
      </c>
      <c r="G486" s="1">
        <v>3.28E8</v>
      </c>
      <c r="H486" s="1">
        <v>4.46E8</v>
      </c>
      <c r="I486" s="1">
        <v>8.84E8</v>
      </c>
      <c r="J486" s="1">
        <v>0.0</v>
      </c>
      <c r="K486" s="1">
        <v>4.28E8</v>
      </c>
      <c r="M486" s="1">
        <v>9.3E7</v>
      </c>
      <c r="N486" s="1">
        <v>8.84E8</v>
      </c>
      <c r="O486" s="1">
        <v>4.56E8</v>
      </c>
      <c r="P486" s="1">
        <v>0.0</v>
      </c>
      <c r="Q486" s="1">
        <v>-7000000.0</v>
      </c>
      <c r="R486" s="1">
        <v>3.28E8</v>
      </c>
      <c r="S486" s="1">
        <v>3.21E8</v>
      </c>
    </row>
    <row r="487">
      <c r="A487" s="1">
        <v>485.0</v>
      </c>
      <c r="B487" s="3">
        <v>44286.0</v>
      </c>
      <c r="C487" s="1" t="s">
        <v>285</v>
      </c>
      <c r="D487" s="1" t="s">
        <v>286</v>
      </c>
      <c r="F487" s="1">
        <v>4.48E8</v>
      </c>
      <c r="G487" s="1">
        <v>3.5E8</v>
      </c>
      <c r="H487" s="1">
        <v>4.42E8</v>
      </c>
      <c r="I487" s="1">
        <v>8.95E8</v>
      </c>
      <c r="J487" s="1">
        <v>0.0</v>
      </c>
      <c r="K487" s="1">
        <v>4.56E8</v>
      </c>
      <c r="M487" s="1">
        <v>9.8E7</v>
      </c>
      <c r="N487" s="1">
        <v>8.95E8</v>
      </c>
      <c r="O487" s="1">
        <v>4.39E8</v>
      </c>
      <c r="P487" s="1">
        <v>0.0</v>
      </c>
      <c r="Q487" s="1">
        <v>-8000000.0</v>
      </c>
      <c r="R487" s="1">
        <v>3.5E8</v>
      </c>
      <c r="S487" s="1">
        <v>3.43E8</v>
      </c>
    </row>
    <row r="488">
      <c r="A488" s="1">
        <v>486.0</v>
      </c>
      <c r="B488" s="3">
        <v>44196.0</v>
      </c>
      <c r="C488" s="1" t="s">
        <v>285</v>
      </c>
      <c r="D488" s="1" t="s">
        <v>286</v>
      </c>
      <c r="F488" s="1">
        <v>2.78E8</v>
      </c>
      <c r="G488" s="1">
        <v>2.15E8</v>
      </c>
      <c r="H488" s="1">
        <v>4.41E8</v>
      </c>
      <c r="I488" s="1">
        <v>7.51E8</v>
      </c>
      <c r="J488" s="1">
        <v>0.0</v>
      </c>
      <c r="K488" s="1">
        <v>2.92E8</v>
      </c>
      <c r="M488" s="1">
        <v>6.3E7</v>
      </c>
      <c r="N488" s="1">
        <v>7.51E8</v>
      </c>
      <c r="O488" s="1">
        <v>4.59E8</v>
      </c>
      <c r="P488" s="1">
        <v>0.0</v>
      </c>
      <c r="Q488" s="1">
        <v>-1.4E7</v>
      </c>
      <c r="R488" s="1">
        <v>2.15E8</v>
      </c>
      <c r="S488" s="1">
        <v>2.09E8</v>
      </c>
    </row>
    <row r="489">
      <c r="A489" s="1">
        <v>487.0</v>
      </c>
      <c r="B489" s="3">
        <v>44104.0</v>
      </c>
      <c r="C489" s="1" t="s">
        <v>285</v>
      </c>
      <c r="D489" s="1" t="s">
        <v>286</v>
      </c>
      <c r="F489" s="1">
        <v>2.59E8</v>
      </c>
      <c r="G489" s="1">
        <v>2.11E8</v>
      </c>
      <c r="H489" s="1">
        <v>4.15E8</v>
      </c>
      <c r="I489" s="1">
        <v>7.05E8</v>
      </c>
      <c r="J489" s="1">
        <v>0.0</v>
      </c>
      <c r="K489" s="1">
        <v>2.72E8</v>
      </c>
      <c r="M489" s="1">
        <v>4.8E7</v>
      </c>
      <c r="N489" s="1">
        <v>7.05E8</v>
      </c>
      <c r="O489" s="1">
        <v>4.33E8</v>
      </c>
      <c r="P489" s="1">
        <v>0.0</v>
      </c>
      <c r="Q489" s="1">
        <v>-1.3E7</v>
      </c>
      <c r="R489" s="1">
        <v>2.11E8</v>
      </c>
      <c r="S489" s="1">
        <v>2.03E8</v>
      </c>
    </row>
    <row r="490">
      <c r="A490" s="1">
        <v>488.0</v>
      </c>
      <c r="B490" s="3">
        <v>44255.0</v>
      </c>
      <c r="C490" s="1" t="s">
        <v>287</v>
      </c>
      <c r="D490" s="1" t="s">
        <v>288</v>
      </c>
      <c r="F490" s="1">
        <v>3.833E8</v>
      </c>
      <c r="G490" s="1">
        <v>2.814E8</v>
      </c>
      <c r="H490" s="1">
        <v>2.793E8</v>
      </c>
      <c r="I490" s="1">
        <v>7.676E8</v>
      </c>
      <c r="J490" s="1">
        <v>4.883E8</v>
      </c>
      <c r="K490" s="1">
        <v>4.883E8</v>
      </c>
      <c r="L490" s="1">
        <v>-1.01E8</v>
      </c>
      <c r="M490" s="1">
        <v>1.016E8</v>
      </c>
      <c r="N490" s="1">
        <v>2.7711E9</v>
      </c>
      <c r="O490" s="1">
        <v>2.2828E9</v>
      </c>
      <c r="P490" s="1">
        <v>2.0035E9</v>
      </c>
      <c r="Q490" s="1">
        <v>-1.05E8</v>
      </c>
      <c r="R490" s="1">
        <v>2.817E8</v>
      </c>
      <c r="S490" s="1">
        <v>2.814E8</v>
      </c>
    </row>
    <row r="491">
      <c r="A491" s="1">
        <v>489.0</v>
      </c>
      <c r="B491" s="3">
        <v>44164.0</v>
      </c>
      <c r="C491" s="1" t="s">
        <v>287</v>
      </c>
      <c r="D491" s="1" t="s">
        <v>288</v>
      </c>
      <c r="F491" s="1">
        <v>4.602E8</v>
      </c>
      <c r="G491" s="1">
        <v>3.789E8</v>
      </c>
      <c r="H491" s="1">
        <v>3.328E8</v>
      </c>
      <c r="I491" s="1">
        <v>8.984E8</v>
      </c>
      <c r="J491" s="1">
        <v>5.656E8</v>
      </c>
      <c r="K491" s="1">
        <v>5.656E8</v>
      </c>
      <c r="L491" s="1">
        <v>-1.081E8</v>
      </c>
      <c r="M491" s="1">
        <v>8.07E7</v>
      </c>
      <c r="N491" s="1">
        <v>2.9952E9</v>
      </c>
      <c r="O491" s="1">
        <v>2.4296E9</v>
      </c>
      <c r="P491" s="1">
        <v>2.0968E9</v>
      </c>
      <c r="Q491" s="1">
        <v>-1.054E8</v>
      </c>
      <c r="R491" s="1">
        <v>3.795E8</v>
      </c>
      <c r="S491" s="1">
        <v>3.789E8</v>
      </c>
    </row>
    <row r="492">
      <c r="A492" s="1">
        <v>490.0</v>
      </c>
      <c r="B492" s="3">
        <v>44073.0</v>
      </c>
      <c r="C492" s="1" t="s">
        <v>287</v>
      </c>
      <c r="D492" s="1" t="s">
        <v>288</v>
      </c>
      <c r="F492" s="1">
        <v>4.165E8</v>
      </c>
      <c r="G492" s="1">
        <v>3.29E8</v>
      </c>
      <c r="H492" s="1">
        <v>2.703E8</v>
      </c>
      <c r="I492" s="1">
        <v>8.206E8</v>
      </c>
      <c r="J492" s="1">
        <v>5.503E8</v>
      </c>
      <c r="K492" s="1">
        <v>5.503E8</v>
      </c>
      <c r="L492" s="1">
        <v>-1.145E8</v>
      </c>
      <c r="M492" s="1">
        <v>8.67E7</v>
      </c>
      <c r="N492" s="1">
        <v>2.6789E9</v>
      </c>
      <c r="O492" s="1">
        <v>2.1286E9</v>
      </c>
      <c r="P492" s="1">
        <v>1.8583E9</v>
      </c>
      <c r="Q492" s="1">
        <v>-1.338E8</v>
      </c>
      <c r="R492" s="1">
        <v>3.298E8</v>
      </c>
      <c r="S492" s="1">
        <v>3.29E8</v>
      </c>
    </row>
    <row r="493">
      <c r="A493" s="1">
        <v>491.0</v>
      </c>
      <c r="B493" s="3">
        <v>43982.0</v>
      </c>
      <c r="C493" s="1" t="s">
        <v>287</v>
      </c>
      <c r="D493" s="1" t="s">
        <v>288</v>
      </c>
      <c r="F493" s="1">
        <v>2.611E8</v>
      </c>
      <c r="G493" s="1">
        <v>2.014E8</v>
      </c>
      <c r="H493" s="1">
        <v>4.09E8</v>
      </c>
      <c r="I493" s="1">
        <v>9.33E8</v>
      </c>
      <c r="J493" s="1">
        <v>5.24E8</v>
      </c>
      <c r="K493" s="1">
        <v>5.24E8</v>
      </c>
      <c r="L493" s="1">
        <v>-1.261E8</v>
      </c>
      <c r="M493" s="1">
        <v>5.98E7</v>
      </c>
      <c r="N493" s="1">
        <v>3.2879E9</v>
      </c>
      <c r="O493" s="1">
        <v>2.7639E9</v>
      </c>
      <c r="P493" s="1">
        <v>2.3549E9</v>
      </c>
      <c r="Q493" s="1">
        <v>-2.629E8</v>
      </c>
      <c r="R493" s="1">
        <v>2.013E8</v>
      </c>
      <c r="S493" s="1">
        <v>2.014E8</v>
      </c>
    </row>
    <row r="494">
      <c r="A494" s="1">
        <v>492.0</v>
      </c>
      <c r="B494" s="3">
        <v>44377.0</v>
      </c>
      <c r="C494" s="1" t="s">
        <v>289</v>
      </c>
      <c r="D494" s="1" t="s">
        <v>290</v>
      </c>
      <c r="F494" s="1">
        <v>3.08E9</v>
      </c>
      <c r="G494" s="1">
        <v>2.091E9</v>
      </c>
      <c r="H494" s="1">
        <v>1.56E8</v>
      </c>
      <c r="I494" s="1">
        <v>5.318E9</v>
      </c>
      <c r="J494" s="1">
        <v>2.793E9</v>
      </c>
      <c r="K494" s="1">
        <v>2.793E9</v>
      </c>
      <c r="L494" s="1">
        <v>-2.2E8</v>
      </c>
      <c r="M494" s="1">
        <v>9.89E8</v>
      </c>
      <c r="N494" s="1">
        <v>9.695E9</v>
      </c>
      <c r="O494" s="1">
        <v>6.902E9</v>
      </c>
      <c r="P494" s="1">
        <v>4.377E9</v>
      </c>
      <c r="Q494" s="1">
        <v>2.87E8</v>
      </c>
      <c r="R494" s="1">
        <v>2.091E9</v>
      </c>
      <c r="S494" s="1">
        <v>2.091E9</v>
      </c>
    </row>
    <row r="495">
      <c r="A495" s="1">
        <v>493.0</v>
      </c>
      <c r="B495" s="3">
        <v>44286.0</v>
      </c>
      <c r="C495" s="1" t="s">
        <v>289</v>
      </c>
      <c r="D495" s="1" t="s">
        <v>290</v>
      </c>
      <c r="F495" s="1">
        <v>1.714E9</v>
      </c>
      <c r="G495" s="1">
        <v>9.82E8</v>
      </c>
      <c r="H495" s="1">
        <v>2.74E8</v>
      </c>
      <c r="I495" s="1">
        <v>4.138E9</v>
      </c>
      <c r="J495" s="1">
        <v>1.483E9</v>
      </c>
      <c r="K495" s="1">
        <v>1.483E9</v>
      </c>
      <c r="L495" s="1">
        <v>-2.26E8</v>
      </c>
      <c r="M495" s="1">
        <v>7.32E8</v>
      </c>
      <c r="N495" s="1">
        <v>9.948E9</v>
      </c>
      <c r="O495" s="1">
        <v>8.465E9</v>
      </c>
      <c r="P495" s="1">
        <v>5.81E9</v>
      </c>
      <c r="Q495" s="1">
        <v>2.31E8</v>
      </c>
      <c r="R495" s="1">
        <v>9.82E8</v>
      </c>
      <c r="S495" s="1">
        <v>9.82E8</v>
      </c>
    </row>
    <row r="496">
      <c r="A496" s="1">
        <v>494.0</v>
      </c>
      <c r="B496" s="3">
        <v>44196.0</v>
      </c>
      <c r="C496" s="1" t="s">
        <v>289</v>
      </c>
      <c r="D496" s="1" t="s">
        <v>290</v>
      </c>
      <c r="F496" s="1">
        <v>-1.086E9</v>
      </c>
      <c r="G496" s="1">
        <v>-7.72E8</v>
      </c>
      <c r="H496" s="1">
        <v>1.88E8</v>
      </c>
      <c r="I496" s="1">
        <v>1.968E9</v>
      </c>
      <c r="J496" s="1">
        <v>-1.048E9</v>
      </c>
      <c r="K496" s="1">
        <v>-1.048E9</v>
      </c>
      <c r="L496" s="1">
        <v>-2.02E8</v>
      </c>
      <c r="M496" s="1">
        <v>-3.14E8</v>
      </c>
      <c r="N496" s="1">
        <v>5.577E9</v>
      </c>
      <c r="O496" s="1">
        <v>6.625E9</v>
      </c>
      <c r="P496" s="1">
        <v>3.609E9</v>
      </c>
      <c r="Q496" s="1">
        <v>-3.8E7</v>
      </c>
      <c r="R496" s="1">
        <v>-7.72E8</v>
      </c>
      <c r="S496" s="1">
        <v>-7.72E8</v>
      </c>
    </row>
    <row r="497">
      <c r="A497" s="1">
        <v>495.0</v>
      </c>
      <c r="B497" s="3">
        <v>44104.0</v>
      </c>
      <c r="C497" s="1" t="s">
        <v>289</v>
      </c>
      <c r="D497" s="1" t="s">
        <v>290</v>
      </c>
      <c r="F497" s="1">
        <v>-5.12E8</v>
      </c>
      <c r="G497" s="1">
        <v>-4.5E8</v>
      </c>
      <c r="H497" s="1">
        <v>1.15E8</v>
      </c>
      <c r="I497" s="1">
        <v>1.619E9</v>
      </c>
      <c r="J497" s="1">
        <v>-2.75E8</v>
      </c>
      <c r="K497" s="1">
        <v>-2.75E8</v>
      </c>
      <c r="L497" s="1">
        <v>-2.0E8</v>
      </c>
      <c r="M497" s="1">
        <v>-6.2E7</v>
      </c>
      <c r="N497" s="1">
        <v>4.421E9</v>
      </c>
      <c r="O497" s="1">
        <v>4.696E9</v>
      </c>
      <c r="P497" s="1">
        <v>2.802E9</v>
      </c>
      <c r="Q497" s="1">
        <v>-2.37E8</v>
      </c>
      <c r="R497" s="1">
        <v>-4.5E8</v>
      </c>
      <c r="S497" s="1">
        <v>-4.5E8</v>
      </c>
    </row>
    <row r="498">
      <c r="A498" s="1">
        <v>496.0</v>
      </c>
      <c r="B498" s="3">
        <v>44286.0</v>
      </c>
      <c r="C498" s="1" t="s">
        <v>291</v>
      </c>
      <c r="D498" s="1" t="s">
        <v>292</v>
      </c>
      <c r="F498" s="1">
        <v>4.98E8</v>
      </c>
      <c r="G498" s="1">
        <v>4.19E8</v>
      </c>
      <c r="H498" s="1">
        <v>3.3E7</v>
      </c>
      <c r="I498" s="1">
        <v>2.061E9</v>
      </c>
      <c r="J498" s="1">
        <v>8.27E8</v>
      </c>
      <c r="K498" s="1">
        <v>8.27E8</v>
      </c>
      <c r="L498" s="1">
        <v>-2.27E8</v>
      </c>
      <c r="M498" s="1">
        <v>7.8E7</v>
      </c>
      <c r="N498" s="1">
        <v>3.677E9</v>
      </c>
      <c r="O498" s="1">
        <v>2.85E9</v>
      </c>
      <c r="P498" s="1">
        <v>1.616E9</v>
      </c>
      <c r="Q498" s="1">
        <v>-3.29E8</v>
      </c>
      <c r="R498" s="1">
        <v>4.2E8</v>
      </c>
      <c r="S498" s="1">
        <v>4.19E8</v>
      </c>
    </row>
    <row r="499">
      <c r="A499" s="1">
        <v>497.0</v>
      </c>
      <c r="B499" s="3">
        <v>44196.0</v>
      </c>
      <c r="C499" s="1" t="s">
        <v>291</v>
      </c>
      <c r="D499" s="1" t="s">
        <v>292</v>
      </c>
      <c r="F499" s="1">
        <v>-4.4E7</v>
      </c>
      <c r="G499" s="1">
        <v>4.3E7</v>
      </c>
      <c r="H499" s="1">
        <v>-7.9E7</v>
      </c>
      <c r="I499" s="1">
        <v>1.655E9</v>
      </c>
      <c r="J499" s="1">
        <v>5.82E8</v>
      </c>
      <c r="K499" s="1">
        <v>5.82E8</v>
      </c>
      <c r="L499" s="1">
        <v>-3.04E8</v>
      </c>
      <c r="M499" s="1">
        <v>-9.3E7</v>
      </c>
      <c r="N499" s="1">
        <v>2.96E9</v>
      </c>
      <c r="O499" s="1">
        <v>2.378E9</v>
      </c>
      <c r="P499" s="1">
        <v>1.305E9</v>
      </c>
      <c r="Q499" s="1">
        <v>-6.26E8</v>
      </c>
      <c r="R499" s="1">
        <v>4.9E7</v>
      </c>
      <c r="S499" s="1">
        <v>4.3E7</v>
      </c>
    </row>
    <row r="500">
      <c r="A500" s="1">
        <v>498.0</v>
      </c>
      <c r="B500" s="3">
        <v>44104.0</v>
      </c>
      <c r="C500" s="1" t="s">
        <v>291</v>
      </c>
      <c r="D500" s="1" t="s">
        <v>292</v>
      </c>
      <c r="F500" s="1">
        <v>6.21E8</v>
      </c>
      <c r="G500" s="1">
        <v>4.93E8</v>
      </c>
      <c r="H500" s="1">
        <v>9.4E7</v>
      </c>
      <c r="I500" s="1">
        <v>2.015E9</v>
      </c>
      <c r="J500" s="1">
        <v>7.66E8</v>
      </c>
      <c r="K500" s="1">
        <v>7.66E8</v>
      </c>
      <c r="L500" s="1">
        <v>-2.31E8</v>
      </c>
      <c r="M500" s="1">
        <v>1.19E8</v>
      </c>
      <c r="N500" s="1">
        <v>3.333E9</v>
      </c>
      <c r="O500" s="1">
        <v>2.567E9</v>
      </c>
      <c r="P500" s="1">
        <v>1.318E9</v>
      </c>
      <c r="Q500" s="1">
        <v>-1.45E8</v>
      </c>
      <c r="R500" s="1">
        <v>5.02E8</v>
      </c>
      <c r="S500" s="1">
        <v>4.93E8</v>
      </c>
    </row>
    <row r="501">
      <c r="A501" s="1">
        <v>499.0</v>
      </c>
      <c r="B501" s="3">
        <v>44012.0</v>
      </c>
      <c r="C501" s="1" t="s">
        <v>291</v>
      </c>
      <c r="D501" s="1" t="s">
        <v>292</v>
      </c>
      <c r="F501" s="1">
        <v>2.11E8</v>
      </c>
      <c r="G501" s="1">
        <v>1.9E8</v>
      </c>
      <c r="H501" s="1">
        <v>9.4E7</v>
      </c>
      <c r="I501" s="1">
        <v>1.559E9</v>
      </c>
      <c r="J501" s="1">
        <v>3.85E8</v>
      </c>
      <c r="K501" s="1">
        <v>3.85E8</v>
      </c>
      <c r="L501" s="1">
        <v>-2.49E8</v>
      </c>
      <c r="M501" s="1">
        <v>9000000.0</v>
      </c>
      <c r="N501" s="1">
        <v>2.719E9</v>
      </c>
      <c r="O501" s="1">
        <v>2.334E9</v>
      </c>
      <c r="P501" s="1">
        <v>1.16E9</v>
      </c>
      <c r="Q501" s="1">
        <v>-1.74E8</v>
      </c>
      <c r="R501" s="1">
        <v>2.02E8</v>
      </c>
      <c r="S501" s="1">
        <v>1.9E8</v>
      </c>
    </row>
    <row r="502">
      <c r="A502" s="1">
        <v>500.0</v>
      </c>
      <c r="B502" s="3">
        <v>44439.0</v>
      </c>
      <c r="C502" s="1" t="s">
        <v>293</v>
      </c>
      <c r="D502" s="1" t="s">
        <v>294</v>
      </c>
      <c r="F502" s="1">
        <v>1.432E8</v>
      </c>
      <c r="G502" s="1">
        <v>1500000.0</v>
      </c>
      <c r="H502" s="1">
        <v>4.842E8</v>
      </c>
      <c r="I502" s="1">
        <v>1.2296E9</v>
      </c>
      <c r="J502" s="1">
        <v>7.383E8</v>
      </c>
      <c r="K502" s="1">
        <v>7.383E8</v>
      </c>
      <c r="L502" s="1">
        <v>-9.58E7</v>
      </c>
      <c r="M502" s="1">
        <v>1.313E8</v>
      </c>
      <c r="N502" s="1">
        <v>2.3711E9</v>
      </c>
      <c r="O502" s="1">
        <v>1.6328E9</v>
      </c>
      <c r="P502" s="1">
        <v>1.1415E9</v>
      </c>
      <c r="Q502" s="1">
        <v>-5.951E8</v>
      </c>
      <c r="R502" s="1">
        <v>1.19E7</v>
      </c>
      <c r="S502" s="1">
        <v>1500000.0</v>
      </c>
    </row>
    <row r="503">
      <c r="A503" s="1">
        <v>501.0</v>
      </c>
      <c r="B503" s="3">
        <v>44347.0</v>
      </c>
      <c r="C503" s="1" t="s">
        <v>293</v>
      </c>
      <c r="D503" s="1" t="s">
        <v>294</v>
      </c>
      <c r="F503" s="1">
        <v>-9.108E8</v>
      </c>
      <c r="G503" s="1">
        <v>-9.081E8</v>
      </c>
      <c r="H503" s="1">
        <v>3.784E8</v>
      </c>
      <c r="I503" s="1">
        <v>1.1219E9</v>
      </c>
      <c r="J503" s="1">
        <v>7.445E8</v>
      </c>
      <c r="K503" s="1">
        <v>7.445E8</v>
      </c>
      <c r="L503" s="1">
        <v>-8.67E7</v>
      </c>
      <c r="M503" s="1">
        <v>-1.35E7</v>
      </c>
      <c r="N503" s="1">
        <v>2.0265E9</v>
      </c>
      <c r="O503" s="1">
        <v>1.282E9</v>
      </c>
      <c r="P503" s="1">
        <v>9.046E8</v>
      </c>
      <c r="Q503" s="1">
        <v>-1.6553E9</v>
      </c>
      <c r="R503" s="1">
        <v>-8.973E8</v>
      </c>
      <c r="S503" s="1">
        <v>-9.081E8</v>
      </c>
    </row>
    <row r="504">
      <c r="A504" s="1">
        <v>502.0</v>
      </c>
      <c r="B504" s="3">
        <v>44255.0</v>
      </c>
      <c r="C504" s="1" t="s">
        <v>293</v>
      </c>
      <c r="D504" s="1" t="s">
        <v>294</v>
      </c>
      <c r="F504" s="1">
        <v>4.853E8</v>
      </c>
      <c r="G504" s="1">
        <v>3.829E8</v>
      </c>
      <c r="H504" s="1">
        <v>4.536E8</v>
      </c>
      <c r="I504" s="1">
        <v>1.0433E9</v>
      </c>
      <c r="J504" s="1">
        <v>5.901E8</v>
      </c>
      <c r="K504" s="1">
        <v>5.901E8</v>
      </c>
      <c r="L504" s="1">
        <v>-8.98E7</v>
      </c>
      <c r="M504" s="1">
        <v>9.47E7</v>
      </c>
      <c r="N504" s="1">
        <v>1.953E9</v>
      </c>
      <c r="O504" s="1">
        <v>1.3629E9</v>
      </c>
      <c r="P504" s="1">
        <v>9.097E8</v>
      </c>
      <c r="Q504" s="1">
        <v>-1.048E8</v>
      </c>
      <c r="R504" s="1">
        <v>3.906E8</v>
      </c>
      <c r="S504" s="1">
        <v>3.829E8</v>
      </c>
    </row>
    <row r="505">
      <c r="A505" s="1">
        <v>503.0</v>
      </c>
      <c r="B505" s="3">
        <v>44165.0</v>
      </c>
      <c r="C505" s="1" t="s">
        <v>293</v>
      </c>
      <c r="D505" s="1" t="s">
        <v>294</v>
      </c>
      <c r="F505" s="1">
        <v>1.4686E9</v>
      </c>
      <c r="G505" s="1">
        <v>1.2809E9</v>
      </c>
      <c r="H505" s="1">
        <v>4.47E8</v>
      </c>
      <c r="I505" s="1">
        <v>1.3162E9</v>
      </c>
      <c r="J505" s="1">
        <v>8.649E8</v>
      </c>
      <c r="K505" s="1">
        <v>8.649E8</v>
      </c>
      <c r="L505" s="1">
        <v>-9.57E7</v>
      </c>
      <c r="M505" s="1">
        <v>1.766E8</v>
      </c>
      <c r="N505" s="1">
        <v>2.4381E9</v>
      </c>
      <c r="O505" s="1">
        <v>1.5732E9</v>
      </c>
      <c r="P505" s="1">
        <v>1.1219E9</v>
      </c>
      <c r="Q505" s="1">
        <v>6.037E8</v>
      </c>
      <c r="R505" s="1">
        <v>1.292E9</v>
      </c>
      <c r="S505" s="1">
        <v>1.2809E9</v>
      </c>
    </row>
    <row r="506">
      <c r="A506" s="1">
        <v>504.0</v>
      </c>
      <c r="B506" s="3">
        <v>44316.0</v>
      </c>
      <c r="C506" s="1" t="s">
        <v>295</v>
      </c>
      <c r="D506" s="1" t="s">
        <v>296</v>
      </c>
      <c r="F506" s="1">
        <v>3.23535E8</v>
      </c>
      <c r="G506" s="1">
        <v>2.86796E8</v>
      </c>
      <c r="H506" s="1">
        <v>6.1585E7</v>
      </c>
      <c r="I506" s="1">
        <v>3.89696E8</v>
      </c>
      <c r="J506" s="1">
        <v>3.28111E8</v>
      </c>
      <c r="K506" s="1">
        <v>3.28111E8</v>
      </c>
      <c r="L506" s="1">
        <v>-5346000.0</v>
      </c>
      <c r="M506" s="1">
        <v>3.6739E7</v>
      </c>
      <c r="N506" s="1">
        <v>7.3391E8</v>
      </c>
      <c r="O506" s="1">
        <v>4.05799E8</v>
      </c>
      <c r="P506" s="1">
        <v>3.44214E8</v>
      </c>
      <c r="Q506" s="1">
        <v>-4576000.0</v>
      </c>
      <c r="R506" s="1">
        <v>2.86796E8</v>
      </c>
      <c r="S506" s="1">
        <v>2.86796E8</v>
      </c>
    </row>
    <row r="507">
      <c r="A507" s="1">
        <v>505.0</v>
      </c>
      <c r="B507" s="3">
        <v>44227.0</v>
      </c>
      <c r="C507" s="1" t="s">
        <v>295</v>
      </c>
      <c r="D507" s="1" t="s">
        <v>296</v>
      </c>
      <c r="F507" s="1">
        <v>2.52452E8</v>
      </c>
      <c r="G507" s="1">
        <v>1.9344E8</v>
      </c>
      <c r="H507" s="1">
        <v>5.7719E7</v>
      </c>
      <c r="I507" s="1">
        <v>3.1594E8</v>
      </c>
      <c r="J507" s="1">
        <v>2.58221E8</v>
      </c>
      <c r="K507" s="1">
        <v>2.58221E8</v>
      </c>
      <c r="L507" s="1">
        <v>-4849000.0</v>
      </c>
      <c r="M507" s="1">
        <v>5.9012E7</v>
      </c>
      <c r="N507" s="1">
        <v>6.17031E8</v>
      </c>
      <c r="O507" s="1">
        <v>3.5881E8</v>
      </c>
      <c r="P507" s="1">
        <v>3.01091E8</v>
      </c>
      <c r="Q507" s="1">
        <v>-5769000.0</v>
      </c>
      <c r="R507" s="1">
        <v>1.9344E8</v>
      </c>
      <c r="S507" s="1">
        <v>1.9344E8</v>
      </c>
    </row>
    <row r="508">
      <c r="A508" s="1">
        <v>506.0</v>
      </c>
      <c r="B508" s="3">
        <v>44135.0</v>
      </c>
      <c r="C508" s="1" t="s">
        <v>295</v>
      </c>
      <c r="D508" s="1" t="s">
        <v>296</v>
      </c>
      <c r="F508" s="1">
        <v>2.46815E8</v>
      </c>
      <c r="G508" s="1">
        <v>2.00285E8</v>
      </c>
      <c r="H508" s="1">
        <v>5.7216E7</v>
      </c>
      <c r="I508" s="1">
        <v>3.0581E8</v>
      </c>
      <c r="J508" s="1">
        <v>2.48594E8</v>
      </c>
      <c r="K508" s="1">
        <v>2.48594E8</v>
      </c>
      <c r="L508" s="1">
        <v>-5032000.0</v>
      </c>
      <c r="M508" s="1">
        <v>4.653E7</v>
      </c>
      <c r="N508" s="1">
        <v>5.9294E8</v>
      </c>
      <c r="O508" s="1">
        <v>3.44346E8</v>
      </c>
      <c r="P508" s="1">
        <v>2.8713E8</v>
      </c>
      <c r="Q508" s="1">
        <v>-1779000.0</v>
      </c>
      <c r="R508" s="1">
        <v>2.00285E8</v>
      </c>
      <c r="S508" s="1">
        <v>2.00285E8</v>
      </c>
    </row>
    <row r="509">
      <c r="A509" s="1">
        <v>507.0</v>
      </c>
      <c r="B509" s="3">
        <v>44043.0</v>
      </c>
      <c r="C509" s="1" t="s">
        <v>295</v>
      </c>
      <c r="D509" s="1" t="s">
        <v>296</v>
      </c>
      <c r="F509" s="1">
        <v>2.01883E8</v>
      </c>
      <c r="G509" s="1">
        <v>1.65533E8</v>
      </c>
      <c r="H509" s="1">
        <v>1.2002E7</v>
      </c>
      <c r="I509" s="1">
        <v>2.17717E8</v>
      </c>
      <c r="J509" s="1">
        <v>2.05715E8</v>
      </c>
      <c r="K509" s="1">
        <v>2.05715E8</v>
      </c>
      <c r="L509" s="1">
        <v>-4902000.0</v>
      </c>
      <c r="M509" s="1">
        <v>3.635E7</v>
      </c>
      <c r="N509" s="1">
        <v>5.25659E8</v>
      </c>
      <c r="O509" s="1">
        <v>3.19944E8</v>
      </c>
      <c r="P509" s="1">
        <v>3.07942E8</v>
      </c>
      <c r="Q509" s="1">
        <v>-3832000.0</v>
      </c>
      <c r="R509" s="1">
        <v>1.65533E8</v>
      </c>
      <c r="S509" s="1">
        <v>1.65533E8</v>
      </c>
    </row>
    <row r="510">
      <c r="A510" s="1">
        <v>508.0</v>
      </c>
      <c r="B510" s="3">
        <v>44377.0</v>
      </c>
      <c r="C510" s="1" t="s">
        <v>297</v>
      </c>
      <c r="D510" s="1" t="s">
        <v>298</v>
      </c>
      <c r="E510" s="1">
        <v>2.38E8</v>
      </c>
      <c r="F510" s="1">
        <v>5.16E8</v>
      </c>
      <c r="G510" s="1">
        <v>4.49E8</v>
      </c>
      <c r="H510" s="1">
        <v>4.42E8</v>
      </c>
      <c r="I510" s="1">
        <v>1.309E9</v>
      </c>
      <c r="J510" s="1">
        <v>5.96E8</v>
      </c>
      <c r="K510" s="1">
        <v>5.96E8</v>
      </c>
      <c r="L510" s="1">
        <v>-7.8E7</v>
      </c>
      <c r="M510" s="1">
        <v>6.7E7</v>
      </c>
      <c r="N510" s="1">
        <v>3.501E9</v>
      </c>
      <c r="O510" s="1">
        <v>2.905E9</v>
      </c>
      <c r="P510" s="1">
        <v>2.192E9</v>
      </c>
      <c r="Q510" s="1">
        <v>-8.0E7</v>
      </c>
      <c r="R510" s="1">
        <v>4.49E8</v>
      </c>
      <c r="S510" s="1">
        <v>-3.54E8</v>
      </c>
    </row>
    <row r="511">
      <c r="A511" s="1">
        <v>509.0</v>
      </c>
      <c r="B511" s="3">
        <v>44286.0</v>
      </c>
      <c r="C511" s="1" t="s">
        <v>297</v>
      </c>
      <c r="D511" s="1" t="s">
        <v>298</v>
      </c>
      <c r="E511" s="1">
        <v>2.22E8</v>
      </c>
      <c r="F511" s="1">
        <v>8.25E8</v>
      </c>
      <c r="G511" s="1">
        <v>5.99E8</v>
      </c>
      <c r="H511" s="1">
        <v>3.72E8</v>
      </c>
      <c r="I511" s="1">
        <v>1.156E9</v>
      </c>
      <c r="J511" s="1">
        <v>5.3E8</v>
      </c>
      <c r="K511" s="1">
        <v>5.3E8</v>
      </c>
      <c r="L511" s="1">
        <v>-7.7E7</v>
      </c>
      <c r="M511" s="1">
        <v>2.26E8</v>
      </c>
      <c r="N511" s="1">
        <v>3.29E9</v>
      </c>
      <c r="O511" s="1">
        <v>2.76E9</v>
      </c>
      <c r="P511" s="1">
        <v>2.134E9</v>
      </c>
      <c r="Q511" s="1">
        <v>2.95E8</v>
      </c>
      <c r="R511" s="1">
        <v>5.99E8</v>
      </c>
      <c r="S511" s="1">
        <v>5.75E8</v>
      </c>
    </row>
    <row r="512">
      <c r="A512" s="1">
        <v>510.0</v>
      </c>
      <c r="B512" s="3">
        <v>44196.0</v>
      </c>
      <c r="C512" s="1" t="s">
        <v>297</v>
      </c>
      <c r="D512" s="1" t="s">
        <v>298</v>
      </c>
      <c r="E512" s="1">
        <v>2.28E8</v>
      </c>
      <c r="F512" s="1">
        <v>3.3E8</v>
      </c>
      <c r="G512" s="1">
        <v>2.52E8</v>
      </c>
      <c r="H512" s="1">
        <v>4.55E8</v>
      </c>
      <c r="I512" s="1">
        <v>1.273E9</v>
      </c>
      <c r="J512" s="1">
        <v>5.56E8</v>
      </c>
      <c r="K512" s="1">
        <v>5.56E8</v>
      </c>
      <c r="L512" s="1">
        <v>-7.5E7</v>
      </c>
      <c r="M512" s="1">
        <v>7.8E7</v>
      </c>
      <c r="N512" s="1">
        <v>3.35E9</v>
      </c>
      <c r="O512" s="1">
        <v>2.794E9</v>
      </c>
      <c r="P512" s="1">
        <v>2.077E9</v>
      </c>
      <c r="Q512" s="1">
        <v>-2.26E8</v>
      </c>
      <c r="R512" s="1">
        <v>2.52E8</v>
      </c>
      <c r="S512" s="1">
        <v>2.27E8</v>
      </c>
    </row>
    <row r="513">
      <c r="A513" s="1">
        <v>511.0</v>
      </c>
      <c r="B513" s="3">
        <v>44104.0</v>
      </c>
      <c r="C513" s="1" t="s">
        <v>297</v>
      </c>
      <c r="D513" s="1" t="s">
        <v>298</v>
      </c>
      <c r="E513" s="1">
        <v>2.13E8</v>
      </c>
      <c r="F513" s="1">
        <v>4.5E8</v>
      </c>
      <c r="G513" s="1">
        <v>4.27E8</v>
      </c>
      <c r="H513" s="1">
        <v>4.47E8</v>
      </c>
      <c r="I513" s="1">
        <v>1.125E9</v>
      </c>
      <c r="J513" s="1">
        <v>4.32E8</v>
      </c>
      <c r="K513" s="1">
        <v>4.32E8</v>
      </c>
      <c r="L513" s="1">
        <v>-7.0E7</v>
      </c>
      <c r="M513" s="1">
        <v>2.3E7</v>
      </c>
      <c r="N513" s="1">
        <v>3.001E9</v>
      </c>
      <c r="O513" s="1">
        <v>2.569E9</v>
      </c>
      <c r="P513" s="1">
        <v>1.876E9</v>
      </c>
      <c r="Q513" s="1">
        <v>1.8E7</v>
      </c>
      <c r="R513" s="1">
        <v>4.27E8</v>
      </c>
      <c r="S513" s="1">
        <v>4.03E8</v>
      </c>
    </row>
    <row r="514">
      <c r="A514" s="1">
        <v>512.0</v>
      </c>
      <c r="B514" s="3">
        <v>44377.0</v>
      </c>
      <c r="C514" s="1" t="s">
        <v>299</v>
      </c>
      <c r="D514" s="1" t="s">
        <v>300</v>
      </c>
      <c r="E514" s="1">
        <v>2.93E8</v>
      </c>
      <c r="F514" s="1">
        <v>1.302E9</v>
      </c>
      <c r="G514" s="1">
        <v>9.7E8</v>
      </c>
      <c r="H514" s="1">
        <v>6.7E8</v>
      </c>
      <c r="I514" s="1">
        <v>2.617E9</v>
      </c>
      <c r="J514" s="1">
        <v>1.474E9</v>
      </c>
      <c r="K514" s="1">
        <v>1.474E9</v>
      </c>
      <c r="L514" s="1">
        <v>-7000000.0</v>
      </c>
      <c r="M514" s="1">
        <v>2.84E8</v>
      </c>
      <c r="N514" s="1">
        <v>5.627E9</v>
      </c>
      <c r="O514" s="1">
        <v>4.153E9</v>
      </c>
      <c r="P514" s="1">
        <v>3.01E9</v>
      </c>
      <c r="Q514" s="1">
        <v>-1.72E8</v>
      </c>
      <c r="R514" s="1">
        <v>1.018E9</v>
      </c>
      <c r="S514" s="1">
        <v>9.7E8</v>
      </c>
    </row>
    <row r="515">
      <c r="A515" s="1">
        <v>513.0</v>
      </c>
      <c r="B515" s="3">
        <v>44286.0</v>
      </c>
      <c r="C515" s="1" t="s">
        <v>299</v>
      </c>
      <c r="D515" s="1" t="s">
        <v>300</v>
      </c>
      <c r="E515" s="1">
        <v>2.81E8</v>
      </c>
      <c r="F515" s="1">
        <v>7.91E8</v>
      </c>
      <c r="G515" s="1">
        <v>6.0E8</v>
      </c>
      <c r="H515" s="1">
        <v>4.08E8</v>
      </c>
      <c r="I515" s="1">
        <v>1.758E9</v>
      </c>
      <c r="J515" s="1">
        <v>8.86E8</v>
      </c>
      <c r="K515" s="1">
        <v>8.86E8</v>
      </c>
      <c r="L515" s="1">
        <v>-7000000.0</v>
      </c>
      <c r="M515" s="1">
        <v>1.78E8</v>
      </c>
      <c r="N515" s="1">
        <v>4.178E9</v>
      </c>
      <c r="O515" s="1">
        <v>3.292E9</v>
      </c>
      <c r="P515" s="1">
        <v>2.42E9</v>
      </c>
      <c r="Q515" s="1">
        <v>-9.5E7</v>
      </c>
      <c r="R515" s="1">
        <v>6.13E8</v>
      </c>
      <c r="S515" s="1">
        <v>6.0E8</v>
      </c>
    </row>
    <row r="516">
      <c r="A516" s="1">
        <v>514.0</v>
      </c>
      <c r="B516" s="3">
        <v>44196.0</v>
      </c>
      <c r="C516" s="1" t="s">
        <v>299</v>
      </c>
      <c r="D516" s="1" t="s">
        <v>300</v>
      </c>
      <c r="E516" s="1">
        <v>3.05E8</v>
      </c>
      <c r="F516" s="1">
        <v>-7.0E7</v>
      </c>
      <c r="G516" s="1">
        <v>4.1E7</v>
      </c>
      <c r="H516" s="1">
        <v>6.31E8</v>
      </c>
      <c r="I516" s="1">
        <v>1.095E9</v>
      </c>
      <c r="J516" s="1">
        <v>-2.2E7</v>
      </c>
      <c r="K516" s="1">
        <v>-2.2E7</v>
      </c>
      <c r="L516" s="1">
        <v>-1.0E7</v>
      </c>
      <c r="M516" s="1">
        <v>-1.69E8</v>
      </c>
      <c r="N516" s="1">
        <v>3.207E9</v>
      </c>
      <c r="O516" s="1">
        <v>3.229E9</v>
      </c>
      <c r="P516" s="1">
        <v>2.112E9</v>
      </c>
      <c r="Q516" s="1">
        <v>-4.8E7</v>
      </c>
      <c r="R516" s="1">
        <v>9.9E7</v>
      </c>
      <c r="S516" s="1">
        <v>4.1E7</v>
      </c>
    </row>
    <row r="517">
      <c r="A517" s="1">
        <v>515.0</v>
      </c>
      <c r="B517" s="3">
        <v>44104.0</v>
      </c>
      <c r="C517" s="1" t="s">
        <v>299</v>
      </c>
      <c r="D517" s="1" t="s">
        <v>300</v>
      </c>
      <c r="E517" s="1">
        <v>2.84E8</v>
      </c>
      <c r="F517" s="1">
        <v>-5.07E8</v>
      </c>
      <c r="G517" s="1">
        <v>-3.92E8</v>
      </c>
      <c r="H517" s="1">
        <v>5.04E8</v>
      </c>
      <c r="I517" s="1">
        <v>5.66E8</v>
      </c>
      <c r="J517" s="1">
        <v>-3.84E8</v>
      </c>
      <c r="K517" s="1">
        <v>-3.84E8</v>
      </c>
      <c r="L517" s="1">
        <v>-1.1E7</v>
      </c>
      <c r="M517" s="1">
        <v>-1.17E8</v>
      </c>
      <c r="N517" s="1">
        <v>1.863E9</v>
      </c>
      <c r="O517" s="1">
        <v>2.247E9</v>
      </c>
      <c r="P517" s="1">
        <v>1.297E9</v>
      </c>
      <c r="Q517" s="1">
        <v>-1.23E8</v>
      </c>
      <c r="R517" s="1">
        <v>-3.9E8</v>
      </c>
      <c r="S517" s="1">
        <v>-3.92E8</v>
      </c>
    </row>
    <row r="518">
      <c r="A518" s="1">
        <v>516.0</v>
      </c>
      <c r="B518" s="3">
        <v>44437.0</v>
      </c>
      <c r="C518" s="1" t="s">
        <v>301</v>
      </c>
      <c r="D518" s="1" t="s">
        <v>302</v>
      </c>
      <c r="F518" s="1">
        <v>2.291E9</v>
      </c>
      <c r="G518" s="1">
        <v>1.67E9</v>
      </c>
      <c r="H518" s="1">
        <v>5.632E9</v>
      </c>
      <c r="I518" s="1">
        <v>7.942E9</v>
      </c>
      <c r="J518" s="1">
        <v>2.275E9</v>
      </c>
      <c r="K518" s="1">
        <v>2.275E9</v>
      </c>
      <c r="L518" s="1">
        <v>-5.2E7</v>
      </c>
      <c r="M518" s="1">
        <v>5.97E8</v>
      </c>
      <c r="N518" s="1">
        <v>6.2675E10</v>
      </c>
      <c r="O518" s="1">
        <v>6.04E10</v>
      </c>
      <c r="P518" s="1">
        <v>5.4733E10</v>
      </c>
      <c r="Q518" s="1">
        <v>1.6E7</v>
      </c>
      <c r="R518" s="1">
        <v>1.694E9</v>
      </c>
      <c r="S518" s="1">
        <v>1.67E9</v>
      </c>
    </row>
    <row r="519">
      <c r="A519" s="1">
        <v>517.0</v>
      </c>
      <c r="B519" s="3">
        <v>44325.0</v>
      </c>
      <c r="C519" s="1" t="s">
        <v>301</v>
      </c>
      <c r="D519" s="1" t="s">
        <v>302</v>
      </c>
      <c r="F519" s="1">
        <v>1.65E9</v>
      </c>
      <c r="G519" s="1">
        <v>1.22E9</v>
      </c>
      <c r="H519" s="1">
        <v>4.189E9</v>
      </c>
      <c r="I519" s="1">
        <v>5.862E9</v>
      </c>
      <c r="J519" s="1">
        <v>1.663E9</v>
      </c>
      <c r="K519" s="1">
        <v>1.663E9</v>
      </c>
      <c r="L519" s="1">
        <v>-4.0E7</v>
      </c>
      <c r="M519" s="1">
        <v>4.17E8</v>
      </c>
      <c r="N519" s="1">
        <v>4.5277E10</v>
      </c>
      <c r="O519" s="1">
        <v>4.3614E10</v>
      </c>
      <c r="P519" s="1">
        <v>3.9415E10</v>
      </c>
      <c r="Q519" s="1">
        <v>-1.3E7</v>
      </c>
      <c r="R519" s="1">
        <v>1.233E9</v>
      </c>
      <c r="S519" s="1">
        <v>1.22E9</v>
      </c>
    </row>
    <row r="520">
      <c r="A520" s="1">
        <v>518.0</v>
      </c>
      <c r="B520" s="3">
        <v>44241.0</v>
      </c>
      <c r="C520" s="1" t="s">
        <v>301</v>
      </c>
      <c r="D520" s="1" t="s">
        <v>302</v>
      </c>
      <c r="F520" s="1">
        <v>1.319E9</v>
      </c>
      <c r="G520" s="1">
        <v>9.51E8</v>
      </c>
      <c r="H520" s="1">
        <v>4.342E9</v>
      </c>
      <c r="I520" s="1">
        <v>5.691E9</v>
      </c>
      <c r="J520" s="1">
        <v>1.34E9</v>
      </c>
      <c r="K520" s="1">
        <v>1.34E9</v>
      </c>
      <c r="L520" s="1">
        <v>-4.0E7</v>
      </c>
      <c r="M520" s="1">
        <v>3.48E8</v>
      </c>
      <c r="N520" s="1">
        <v>4.4769E10</v>
      </c>
      <c r="O520" s="1">
        <v>4.3429E10</v>
      </c>
      <c r="P520" s="1">
        <v>3.9078E10</v>
      </c>
      <c r="Q520" s="1">
        <v>-2.1E7</v>
      </c>
      <c r="R520" s="1">
        <v>9.71E8</v>
      </c>
      <c r="S520" s="1">
        <v>9.51E8</v>
      </c>
    </row>
    <row r="521">
      <c r="A521" s="1">
        <v>519.0</v>
      </c>
      <c r="B521" s="3">
        <v>44157.0</v>
      </c>
      <c r="C521" s="1" t="s">
        <v>301</v>
      </c>
      <c r="D521" s="1" t="s">
        <v>302</v>
      </c>
      <c r="F521" s="1">
        <v>1.42E9</v>
      </c>
      <c r="G521" s="1">
        <v>1.166E9</v>
      </c>
      <c r="H521" s="1">
        <v>4.298E9</v>
      </c>
      <c r="I521" s="1">
        <v>5.75E9</v>
      </c>
      <c r="J521" s="1">
        <v>1.43E9</v>
      </c>
      <c r="K521" s="1">
        <v>1.43E9</v>
      </c>
      <c r="L521" s="1">
        <v>-3.9E7</v>
      </c>
      <c r="M521" s="1">
        <v>2.39E8</v>
      </c>
      <c r="N521" s="1">
        <v>4.3208E10</v>
      </c>
      <c r="O521" s="1">
        <v>4.1778E10</v>
      </c>
      <c r="P521" s="1">
        <v>3.7458E10</v>
      </c>
      <c r="Q521" s="1">
        <v>-1.0E7</v>
      </c>
      <c r="R521" s="1">
        <v>1.181E9</v>
      </c>
      <c r="S521" s="1">
        <v>1.166E9</v>
      </c>
    </row>
    <row r="522">
      <c r="A522" s="1">
        <v>520.0</v>
      </c>
      <c r="B522" s="3">
        <v>44377.0</v>
      </c>
      <c r="C522" s="1" t="s">
        <v>303</v>
      </c>
      <c r="D522" s="1" t="s">
        <v>304</v>
      </c>
      <c r="F522" s="1">
        <v>4.1304E7</v>
      </c>
      <c r="G522" s="1">
        <v>3.0464E7</v>
      </c>
      <c r="H522" s="1">
        <v>1.6837E7</v>
      </c>
      <c r="I522" s="1">
        <v>2.62146E8</v>
      </c>
      <c r="J522" s="1">
        <v>6.0088E7</v>
      </c>
      <c r="K522" s="1">
        <v>6.0088E7</v>
      </c>
      <c r="L522" s="1">
        <v>-1.2558E7</v>
      </c>
      <c r="M522" s="1">
        <v>1.084E7</v>
      </c>
      <c r="N522" s="1">
        <v>4.11788E8</v>
      </c>
      <c r="O522" s="1">
        <v>3.517E8</v>
      </c>
      <c r="P522" s="1">
        <v>1.49642E8</v>
      </c>
      <c r="Q522" s="1">
        <v>-1.8784E7</v>
      </c>
      <c r="R522" s="1">
        <v>3.0464E7</v>
      </c>
      <c r="S522" s="1">
        <v>3.0464E7</v>
      </c>
    </row>
    <row r="523">
      <c r="A523" s="1">
        <v>521.0</v>
      </c>
      <c r="B523" s="3">
        <v>44286.0</v>
      </c>
      <c r="C523" s="1" t="s">
        <v>303</v>
      </c>
      <c r="D523" s="1" t="s">
        <v>304</v>
      </c>
      <c r="F523" s="1">
        <v>1.63015E8</v>
      </c>
      <c r="G523" s="1">
        <v>1.26354E8</v>
      </c>
      <c r="H523" s="1">
        <v>2.6755E7</v>
      </c>
      <c r="I523" s="1">
        <v>3.1934E8</v>
      </c>
      <c r="J523" s="1">
        <v>1.77767E8</v>
      </c>
      <c r="K523" s="1">
        <v>1.77767E8</v>
      </c>
      <c r="L523" s="1">
        <v>-1.2377E7</v>
      </c>
      <c r="M523" s="1">
        <v>3.6661E7</v>
      </c>
      <c r="N523" s="1">
        <v>4.72918E8</v>
      </c>
      <c r="O523" s="1">
        <v>2.95151E8</v>
      </c>
      <c r="P523" s="1">
        <v>1.53578E8</v>
      </c>
      <c r="Q523" s="1">
        <v>-1.4752E7</v>
      </c>
      <c r="R523" s="1">
        <v>1.26354E8</v>
      </c>
      <c r="S523" s="1">
        <v>1.26354E8</v>
      </c>
    </row>
    <row r="524">
      <c r="A524" s="1">
        <v>522.0</v>
      </c>
      <c r="B524" s="3">
        <v>44196.0</v>
      </c>
      <c r="C524" s="1" t="s">
        <v>303</v>
      </c>
      <c r="D524" s="1" t="s">
        <v>304</v>
      </c>
      <c r="F524" s="1">
        <v>1.51853E8</v>
      </c>
      <c r="G524" s="1">
        <v>1.31206E8</v>
      </c>
      <c r="H524" s="1">
        <v>2.4534E7</v>
      </c>
      <c r="I524" s="1">
        <v>2.49079E8</v>
      </c>
      <c r="J524" s="1">
        <v>1.63244E8</v>
      </c>
      <c r="K524" s="1">
        <v>1.63244E8</v>
      </c>
      <c r="L524" s="1">
        <v>-1.0981E7</v>
      </c>
      <c r="M524" s="1">
        <v>2.0647E7</v>
      </c>
      <c r="N524" s="1">
        <v>4.13157E8</v>
      </c>
      <c r="O524" s="1">
        <v>2.49913E8</v>
      </c>
      <c r="P524" s="1">
        <v>1.64078E8</v>
      </c>
      <c r="Q524" s="1">
        <v>-1.1391E7</v>
      </c>
      <c r="R524" s="1">
        <v>1.31206E8</v>
      </c>
      <c r="S524" s="1">
        <v>1.31206E8</v>
      </c>
    </row>
    <row r="525">
      <c r="A525" s="1">
        <v>523.0</v>
      </c>
      <c r="B525" s="3">
        <v>44104.0</v>
      </c>
      <c r="C525" s="1" t="s">
        <v>303</v>
      </c>
      <c r="D525" s="1" t="s">
        <v>304</v>
      </c>
      <c r="F525" s="1">
        <v>-2.1979E7</v>
      </c>
      <c r="G525" s="1">
        <v>-1.4961E7</v>
      </c>
      <c r="H525" s="1">
        <v>2.4262E7</v>
      </c>
      <c r="I525" s="1">
        <v>1.66115E8</v>
      </c>
      <c r="J525" s="1">
        <v>-7564000.0</v>
      </c>
      <c r="K525" s="1">
        <v>-7564000.0</v>
      </c>
      <c r="L525" s="1">
        <v>-1.4389E7</v>
      </c>
      <c r="M525" s="1">
        <v>-7018000.0</v>
      </c>
      <c r="N525" s="1">
        <v>3.33294E8</v>
      </c>
      <c r="O525" s="1">
        <v>3.40858E8</v>
      </c>
      <c r="P525" s="1">
        <v>1.67179E8</v>
      </c>
      <c r="Q525" s="1">
        <v>-1.4415E7</v>
      </c>
      <c r="R525" s="1">
        <v>-1.4961E7</v>
      </c>
      <c r="S525" s="1">
        <v>-1.4961E7</v>
      </c>
    </row>
    <row r="526">
      <c r="A526" s="1">
        <v>524.0</v>
      </c>
      <c r="B526" s="3">
        <v>44377.0</v>
      </c>
      <c r="C526" s="1" t="s">
        <v>305</v>
      </c>
      <c r="D526" s="1" t="s">
        <v>306</v>
      </c>
      <c r="F526" s="1">
        <v>3.39E8</v>
      </c>
      <c r="G526" s="1">
        <v>3.34E8</v>
      </c>
      <c r="H526" s="1">
        <v>1.69E8</v>
      </c>
      <c r="I526" s="1">
        <v>1.089E9</v>
      </c>
      <c r="J526" s="1">
        <v>5.12E8</v>
      </c>
      <c r="K526" s="1">
        <v>5.12E8</v>
      </c>
      <c r="L526" s="1">
        <v>-1.61E8</v>
      </c>
      <c r="M526" s="1">
        <v>6000000.0</v>
      </c>
      <c r="N526" s="1">
        <v>1.583E9</v>
      </c>
      <c r="O526" s="1">
        <v>1.071E9</v>
      </c>
      <c r="P526" s="1">
        <v>4.94E8</v>
      </c>
      <c r="Q526" s="1">
        <v>-1.73E8</v>
      </c>
      <c r="R526" s="1">
        <v>3.33E8</v>
      </c>
      <c r="S526" s="1">
        <v>3.34E8</v>
      </c>
    </row>
    <row r="527">
      <c r="A527" s="1">
        <v>525.0</v>
      </c>
      <c r="B527" s="3">
        <v>44286.0</v>
      </c>
      <c r="C527" s="1" t="s">
        <v>305</v>
      </c>
      <c r="D527" s="1" t="s">
        <v>306</v>
      </c>
      <c r="F527" s="1">
        <v>1.28E8</v>
      </c>
      <c r="G527" s="1">
        <v>5.8E7</v>
      </c>
      <c r="H527" s="1">
        <v>1.64E8</v>
      </c>
      <c r="I527" s="1">
        <v>1.023E9</v>
      </c>
      <c r="J527" s="1">
        <v>4.51E8</v>
      </c>
      <c r="K527" s="1">
        <v>4.51E8</v>
      </c>
      <c r="L527" s="1">
        <v>-1.7E8</v>
      </c>
      <c r="M527" s="1">
        <v>7000000.0</v>
      </c>
      <c r="N527" s="1">
        <v>1.485E9</v>
      </c>
      <c r="O527" s="1">
        <v>1.034E9</v>
      </c>
      <c r="P527" s="1">
        <v>4.62E8</v>
      </c>
      <c r="Q527" s="1">
        <v>-3.23E8</v>
      </c>
      <c r="R527" s="1">
        <v>1.21E8</v>
      </c>
      <c r="S527" s="1">
        <v>5.8E7</v>
      </c>
    </row>
    <row r="528">
      <c r="A528" s="1">
        <v>526.0</v>
      </c>
      <c r="B528" s="3">
        <v>44196.0</v>
      </c>
      <c r="C528" s="1" t="s">
        <v>305</v>
      </c>
      <c r="D528" s="1" t="s">
        <v>306</v>
      </c>
      <c r="F528" s="1">
        <v>5.12E8</v>
      </c>
      <c r="G528" s="1">
        <v>5.08E8</v>
      </c>
      <c r="H528" s="1">
        <v>1.85E8</v>
      </c>
      <c r="I528" s="1">
        <v>9.91E8</v>
      </c>
      <c r="J528" s="1">
        <v>4.05E8</v>
      </c>
      <c r="K528" s="1">
        <v>4.05E8</v>
      </c>
      <c r="L528" s="1">
        <v>-1.68E8</v>
      </c>
      <c r="M528" s="1">
        <v>4000000.0</v>
      </c>
      <c r="N528" s="1">
        <v>1.493E9</v>
      </c>
      <c r="O528" s="1">
        <v>1.088E9</v>
      </c>
      <c r="P528" s="1">
        <v>5.02E8</v>
      </c>
      <c r="Q528" s="1">
        <v>1.07E8</v>
      </c>
      <c r="R528" s="1">
        <v>5.08E8</v>
      </c>
      <c r="S528" s="1">
        <v>5.08E8</v>
      </c>
    </row>
    <row r="529">
      <c r="A529" s="1">
        <v>527.0</v>
      </c>
      <c r="B529" s="3">
        <v>44104.0</v>
      </c>
      <c r="C529" s="1" t="s">
        <v>305</v>
      </c>
      <c r="D529" s="1" t="s">
        <v>306</v>
      </c>
      <c r="F529" s="1">
        <v>1.68E8</v>
      </c>
      <c r="G529" s="1">
        <v>1.63E8</v>
      </c>
      <c r="H529" s="1">
        <v>1.54E8</v>
      </c>
      <c r="I529" s="1">
        <v>9.99E8</v>
      </c>
      <c r="J529" s="1">
        <v>4.39E8</v>
      </c>
      <c r="K529" s="1">
        <v>4.39E8</v>
      </c>
      <c r="L529" s="1">
        <v>-1.68E8</v>
      </c>
      <c r="M529" s="1">
        <v>5000000.0</v>
      </c>
      <c r="N529" s="1">
        <v>1.486E9</v>
      </c>
      <c r="O529" s="1">
        <v>1.047E9</v>
      </c>
      <c r="P529" s="1">
        <v>4.87E8</v>
      </c>
      <c r="Q529" s="1">
        <v>-2.71E8</v>
      </c>
      <c r="R529" s="1">
        <v>1.63E8</v>
      </c>
      <c r="S529" s="1">
        <v>1.63E8</v>
      </c>
    </row>
    <row r="530">
      <c r="A530" s="1">
        <v>528.0</v>
      </c>
      <c r="B530" s="3">
        <v>44469.0</v>
      </c>
      <c r="C530" s="1" t="s">
        <v>307</v>
      </c>
      <c r="D530" s="1" t="s">
        <v>307</v>
      </c>
      <c r="F530" s="1">
        <v>1.279E9</v>
      </c>
      <c r="G530" s="1">
        <v>9.68E8</v>
      </c>
      <c r="I530" s="1">
        <v>1.76E9</v>
      </c>
      <c r="J530" s="1">
        <v>1.393E9</v>
      </c>
      <c r="K530" s="1">
        <v>1.393E9</v>
      </c>
      <c r="L530" s="1">
        <v>-1.77E8</v>
      </c>
      <c r="M530" s="1">
        <v>3.11E8</v>
      </c>
      <c r="N530" s="1">
        <v>3.292E9</v>
      </c>
      <c r="O530" s="1">
        <v>1.899E9</v>
      </c>
      <c r="P530" s="1">
        <v>1.532E9</v>
      </c>
      <c r="Q530" s="1">
        <v>-1.14E8</v>
      </c>
      <c r="R530" s="1">
        <v>9.68E8</v>
      </c>
      <c r="S530" s="1">
        <v>9.68E8</v>
      </c>
    </row>
    <row r="531">
      <c r="A531" s="1">
        <v>529.0</v>
      </c>
      <c r="B531" s="3">
        <v>44377.0</v>
      </c>
      <c r="C531" s="1" t="s">
        <v>307</v>
      </c>
      <c r="D531" s="1" t="s">
        <v>307</v>
      </c>
      <c r="F531" s="1">
        <v>1.53E9</v>
      </c>
      <c r="G531" s="1">
        <v>1.173E9</v>
      </c>
      <c r="I531" s="1">
        <v>1.689E9</v>
      </c>
      <c r="J531" s="1">
        <v>1.341E9</v>
      </c>
      <c r="K531" s="1">
        <v>1.341E9</v>
      </c>
      <c r="L531" s="1">
        <v>-1.81E8</v>
      </c>
      <c r="M531" s="1">
        <v>3.57E8</v>
      </c>
      <c r="N531" s="1">
        <v>2.99E9</v>
      </c>
      <c r="O531" s="1">
        <v>1.649E9</v>
      </c>
      <c r="P531" s="1">
        <v>1.301E9</v>
      </c>
      <c r="Q531" s="1">
        <v>1.89E8</v>
      </c>
      <c r="R531" s="1">
        <v>1.173E9</v>
      </c>
      <c r="S531" s="1">
        <v>1.173E9</v>
      </c>
    </row>
    <row r="532">
      <c r="A532" s="1">
        <v>530.0</v>
      </c>
      <c r="B532" s="3">
        <v>44286.0</v>
      </c>
      <c r="C532" s="1" t="s">
        <v>307</v>
      </c>
      <c r="D532" s="1" t="s">
        <v>307</v>
      </c>
      <c r="F532" s="1">
        <v>9.37E8</v>
      </c>
      <c r="G532" s="1">
        <v>7.06E8</v>
      </c>
      <c r="I532" s="1">
        <v>1.461E9</v>
      </c>
      <c r="J532" s="1">
        <v>1.116E9</v>
      </c>
      <c r="K532" s="1">
        <v>1.116E9</v>
      </c>
      <c r="L532" s="1">
        <v>-1.84E8</v>
      </c>
      <c r="M532" s="1">
        <v>2.31E8</v>
      </c>
      <c r="N532" s="1">
        <v>2.813E9</v>
      </c>
      <c r="O532" s="1">
        <v>1.697E9</v>
      </c>
      <c r="P532" s="1">
        <v>1.352E9</v>
      </c>
      <c r="Q532" s="1">
        <v>-1.79E8</v>
      </c>
      <c r="R532" s="1">
        <v>7.06E8</v>
      </c>
      <c r="S532" s="1">
        <v>7.06E8</v>
      </c>
    </row>
    <row r="533">
      <c r="A533" s="1">
        <v>531.0</v>
      </c>
      <c r="B533" s="3">
        <v>44196.0</v>
      </c>
      <c r="C533" s="1" t="s">
        <v>307</v>
      </c>
      <c r="D533" s="1" t="s">
        <v>307</v>
      </c>
      <c r="F533" s="1">
        <v>9.94E8</v>
      </c>
      <c r="G533" s="1">
        <v>7.6E8</v>
      </c>
      <c r="I533" s="1">
        <v>1.583E9</v>
      </c>
      <c r="J533" s="1">
        <v>1.236E9</v>
      </c>
      <c r="K533" s="1">
        <v>1.236E9</v>
      </c>
      <c r="L533" s="1">
        <v>-1.89E8</v>
      </c>
      <c r="M533" s="1">
        <v>2.34E8</v>
      </c>
      <c r="N533" s="1">
        <v>2.825E9</v>
      </c>
      <c r="O533" s="1">
        <v>1.589E9</v>
      </c>
      <c r="P533" s="1">
        <v>1.242E9</v>
      </c>
      <c r="Q533" s="1">
        <v>-2.42E8</v>
      </c>
      <c r="R533" s="1">
        <v>7.6E8</v>
      </c>
      <c r="S533" s="1">
        <v>7.6E8</v>
      </c>
    </row>
    <row r="534">
      <c r="A534" s="1">
        <v>532.0</v>
      </c>
      <c r="B534" s="3">
        <v>44381.0</v>
      </c>
      <c r="C534" s="1" t="s">
        <v>308</v>
      </c>
      <c r="D534" s="1" t="s">
        <v>309</v>
      </c>
      <c r="E534" s="1">
        <v>2.76E8</v>
      </c>
      <c r="F534" s="1">
        <v>7.79E8</v>
      </c>
      <c r="G534" s="1">
        <v>6.0E8</v>
      </c>
      <c r="H534" s="1">
        <v>6.25E8</v>
      </c>
      <c r="I534" s="1">
        <v>1.478E9</v>
      </c>
      <c r="J534" s="1">
        <v>5.75E8</v>
      </c>
      <c r="K534" s="1">
        <v>5.75E8</v>
      </c>
      <c r="L534" s="1">
        <v>-2.9E7</v>
      </c>
      <c r="M534" s="1">
        <v>1.67E8</v>
      </c>
      <c r="N534" s="1">
        <v>6.111E9</v>
      </c>
      <c r="O534" s="1">
        <v>5.536E9</v>
      </c>
      <c r="P534" s="1">
        <v>4.633E9</v>
      </c>
      <c r="Q534" s="1">
        <v>2.04E8</v>
      </c>
      <c r="R534" s="1">
        <v>6.12E8</v>
      </c>
      <c r="S534" s="1">
        <v>6.0E8</v>
      </c>
    </row>
    <row r="535">
      <c r="A535" s="1">
        <v>533.0</v>
      </c>
      <c r="B535" s="3">
        <v>44290.0</v>
      </c>
      <c r="C535" s="1" t="s">
        <v>308</v>
      </c>
      <c r="D535" s="1" t="s">
        <v>309</v>
      </c>
      <c r="E535" s="1">
        <v>2.6E8</v>
      </c>
      <c r="F535" s="1">
        <v>7.83E8</v>
      </c>
      <c r="G535" s="1">
        <v>6.03E8</v>
      </c>
      <c r="H535" s="1">
        <v>5.5E8</v>
      </c>
      <c r="I535" s="1">
        <v>1.486E9</v>
      </c>
      <c r="J535" s="1">
        <v>6.71E8</v>
      </c>
      <c r="K535" s="1">
        <v>6.71E8</v>
      </c>
      <c r="L535" s="1">
        <v>-2.8E7</v>
      </c>
      <c r="M535" s="1">
        <v>1.72E8</v>
      </c>
      <c r="N535" s="1">
        <v>6.092E9</v>
      </c>
      <c r="O535" s="1">
        <v>5.421E9</v>
      </c>
      <c r="P535" s="1">
        <v>4.606E9</v>
      </c>
      <c r="Q535" s="1">
        <v>1.12E8</v>
      </c>
      <c r="R535" s="1">
        <v>6.11E8</v>
      </c>
      <c r="S535" s="1">
        <v>6.03E8</v>
      </c>
    </row>
    <row r="536">
      <c r="A536" s="1">
        <v>534.0</v>
      </c>
      <c r="B536" s="3">
        <v>44196.0</v>
      </c>
      <c r="C536" s="1" t="s">
        <v>308</v>
      </c>
      <c r="D536" s="1" t="s">
        <v>309</v>
      </c>
      <c r="E536" s="1">
        <v>2.55E8</v>
      </c>
      <c r="F536" s="1">
        <v>6.35E8</v>
      </c>
      <c r="G536" s="1">
        <v>5.01E8</v>
      </c>
      <c r="H536" s="1">
        <v>5.59E8</v>
      </c>
      <c r="I536" s="1">
        <v>1.405E9</v>
      </c>
      <c r="J536" s="1">
        <v>5.4E8</v>
      </c>
      <c r="K536" s="1">
        <v>5.4E8</v>
      </c>
      <c r="L536" s="1">
        <v>-2.9E7</v>
      </c>
      <c r="M536" s="1">
        <v>1.25E8</v>
      </c>
      <c r="N536" s="1">
        <v>5.83E9</v>
      </c>
      <c r="O536" s="1">
        <v>5.29E9</v>
      </c>
      <c r="P536" s="1">
        <v>4.425E9</v>
      </c>
      <c r="Q536" s="1">
        <v>9.5E7</v>
      </c>
      <c r="R536" s="1">
        <v>5.1E8</v>
      </c>
      <c r="S536" s="1">
        <v>5.01E8</v>
      </c>
    </row>
    <row r="537">
      <c r="A537" s="1">
        <v>535.0</v>
      </c>
      <c r="B537" s="3">
        <v>44101.0</v>
      </c>
      <c r="C537" s="1" t="s">
        <v>308</v>
      </c>
      <c r="D537" s="1" t="s">
        <v>309</v>
      </c>
      <c r="E537" s="1">
        <v>2.24E8</v>
      </c>
      <c r="F537" s="1">
        <v>6.86E8</v>
      </c>
      <c r="G537" s="1">
        <v>5.01E8</v>
      </c>
      <c r="H537" s="1">
        <v>5.17E8</v>
      </c>
      <c r="I537" s="1">
        <v>1.305E9</v>
      </c>
      <c r="J537" s="1">
        <v>6.03E8</v>
      </c>
      <c r="K537" s="1">
        <v>6.03E8</v>
      </c>
      <c r="L537" s="1">
        <v>-2.5E7</v>
      </c>
      <c r="M537" s="1">
        <v>1.82E8</v>
      </c>
      <c r="N537" s="1">
        <v>5.118E9</v>
      </c>
      <c r="O537" s="1">
        <v>4.515E9</v>
      </c>
      <c r="P537" s="1">
        <v>3.813E9</v>
      </c>
      <c r="Q537" s="1">
        <v>8.3E7</v>
      </c>
      <c r="R537" s="1">
        <v>5.04E8</v>
      </c>
      <c r="S537" s="1">
        <v>5.01E8</v>
      </c>
    </row>
    <row r="538">
      <c r="A538" s="1">
        <v>536.0</v>
      </c>
      <c r="B538" s="3">
        <v>44377.0</v>
      </c>
      <c r="C538" s="1" t="s">
        <v>310</v>
      </c>
      <c r="D538" s="1" t="s">
        <v>311</v>
      </c>
      <c r="F538" s="1">
        <v>3.735E9</v>
      </c>
      <c r="G538" s="1">
        <v>2.783E9</v>
      </c>
      <c r="H538" s="1">
        <v>8.828E9</v>
      </c>
      <c r="I538" s="1">
        <v>1.2906E10</v>
      </c>
      <c r="J538" s="1">
        <v>4.078E9</v>
      </c>
      <c r="K538" s="1">
        <v>4.078E9</v>
      </c>
      <c r="L538" s="1">
        <v>-6.36E8</v>
      </c>
      <c r="M538" s="1">
        <v>9.44E8</v>
      </c>
      <c r="N538" s="1">
        <v>7.2327E10</v>
      </c>
      <c r="O538" s="1">
        <v>6.8249E10</v>
      </c>
      <c r="P538" s="1">
        <v>5.9421E10</v>
      </c>
      <c r="Q538" s="1">
        <v>-3.43E8</v>
      </c>
      <c r="R538" s="1">
        <v>2.791E9</v>
      </c>
      <c r="S538" s="1">
        <v>2.783E9</v>
      </c>
    </row>
    <row r="539">
      <c r="A539" s="1">
        <v>537.0</v>
      </c>
      <c r="B539" s="3">
        <v>44286.0</v>
      </c>
      <c r="C539" s="1" t="s">
        <v>310</v>
      </c>
      <c r="D539" s="1" t="s">
        <v>311</v>
      </c>
      <c r="F539" s="1">
        <v>2.97E9</v>
      </c>
      <c r="G539" s="1">
        <v>2.223E9</v>
      </c>
      <c r="H539" s="1">
        <v>8.881E9</v>
      </c>
      <c r="I539" s="1">
        <v>1.2202E10</v>
      </c>
      <c r="J539" s="1">
        <v>3.321E9</v>
      </c>
      <c r="K539" s="1">
        <v>3.321E9</v>
      </c>
      <c r="L539" s="1">
        <v>-6.57E8</v>
      </c>
      <c r="M539" s="1">
        <v>7.46E8</v>
      </c>
      <c r="N539" s="1">
        <v>6.88E10</v>
      </c>
      <c r="O539" s="1">
        <v>6.5479E10</v>
      </c>
      <c r="P539" s="1">
        <v>5.6598E10</v>
      </c>
      <c r="Q539" s="1">
        <v>-3.51E8</v>
      </c>
      <c r="R539" s="1">
        <v>2.224E9</v>
      </c>
      <c r="S539" s="1">
        <v>2.223E9</v>
      </c>
    </row>
    <row r="540">
      <c r="A540" s="1">
        <v>538.0</v>
      </c>
      <c r="B540" s="3">
        <v>44196.0</v>
      </c>
      <c r="C540" s="1" t="s">
        <v>310</v>
      </c>
      <c r="D540" s="1" t="s">
        <v>311</v>
      </c>
      <c r="F540" s="1">
        <v>1.225E9</v>
      </c>
      <c r="G540" s="1">
        <v>9.73E8</v>
      </c>
      <c r="H540" s="1">
        <v>9.297E9</v>
      </c>
      <c r="I540" s="1">
        <v>1.1709E10</v>
      </c>
      <c r="J540" s="1">
        <v>2.412E9</v>
      </c>
      <c r="K540" s="1">
        <v>2.412E9</v>
      </c>
      <c r="L540" s="1">
        <v>-6.78E8</v>
      </c>
      <c r="M540" s="1">
        <v>2.41E8</v>
      </c>
      <c r="N540" s="1">
        <v>6.9306E10</v>
      </c>
      <c r="O540" s="1">
        <v>6.6894E10</v>
      </c>
      <c r="P540" s="1">
        <v>5.7597E10</v>
      </c>
      <c r="Q540" s="1">
        <v>-1.187E9</v>
      </c>
      <c r="R540" s="1">
        <v>9.84E8</v>
      </c>
      <c r="S540" s="1">
        <v>9.73E8</v>
      </c>
    </row>
    <row r="541">
      <c r="A541" s="1">
        <v>539.0</v>
      </c>
      <c r="B541" s="3">
        <v>44104.0</v>
      </c>
      <c r="C541" s="1" t="s">
        <v>310</v>
      </c>
      <c r="D541" s="1" t="s">
        <v>311</v>
      </c>
      <c r="F541" s="1">
        <v>1.806E9</v>
      </c>
      <c r="G541" s="1">
        <v>1.224E9</v>
      </c>
      <c r="H541" s="1">
        <v>8.414E9</v>
      </c>
      <c r="I541" s="1">
        <v>1.1516E10</v>
      </c>
      <c r="J541" s="1">
        <v>3.102E9</v>
      </c>
      <c r="K541" s="1">
        <v>3.102E9</v>
      </c>
      <c r="L541" s="1">
        <v>-7.31E8</v>
      </c>
      <c r="M541" s="1">
        <v>5.87E8</v>
      </c>
      <c r="N541" s="1">
        <v>6.6852E10</v>
      </c>
      <c r="O541" s="1">
        <v>6.375E10</v>
      </c>
      <c r="P541" s="1">
        <v>5.5336E10</v>
      </c>
      <c r="Q541" s="1">
        <v>-1.296E9</v>
      </c>
      <c r="R541" s="1">
        <v>1.219E9</v>
      </c>
      <c r="S541" s="1">
        <v>1.224E9</v>
      </c>
    </row>
    <row r="542">
      <c r="A542" s="1">
        <v>540.0</v>
      </c>
      <c r="B542" s="3">
        <v>44377.0</v>
      </c>
      <c r="C542" s="1" t="s">
        <v>312</v>
      </c>
      <c r="D542" s="1" t="s">
        <v>313</v>
      </c>
      <c r="F542" s="1">
        <v>1.4156E9</v>
      </c>
      <c r="G542" s="1">
        <v>1.1155E9</v>
      </c>
      <c r="H542" s="1">
        <v>5.287E8</v>
      </c>
      <c r="I542" s="1">
        <v>1.9592E9</v>
      </c>
      <c r="J542" s="1">
        <v>1.4305E9</v>
      </c>
      <c r="K542" s="1">
        <v>1.4305E9</v>
      </c>
      <c r="M542" s="1">
        <v>2.991E8</v>
      </c>
      <c r="N542" s="1">
        <v>7.2846E9</v>
      </c>
      <c r="O542" s="1">
        <v>5.8541E9</v>
      </c>
      <c r="P542" s="1">
        <v>5.3254E9</v>
      </c>
      <c r="Q542" s="1">
        <v>-1.49E7</v>
      </c>
      <c r="R542" s="1">
        <v>1.1165E9</v>
      </c>
      <c r="S542" s="1">
        <v>1.1155E9</v>
      </c>
    </row>
    <row r="543">
      <c r="A543" s="1">
        <v>541.0</v>
      </c>
      <c r="B543" s="3">
        <v>44286.0</v>
      </c>
      <c r="C543" s="1" t="s">
        <v>312</v>
      </c>
      <c r="D543" s="1" t="s">
        <v>313</v>
      </c>
      <c r="F543" s="1">
        <v>1.1799E9</v>
      </c>
      <c r="G543" s="1">
        <v>9.295E8</v>
      </c>
      <c r="H543" s="1">
        <v>4.978E8</v>
      </c>
      <c r="I543" s="1">
        <v>1.6824E9</v>
      </c>
      <c r="J543" s="1">
        <v>1.1846E9</v>
      </c>
      <c r="K543" s="1">
        <v>1.1846E9</v>
      </c>
      <c r="M543" s="1">
        <v>2.46E8</v>
      </c>
      <c r="N543" s="1">
        <v>6.4469E9</v>
      </c>
      <c r="O543" s="1">
        <v>5.2623E9</v>
      </c>
      <c r="P543" s="1">
        <v>4.7645E9</v>
      </c>
      <c r="Q543" s="1">
        <v>-4700000.0</v>
      </c>
      <c r="R543" s="1">
        <v>9.339E8</v>
      </c>
      <c r="S543" s="1">
        <v>9.295E8</v>
      </c>
    </row>
    <row r="544">
      <c r="A544" s="1">
        <v>542.0</v>
      </c>
      <c r="B544" s="3">
        <v>44196.0</v>
      </c>
      <c r="C544" s="1" t="s">
        <v>312</v>
      </c>
      <c r="D544" s="1" t="s">
        <v>313</v>
      </c>
      <c r="F544" s="1">
        <v>1.0343E9</v>
      </c>
      <c r="G544" s="1">
        <v>7.918E8</v>
      </c>
      <c r="H544" s="1">
        <v>4.764E8</v>
      </c>
      <c r="I544" s="1">
        <v>1.5034E9</v>
      </c>
      <c r="J544" s="1">
        <v>1.027E9</v>
      </c>
      <c r="K544" s="1">
        <v>1.027E9</v>
      </c>
      <c r="M544" s="1">
        <v>2.391E8</v>
      </c>
      <c r="N544" s="1">
        <v>5.9334E9</v>
      </c>
      <c r="O544" s="1">
        <v>4.9064E9</v>
      </c>
      <c r="P544" s="1">
        <v>4.43E9</v>
      </c>
      <c r="Q544" s="1">
        <v>7300000.0</v>
      </c>
      <c r="R544" s="1">
        <v>7.952E8</v>
      </c>
      <c r="S544" s="1">
        <v>7.918E8</v>
      </c>
    </row>
    <row r="545">
      <c r="A545" s="1">
        <v>543.0</v>
      </c>
      <c r="B545" s="3">
        <v>44104.0</v>
      </c>
      <c r="C545" s="1" t="s">
        <v>312</v>
      </c>
      <c r="D545" s="1" t="s">
        <v>313</v>
      </c>
      <c r="F545" s="1">
        <v>1.0561E9</v>
      </c>
      <c r="G545" s="1">
        <v>8.29E8</v>
      </c>
      <c r="H545" s="1">
        <v>4.907E8</v>
      </c>
      <c r="I545" s="1">
        <v>1.5531E9</v>
      </c>
      <c r="J545" s="1">
        <v>1.0624E9</v>
      </c>
      <c r="K545" s="1">
        <v>1.0624E9</v>
      </c>
      <c r="M545" s="1">
        <v>2.249E8</v>
      </c>
      <c r="N545" s="1">
        <v>6.4003E9</v>
      </c>
      <c r="O545" s="1">
        <v>5.3379E9</v>
      </c>
      <c r="P545" s="1">
        <v>4.8472E9</v>
      </c>
      <c r="Q545" s="1">
        <v>-6300000.0</v>
      </c>
      <c r="R545" s="1">
        <v>8.312E8</v>
      </c>
      <c r="S545" s="1">
        <v>8.29E8</v>
      </c>
    </row>
    <row r="546">
      <c r="A546" s="1">
        <v>544.0</v>
      </c>
      <c r="B546" s="3">
        <v>44379.0</v>
      </c>
      <c r="C546" s="1" t="s">
        <v>314</v>
      </c>
      <c r="D546" s="1" t="s">
        <v>315</v>
      </c>
      <c r="E546" s="1">
        <v>4.26E8</v>
      </c>
      <c r="F546" s="1">
        <v>2.043E9</v>
      </c>
      <c r="G546" s="1">
        <v>1.785E9</v>
      </c>
      <c r="H546" s="1">
        <v>1.955E9</v>
      </c>
      <c r="I546" s="1">
        <v>4.397E9</v>
      </c>
      <c r="J546" s="1">
        <v>2.016E9</v>
      </c>
      <c r="K546" s="1">
        <v>2.016E9</v>
      </c>
      <c r="L546" s="1">
        <v>-6.2E7</v>
      </c>
      <c r="M546" s="1">
        <v>3.44E8</v>
      </c>
      <c r="N546" s="1">
        <v>7.218E9</v>
      </c>
      <c r="O546" s="1">
        <v>5.202E9</v>
      </c>
      <c r="P546" s="1">
        <v>2.821E9</v>
      </c>
      <c r="Q546" s="1">
        <v>2.7E7</v>
      </c>
      <c r="R546" s="1">
        <v>1.699E9</v>
      </c>
      <c r="S546" s="1">
        <v>1.744E9</v>
      </c>
    </row>
    <row r="547">
      <c r="A547" s="1">
        <v>545.0</v>
      </c>
      <c r="B547" s="3">
        <v>44288.0</v>
      </c>
      <c r="C547" s="1" t="s">
        <v>314</v>
      </c>
      <c r="D547" s="1" t="s">
        <v>315</v>
      </c>
      <c r="E547" s="1">
        <v>3.8E8</v>
      </c>
      <c r="F547" s="1">
        <v>2.083E9</v>
      </c>
      <c r="G547" s="1">
        <v>1.702E9</v>
      </c>
      <c r="H547" s="1">
        <v>1.855E9</v>
      </c>
      <c r="I547" s="1">
        <v>4.282E9</v>
      </c>
      <c r="J547" s="1">
        <v>2.047E9</v>
      </c>
      <c r="K547" s="1">
        <v>2.047E9</v>
      </c>
      <c r="L547" s="1">
        <v>-5.8E7</v>
      </c>
      <c r="M547" s="1">
        <v>3.81E8</v>
      </c>
      <c r="N547" s="1">
        <v>6.858E9</v>
      </c>
      <c r="O547" s="1">
        <v>4.811E9</v>
      </c>
      <c r="P547" s="1">
        <v>2.576E9</v>
      </c>
      <c r="Q547" s="1">
        <v>3.6E7</v>
      </c>
      <c r="R547" s="1">
        <v>1.702E9</v>
      </c>
      <c r="S547" s="1">
        <v>1.661E9</v>
      </c>
    </row>
    <row r="548">
      <c r="A548" s="1">
        <v>546.0</v>
      </c>
      <c r="B548" s="3">
        <v>44196.0</v>
      </c>
      <c r="C548" s="1" t="s">
        <v>314</v>
      </c>
      <c r="D548" s="1" t="s">
        <v>315</v>
      </c>
      <c r="E548" s="1">
        <v>3.958E8</v>
      </c>
      <c r="F548" s="1">
        <v>1.5415E9</v>
      </c>
      <c r="G548" s="1">
        <v>1.2401E9</v>
      </c>
      <c r="H548" s="1">
        <v>1.9548E9</v>
      </c>
      <c r="I548" s="1">
        <v>3.9939E9</v>
      </c>
      <c r="J548" s="1">
        <v>1.6433E9</v>
      </c>
      <c r="K548" s="1">
        <v>1.6433E9</v>
      </c>
      <c r="L548" s="1">
        <v>-7.23E7</v>
      </c>
      <c r="M548" s="1">
        <v>3.014E8</v>
      </c>
      <c r="N548" s="1">
        <v>6.7603E9</v>
      </c>
      <c r="O548" s="1">
        <v>5.117E9</v>
      </c>
      <c r="P548" s="1">
        <v>2.7664E9</v>
      </c>
      <c r="Q548" s="1">
        <v>-1.018E8</v>
      </c>
      <c r="R548" s="1">
        <v>1.2401E9</v>
      </c>
      <c r="S548" s="1">
        <v>1.1994E9</v>
      </c>
    </row>
    <row r="549">
      <c r="A549" s="1">
        <v>547.0</v>
      </c>
      <c r="B549" s="3">
        <v>44106.0</v>
      </c>
      <c r="C549" s="1" t="s">
        <v>314</v>
      </c>
      <c r="D549" s="1" t="s">
        <v>315</v>
      </c>
      <c r="E549" s="1">
        <v>3.426E8</v>
      </c>
      <c r="F549" s="1">
        <v>1.0215E9</v>
      </c>
      <c r="G549" s="1">
        <v>8.835E8</v>
      </c>
      <c r="H549" s="1">
        <v>1.7919E9</v>
      </c>
      <c r="I549" s="1">
        <v>3.6427E9</v>
      </c>
      <c r="J549" s="1">
        <v>1.5082E9</v>
      </c>
      <c r="K549" s="1">
        <v>1.5082E9</v>
      </c>
      <c r="L549" s="1">
        <v>-7.67E7</v>
      </c>
      <c r="M549" s="1">
        <v>1.38E8</v>
      </c>
      <c r="N549" s="1">
        <v>5.8832E9</v>
      </c>
      <c r="O549" s="1">
        <v>4.375E9</v>
      </c>
      <c r="P549" s="1">
        <v>2.2405E9</v>
      </c>
      <c r="Q549" s="1">
        <v>-4.867E8</v>
      </c>
      <c r="R549" s="1">
        <v>8.835E8</v>
      </c>
      <c r="S549" s="1">
        <v>8.424E8</v>
      </c>
    </row>
    <row r="550">
      <c r="A550" s="1">
        <v>548.0</v>
      </c>
      <c r="B550" s="3">
        <v>44346.0</v>
      </c>
      <c r="C550" s="1" t="s">
        <v>316</v>
      </c>
      <c r="D550" s="1" t="s">
        <v>317</v>
      </c>
      <c r="F550" s="1">
        <v>3.06E8</v>
      </c>
      <c r="G550" s="1">
        <v>3.685E8</v>
      </c>
      <c r="H550" s="1">
        <v>1.611E8</v>
      </c>
      <c r="I550" s="1">
        <v>5.394E8</v>
      </c>
      <c r="J550" s="1">
        <v>2.892E8</v>
      </c>
      <c r="K550" s="1">
        <v>2.892E8</v>
      </c>
      <c r="L550" s="1">
        <v>-1.88E7</v>
      </c>
      <c r="M550" s="1">
        <v>-6.3E7</v>
      </c>
      <c r="N550" s="1">
        <v>2.2792E9</v>
      </c>
      <c r="O550" s="1">
        <v>1.99E9</v>
      </c>
      <c r="P550" s="1">
        <v>1.7398E9</v>
      </c>
      <c r="Q550" s="1">
        <v>1.68E7</v>
      </c>
      <c r="R550" s="1">
        <v>3.69E8</v>
      </c>
      <c r="S550" s="1">
        <v>3.685E8</v>
      </c>
    </row>
    <row r="551">
      <c r="A551" s="1">
        <v>549.0</v>
      </c>
      <c r="B551" s="3">
        <v>44255.0</v>
      </c>
      <c r="C551" s="1" t="s">
        <v>316</v>
      </c>
      <c r="D551" s="1" t="s">
        <v>317</v>
      </c>
      <c r="F551" s="1">
        <v>1.323E8</v>
      </c>
      <c r="G551" s="1">
        <v>1.287E8</v>
      </c>
      <c r="H551" s="1">
        <v>9.81E7</v>
      </c>
      <c r="I551" s="1">
        <v>3.374E8</v>
      </c>
      <c r="J551" s="1">
        <v>1.511E8</v>
      </c>
      <c r="K551" s="1">
        <v>1.511E8</v>
      </c>
      <c r="L551" s="1">
        <v>-1.52E7</v>
      </c>
      <c r="M551" s="1">
        <v>3100000.0</v>
      </c>
      <c r="N551" s="1">
        <v>1.733E9</v>
      </c>
      <c r="O551" s="1">
        <v>1.5819E9</v>
      </c>
      <c r="P551" s="1">
        <v>1.3956E9</v>
      </c>
      <c r="Q551" s="1">
        <v>-1.88E7</v>
      </c>
      <c r="R551" s="1">
        <v>1.292E8</v>
      </c>
      <c r="S551" s="1">
        <v>1.287E8</v>
      </c>
    </row>
    <row r="552">
      <c r="A552" s="1">
        <v>550.0</v>
      </c>
      <c r="B552" s="3">
        <v>44164.0</v>
      </c>
      <c r="C552" s="1" t="s">
        <v>316</v>
      </c>
      <c r="D552" s="1" t="s">
        <v>317</v>
      </c>
      <c r="F552" s="1">
        <v>1.057E8</v>
      </c>
      <c r="G552" s="1">
        <v>9.6E7</v>
      </c>
      <c r="H552" s="1">
        <v>1.087E8</v>
      </c>
      <c r="I552" s="1">
        <v>3.154E8</v>
      </c>
      <c r="J552" s="1">
        <v>1.207E8</v>
      </c>
      <c r="K552" s="1">
        <v>1.207E8</v>
      </c>
      <c r="L552" s="1">
        <v>-1.46E7</v>
      </c>
      <c r="M552" s="1">
        <v>8800000.0</v>
      </c>
      <c r="N552" s="1">
        <v>1.6565E9</v>
      </c>
      <c r="O552" s="1">
        <v>1.5358E9</v>
      </c>
      <c r="P552" s="1">
        <v>1.3411E9</v>
      </c>
      <c r="Q552" s="1">
        <v>-1.5E7</v>
      </c>
      <c r="R552" s="1">
        <v>9.69E7</v>
      </c>
      <c r="S552" s="1">
        <v>9.6E7</v>
      </c>
    </row>
    <row r="553">
      <c r="A553" s="1">
        <v>551.0</v>
      </c>
      <c r="B553" s="3">
        <v>44073.0</v>
      </c>
      <c r="C553" s="1" t="s">
        <v>316</v>
      </c>
      <c r="D553" s="1" t="s">
        <v>317</v>
      </c>
      <c r="F553" s="1">
        <v>3.25E7</v>
      </c>
      <c r="G553" s="1">
        <v>3.61E7</v>
      </c>
      <c r="H553" s="1">
        <v>1.168E8</v>
      </c>
      <c r="I553" s="1">
        <v>3.013E8</v>
      </c>
      <c r="J553" s="1">
        <v>9.69E7</v>
      </c>
      <c r="K553" s="1">
        <v>9.69E7</v>
      </c>
      <c r="L553" s="1">
        <v>-1.66E7</v>
      </c>
      <c r="M553" s="1">
        <v>-4800000.0</v>
      </c>
      <c r="N553" s="1">
        <v>1.5274E9</v>
      </c>
      <c r="O553" s="1">
        <v>1.4305E9</v>
      </c>
      <c r="P553" s="1">
        <v>1.2261E9</v>
      </c>
      <c r="Q553" s="1">
        <v>-6.44E7</v>
      </c>
      <c r="R553" s="1">
        <v>3.73E7</v>
      </c>
      <c r="S553" s="1">
        <v>3.61E7</v>
      </c>
    </row>
    <row r="554">
      <c r="A554" s="1">
        <v>552.0</v>
      </c>
      <c r="B554" s="3">
        <v>44469.0</v>
      </c>
      <c r="C554" s="1" t="s">
        <v>318</v>
      </c>
      <c r="D554" s="1" t="s">
        <v>319</v>
      </c>
      <c r="F554" s="1">
        <v>3.94458E8</v>
      </c>
      <c r="G554" s="1">
        <v>2.59754E8</v>
      </c>
      <c r="H554" s="1">
        <v>2.93095E8</v>
      </c>
      <c r="I554" s="1">
        <v>9.2973E8</v>
      </c>
      <c r="J554" s="1">
        <v>4.66173E8</v>
      </c>
      <c r="K554" s="1">
        <v>4.66173E8</v>
      </c>
      <c r="L554" s="1">
        <v>-7.1451E7</v>
      </c>
      <c r="M554" s="1">
        <v>7.4704E7</v>
      </c>
      <c r="N554" s="1">
        <v>2.938319E9</v>
      </c>
      <c r="O554" s="1">
        <v>2.472146E9</v>
      </c>
      <c r="P554" s="1">
        <v>2.008589E9</v>
      </c>
      <c r="Q554" s="1">
        <v>-7.1715E7</v>
      </c>
      <c r="R554" s="1">
        <v>3.19754E8</v>
      </c>
      <c r="S554" s="1">
        <v>2.59754E8</v>
      </c>
    </row>
    <row r="555">
      <c r="A555" s="1">
        <v>553.0</v>
      </c>
      <c r="B555" s="3">
        <v>44377.0</v>
      </c>
      <c r="C555" s="1" t="s">
        <v>318</v>
      </c>
      <c r="D555" s="1" t="s">
        <v>319</v>
      </c>
      <c r="F555" s="1">
        <v>4.3234E8</v>
      </c>
      <c r="G555" s="1">
        <v>2.9382E8</v>
      </c>
      <c r="H555" s="1">
        <v>2.98091E8</v>
      </c>
      <c r="I555" s="1">
        <v>9.51233E8</v>
      </c>
      <c r="J555" s="1">
        <v>4.83453E8</v>
      </c>
      <c r="K555" s="1">
        <v>4.83453E8</v>
      </c>
      <c r="L555" s="1">
        <v>-7.1947E7</v>
      </c>
      <c r="M555" s="1">
        <v>8.1309E7</v>
      </c>
      <c r="N555" s="1">
        <v>2.91651E9</v>
      </c>
      <c r="O555" s="1">
        <v>2.433057E9</v>
      </c>
      <c r="P555" s="1">
        <v>1.965277E9</v>
      </c>
      <c r="Q555" s="1">
        <v>-5.1113E7</v>
      </c>
      <c r="R555" s="1">
        <v>3.51031E8</v>
      </c>
      <c r="S555" s="1">
        <v>2.9382E8</v>
      </c>
    </row>
    <row r="556">
      <c r="A556" s="1">
        <v>554.0</v>
      </c>
      <c r="B556" s="3">
        <v>44286.0</v>
      </c>
      <c r="C556" s="1" t="s">
        <v>318</v>
      </c>
      <c r="D556" s="1" t="s">
        <v>319</v>
      </c>
      <c r="F556" s="1">
        <v>3.76756E8</v>
      </c>
      <c r="G556" s="1">
        <v>2.37403E8</v>
      </c>
      <c r="H556" s="1">
        <v>2.81426E8</v>
      </c>
      <c r="I556" s="1">
        <v>8.81671E8</v>
      </c>
      <c r="J556" s="1">
        <v>4.34544E8</v>
      </c>
      <c r="K556" s="1">
        <v>4.34544E8</v>
      </c>
      <c r="L556" s="1">
        <v>-6.5637E7</v>
      </c>
      <c r="M556" s="1">
        <v>8.5211E7</v>
      </c>
      <c r="N556" s="1">
        <v>2.820001E9</v>
      </c>
      <c r="O556" s="1">
        <v>2.385457E9</v>
      </c>
      <c r="P556" s="1">
        <v>1.93833E9</v>
      </c>
      <c r="Q556" s="1">
        <v>-5.7788E7</v>
      </c>
      <c r="R556" s="1">
        <v>2.91545E8</v>
      </c>
      <c r="S556" s="1">
        <v>2.37403E8</v>
      </c>
    </row>
    <row r="557">
      <c r="A557" s="1">
        <v>555.0</v>
      </c>
      <c r="B557" s="3">
        <v>44196.0</v>
      </c>
      <c r="C557" s="1" t="s">
        <v>318</v>
      </c>
      <c r="D557" s="1" t="s">
        <v>319</v>
      </c>
      <c r="F557" s="1">
        <v>3.27371E8</v>
      </c>
      <c r="G557" s="1">
        <v>1.73773E8</v>
      </c>
      <c r="H557" s="1">
        <v>3.04519E8</v>
      </c>
      <c r="I557" s="1">
        <v>8.48441E8</v>
      </c>
      <c r="J557" s="1">
        <v>3.82436E8</v>
      </c>
      <c r="K557" s="1">
        <v>3.82436E8</v>
      </c>
      <c r="L557" s="1">
        <v>-5.9092E7</v>
      </c>
      <c r="M557" s="1">
        <v>7.3368E7</v>
      </c>
      <c r="N557" s="1">
        <v>2.905322E9</v>
      </c>
      <c r="O557" s="1">
        <v>2.522886E9</v>
      </c>
      <c r="P557" s="1">
        <v>2.056881E9</v>
      </c>
      <c r="Q557" s="1">
        <v>-5.5065E7</v>
      </c>
      <c r="R557" s="1">
        <v>2.54003E8</v>
      </c>
      <c r="S557" s="1">
        <v>1.73773E8</v>
      </c>
    </row>
    <row r="558">
      <c r="A558" s="1">
        <v>556.0</v>
      </c>
      <c r="B558" s="3">
        <v>44409.0</v>
      </c>
      <c r="C558" s="1" t="s">
        <v>320</v>
      </c>
      <c r="D558" s="1" t="s">
        <v>321</v>
      </c>
      <c r="E558" s="1">
        <v>3.94E8</v>
      </c>
      <c r="F558" s="1">
        <v>2.158E9</v>
      </c>
      <c r="G558" s="1">
        <v>1.667E9</v>
      </c>
      <c r="H558" s="1">
        <v>7.0E8</v>
      </c>
      <c r="I558" s="1">
        <v>3.256E9</v>
      </c>
      <c r="J558" s="1">
        <v>2.203E9</v>
      </c>
      <c r="K558" s="1">
        <v>2.203E9</v>
      </c>
      <c r="L558" s="1">
        <v>-7.5E7</v>
      </c>
      <c r="M558" s="1">
        <v>4.91E8</v>
      </c>
      <c r="N558" s="1">
        <v>1.15E10</v>
      </c>
      <c r="O558" s="1">
        <v>9.297E9</v>
      </c>
      <c r="P558" s="1">
        <v>8.244E9</v>
      </c>
      <c r="Q558" s="1">
        <v>-4.5E7</v>
      </c>
      <c r="R558" s="1">
        <v>1.667E9</v>
      </c>
      <c r="S558" s="1">
        <v>1.667E9</v>
      </c>
    </row>
    <row r="559">
      <c r="A559" s="1">
        <v>557.0</v>
      </c>
      <c r="B559" s="3">
        <v>44318.0</v>
      </c>
      <c r="C559" s="1" t="s">
        <v>320</v>
      </c>
      <c r="D559" s="1" t="s">
        <v>321</v>
      </c>
      <c r="E559" s="1">
        <v>3.77E8</v>
      </c>
      <c r="F559" s="1">
        <v>2.32E9</v>
      </c>
      <c r="G559" s="1">
        <v>1.789E9</v>
      </c>
      <c r="H559" s="1">
        <v>7.31E8</v>
      </c>
      <c r="I559" s="1">
        <v>3.615E9</v>
      </c>
      <c r="J559" s="1">
        <v>2.56E9</v>
      </c>
      <c r="K559" s="1">
        <v>2.56E9</v>
      </c>
      <c r="L559" s="1">
        <v>-8.6E7</v>
      </c>
      <c r="M559" s="1">
        <v>5.29E8</v>
      </c>
      <c r="N559" s="1">
        <v>1.2085E10</v>
      </c>
      <c r="O559" s="1">
        <v>9.525E9</v>
      </c>
      <c r="P559" s="1">
        <v>8.47E9</v>
      </c>
      <c r="Q559" s="1">
        <v>-2.4E8</v>
      </c>
      <c r="R559" s="1">
        <v>1.791E9</v>
      </c>
      <c r="S559" s="1">
        <v>1.789E9</v>
      </c>
    </row>
    <row r="560">
      <c r="A560" s="1">
        <v>558.0</v>
      </c>
      <c r="B560" s="3">
        <v>44227.0</v>
      </c>
      <c r="C560" s="1" t="s">
        <v>320</v>
      </c>
      <c r="D560" s="1" t="s">
        <v>321</v>
      </c>
      <c r="E560" s="1">
        <v>3.66E8</v>
      </c>
      <c r="F560" s="1">
        <v>1.532E9</v>
      </c>
      <c r="G560" s="1">
        <v>1.224E9</v>
      </c>
      <c r="H560" s="1">
        <v>6.52E8</v>
      </c>
      <c r="I560" s="1">
        <v>2.625E9</v>
      </c>
      <c r="J560" s="1">
        <v>1.787E9</v>
      </c>
      <c r="K560" s="1">
        <v>1.787E9</v>
      </c>
      <c r="L560" s="1">
        <v>-8.3E7</v>
      </c>
      <c r="M560" s="1">
        <v>3.08E8</v>
      </c>
      <c r="N560" s="1">
        <v>9.112E9</v>
      </c>
      <c r="O560" s="1">
        <v>7.325E9</v>
      </c>
      <c r="P560" s="1">
        <v>6.487E9</v>
      </c>
      <c r="Q560" s="1">
        <v>-2.55E8</v>
      </c>
      <c r="R560" s="1">
        <v>1.224E9</v>
      </c>
      <c r="S560" s="1">
        <v>1.224E9</v>
      </c>
    </row>
    <row r="561">
      <c r="A561" s="1">
        <v>559.0</v>
      </c>
      <c r="B561" s="3">
        <v>44136.0</v>
      </c>
      <c r="C561" s="1" t="s">
        <v>320</v>
      </c>
      <c r="D561" s="1" t="s">
        <v>321</v>
      </c>
      <c r="E561" s="1">
        <v>3.88E8</v>
      </c>
      <c r="F561" s="1">
        <v>1.088E9</v>
      </c>
      <c r="G561" s="1">
        <v>7.58E8</v>
      </c>
      <c r="H561" s="1">
        <v>7.63E8</v>
      </c>
      <c r="I561" s="1">
        <v>2.702E9</v>
      </c>
      <c r="J561" s="1">
        <v>1.54E9</v>
      </c>
      <c r="K561" s="1">
        <v>1.54E9</v>
      </c>
      <c r="L561" s="1">
        <v>-8.3E7</v>
      </c>
      <c r="M561" s="1">
        <v>3.3E8</v>
      </c>
      <c r="N561" s="1">
        <v>9.713E9</v>
      </c>
      <c r="O561" s="1">
        <v>8.173E9</v>
      </c>
      <c r="P561" s="1">
        <v>7.011E9</v>
      </c>
      <c r="Q561" s="1">
        <v>-4.52E8</v>
      </c>
      <c r="R561" s="1">
        <v>7.58E8</v>
      </c>
      <c r="S561" s="1">
        <v>7.58E8</v>
      </c>
    </row>
    <row r="562">
      <c r="A562" s="1">
        <v>560.0</v>
      </c>
      <c r="B562" s="3">
        <v>44469.0</v>
      </c>
      <c r="C562" s="1" t="s">
        <v>322</v>
      </c>
      <c r="D562" s="1" t="s">
        <v>323</v>
      </c>
      <c r="F562" s="1">
        <v>1.532E9</v>
      </c>
      <c r="G562" s="1">
        <v>1.212E9</v>
      </c>
      <c r="H562" s="1">
        <v>3.08E8</v>
      </c>
      <c r="I562" s="1">
        <v>1.695E9</v>
      </c>
      <c r="J562" s="1">
        <v>5.29E8</v>
      </c>
      <c r="K562" s="1">
        <v>5.29E8</v>
      </c>
      <c r="L562" s="1">
        <v>-3.14E8</v>
      </c>
      <c r="M562" s="1">
        <v>3.2E8</v>
      </c>
      <c r="N562" s="1">
        <v>9.154E9</v>
      </c>
      <c r="O562" s="1">
        <v>8.625E9</v>
      </c>
      <c r="P562" s="1">
        <v>7.459E9</v>
      </c>
      <c r="Q562" s="1">
        <v>1.003E9</v>
      </c>
      <c r="R562" s="1">
        <v>1.212E9</v>
      </c>
      <c r="S562" s="1">
        <v>1.212E9</v>
      </c>
    </row>
    <row r="563">
      <c r="A563" s="1">
        <v>561.0</v>
      </c>
      <c r="B563" s="3">
        <v>44377.0</v>
      </c>
      <c r="C563" s="1" t="s">
        <v>322</v>
      </c>
      <c r="D563" s="1" t="s">
        <v>323</v>
      </c>
      <c r="F563" s="1">
        <v>7.76E8</v>
      </c>
      <c r="G563" s="1">
        <v>6.52E8</v>
      </c>
      <c r="H563" s="1">
        <v>2.22E8</v>
      </c>
      <c r="I563" s="1">
        <v>4.87E8</v>
      </c>
      <c r="J563" s="1">
        <v>-5.66E8</v>
      </c>
      <c r="K563" s="1">
        <v>-5.66E8</v>
      </c>
      <c r="L563" s="1">
        <v>-3.38E8</v>
      </c>
      <c r="M563" s="1">
        <v>1.24E8</v>
      </c>
      <c r="N563" s="1">
        <v>7.126E9</v>
      </c>
      <c r="O563" s="1">
        <v>7.692E9</v>
      </c>
      <c r="P563" s="1">
        <v>6.639E9</v>
      </c>
      <c r="Q563" s="1">
        <v>1.342E9</v>
      </c>
      <c r="R563" s="1">
        <v>6.52E8</v>
      </c>
      <c r="S563" s="1">
        <v>6.52E8</v>
      </c>
    </row>
    <row r="564">
      <c r="A564" s="1">
        <v>562.0</v>
      </c>
      <c r="B564" s="3">
        <v>44286.0</v>
      </c>
      <c r="C564" s="1" t="s">
        <v>322</v>
      </c>
      <c r="D564" s="1" t="s">
        <v>323</v>
      </c>
      <c r="F564" s="1">
        <v>-1.515E9</v>
      </c>
      <c r="G564" s="1">
        <v>-1.177E9</v>
      </c>
      <c r="H564" s="1">
        <v>1.1E8</v>
      </c>
      <c r="I564" s="1">
        <v>-1.597E9</v>
      </c>
      <c r="J564" s="1">
        <v>-2.521E9</v>
      </c>
      <c r="K564" s="1">
        <v>-2.521E9</v>
      </c>
      <c r="L564" s="1">
        <v>-3.61E8</v>
      </c>
      <c r="M564" s="1">
        <v>-3.38E8</v>
      </c>
      <c r="N564" s="1">
        <v>4.15E9</v>
      </c>
      <c r="O564" s="1">
        <v>6.671E9</v>
      </c>
      <c r="P564" s="1">
        <v>5.747E9</v>
      </c>
      <c r="Q564" s="1">
        <v>1.006E9</v>
      </c>
      <c r="R564" s="1">
        <v>-1.177E9</v>
      </c>
      <c r="S564" s="1">
        <v>-1.177E9</v>
      </c>
    </row>
    <row r="565">
      <c r="A565" s="1">
        <v>563.0</v>
      </c>
      <c r="B565" s="3">
        <v>44196.0</v>
      </c>
      <c r="C565" s="1" t="s">
        <v>322</v>
      </c>
      <c r="D565" s="1" t="s">
        <v>323</v>
      </c>
      <c r="F565" s="1">
        <v>-1.108E9</v>
      </c>
      <c r="G565" s="1">
        <v>-7.55E8</v>
      </c>
      <c r="H565" s="1">
        <v>8.4E7</v>
      </c>
      <c r="I565" s="1">
        <v>-9.22E8</v>
      </c>
      <c r="J565" s="1">
        <v>-4.297E9</v>
      </c>
      <c r="K565" s="1">
        <v>-4.297E9</v>
      </c>
      <c r="L565" s="1">
        <v>-3.65E8</v>
      </c>
      <c r="M565" s="1">
        <v>-3.53E8</v>
      </c>
      <c r="N565" s="1">
        <v>3.973E9</v>
      </c>
      <c r="O565" s="1">
        <v>8.27E9</v>
      </c>
      <c r="P565" s="1">
        <v>4.895E9</v>
      </c>
      <c r="Q565" s="1">
        <v>3.189E9</v>
      </c>
      <c r="R565" s="1">
        <v>-7.55E8</v>
      </c>
      <c r="S565" s="1">
        <v>-7.55E8</v>
      </c>
    </row>
    <row r="566">
      <c r="A566" s="1">
        <v>564.0</v>
      </c>
      <c r="B566" s="3">
        <v>44286.0</v>
      </c>
      <c r="C566" s="1" t="s">
        <v>324</v>
      </c>
      <c r="D566" s="1" t="s">
        <v>325</v>
      </c>
      <c r="E566" s="1">
        <v>3.7E7</v>
      </c>
      <c r="F566" s="1">
        <v>1.49E8</v>
      </c>
      <c r="G566" s="1">
        <v>1.17E8</v>
      </c>
      <c r="H566" s="1">
        <v>3.85E8</v>
      </c>
      <c r="I566" s="1">
        <v>5.79E8</v>
      </c>
      <c r="J566" s="1">
        <v>1.57E8</v>
      </c>
      <c r="K566" s="1">
        <v>1.57E8</v>
      </c>
      <c r="L566" s="1">
        <v>-1.4E7</v>
      </c>
      <c r="M566" s="1">
        <v>3.2E7</v>
      </c>
      <c r="N566" s="1">
        <v>1.027E9</v>
      </c>
      <c r="O566" s="1">
        <v>8.7E8</v>
      </c>
      <c r="P566" s="1">
        <v>4.48E8</v>
      </c>
      <c r="Q566" s="1">
        <v>-8000000.0</v>
      </c>
      <c r="R566" s="1">
        <v>1.17E8</v>
      </c>
      <c r="S566" s="1">
        <v>1.17E8</v>
      </c>
    </row>
    <row r="567">
      <c r="A567" s="1">
        <v>565.0</v>
      </c>
      <c r="B567" s="3">
        <v>44196.0</v>
      </c>
      <c r="C567" s="1" t="s">
        <v>324</v>
      </c>
      <c r="D567" s="1" t="s">
        <v>325</v>
      </c>
      <c r="E567" s="1">
        <v>1.15E8</v>
      </c>
      <c r="F567" s="1">
        <v>1.229E8</v>
      </c>
      <c r="G567" s="1">
        <v>9.85E7</v>
      </c>
      <c r="H567" s="1">
        <v>2.982E8</v>
      </c>
      <c r="I567" s="1">
        <v>5.821E8</v>
      </c>
      <c r="J567" s="1">
        <v>2.288E8</v>
      </c>
      <c r="K567" s="1">
        <v>2.288E8</v>
      </c>
      <c r="L567" s="1">
        <v>-1.53E7</v>
      </c>
      <c r="M567" s="1">
        <v>2.43E7</v>
      </c>
      <c r="N567" s="1">
        <v>1.0823E9</v>
      </c>
      <c r="O567" s="1">
        <v>8.535E8</v>
      </c>
      <c r="P567" s="1">
        <v>5.002E8</v>
      </c>
      <c r="Q567" s="1">
        <v>-1.059E8</v>
      </c>
      <c r="R567" s="1">
        <v>9.86E7</v>
      </c>
      <c r="S567" s="1">
        <v>9.85E7</v>
      </c>
    </row>
    <row r="568">
      <c r="A568" s="1">
        <v>566.0</v>
      </c>
      <c r="B568" s="3">
        <v>44104.0</v>
      </c>
      <c r="C568" s="1" t="s">
        <v>324</v>
      </c>
      <c r="D568" s="1" t="s">
        <v>325</v>
      </c>
      <c r="E568" s="1">
        <v>1.15E8</v>
      </c>
      <c r="F568" s="1">
        <v>6.67E7</v>
      </c>
      <c r="G568" s="1">
        <v>5.38E7</v>
      </c>
      <c r="H568" s="1">
        <v>3.406E8</v>
      </c>
      <c r="I568" s="1">
        <v>4.746E8</v>
      </c>
      <c r="J568" s="1">
        <v>1.153E8</v>
      </c>
      <c r="K568" s="1">
        <v>1.153E8</v>
      </c>
      <c r="L568" s="1">
        <v>-1.45E7</v>
      </c>
      <c r="M568" s="1">
        <v>1.25E7</v>
      </c>
      <c r="N568" s="1">
        <v>8.948E8</v>
      </c>
      <c r="O568" s="1">
        <v>7.795E8</v>
      </c>
      <c r="P568" s="1">
        <v>4.202E8</v>
      </c>
      <c r="Q568" s="1">
        <v>-4.86E7</v>
      </c>
      <c r="R568" s="1">
        <v>5.42E7</v>
      </c>
      <c r="S568" s="1">
        <v>5.38E7</v>
      </c>
    </row>
    <row r="569">
      <c r="A569" s="1">
        <v>567.0</v>
      </c>
      <c r="B569" s="3">
        <v>44012.0</v>
      </c>
      <c r="C569" s="1" t="s">
        <v>324</v>
      </c>
      <c r="D569" s="1" t="s">
        <v>325</v>
      </c>
      <c r="E569" s="1">
        <v>1.15E8</v>
      </c>
      <c r="F569" s="1">
        <v>-1.199E8</v>
      </c>
      <c r="G569" s="1">
        <v>-9.54E7</v>
      </c>
      <c r="H569" s="1">
        <v>2.791E8</v>
      </c>
      <c r="I569" s="1">
        <v>1.761E8</v>
      </c>
      <c r="J569" s="1">
        <v>-1.021E8</v>
      </c>
      <c r="K569" s="1">
        <v>-1.021E8</v>
      </c>
      <c r="L569" s="1">
        <v>-1.23E7</v>
      </c>
      <c r="M569" s="1">
        <v>-2.4E7</v>
      </c>
      <c r="N569" s="1">
        <v>4.906E8</v>
      </c>
      <c r="O569" s="1">
        <v>5.927E8</v>
      </c>
      <c r="P569" s="1">
        <v>3.145E8</v>
      </c>
      <c r="Q569" s="1">
        <v>-1.78E7</v>
      </c>
      <c r="R569" s="1">
        <v>-9.59E7</v>
      </c>
      <c r="S569" s="1">
        <v>-9.54E7</v>
      </c>
    </row>
    <row r="570">
      <c r="A570" s="1">
        <v>568.0</v>
      </c>
      <c r="B570" s="3">
        <v>44377.0</v>
      </c>
      <c r="C570" s="1" t="s">
        <v>326</v>
      </c>
      <c r="D570" s="1" t="s">
        <v>327</v>
      </c>
      <c r="F570" s="1">
        <v>3.04E8</v>
      </c>
      <c r="G570" s="1">
        <v>2.56E8</v>
      </c>
      <c r="H570" s="1">
        <v>9.4E7</v>
      </c>
      <c r="I570" s="1">
        <v>1.655E9</v>
      </c>
      <c r="J570" s="1">
        <v>3.2E8</v>
      </c>
      <c r="K570" s="1">
        <v>3.2E8</v>
      </c>
      <c r="L570" s="1">
        <v>-9.8E7</v>
      </c>
      <c r="M570" s="1">
        <v>4.3E7</v>
      </c>
      <c r="N570" s="1">
        <v>2.977E9</v>
      </c>
      <c r="O570" s="1">
        <v>2.657E9</v>
      </c>
      <c r="P570" s="1">
        <v>1.322E9</v>
      </c>
      <c r="Q570" s="1">
        <v>-1.6E7</v>
      </c>
      <c r="R570" s="1">
        <v>2.61E8</v>
      </c>
      <c r="S570" s="1">
        <v>2.53E8</v>
      </c>
    </row>
    <row r="571">
      <c r="A571" s="1">
        <v>569.0</v>
      </c>
      <c r="B571" s="3">
        <v>44286.0</v>
      </c>
      <c r="C571" s="1" t="s">
        <v>326</v>
      </c>
      <c r="D571" s="1" t="s">
        <v>327</v>
      </c>
      <c r="F571" s="1">
        <v>-3.2E7</v>
      </c>
      <c r="G571" s="1">
        <v>2.13E8</v>
      </c>
      <c r="H571" s="1">
        <v>1.07E8</v>
      </c>
      <c r="I571" s="1">
        <v>1.291E9</v>
      </c>
      <c r="J571" s="1">
        <v>2.02E8</v>
      </c>
      <c r="K571" s="1">
        <v>2.02E8</v>
      </c>
      <c r="L571" s="1">
        <v>-1.05E8</v>
      </c>
      <c r="M571" s="1">
        <v>-2.48E8</v>
      </c>
      <c r="N571" s="1">
        <v>2.461E9</v>
      </c>
      <c r="O571" s="1">
        <v>2.259E9</v>
      </c>
      <c r="P571" s="1">
        <v>1.17E9</v>
      </c>
      <c r="Q571" s="1">
        <v>-2.34E8</v>
      </c>
      <c r="R571" s="1">
        <v>2.16E8</v>
      </c>
      <c r="S571" s="1">
        <v>2.11E8</v>
      </c>
    </row>
    <row r="572">
      <c r="A572" s="1">
        <v>570.0</v>
      </c>
      <c r="B572" s="3">
        <v>44196.0</v>
      </c>
      <c r="C572" s="1" t="s">
        <v>326</v>
      </c>
      <c r="D572" s="1" t="s">
        <v>327</v>
      </c>
      <c r="F572" s="1">
        <v>-1.1E8</v>
      </c>
      <c r="G572" s="1">
        <v>-1.02E8</v>
      </c>
      <c r="H572" s="1">
        <v>8.2E7</v>
      </c>
      <c r="I572" s="1">
        <v>5.11E8</v>
      </c>
      <c r="J572" s="1">
        <v>2.819E9</v>
      </c>
      <c r="K572" s="1">
        <v>2.819E9</v>
      </c>
      <c r="L572" s="1">
        <v>-6.4E7</v>
      </c>
      <c r="M572" s="1">
        <v>-3.7E7</v>
      </c>
      <c r="N572" s="1">
        <v>1.35E9</v>
      </c>
      <c r="O572" s="1">
        <v>-1.469E9</v>
      </c>
      <c r="P572" s="1">
        <v>8.39E8</v>
      </c>
      <c r="Q572" s="1">
        <v>-2.929E9</v>
      </c>
      <c r="R572" s="1">
        <v>-7.3E7</v>
      </c>
      <c r="S572" s="1">
        <v>-1.03E8</v>
      </c>
    </row>
    <row r="573">
      <c r="A573" s="1">
        <v>571.0</v>
      </c>
      <c r="B573" s="3">
        <v>44104.0</v>
      </c>
      <c r="C573" s="1" t="s">
        <v>326</v>
      </c>
      <c r="D573" s="1" t="s">
        <v>327</v>
      </c>
      <c r="F573" s="1">
        <v>-1.93E8</v>
      </c>
      <c r="G573" s="1">
        <v>-9.2E7</v>
      </c>
      <c r="H573" s="1">
        <v>7.5E7</v>
      </c>
      <c r="I573" s="1">
        <v>4.09E8</v>
      </c>
      <c r="J573" s="1">
        <v>-9.5E7</v>
      </c>
      <c r="K573" s="1">
        <v>-9.5E7</v>
      </c>
      <c r="L573" s="1">
        <v>-6.5E7</v>
      </c>
      <c r="M573" s="1">
        <v>-9.0E7</v>
      </c>
      <c r="N573" s="1">
        <v>1.112E9</v>
      </c>
      <c r="O573" s="1">
        <v>1.207E9</v>
      </c>
      <c r="P573" s="1">
        <v>7.03E8</v>
      </c>
      <c r="Q573" s="1">
        <v>-9.8E7</v>
      </c>
      <c r="R573" s="1">
        <v>-1.03E8</v>
      </c>
      <c r="S573" s="1">
        <v>-9.4E7</v>
      </c>
    </row>
    <row r="574">
      <c r="A574" s="1">
        <v>572.0</v>
      </c>
      <c r="B574" s="3">
        <v>44377.0</v>
      </c>
      <c r="C574" s="1" t="s">
        <v>328</v>
      </c>
      <c r="D574" s="1" t="s">
        <v>329</v>
      </c>
      <c r="E574" s="1">
        <v>1.291E8</v>
      </c>
      <c r="F574" s="1">
        <v>7.67E7</v>
      </c>
      <c r="G574" s="1">
        <v>6.29E7</v>
      </c>
      <c r="H574" s="1">
        <v>1.87E8</v>
      </c>
      <c r="I574" s="1">
        <v>4.171E8</v>
      </c>
      <c r="J574" s="1">
        <v>1.01E8</v>
      </c>
      <c r="K574" s="1">
        <v>1.01E8</v>
      </c>
      <c r="L574" s="1">
        <v>-2.52E7</v>
      </c>
      <c r="M574" s="1">
        <v>1.38E7</v>
      </c>
      <c r="N574" s="1">
        <v>5.951E8</v>
      </c>
      <c r="O574" s="1">
        <v>4.941E8</v>
      </c>
      <c r="P574" s="1">
        <v>1.78E8</v>
      </c>
      <c r="Q574" s="1">
        <v>-2.43E7</v>
      </c>
      <c r="R574" s="1">
        <v>6.29E7</v>
      </c>
      <c r="S574" s="1">
        <v>6.29E7</v>
      </c>
    </row>
    <row r="575">
      <c r="A575" s="1">
        <v>573.0</v>
      </c>
      <c r="B575" s="3">
        <v>44286.0</v>
      </c>
      <c r="C575" s="1" t="s">
        <v>328</v>
      </c>
      <c r="D575" s="1" t="s">
        <v>329</v>
      </c>
      <c r="E575" s="1">
        <v>1.094E8</v>
      </c>
      <c r="F575" s="1">
        <v>2.12E7</v>
      </c>
      <c r="G575" s="1">
        <v>4.03E7</v>
      </c>
      <c r="H575" s="1">
        <v>1.886E8</v>
      </c>
      <c r="I575" s="1">
        <v>3.439E8</v>
      </c>
      <c r="J575" s="1">
        <v>4.59E7</v>
      </c>
      <c r="K575" s="1">
        <v>4.59E7</v>
      </c>
      <c r="L575" s="1">
        <v>-2.48E7</v>
      </c>
      <c r="M575" s="1">
        <v>-1.91E7</v>
      </c>
      <c r="N575" s="1">
        <v>5.05E8</v>
      </c>
      <c r="O575" s="1">
        <v>4.591E8</v>
      </c>
      <c r="P575" s="1">
        <v>1.611E8</v>
      </c>
      <c r="Q575" s="1">
        <v>-2.47E7</v>
      </c>
      <c r="R575" s="1">
        <v>4.03E7</v>
      </c>
      <c r="S575" s="1">
        <v>4.03E7</v>
      </c>
    </row>
    <row r="576">
      <c r="A576" s="1">
        <v>574.0</v>
      </c>
      <c r="B576" s="3">
        <v>44196.0</v>
      </c>
      <c r="C576" s="1" t="s">
        <v>328</v>
      </c>
      <c r="D576" s="1" t="s">
        <v>329</v>
      </c>
      <c r="E576" s="1">
        <v>1.192E8</v>
      </c>
      <c r="F576" s="1">
        <v>8.13E7</v>
      </c>
      <c r="G576" s="1">
        <v>3.552E8</v>
      </c>
      <c r="H576" s="1">
        <v>1.759E8</v>
      </c>
      <c r="I576" s="1">
        <v>3.991E8</v>
      </c>
      <c r="J576" s="1">
        <v>1.04E8</v>
      </c>
      <c r="K576" s="1">
        <v>1.04E8</v>
      </c>
      <c r="L576" s="1">
        <v>-2.46E7</v>
      </c>
      <c r="M576" s="1">
        <v>-2.739E8</v>
      </c>
      <c r="N576" s="1">
        <v>5.689E8</v>
      </c>
      <c r="O576" s="1">
        <v>4.649E8</v>
      </c>
      <c r="P576" s="1">
        <v>1.698E8</v>
      </c>
      <c r="Q576" s="1">
        <v>-2.27E7</v>
      </c>
      <c r="R576" s="1">
        <v>3.552E8</v>
      </c>
      <c r="S576" s="1">
        <v>3.552E8</v>
      </c>
    </row>
    <row r="577">
      <c r="A577" s="1">
        <v>575.0</v>
      </c>
      <c r="B577" s="3">
        <v>44104.0</v>
      </c>
      <c r="C577" s="1" t="s">
        <v>328</v>
      </c>
      <c r="D577" s="1" t="s">
        <v>329</v>
      </c>
      <c r="E577" s="1">
        <v>8.77E7</v>
      </c>
      <c r="F577" s="1">
        <v>7.51E7</v>
      </c>
      <c r="G577" s="1">
        <v>7.22E7</v>
      </c>
      <c r="H577" s="1">
        <v>1.586E8</v>
      </c>
      <c r="I577" s="1">
        <v>3.404E8</v>
      </c>
      <c r="J577" s="1">
        <v>9.41E7</v>
      </c>
      <c r="K577" s="1">
        <v>9.41E7</v>
      </c>
      <c r="L577" s="1">
        <v>-2.44E7</v>
      </c>
      <c r="M577" s="1">
        <v>2900000.0</v>
      </c>
      <c r="N577" s="1">
        <v>5.009E8</v>
      </c>
      <c r="O577" s="1">
        <v>4.068E8</v>
      </c>
      <c r="P577" s="1">
        <v>1.605E8</v>
      </c>
      <c r="Q577" s="1">
        <v>-1.9E7</v>
      </c>
      <c r="R577" s="1">
        <v>7.22E7</v>
      </c>
      <c r="S577" s="1">
        <v>7.22E7</v>
      </c>
    </row>
    <row r="578">
      <c r="A578" s="1">
        <v>576.0</v>
      </c>
      <c r="B578" s="3">
        <v>44286.0</v>
      </c>
      <c r="C578" s="1" t="s">
        <v>330</v>
      </c>
      <c r="D578" s="1" t="s">
        <v>331</v>
      </c>
      <c r="F578" s="1">
        <v>2.88E8</v>
      </c>
      <c r="G578" s="1">
        <v>2.2E8</v>
      </c>
      <c r="H578" s="1">
        <v>2.5E7</v>
      </c>
      <c r="I578" s="1">
        <v>9.62E8</v>
      </c>
      <c r="J578" s="1">
        <v>3.55E8</v>
      </c>
      <c r="K578" s="1">
        <v>3.55E8</v>
      </c>
      <c r="L578" s="1">
        <v>7.2E7</v>
      </c>
      <c r="M578" s="1">
        <v>6.5E7</v>
      </c>
      <c r="N578" s="1">
        <v>1.123E9</v>
      </c>
      <c r="O578" s="1">
        <v>7.68E8</v>
      </c>
      <c r="P578" s="1">
        <v>1.61E8</v>
      </c>
      <c r="Q578" s="1">
        <v>-6.7E7</v>
      </c>
      <c r="R578" s="1">
        <v>2.23E8</v>
      </c>
      <c r="S578" s="1">
        <v>2.2E8</v>
      </c>
    </row>
    <row r="579">
      <c r="A579" s="1">
        <v>577.0</v>
      </c>
      <c r="B579" s="3">
        <v>44196.0</v>
      </c>
      <c r="C579" s="1" t="s">
        <v>330</v>
      </c>
      <c r="D579" s="1" t="s">
        <v>331</v>
      </c>
      <c r="F579" s="1">
        <v>-9.58E8</v>
      </c>
      <c r="G579" s="1">
        <v>-7.39E8</v>
      </c>
      <c r="H579" s="1">
        <v>2.4E7</v>
      </c>
      <c r="I579" s="1">
        <v>5.77E8</v>
      </c>
      <c r="J579" s="1">
        <v>4.8E7</v>
      </c>
      <c r="K579" s="1">
        <v>4.8E7</v>
      </c>
      <c r="L579" s="1">
        <v>7.2E7</v>
      </c>
      <c r="M579" s="1">
        <v>-2.02E8</v>
      </c>
      <c r="N579" s="1">
        <v>7.29E8</v>
      </c>
      <c r="O579" s="1">
        <v>6.81E8</v>
      </c>
      <c r="P579" s="1">
        <v>1.52E8</v>
      </c>
      <c r="Q579" s="1">
        <v>-1.006E9</v>
      </c>
      <c r="R579" s="1">
        <v>-7.56E8</v>
      </c>
      <c r="S579" s="1">
        <v>-7.39E8</v>
      </c>
    </row>
    <row r="580">
      <c r="A580" s="1">
        <v>578.0</v>
      </c>
      <c r="B580" s="3">
        <v>44104.0</v>
      </c>
      <c r="C580" s="1" t="s">
        <v>330</v>
      </c>
      <c r="D580" s="1" t="s">
        <v>331</v>
      </c>
      <c r="F580" s="1">
        <v>-1.409E9</v>
      </c>
      <c r="G580" s="1">
        <v>-1.113E9</v>
      </c>
      <c r="H580" s="1">
        <v>2.0E7</v>
      </c>
      <c r="I580" s="1">
        <v>5.22E8</v>
      </c>
      <c r="J580" s="1">
        <v>9.1E7</v>
      </c>
      <c r="K580" s="1">
        <v>9.1E7</v>
      </c>
      <c r="L580" s="1">
        <v>-4.8E7</v>
      </c>
      <c r="M580" s="1">
        <v>-3.04E8</v>
      </c>
      <c r="N580" s="1">
        <v>6.83E8</v>
      </c>
      <c r="O580" s="1">
        <v>5.92E8</v>
      </c>
      <c r="P580" s="1">
        <v>1.61E8</v>
      </c>
      <c r="Q580" s="1">
        <v>-1.5E9</v>
      </c>
      <c r="R580" s="1">
        <v>-1.105E9</v>
      </c>
      <c r="S580" s="1">
        <v>-1.113E9</v>
      </c>
    </row>
    <row r="581">
      <c r="A581" s="1">
        <v>579.0</v>
      </c>
      <c r="B581" s="3">
        <v>44012.0</v>
      </c>
      <c r="C581" s="1" t="s">
        <v>330</v>
      </c>
      <c r="D581" s="1" t="s">
        <v>331</v>
      </c>
      <c r="F581" s="1">
        <v>-3.092E9</v>
      </c>
      <c r="G581" s="1">
        <v>-2.393E9</v>
      </c>
      <c r="H581" s="1">
        <v>2.0E7</v>
      </c>
      <c r="I581" s="1">
        <v>2.33E8</v>
      </c>
      <c r="J581" s="1">
        <v>-4.86E8</v>
      </c>
      <c r="K581" s="1">
        <v>-4.86E8</v>
      </c>
      <c r="L581" s="1">
        <v>-5.4E7</v>
      </c>
      <c r="M581" s="1">
        <v>-6.81E8</v>
      </c>
      <c r="N581" s="1">
        <v>4.04E8</v>
      </c>
      <c r="O581" s="1">
        <v>8.9E8</v>
      </c>
      <c r="P581" s="1">
        <v>1.71E8</v>
      </c>
      <c r="Q581" s="1">
        <v>-2.606E9</v>
      </c>
      <c r="R581" s="1">
        <v>-2.411E9</v>
      </c>
      <c r="S581" s="1">
        <v>-2.393E9</v>
      </c>
    </row>
    <row r="582">
      <c r="A582" s="1">
        <v>580.0</v>
      </c>
      <c r="B582" s="3">
        <v>44377.0</v>
      </c>
      <c r="C582" s="1" t="s">
        <v>332</v>
      </c>
      <c r="D582" s="1" t="s">
        <v>333</v>
      </c>
      <c r="F582" s="1">
        <v>1.7338E8</v>
      </c>
      <c r="G582" s="1">
        <v>1.21254E8</v>
      </c>
      <c r="H582" s="1">
        <v>9.7492E7</v>
      </c>
      <c r="I582" s="1">
        <v>7.13617E8</v>
      </c>
      <c r="J582" s="1">
        <v>2.44846E8</v>
      </c>
      <c r="K582" s="1">
        <v>2.44846E8</v>
      </c>
      <c r="L582" s="1">
        <v>-7.5014E7</v>
      </c>
      <c r="M582" s="1">
        <v>4.7582E7</v>
      </c>
      <c r="N582" s="1">
        <v>1.145331E9</v>
      </c>
      <c r="O582" s="1">
        <v>9.00485E8</v>
      </c>
      <c r="P582" s="1">
        <v>4.31714E8</v>
      </c>
      <c r="Q582" s="1">
        <v>-7.1466E7</v>
      </c>
      <c r="R582" s="1">
        <v>1.25798E8</v>
      </c>
      <c r="S582" s="1">
        <v>1.27369E8</v>
      </c>
    </row>
    <row r="583">
      <c r="A583" s="1">
        <v>581.0</v>
      </c>
      <c r="B583" s="3">
        <v>44286.0</v>
      </c>
      <c r="C583" s="1" t="s">
        <v>332</v>
      </c>
      <c r="D583" s="1" t="s">
        <v>333</v>
      </c>
      <c r="F583" s="1">
        <v>4.02223E8</v>
      </c>
      <c r="G583" s="1">
        <v>3.8592E8</v>
      </c>
      <c r="H583" s="1">
        <v>9.9994E7</v>
      </c>
      <c r="I583" s="1">
        <v>6.38958E8</v>
      </c>
      <c r="J583" s="1">
        <v>1.69488E8</v>
      </c>
      <c r="K583" s="1">
        <v>1.69488E8</v>
      </c>
      <c r="L583" s="1">
        <v>-7.5653E7</v>
      </c>
      <c r="M583" s="1">
        <v>7547000.0</v>
      </c>
      <c r="N583" s="1">
        <v>1.06736E9</v>
      </c>
      <c r="O583" s="1">
        <v>8.97872E8</v>
      </c>
      <c r="P583" s="1">
        <v>4.28402E8</v>
      </c>
      <c r="Q583" s="1">
        <v>2.32735E8</v>
      </c>
      <c r="R583" s="1">
        <v>3.94676E8</v>
      </c>
      <c r="S583" s="1">
        <v>3.72406E8</v>
      </c>
    </row>
    <row r="584">
      <c r="A584" s="1">
        <v>582.0</v>
      </c>
      <c r="B584" s="3">
        <v>44196.0</v>
      </c>
      <c r="C584" s="1" t="s">
        <v>332</v>
      </c>
      <c r="D584" s="1" t="s">
        <v>333</v>
      </c>
      <c r="F584" s="1">
        <v>6.283E7</v>
      </c>
      <c r="G584" s="1">
        <v>5.7691E7</v>
      </c>
      <c r="H584" s="1">
        <v>1.78188E8</v>
      </c>
      <c r="I584" s="1">
        <v>6.73352E8</v>
      </c>
      <c r="J584" s="1">
        <v>2.10608E8</v>
      </c>
      <c r="K584" s="1">
        <v>2.10608E8</v>
      </c>
      <c r="L584" s="1">
        <v>-7.7883E7</v>
      </c>
      <c r="M584" s="1">
        <v>3322000.0</v>
      </c>
      <c r="N584" s="1">
        <v>1.093664E9</v>
      </c>
      <c r="O584" s="1">
        <v>8.83056E8</v>
      </c>
      <c r="P584" s="1">
        <v>4.20312E8</v>
      </c>
      <c r="Q584" s="1">
        <v>-1.47778E8</v>
      </c>
      <c r="R584" s="1">
        <v>5.9508E7</v>
      </c>
      <c r="S584" s="1">
        <v>4.4177E7</v>
      </c>
    </row>
    <row r="585">
      <c r="A585" s="1">
        <v>583.0</v>
      </c>
      <c r="B585" s="3">
        <v>44104.0</v>
      </c>
      <c r="C585" s="1" t="s">
        <v>332</v>
      </c>
      <c r="D585" s="1" t="s">
        <v>333</v>
      </c>
      <c r="F585" s="1">
        <v>1.4599E7</v>
      </c>
      <c r="G585" s="1">
        <v>-138000.0</v>
      </c>
      <c r="H585" s="1">
        <v>9.1352E7</v>
      </c>
      <c r="I585" s="1">
        <v>6.21274E8</v>
      </c>
      <c r="J585" s="1">
        <v>1.63782E8</v>
      </c>
      <c r="K585" s="1">
        <v>1.63782E8</v>
      </c>
      <c r="L585" s="1">
        <v>-8.9499E7</v>
      </c>
      <c r="M585" s="1">
        <v>1.6053E7</v>
      </c>
      <c r="N585" s="1">
        <v>1.022612E9</v>
      </c>
      <c r="O585" s="1">
        <v>8.5883E8</v>
      </c>
      <c r="P585" s="1">
        <v>4.01338E8</v>
      </c>
      <c r="Q585" s="1">
        <v>-1.49183E8</v>
      </c>
      <c r="R585" s="1">
        <v>-1454000.0</v>
      </c>
      <c r="S585" s="1">
        <v>-3.737E7</v>
      </c>
    </row>
    <row r="586">
      <c r="A586" s="1">
        <v>584.0</v>
      </c>
      <c r="B586" s="3">
        <v>44377.0</v>
      </c>
      <c r="C586" s="1" t="s">
        <v>334</v>
      </c>
      <c r="D586" s="1" t="s">
        <v>335</v>
      </c>
      <c r="F586" s="1">
        <v>2.222E9</v>
      </c>
      <c r="G586" s="1">
        <v>1.698E9</v>
      </c>
      <c r="H586" s="1">
        <v>8.82E8</v>
      </c>
      <c r="I586" s="1">
        <v>3.299E9</v>
      </c>
      <c r="J586" s="1">
        <v>0.0</v>
      </c>
      <c r="K586" s="1">
        <v>2.314E9</v>
      </c>
      <c r="M586" s="1">
        <v>5.24E8</v>
      </c>
      <c r="N586" s="1">
        <v>3.444E9</v>
      </c>
      <c r="O586" s="1">
        <v>1.13E9</v>
      </c>
      <c r="P586" s="1">
        <v>1.45E8</v>
      </c>
      <c r="Q586" s="1">
        <v>-9.2E7</v>
      </c>
      <c r="R586" s="1">
        <v>1.698E9</v>
      </c>
      <c r="S586" s="1">
        <v>1.688E9</v>
      </c>
    </row>
    <row r="587">
      <c r="A587" s="1">
        <v>585.0</v>
      </c>
      <c r="B587" s="3">
        <v>44286.0</v>
      </c>
      <c r="C587" s="1" t="s">
        <v>334</v>
      </c>
      <c r="D587" s="1" t="s">
        <v>335</v>
      </c>
      <c r="F587" s="1">
        <v>2.079E9</v>
      </c>
      <c r="G587" s="1">
        <v>1.593E9</v>
      </c>
      <c r="H587" s="1">
        <v>8.66E8</v>
      </c>
      <c r="I587" s="1">
        <v>3.051E9</v>
      </c>
      <c r="J587" s="1">
        <v>0.0</v>
      </c>
      <c r="K587" s="1">
        <v>2.079E9</v>
      </c>
      <c r="M587" s="1">
        <v>4.86E8</v>
      </c>
      <c r="N587" s="1">
        <v>3.16E9</v>
      </c>
      <c r="O587" s="1">
        <v>1.081E9</v>
      </c>
      <c r="P587" s="1">
        <v>1.09E8</v>
      </c>
      <c r="Q587" s="1">
        <v>0.0</v>
      </c>
      <c r="R587" s="1">
        <v>1.593E9</v>
      </c>
      <c r="S587" s="1">
        <v>1.546E9</v>
      </c>
    </row>
    <row r="588">
      <c r="A588" s="1">
        <v>586.0</v>
      </c>
      <c r="B588" s="3">
        <v>44196.0</v>
      </c>
      <c r="C588" s="1" t="s">
        <v>334</v>
      </c>
      <c r="D588" s="1" t="s">
        <v>335</v>
      </c>
      <c r="F588" s="1">
        <v>1.015E9</v>
      </c>
      <c r="G588" s="1">
        <v>7.99E8</v>
      </c>
      <c r="H588" s="1">
        <v>8.85E8</v>
      </c>
      <c r="I588" s="1">
        <v>2.095E9</v>
      </c>
      <c r="J588" s="1">
        <v>0.0</v>
      </c>
      <c r="K588" s="1">
        <v>1.111E9</v>
      </c>
      <c r="M588" s="1">
        <v>2.16E8</v>
      </c>
      <c r="N588" s="1">
        <v>2.293E9</v>
      </c>
      <c r="O588" s="1">
        <v>1.182E9</v>
      </c>
      <c r="P588" s="1">
        <v>1.98E8</v>
      </c>
      <c r="Q588" s="1">
        <v>-9.6E7</v>
      </c>
      <c r="R588" s="1">
        <v>7.99E8</v>
      </c>
      <c r="S588" s="1">
        <v>7.95E8</v>
      </c>
    </row>
    <row r="589">
      <c r="A589" s="1">
        <v>587.0</v>
      </c>
      <c r="B589" s="3">
        <v>44104.0</v>
      </c>
      <c r="C589" s="1" t="s">
        <v>334</v>
      </c>
      <c r="D589" s="1" t="s">
        <v>335</v>
      </c>
      <c r="F589" s="1">
        <v>9.59E8</v>
      </c>
      <c r="G589" s="1">
        <v>7.71E8</v>
      </c>
      <c r="H589" s="1">
        <v>7.88E8</v>
      </c>
      <c r="I589" s="1">
        <v>1.853E9</v>
      </c>
      <c r="J589" s="1">
        <v>0.0</v>
      </c>
      <c r="K589" s="1">
        <v>9.59E8</v>
      </c>
      <c r="M589" s="1">
        <v>1.88E8</v>
      </c>
      <c r="N589" s="1">
        <v>1.964E9</v>
      </c>
      <c r="O589" s="1">
        <v>1.005E9</v>
      </c>
      <c r="P589" s="1">
        <v>1.11E8</v>
      </c>
      <c r="Q589" s="1">
        <v>0.0</v>
      </c>
      <c r="R589" s="1">
        <v>7.71E8</v>
      </c>
      <c r="S589" s="1">
        <v>7.51E8</v>
      </c>
    </row>
    <row r="590">
      <c r="A590" s="1">
        <v>588.0</v>
      </c>
      <c r="B590" s="3">
        <v>44286.0</v>
      </c>
      <c r="C590" s="1" t="s">
        <v>336</v>
      </c>
      <c r="D590" s="1" t="s">
        <v>337</v>
      </c>
      <c r="F590" s="1">
        <v>2.97E8</v>
      </c>
      <c r="G590" s="1">
        <v>1.4E8</v>
      </c>
      <c r="H590" s="1">
        <v>1.047E9</v>
      </c>
      <c r="I590" s="1">
        <v>1.823E9</v>
      </c>
      <c r="J590" s="1">
        <v>4.15E8</v>
      </c>
      <c r="K590" s="1">
        <v>4.15E8</v>
      </c>
      <c r="L590" s="1">
        <v>-1.73E8</v>
      </c>
      <c r="M590" s="1">
        <v>1.06E8</v>
      </c>
      <c r="N590" s="1">
        <v>2.792E9</v>
      </c>
      <c r="O590" s="1">
        <v>2.377E9</v>
      </c>
      <c r="P590" s="1">
        <v>9.69E8</v>
      </c>
      <c r="Q590" s="1">
        <v>-1.18E8</v>
      </c>
      <c r="R590" s="1">
        <v>1.91E8</v>
      </c>
      <c r="S590" s="1">
        <v>1.25E8</v>
      </c>
    </row>
    <row r="591">
      <c r="A591" s="1">
        <v>589.0</v>
      </c>
      <c r="B591" s="3">
        <v>44196.0</v>
      </c>
      <c r="C591" s="1" t="s">
        <v>336</v>
      </c>
      <c r="D591" s="1" t="s">
        <v>337</v>
      </c>
      <c r="F591" s="1">
        <v>4.16E8</v>
      </c>
      <c r="G591" s="1">
        <v>2.71E8</v>
      </c>
      <c r="H591" s="1">
        <v>8.03E8</v>
      </c>
      <c r="I591" s="1">
        <v>1.797E9</v>
      </c>
      <c r="J591" s="1">
        <v>6.36E8</v>
      </c>
      <c r="K591" s="1">
        <v>6.36E8</v>
      </c>
      <c r="L591" s="1">
        <v>-1.73E8</v>
      </c>
      <c r="M591" s="1">
        <v>9.8E7</v>
      </c>
      <c r="N591" s="1">
        <v>2.886E9</v>
      </c>
      <c r="O591" s="1">
        <v>2.25E9</v>
      </c>
      <c r="P591" s="1">
        <v>1.089E9</v>
      </c>
      <c r="Q591" s="1">
        <v>-2.2E8</v>
      </c>
      <c r="R591" s="1">
        <v>3.18E8</v>
      </c>
      <c r="S591" s="1">
        <v>2.45E8</v>
      </c>
    </row>
    <row r="592">
      <c r="A592" s="1">
        <v>590.0</v>
      </c>
      <c r="B592" s="3">
        <v>44104.0</v>
      </c>
      <c r="C592" s="1" t="s">
        <v>336</v>
      </c>
      <c r="D592" s="1" t="s">
        <v>337</v>
      </c>
      <c r="F592" s="1">
        <v>3.19E8</v>
      </c>
      <c r="G592" s="1">
        <v>3.0E8</v>
      </c>
      <c r="H592" s="1">
        <v>6.33E8</v>
      </c>
      <c r="I592" s="1">
        <v>1.559E9</v>
      </c>
      <c r="J592" s="1">
        <v>5.85E8</v>
      </c>
      <c r="K592" s="1">
        <v>5.85E8</v>
      </c>
      <c r="L592" s="1">
        <v>-1.71E8</v>
      </c>
      <c r="M592" s="1">
        <v>-1.1E7</v>
      </c>
      <c r="N592" s="1">
        <v>2.561E9</v>
      </c>
      <c r="O592" s="1">
        <v>1.976E9</v>
      </c>
      <c r="P592" s="1">
        <v>1.002E9</v>
      </c>
      <c r="Q592" s="1">
        <v>-2.66E8</v>
      </c>
      <c r="R592" s="1">
        <v>3.3E8</v>
      </c>
      <c r="S592" s="1">
        <v>2.65E8</v>
      </c>
    </row>
    <row r="593">
      <c r="A593" s="1">
        <v>591.0</v>
      </c>
      <c r="B593" s="3">
        <v>44012.0</v>
      </c>
      <c r="C593" s="1" t="s">
        <v>336</v>
      </c>
      <c r="D593" s="1" t="s">
        <v>337</v>
      </c>
      <c r="F593" s="1">
        <v>4.56E8</v>
      </c>
      <c r="G593" s="1">
        <v>2.71E8</v>
      </c>
      <c r="H593" s="1">
        <v>6.35E8</v>
      </c>
      <c r="I593" s="1">
        <v>1.737E9</v>
      </c>
      <c r="J593" s="1">
        <v>7.68E8</v>
      </c>
      <c r="K593" s="1">
        <v>7.68E8</v>
      </c>
      <c r="L593" s="1">
        <v>-1.72E8</v>
      </c>
      <c r="M593" s="1">
        <v>1.56E8</v>
      </c>
      <c r="N593" s="1">
        <v>2.541E9</v>
      </c>
      <c r="O593" s="1">
        <v>1.773E9</v>
      </c>
      <c r="P593" s="1">
        <v>8.04E8</v>
      </c>
      <c r="Q593" s="1">
        <v>-3.12E8</v>
      </c>
      <c r="R593" s="1">
        <v>3.0E8</v>
      </c>
      <c r="S593" s="1">
        <v>2.43E8</v>
      </c>
    </row>
    <row r="594">
      <c r="A594" s="1">
        <v>592.0</v>
      </c>
      <c r="B594" s="3">
        <v>44286.0</v>
      </c>
      <c r="C594" s="1" t="s">
        <v>338</v>
      </c>
      <c r="D594" s="1" t="s">
        <v>339</v>
      </c>
      <c r="F594" s="1">
        <v>2.97E8</v>
      </c>
      <c r="G594" s="1">
        <v>1.4E8</v>
      </c>
      <c r="H594" s="1">
        <v>1.047E9</v>
      </c>
      <c r="I594" s="1">
        <v>1.823E9</v>
      </c>
      <c r="J594" s="1">
        <v>4.15E8</v>
      </c>
      <c r="K594" s="1">
        <v>4.15E8</v>
      </c>
      <c r="L594" s="1">
        <v>-1.73E8</v>
      </c>
      <c r="M594" s="1">
        <v>1.06E8</v>
      </c>
      <c r="N594" s="1">
        <v>2.792E9</v>
      </c>
      <c r="O594" s="1">
        <v>2.377E9</v>
      </c>
      <c r="P594" s="1">
        <v>9.69E8</v>
      </c>
      <c r="Q594" s="1">
        <v>-1.18E8</v>
      </c>
      <c r="R594" s="1">
        <v>1.91E8</v>
      </c>
      <c r="S594" s="1">
        <v>1.25E8</v>
      </c>
    </row>
    <row r="595">
      <c r="A595" s="1">
        <v>593.0</v>
      </c>
      <c r="B595" s="3">
        <v>44196.0</v>
      </c>
      <c r="C595" s="1" t="s">
        <v>338</v>
      </c>
      <c r="D595" s="1" t="s">
        <v>339</v>
      </c>
      <c r="F595" s="1">
        <v>4.16E8</v>
      </c>
      <c r="G595" s="1">
        <v>2.71E8</v>
      </c>
      <c r="H595" s="1">
        <v>8.03E8</v>
      </c>
      <c r="I595" s="1">
        <v>1.797E9</v>
      </c>
      <c r="J595" s="1">
        <v>6.36E8</v>
      </c>
      <c r="K595" s="1">
        <v>6.36E8</v>
      </c>
      <c r="L595" s="1">
        <v>-1.73E8</v>
      </c>
      <c r="M595" s="1">
        <v>9.8E7</v>
      </c>
      <c r="N595" s="1">
        <v>2.886E9</v>
      </c>
      <c r="O595" s="1">
        <v>2.25E9</v>
      </c>
      <c r="P595" s="1">
        <v>1.089E9</v>
      </c>
      <c r="Q595" s="1">
        <v>-2.2E8</v>
      </c>
      <c r="R595" s="1">
        <v>3.18E8</v>
      </c>
      <c r="S595" s="1">
        <v>2.45E8</v>
      </c>
    </row>
    <row r="596">
      <c r="A596" s="1">
        <v>594.0</v>
      </c>
      <c r="B596" s="3">
        <v>44104.0</v>
      </c>
      <c r="C596" s="1" t="s">
        <v>338</v>
      </c>
      <c r="D596" s="1" t="s">
        <v>339</v>
      </c>
      <c r="F596" s="1">
        <v>3.19E8</v>
      </c>
      <c r="G596" s="1">
        <v>3.0E8</v>
      </c>
      <c r="H596" s="1">
        <v>6.33E8</v>
      </c>
      <c r="I596" s="1">
        <v>1.559E9</v>
      </c>
      <c r="J596" s="1">
        <v>5.85E8</v>
      </c>
      <c r="K596" s="1">
        <v>5.85E8</v>
      </c>
      <c r="L596" s="1">
        <v>-1.71E8</v>
      </c>
      <c r="M596" s="1">
        <v>-1.1E7</v>
      </c>
      <c r="N596" s="1">
        <v>2.561E9</v>
      </c>
      <c r="O596" s="1">
        <v>1.976E9</v>
      </c>
      <c r="P596" s="1">
        <v>1.002E9</v>
      </c>
      <c r="Q596" s="1">
        <v>-2.66E8</v>
      </c>
      <c r="R596" s="1">
        <v>3.3E8</v>
      </c>
      <c r="S596" s="1">
        <v>2.65E8</v>
      </c>
    </row>
    <row r="597">
      <c r="A597" s="1">
        <v>595.0</v>
      </c>
      <c r="B597" s="3">
        <v>44012.0</v>
      </c>
      <c r="C597" s="1" t="s">
        <v>338</v>
      </c>
      <c r="D597" s="1" t="s">
        <v>339</v>
      </c>
      <c r="F597" s="1">
        <v>4.56E8</v>
      </c>
      <c r="G597" s="1">
        <v>2.71E8</v>
      </c>
      <c r="H597" s="1">
        <v>6.35E8</v>
      </c>
      <c r="I597" s="1">
        <v>1.737E9</v>
      </c>
      <c r="J597" s="1">
        <v>7.68E8</v>
      </c>
      <c r="K597" s="1">
        <v>7.68E8</v>
      </c>
      <c r="L597" s="1">
        <v>-1.72E8</v>
      </c>
      <c r="M597" s="1">
        <v>1.56E8</v>
      </c>
      <c r="N597" s="1">
        <v>2.541E9</v>
      </c>
      <c r="O597" s="1">
        <v>1.773E9</v>
      </c>
      <c r="P597" s="1">
        <v>8.04E8</v>
      </c>
      <c r="Q597" s="1">
        <v>-3.12E8</v>
      </c>
      <c r="R597" s="1">
        <v>3.0E8</v>
      </c>
      <c r="S597" s="1">
        <v>2.43E8</v>
      </c>
    </row>
    <row r="598">
      <c r="A598" s="1">
        <v>596.0</v>
      </c>
      <c r="B598" s="3">
        <v>44377.0</v>
      </c>
      <c r="C598" s="1" t="s">
        <v>340</v>
      </c>
      <c r="D598" s="1" t="s">
        <v>341</v>
      </c>
      <c r="F598" s="1">
        <v>8.98989E8</v>
      </c>
      <c r="G598" s="1">
        <v>6.71047E8</v>
      </c>
      <c r="H598" s="1">
        <v>5.07909E8</v>
      </c>
      <c r="I598" s="1">
        <v>1.601037E9</v>
      </c>
      <c r="J598" s="1">
        <v>9.06738E8</v>
      </c>
      <c r="K598" s="1">
        <v>9.06738E8</v>
      </c>
      <c r="L598" s="1">
        <v>-3825000.0</v>
      </c>
      <c r="M598" s="1">
        <v>2.17538E8</v>
      </c>
      <c r="N598" s="1">
        <v>4.48696E9</v>
      </c>
      <c r="O598" s="1">
        <v>3.580222E9</v>
      </c>
      <c r="P598" s="1">
        <v>2.885923E9</v>
      </c>
      <c r="Q598" s="1">
        <v>-7749000.0</v>
      </c>
      <c r="R598" s="1">
        <v>6.81451E8</v>
      </c>
      <c r="S598" s="1">
        <v>6.71047E8</v>
      </c>
    </row>
    <row r="599">
      <c r="A599" s="1">
        <v>597.0</v>
      </c>
      <c r="B599" s="3">
        <v>44286.0</v>
      </c>
      <c r="C599" s="1" t="s">
        <v>340</v>
      </c>
      <c r="D599" s="1" t="s">
        <v>341</v>
      </c>
      <c r="F599" s="1">
        <v>8.57412E8</v>
      </c>
      <c r="G599" s="1">
        <v>6.30224E8</v>
      </c>
      <c r="H599" s="1">
        <v>4.81686E8</v>
      </c>
      <c r="I599" s="1">
        <v>1.536647E9</v>
      </c>
      <c r="J599" s="1">
        <v>8.64576E8</v>
      </c>
      <c r="K599" s="1">
        <v>8.64576E8</v>
      </c>
      <c r="L599" s="1">
        <v>-3873000.0</v>
      </c>
      <c r="M599" s="1">
        <v>2.15849E8</v>
      </c>
      <c r="N599" s="1">
        <v>4.497853E9</v>
      </c>
      <c r="O599" s="1">
        <v>3.633277E9</v>
      </c>
      <c r="P599" s="1">
        <v>2.961206E9</v>
      </c>
      <c r="Q599" s="1">
        <v>-7164000.0</v>
      </c>
      <c r="R599" s="1">
        <v>6.41563E8</v>
      </c>
      <c r="S599" s="1">
        <v>6.30224E8</v>
      </c>
    </row>
    <row r="600">
      <c r="A600" s="1">
        <v>598.0</v>
      </c>
      <c r="B600" s="3">
        <v>44196.0</v>
      </c>
      <c r="C600" s="1" t="s">
        <v>340</v>
      </c>
      <c r="D600" s="1" t="s">
        <v>341</v>
      </c>
      <c r="F600" s="1">
        <v>9.89709E8</v>
      </c>
      <c r="G600" s="1">
        <v>7.32632E8</v>
      </c>
      <c r="H600" s="1">
        <v>4.29261E8</v>
      </c>
      <c r="I600" s="1">
        <v>1.615425E9</v>
      </c>
      <c r="J600" s="1">
        <v>9.89639E8</v>
      </c>
      <c r="K600" s="1">
        <v>9.89639E8</v>
      </c>
      <c r="L600" s="1">
        <v>-3873000.0</v>
      </c>
      <c r="M600" s="1">
        <v>2.28411E8</v>
      </c>
      <c r="N600" s="1">
        <v>4.557365E9</v>
      </c>
      <c r="O600" s="1">
        <v>3.567726E9</v>
      </c>
      <c r="P600" s="1">
        <v>2.94194E9</v>
      </c>
      <c r="Q600" s="1">
        <v>70000.0</v>
      </c>
      <c r="R600" s="1">
        <v>7.61298E8</v>
      </c>
      <c r="S600" s="1">
        <v>7.32632E8</v>
      </c>
    </row>
    <row r="601">
      <c r="A601" s="1">
        <v>599.0</v>
      </c>
      <c r="B601" s="3">
        <v>44104.0</v>
      </c>
      <c r="C601" s="1" t="s">
        <v>340</v>
      </c>
      <c r="D601" s="1" t="s">
        <v>341</v>
      </c>
      <c r="F601" s="1">
        <v>8.06473E8</v>
      </c>
      <c r="G601" s="1">
        <v>5.04599E8</v>
      </c>
      <c r="H601" s="1">
        <v>5.16648E8</v>
      </c>
      <c r="I601" s="1">
        <v>1.526979E9</v>
      </c>
      <c r="J601" s="1">
        <v>8.11248E8</v>
      </c>
      <c r="K601" s="1">
        <v>8.11248E8</v>
      </c>
      <c r="L601" s="1">
        <v>6778000.0</v>
      </c>
      <c r="M601" s="1">
        <v>2.73514E8</v>
      </c>
      <c r="N601" s="1">
        <v>4.531591E9</v>
      </c>
      <c r="O601" s="1">
        <v>3.720343E9</v>
      </c>
      <c r="P601" s="1">
        <v>3.004612E9</v>
      </c>
      <c r="Q601" s="1">
        <v>-4775000.0</v>
      </c>
      <c r="R601" s="1">
        <v>5.32959E8</v>
      </c>
      <c r="S601" s="1">
        <v>5.04599E8</v>
      </c>
    </row>
    <row r="602">
      <c r="A602" s="1">
        <v>600.0</v>
      </c>
      <c r="B602" s="3">
        <v>44316.0</v>
      </c>
      <c r="C602" s="1" t="s">
        <v>342</v>
      </c>
      <c r="D602" s="1" t="s">
        <v>343</v>
      </c>
      <c r="F602" s="1">
        <v>8.68458E8</v>
      </c>
      <c r="G602" s="1">
        <v>6.77749E8</v>
      </c>
      <c r="H602" s="1">
        <v>1.846818E9</v>
      </c>
      <c r="I602" s="1">
        <v>2.755668E9</v>
      </c>
      <c r="J602" s="1">
        <v>9.0885E8</v>
      </c>
      <c r="K602" s="1">
        <v>9.0885E8</v>
      </c>
      <c r="L602" s="1">
        <v>-4.0392E7</v>
      </c>
      <c r="M602" s="1">
        <v>1.90709E8</v>
      </c>
      <c r="N602" s="1">
        <v>8.400964E9</v>
      </c>
      <c r="O602" s="1">
        <v>7.492114E9</v>
      </c>
      <c r="P602" s="1">
        <v>5.645296E9</v>
      </c>
      <c r="Q602" s="1">
        <v>-4.0392E7</v>
      </c>
      <c r="R602" s="1">
        <v>6.77749E8</v>
      </c>
      <c r="S602" s="1">
        <v>6.77749E8</v>
      </c>
    </row>
    <row r="603">
      <c r="A603" s="1">
        <v>601.0</v>
      </c>
      <c r="B603" s="3">
        <v>44225.0</v>
      </c>
      <c r="C603" s="1" t="s">
        <v>342</v>
      </c>
      <c r="D603" s="1" t="s">
        <v>343</v>
      </c>
      <c r="F603" s="1">
        <v>8.31956E8</v>
      </c>
      <c r="G603" s="1">
        <v>6.42743E8</v>
      </c>
      <c r="H603" s="1">
        <v>1.861771E9</v>
      </c>
      <c r="I603" s="1">
        <v>2.736695E9</v>
      </c>
      <c r="J603" s="1">
        <v>8.74924E8</v>
      </c>
      <c r="K603" s="1">
        <v>8.74924E8</v>
      </c>
      <c r="L603" s="1">
        <v>-4.0268E7</v>
      </c>
      <c r="M603" s="1">
        <v>1.89213E8</v>
      </c>
      <c r="N603" s="1">
        <v>8.414524E9</v>
      </c>
      <c r="O603" s="1">
        <v>7.5396E9</v>
      </c>
      <c r="P603" s="1">
        <v>5.677829E9</v>
      </c>
      <c r="Q603" s="1">
        <v>-4.2968E7</v>
      </c>
      <c r="R603" s="1">
        <v>6.42743E8</v>
      </c>
      <c r="S603" s="1">
        <v>6.42743E8</v>
      </c>
    </row>
    <row r="604">
      <c r="A604" s="1">
        <v>602.0</v>
      </c>
      <c r="B604" s="3">
        <v>44134.0</v>
      </c>
      <c r="C604" s="1" t="s">
        <v>342</v>
      </c>
      <c r="D604" s="1" t="s">
        <v>343</v>
      </c>
      <c r="F604" s="1">
        <v>7.32832E8</v>
      </c>
      <c r="G604" s="1">
        <v>5.7426E8</v>
      </c>
      <c r="H604" s="1">
        <v>1.79511E9</v>
      </c>
      <c r="I604" s="1">
        <v>2.56824E9</v>
      </c>
      <c r="J604" s="1">
        <v>7.7313E8</v>
      </c>
      <c r="K604" s="1">
        <v>7.7313E8</v>
      </c>
      <c r="L604" s="1">
        <v>-4.0298E7</v>
      </c>
      <c r="M604" s="1">
        <v>1.58572E8</v>
      </c>
      <c r="N604" s="1">
        <v>8.199625E9</v>
      </c>
      <c r="O604" s="1">
        <v>7.426495E9</v>
      </c>
      <c r="P604" s="1">
        <v>5.631385E9</v>
      </c>
      <c r="Q604" s="1">
        <v>-4.0298E7</v>
      </c>
      <c r="R604" s="1">
        <v>5.7426E8</v>
      </c>
      <c r="S604" s="1">
        <v>5.7426E8</v>
      </c>
    </row>
    <row r="605">
      <c r="A605" s="1">
        <v>603.0</v>
      </c>
      <c r="B605" s="3">
        <v>44043.0</v>
      </c>
      <c r="C605" s="1" t="s">
        <v>342</v>
      </c>
      <c r="D605" s="1" t="s">
        <v>343</v>
      </c>
      <c r="F605" s="1">
        <v>1.003301E9</v>
      </c>
      <c r="G605" s="1">
        <v>7.87601E8</v>
      </c>
      <c r="H605" s="1">
        <v>1.775608E9</v>
      </c>
      <c r="I605" s="1">
        <v>2.818235E9</v>
      </c>
      <c r="J605" s="1">
        <v>1.042627E9</v>
      </c>
      <c r="K605" s="1">
        <v>1.042627E9</v>
      </c>
      <c r="L605" s="1">
        <v>-3.9326E7</v>
      </c>
      <c r="M605" s="1">
        <v>2.157E8</v>
      </c>
      <c r="N605" s="1">
        <v>8.684241E9</v>
      </c>
      <c r="O605" s="1">
        <v>7.641614E9</v>
      </c>
      <c r="P605" s="1">
        <v>5.866006E9</v>
      </c>
      <c r="Q605" s="1">
        <v>-3.9326E7</v>
      </c>
      <c r="R605" s="1">
        <v>7.87601E8</v>
      </c>
      <c r="S605" s="1">
        <v>7.87601E8</v>
      </c>
    </row>
    <row r="606">
      <c r="A606" s="1">
        <v>604.0</v>
      </c>
      <c r="B606" s="3">
        <v>44317.0</v>
      </c>
      <c r="C606" s="1" t="s">
        <v>344</v>
      </c>
      <c r="D606" s="1" t="s">
        <v>345</v>
      </c>
      <c r="F606" s="1">
        <v>4.869E8</v>
      </c>
      <c r="G606" s="1">
        <v>3.745E8</v>
      </c>
      <c r="H606" s="1">
        <v>1.4471E9</v>
      </c>
      <c r="I606" s="1">
        <v>1.967E9</v>
      </c>
      <c r="J606" s="1">
        <v>5.199E8</v>
      </c>
      <c r="K606" s="1">
        <v>5.199E8</v>
      </c>
      <c r="L606" s="1">
        <v>-3.3E7</v>
      </c>
      <c r="M606" s="1">
        <v>1.124E8</v>
      </c>
      <c r="N606" s="1">
        <v>6.4797E9</v>
      </c>
      <c r="O606" s="1">
        <v>5.9598E9</v>
      </c>
      <c r="P606" s="1">
        <v>4.5127E9</v>
      </c>
      <c r="Q606" s="1">
        <v>-3.3E7</v>
      </c>
      <c r="R606" s="1">
        <v>3.745E8</v>
      </c>
      <c r="S606" s="1">
        <v>3.745E8</v>
      </c>
    </row>
    <row r="607">
      <c r="A607" s="1">
        <v>605.0</v>
      </c>
      <c r="B607" s="3">
        <v>44226.0</v>
      </c>
      <c r="C607" s="1" t="s">
        <v>344</v>
      </c>
      <c r="D607" s="1" t="s">
        <v>345</v>
      </c>
      <c r="F607" s="1">
        <v>6.474E8</v>
      </c>
      <c r="G607" s="1">
        <v>5.028E8</v>
      </c>
      <c r="H607" s="1">
        <v>1.3942E9</v>
      </c>
      <c r="I607" s="1">
        <v>2.1604E9</v>
      </c>
      <c r="J607" s="1">
        <v>7.181E8</v>
      </c>
      <c r="K607" s="1">
        <v>7.181E8</v>
      </c>
      <c r="L607" s="1">
        <v>-3.42E7</v>
      </c>
      <c r="M607" s="1">
        <v>1.446E8</v>
      </c>
      <c r="N607" s="1">
        <v>6.7679E9</v>
      </c>
      <c r="O607" s="1">
        <v>6.0498E9</v>
      </c>
      <c r="P607" s="1">
        <v>4.6075E9</v>
      </c>
      <c r="Q607" s="1">
        <v>-7.07E7</v>
      </c>
      <c r="R607" s="1">
        <v>5.028E8</v>
      </c>
      <c r="S607" s="1">
        <v>5.028E8</v>
      </c>
    </row>
    <row r="608">
      <c r="A608" s="1">
        <v>606.0</v>
      </c>
      <c r="B608" s="3">
        <v>44135.0</v>
      </c>
      <c r="C608" s="1" t="s">
        <v>344</v>
      </c>
      <c r="D608" s="1" t="s">
        <v>345</v>
      </c>
      <c r="F608" s="1">
        <v>4.273E8</v>
      </c>
      <c r="G608" s="1">
        <v>3.3E8</v>
      </c>
      <c r="H608" s="1">
        <v>1.4235E9</v>
      </c>
      <c r="I608" s="1">
        <v>1.9353E9</v>
      </c>
      <c r="J608" s="1">
        <v>5.118E8</v>
      </c>
      <c r="K608" s="1">
        <v>5.118E8</v>
      </c>
      <c r="L608" s="1">
        <v>-3.81E7</v>
      </c>
      <c r="M608" s="1">
        <v>9.73E7</v>
      </c>
      <c r="N608" s="1">
        <v>6.177E9</v>
      </c>
      <c r="O608" s="1">
        <v>5.6652E9</v>
      </c>
      <c r="P608" s="1">
        <v>4.2417E9</v>
      </c>
      <c r="Q608" s="1">
        <v>-8.45E7</v>
      </c>
      <c r="R608" s="1">
        <v>3.3E8</v>
      </c>
      <c r="S608" s="1">
        <v>3.3E8</v>
      </c>
    </row>
    <row r="609">
      <c r="A609" s="1">
        <v>607.0</v>
      </c>
      <c r="B609" s="3">
        <v>44044.0</v>
      </c>
      <c r="C609" s="1" t="s">
        <v>344</v>
      </c>
      <c r="D609" s="1" t="s">
        <v>345</v>
      </c>
      <c r="F609" s="1">
        <v>3.399E8</v>
      </c>
      <c r="G609" s="1">
        <v>2.615E8</v>
      </c>
      <c r="H609" s="1">
        <v>1.4191E9</v>
      </c>
      <c r="I609" s="1">
        <v>1.9276E9</v>
      </c>
      <c r="J609" s="1">
        <v>5.085E8</v>
      </c>
      <c r="K609" s="1">
        <v>5.085E8</v>
      </c>
      <c r="L609" s="1">
        <v>-3.48E7</v>
      </c>
      <c r="M609" s="1">
        <v>7.84E7</v>
      </c>
      <c r="N609" s="1">
        <v>6.2776E9</v>
      </c>
      <c r="O609" s="1">
        <v>5.7691E9</v>
      </c>
      <c r="P609" s="1">
        <v>4.35E9</v>
      </c>
      <c r="Q609" s="1">
        <v>-1.686E8</v>
      </c>
      <c r="R609" s="1">
        <v>2.615E8</v>
      </c>
      <c r="S609" s="1">
        <v>2.615E8</v>
      </c>
    </row>
    <row r="610">
      <c r="A610" s="1">
        <v>608.0</v>
      </c>
      <c r="B610" s="3">
        <v>44377.0</v>
      </c>
      <c r="C610" s="1" t="s">
        <v>346</v>
      </c>
      <c r="D610" s="1" t="s">
        <v>347</v>
      </c>
      <c r="F610" s="1">
        <v>2.22E8</v>
      </c>
      <c r="G610" s="1">
        <v>2.85E8</v>
      </c>
      <c r="H610" s="1">
        <v>-1.14E8</v>
      </c>
      <c r="I610" s="1">
        <v>1.51E9</v>
      </c>
      <c r="J610" s="1">
        <v>7.86E8</v>
      </c>
      <c r="K610" s="1">
        <v>7.86E8</v>
      </c>
      <c r="L610" s="1">
        <v>-5.18E8</v>
      </c>
      <c r="M610" s="1">
        <v>-4.7E7</v>
      </c>
      <c r="N610" s="1">
        <v>3.038E9</v>
      </c>
      <c r="O610" s="1">
        <v>2.252E9</v>
      </c>
      <c r="P610" s="1">
        <v>1.528E9</v>
      </c>
      <c r="Q610" s="1">
        <v>-5.64E8</v>
      </c>
      <c r="R610" s="1">
        <v>2.69E8</v>
      </c>
      <c r="S610" s="1">
        <v>2.69E8</v>
      </c>
    </row>
    <row r="611">
      <c r="A611" s="1">
        <v>609.0</v>
      </c>
      <c r="B611" s="3">
        <v>44286.0</v>
      </c>
      <c r="C611" s="1" t="s">
        <v>346</v>
      </c>
      <c r="D611" s="1" t="s">
        <v>347</v>
      </c>
      <c r="F611" s="1">
        <v>1.192E9</v>
      </c>
      <c r="G611" s="1">
        <v>1.008E9</v>
      </c>
      <c r="H611" s="1">
        <v>-1.24E8</v>
      </c>
      <c r="I611" s="1">
        <v>1.886E9</v>
      </c>
      <c r="J611" s="1">
        <v>1.257E9</v>
      </c>
      <c r="K611" s="1">
        <v>1.257E9</v>
      </c>
      <c r="L611" s="1">
        <v>-5.3E7</v>
      </c>
      <c r="M611" s="1">
        <v>2.12E8</v>
      </c>
      <c r="N611" s="1">
        <v>3.87E9</v>
      </c>
      <c r="O611" s="1">
        <v>2.613E9</v>
      </c>
      <c r="P611" s="1">
        <v>1.984E9</v>
      </c>
      <c r="Q611" s="1">
        <v>-6.5E7</v>
      </c>
      <c r="R611" s="1">
        <v>9.8E8</v>
      </c>
      <c r="S611" s="1">
        <v>9.92E8</v>
      </c>
    </row>
    <row r="612">
      <c r="A612" s="1">
        <v>610.0</v>
      </c>
      <c r="B612" s="3">
        <v>44196.0</v>
      </c>
      <c r="C612" s="1" t="s">
        <v>346</v>
      </c>
      <c r="D612" s="1" t="s">
        <v>347</v>
      </c>
      <c r="F612" s="1">
        <v>1.021E9</v>
      </c>
      <c r="G612" s="1">
        <v>6.82E8</v>
      </c>
      <c r="H612" s="1">
        <v>-4.86E8</v>
      </c>
      <c r="I612" s="1">
        <v>1.762E9</v>
      </c>
      <c r="J612" s="1">
        <v>7.5E8</v>
      </c>
      <c r="K612" s="1">
        <v>7.5E8</v>
      </c>
      <c r="L612" s="1">
        <v>-2.72E8</v>
      </c>
      <c r="M612" s="1">
        <v>2.06E8</v>
      </c>
      <c r="N612" s="1">
        <v>3.521E9</v>
      </c>
      <c r="O612" s="1">
        <v>2.771E9</v>
      </c>
      <c r="P612" s="1">
        <v>1.759E9</v>
      </c>
      <c r="Q612" s="1">
        <v>2.71E8</v>
      </c>
      <c r="R612" s="1">
        <v>8.15E8</v>
      </c>
      <c r="S612" s="1">
        <v>6.65E8</v>
      </c>
    </row>
    <row r="613">
      <c r="A613" s="1">
        <v>611.0</v>
      </c>
      <c r="B613" s="3">
        <v>44104.0</v>
      </c>
      <c r="C613" s="1" t="s">
        <v>346</v>
      </c>
      <c r="D613" s="1" t="s">
        <v>347</v>
      </c>
      <c r="F613" s="1">
        <v>2000000.0</v>
      </c>
      <c r="G613" s="1">
        <v>3.56E8</v>
      </c>
      <c r="H613" s="1">
        <v>3.1E7</v>
      </c>
      <c r="I613" s="1">
        <v>1.998E9</v>
      </c>
      <c r="J613" s="1">
        <v>9.51E8</v>
      </c>
      <c r="K613" s="1">
        <v>9.51E8</v>
      </c>
      <c r="L613" s="1">
        <v>-3.06E8</v>
      </c>
      <c r="M613" s="1">
        <v>-1.1E8</v>
      </c>
      <c r="N613" s="1">
        <v>3.607E9</v>
      </c>
      <c r="O613" s="1">
        <v>2.656E9</v>
      </c>
      <c r="P613" s="1">
        <v>1.609E9</v>
      </c>
      <c r="Q613" s="1">
        <v>-9.49E8</v>
      </c>
      <c r="R613" s="1">
        <v>1.12E8</v>
      </c>
      <c r="S613" s="1">
        <v>3.4E8</v>
      </c>
    </row>
    <row r="614">
      <c r="A614" s="1">
        <v>612.0</v>
      </c>
      <c r="B614" s="3">
        <v>44367.0</v>
      </c>
      <c r="C614" s="1" t="s">
        <v>348</v>
      </c>
      <c r="D614" s="1" t="s">
        <v>349</v>
      </c>
      <c r="F614" s="1">
        <v>1.45093E8</v>
      </c>
      <c r="G614" s="1">
        <v>1.16619E8</v>
      </c>
      <c r="H614" s="1">
        <v>1.00448E8</v>
      </c>
      <c r="I614" s="1">
        <v>2.9135E8</v>
      </c>
      <c r="J614" s="1">
        <v>1.90902E8</v>
      </c>
      <c r="K614" s="1">
        <v>1.90902E8</v>
      </c>
      <c r="L614" s="1">
        <v>-4.5877E7</v>
      </c>
      <c r="M614" s="1">
        <v>2.8474E7</v>
      </c>
      <c r="N614" s="1">
        <v>1.032472E9</v>
      </c>
      <c r="O614" s="1">
        <v>8.4157E8</v>
      </c>
      <c r="P614" s="1">
        <v>7.41122E8</v>
      </c>
      <c r="Q614" s="1">
        <v>-4.5809E7</v>
      </c>
      <c r="R614" s="1">
        <v>1.16619E8</v>
      </c>
      <c r="S614" s="1">
        <v>1.16619E8</v>
      </c>
    </row>
    <row r="615">
      <c r="A615" s="1">
        <v>613.0</v>
      </c>
      <c r="B615" s="3">
        <v>44283.0</v>
      </c>
      <c r="C615" s="1" t="s">
        <v>348</v>
      </c>
      <c r="D615" s="1" t="s">
        <v>349</v>
      </c>
      <c r="F615" s="1">
        <v>1.49638E8</v>
      </c>
      <c r="G615" s="1">
        <v>1.17761E8</v>
      </c>
      <c r="H615" s="1">
        <v>9.1253E7</v>
      </c>
      <c r="I615" s="1">
        <v>2.77791E8</v>
      </c>
      <c r="J615" s="1">
        <v>1.86538E8</v>
      </c>
      <c r="K615" s="1">
        <v>1.86538E8</v>
      </c>
      <c r="L615" s="1">
        <v>-3.9422E7</v>
      </c>
      <c r="M615" s="1">
        <v>3.1877E7</v>
      </c>
      <c r="N615" s="1">
        <v>9.83698E8</v>
      </c>
      <c r="O615" s="1">
        <v>7.9716E8</v>
      </c>
      <c r="P615" s="1">
        <v>7.05907E8</v>
      </c>
      <c r="Q615" s="1">
        <v>-3.69E7</v>
      </c>
      <c r="R615" s="1">
        <v>1.17761E8</v>
      </c>
      <c r="S615" s="1">
        <v>1.17761E8</v>
      </c>
    </row>
    <row r="616">
      <c r="A616" s="1">
        <v>614.0</v>
      </c>
      <c r="B616" s="3">
        <v>44199.0</v>
      </c>
      <c r="C616" s="1" t="s">
        <v>348</v>
      </c>
      <c r="D616" s="1" t="s">
        <v>349</v>
      </c>
      <c r="F616" s="1">
        <v>1.89565E8</v>
      </c>
      <c r="G616" s="1">
        <v>1.51897E8</v>
      </c>
      <c r="H616" s="1">
        <v>1.38404E8</v>
      </c>
      <c r="I616" s="1">
        <v>3.82448E8</v>
      </c>
      <c r="J616" s="1">
        <v>2.44044E8</v>
      </c>
      <c r="K616" s="1">
        <v>2.44044E8</v>
      </c>
      <c r="L616" s="1">
        <v>-5.4479E7</v>
      </c>
      <c r="M616" s="1">
        <v>3.7668E7</v>
      </c>
      <c r="N616" s="1">
        <v>1.356567E9</v>
      </c>
      <c r="O616" s="1">
        <v>1.112523E9</v>
      </c>
      <c r="P616" s="1">
        <v>9.74119E8</v>
      </c>
      <c r="Q616" s="1">
        <v>-5.4479E7</v>
      </c>
      <c r="R616" s="1">
        <v>1.51897E8</v>
      </c>
      <c r="S616" s="1">
        <v>1.51897E8</v>
      </c>
    </row>
    <row r="617">
      <c r="A617" s="1">
        <v>615.0</v>
      </c>
      <c r="B617" s="3">
        <v>44080.0</v>
      </c>
      <c r="C617" s="1" t="s">
        <v>348</v>
      </c>
      <c r="D617" s="1" t="s">
        <v>349</v>
      </c>
      <c r="F617" s="1">
        <v>1.23773E8</v>
      </c>
      <c r="G617" s="1">
        <v>9.9129E7</v>
      </c>
      <c r="H617" s="1">
        <v>9.1652E7</v>
      </c>
      <c r="I617" s="1">
        <v>2.53833E8</v>
      </c>
      <c r="J617" s="1">
        <v>1.62181E8</v>
      </c>
      <c r="K617" s="1">
        <v>1.62181E8</v>
      </c>
      <c r="L617" s="1">
        <v>-3.8605E7</v>
      </c>
      <c r="M617" s="1">
        <v>2.4644E7</v>
      </c>
      <c r="N617" s="1">
        <v>9.67719E8</v>
      </c>
      <c r="O617" s="1">
        <v>8.05538E8</v>
      </c>
      <c r="P617" s="1">
        <v>7.13886E8</v>
      </c>
      <c r="Q617" s="1">
        <v>-3.8408E7</v>
      </c>
      <c r="R617" s="1">
        <v>9.9129E7</v>
      </c>
      <c r="S617" s="1">
        <v>9.9129E7</v>
      </c>
    </row>
    <row r="618">
      <c r="A618" s="1">
        <v>616.0</v>
      </c>
      <c r="B618" s="3">
        <v>44469.0</v>
      </c>
      <c r="C618" s="1" t="s">
        <v>350</v>
      </c>
      <c r="D618" s="1" t="s">
        <v>351</v>
      </c>
      <c r="E618" s="1">
        <v>3.44E7</v>
      </c>
      <c r="F618" s="1">
        <v>3.27519E8</v>
      </c>
      <c r="G618" s="1">
        <v>2.63756E8</v>
      </c>
      <c r="H618" s="1">
        <v>3.74239E8</v>
      </c>
      <c r="I618" s="1">
        <v>7.56773E8</v>
      </c>
      <c r="J618" s="1">
        <v>3.48134E8</v>
      </c>
      <c r="K618" s="1">
        <v>3.48134E8</v>
      </c>
      <c r="L618" s="1">
        <v>-2.6433E7</v>
      </c>
      <c r="M618" s="1">
        <v>6.3763E7</v>
      </c>
      <c r="N618" s="1">
        <v>2.018269E9</v>
      </c>
      <c r="O618" s="1">
        <v>1.670135E9</v>
      </c>
      <c r="P618" s="1">
        <v>1.261496E9</v>
      </c>
      <c r="Q618" s="1">
        <v>-2.0615E7</v>
      </c>
      <c r="R618" s="1">
        <v>2.63756E8</v>
      </c>
      <c r="S618" s="1">
        <v>2.63756E8</v>
      </c>
    </row>
    <row r="619">
      <c r="A619" s="1">
        <v>617.0</v>
      </c>
      <c r="B619" s="3">
        <v>44377.0</v>
      </c>
      <c r="C619" s="1" t="s">
        <v>350</v>
      </c>
      <c r="D619" s="1" t="s">
        <v>351</v>
      </c>
      <c r="E619" s="1">
        <v>4.12E7</v>
      </c>
      <c r="F619" s="1">
        <v>3.23344E8</v>
      </c>
      <c r="G619" s="1">
        <v>2.64508E8</v>
      </c>
      <c r="H619" s="1">
        <v>3.80932E8</v>
      </c>
      <c r="I619" s="1">
        <v>7.77011E8</v>
      </c>
      <c r="J619" s="1">
        <v>3.54879E8</v>
      </c>
      <c r="K619" s="1">
        <v>3.54879E8</v>
      </c>
      <c r="L619" s="1">
        <v>-2.6661E7</v>
      </c>
      <c r="M619" s="1">
        <v>5.8836E7</v>
      </c>
      <c r="N619" s="1">
        <v>2.031676E9</v>
      </c>
      <c r="O619" s="1">
        <v>1.676797E9</v>
      </c>
      <c r="P619" s="1">
        <v>1.254665E9</v>
      </c>
      <c r="Q619" s="1">
        <v>-3.1535E7</v>
      </c>
      <c r="R619" s="1">
        <v>2.64508E8</v>
      </c>
      <c r="S619" s="1">
        <v>2.64508E8</v>
      </c>
    </row>
    <row r="620">
      <c r="A620" s="1">
        <v>618.0</v>
      </c>
      <c r="B620" s="3">
        <v>44286.0</v>
      </c>
      <c r="C620" s="1" t="s">
        <v>350</v>
      </c>
      <c r="D620" s="1" t="s">
        <v>351</v>
      </c>
      <c r="E620" s="1">
        <v>4.12E7</v>
      </c>
      <c r="F620" s="1">
        <v>2.8925E8</v>
      </c>
      <c r="G620" s="1">
        <v>2.32769E8</v>
      </c>
      <c r="H620" s="1">
        <v>3.63954E8</v>
      </c>
      <c r="I620" s="1">
        <v>7.25455E8</v>
      </c>
      <c r="J620" s="1">
        <v>3.20301E8</v>
      </c>
      <c r="K620" s="1">
        <v>3.20301E8</v>
      </c>
      <c r="L620" s="1">
        <v>-2.6823E7</v>
      </c>
      <c r="M620" s="1">
        <v>5.6481E7</v>
      </c>
      <c r="N620" s="1">
        <v>1.867901E9</v>
      </c>
      <c r="O620" s="1">
        <v>1.5476E9</v>
      </c>
      <c r="P620" s="1">
        <v>1.142446E9</v>
      </c>
      <c r="Q620" s="1">
        <v>-3.1051E7</v>
      </c>
      <c r="R620" s="1">
        <v>2.32769E8</v>
      </c>
      <c r="S620" s="1">
        <v>2.32769E8</v>
      </c>
    </row>
    <row r="621">
      <c r="A621" s="1">
        <v>619.0</v>
      </c>
      <c r="B621" s="3">
        <v>44196.0</v>
      </c>
      <c r="C621" s="1" t="s">
        <v>350</v>
      </c>
      <c r="D621" s="1" t="s">
        <v>351</v>
      </c>
      <c r="E621" s="1">
        <v>1.42101E8</v>
      </c>
      <c r="F621" s="1">
        <v>2.20408E8</v>
      </c>
      <c r="G621" s="1">
        <v>1.82106E8</v>
      </c>
      <c r="H621" s="1">
        <v>2.50888E8</v>
      </c>
      <c r="I621" s="1">
        <v>6.58535E8</v>
      </c>
      <c r="J621" s="1">
        <v>2.65546E8</v>
      </c>
      <c r="K621" s="1">
        <v>2.65546E8</v>
      </c>
      <c r="L621" s="1">
        <v>-2.8234E7</v>
      </c>
      <c r="M621" s="1">
        <v>3.8302E7</v>
      </c>
      <c r="N621" s="1">
        <v>1.78039E9</v>
      </c>
      <c r="O621" s="1">
        <v>1.514844E9</v>
      </c>
      <c r="P621" s="1">
        <v>1.121855E9</v>
      </c>
      <c r="Q621" s="1">
        <v>-4.5138E7</v>
      </c>
      <c r="R621" s="1">
        <v>1.82106E8</v>
      </c>
      <c r="S621" s="1">
        <v>1.82106E8</v>
      </c>
    </row>
    <row r="622">
      <c r="A622" s="1">
        <v>620.0</v>
      </c>
      <c r="B622" s="3">
        <v>44377.0</v>
      </c>
      <c r="C622" s="1" t="s">
        <v>352</v>
      </c>
      <c r="D622" s="1" t="s">
        <v>353</v>
      </c>
      <c r="E622" s="1">
        <v>2.28E8</v>
      </c>
      <c r="F622" s="1">
        <v>2.456E9</v>
      </c>
      <c r="G622" s="1">
        <v>1.901E9</v>
      </c>
      <c r="H622" s="1">
        <v>3.54E8</v>
      </c>
      <c r="I622" s="1">
        <v>3.247E9</v>
      </c>
      <c r="J622" s="1">
        <v>2.565E9</v>
      </c>
      <c r="K622" s="1">
        <v>2.565E9</v>
      </c>
      <c r="L622" s="1">
        <v>-1.87E8</v>
      </c>
      <c r="M622" s="1">
        <v>5.24E8</v>
      </c>
      <c r="N622" s="1">
        <v>1.3885E10</v>
      </c>
      <c r="O622" s="1">
        <v>1.132E10</v>
      </c>
      <c r="P622" s="1">
        <v>1.0638E10</v>
      </c>
      <c r="Q622" s="1">
        <v>-1.09E8</v>
      </c>
      <c r="R622" s="1">
        <v>1.932E9</v>
      </c>
      <c r="S622" s="1">
        <v>1.891E9</v>
      </c>
    </row>
    <row r="623">
      <c r="A623" s="1">
        <v>621.0</v>
      </c>
      <c r="B623" s="3">
        <v>44286.0</v>
      </c>
      <c r="C623" s="1" t="s">
        <v>352</v>
      </c>
      <c r="D623" s="1" t="s">
        <v>353</v>
      </c>
      <c r="E623" s="1">
        <v>1.94E8</v>
      </c>
      <c r="F623" s="1">
        <v>1.323E9</v>
      </c>
      <c r="G623" s="1">
        <v>9.91E8</v>
      </c>
      <c r="H623" s="1">
        <v>2.91E8</v>
      </c>
      <c r="I623" s="1">
        <v>1.82E9</v>
      </c>
      <c r="J623" s="1">
        <v>1.234E9</v>
      </c>
      <c r="K623" s="1">
        <v>1.234E9</v>
      </c>
      <c r="L623" s="1">
        <v>-1.96E8</v>
      </c>
      <c r="M623" s="1">
        <v>3.17E8</v>
      </c>
      <c r="N623" s="1">
        <v>1.1882E10</v>
      </c>
      <c r="O623" s="1">
        <v>1.0648E10</v>
      </c>
      <c r="P623" s="1">
        <v>1.0062E10</v>
      </c>
      <c r="Q623" s="1">
        <v>8.9E7</v>
      </c>
      <c r="R623" s="1">
        <v>1.006E9</v>
      </c>
      <c r="S623" s="1">
        <v>9.86E8</v>
      </c>
    </row>
    <row r="624">
      <c r="A624" s="1">
        <v>622.0</v>
      </c>
      <c r="B624" s="3">
        <v>44196.0</v>
      </c>
      <c r="C624" s="1" t="s">
        <v>352</v>
      </c>
      <c r="D624" s="1" t="s">
        <v>353</v>
      </c>
      <c r="E624" s="1">
        <v>2.14E8</v>
      </c>
      <c r="F624" s="1">
        <v>1.816E9</v>
      </c>
      <c r="G624" s="1">
        <v>1.236E9</v>
      </c>
      <c r="H624" s="1">
        <v>4.05E8</v>
      </c>
      <c r="I624" s="1">
        <v>1.567E9</v>
      </c>
      <c r="J624" s="1">
        <v>8.47E8</v>
      </c>
      <c r="K624" s="1">
        <v>8.47E8</v>
      </c>
      <c r="L624" s="1">
        <v>-2.1E8</v>
      </c>
      <c r="M624" s="1">
        <v>5.62E8</v>
      </c>
      <c r="N624" s="1">
        <v>1.0706E10</v>
      </c>
      <c r="O624" s="1">
        <v>9.859E9</v>
      </c>
      <c r="P624" s="1">
        <v>9.139E9</v>
      </c>
      <c r="Q624" s="1">
        <v>9.69E8</v>
      </c>
      <c r="R624" s="1">
        <v>1.254E9</v>
      </c>
      <c r="S624" s="1">
        <v>1.236E9</v>
      </c>
    </row>
    <row r="625">
      <c r="A625" s="1">
        <v>623.0</v>
      </c>
      <c r="B625" s="3">
        <v>44104.0</v>
      </c>
      <c r="C625" s="1" t="s">
        <v>352</v>
      </c>
      <c r="D625" s="1" t="s">
        <v>353</v>
      </c>
      <c r="E625" s="1">
        <v>1.93E8</v>
      </c>
      <c r="F625" s="1">
        <v>4.2E7</v>
      </c>
      <c r="G625" s="1">
        <v>-2.5E7</v>
      </c>
      <c r="H625" s="1">
        <v>3.46E8</v>
      </c>
      <c r="I625" s="1">
        <v>1.341E9</v>
      </c>
      <c r="J625" s="1">
        <v>7.02E8</v>
      </c>
      <c r="K625" s="1">
        <v>7.02E8</v>
      </c>
      <c r="L625" s="1">
        <v>-2.02E8</v>
      </c>
      <c r="M625" s="1">
        <v>4.3E7</v>
      </c>
      <c r="N625" s="1">
        <v>9.712E9</v>
      </c>
      <c r="O625" s="1">
        <v>9.01E9</v>
      </c>
      <c r="P625" s="1">
        <v>8.371E9</v>
      </c>
      <c r="Q625" s="1">
        <v>-6.6E8</v>
      </c>
      <c r="R625" s="1">
        <v>-1000000.0</v>
      </c>
      <c r="S625" s="1">
        <v>-2.8E7</v>
      </c>
    </row>
    <row r="626">
      <c r="A626" s="1">
        <v>624.0</v>
      </c>
      <c r="B626" s="3">
        <v>44377.0</v>
      </c>
      <c r="C626" s="1" t="s">
        <v>354</v>
      </c>
      <c r="D626" s="1" t="s">
        <v>355</v>
      </c>
      <c r="F626" s="1">
        <v>2.01E8</v>
      </c>
      <c r="G626" s="1">
        <v>1.79E8</v>
      </c>
      <c r="H626" s="1">
        <v>3000000.0</v>
      </c>
      <c r="I626" s="1">
        <v>8.85E8</v>
      </c>
      <c r="J626" s="1">
        <v>3.88E8</v>
      </c>
      <c r="K626" s="1">
        <v>3.88E8</v>
      </c>
      <c r="L626" s="1">
        <v>-1.9E8</v>
      </c>
      <c r="M626" s="1">
        <v>2.2E7</v>
      </c>
      <c r="N626" s="1">
        <v>3.229E9</v>
      </c>
      <c r="O626" s="1">
        <v>2.841E9</v>
      </c>
      <c r="P626" s="1">
        <v>2.344E9</v>
      </c>
      <c r="Q626" s="1">
        <v>-1.87E8</v>
      </c>
      <c r="R626" s="1">
        <v>1.79E8</v>
      </c>
      <c r="S626" s="1">
        <v>1.78E8</v>
      </c>
    </row>
    <row r="627">
      <c r="A627" s="1">
        <v>625.0</v>
      </c>
      <c r="B627" s="3">
        <v>44286.0</v>
      </c>
      <c r="C627" s="1" t="s">
        <v>354</v>
      </c>
      <c r="D627" s="1" t="s">
        <v>355</v>
      </c>
      <c r="F627" s="1">
        <v>4.25E8</v>
      </c>
      <c r="G627" s="1">
        <v>3.97E8</v>
      </c>
      <c r="H627" s="1">
        <v>4000000.0</v>
      </c>
      <c r="I627" s="1">
        <v>1.026E9</v>
      </c>
      <c r="J627" s="1">
        <v>5.32E8</v>
      </c>
      <c r="K627" s="1">
        <v>5.32E8</v>
      </c>
      <c r="L627" s="1">
        <v>-1.81E8</v>
      </c>
      <c r="M627" s="1">
        <v>2.8E7</v>
      </c>
      <c r="N627" s="1">
        <v>3.778E9</v>
      </c>
      <c r="O627" s="1">
        <v>3.246E9</v>
      </c>
      <c r="P627" s="1">
        <v>2.752E9</v>
      </c>
      <c r="Q627" s="1">
        <v>-1.07E8</v>
      </c>
      <c r="R627" s="1">
        <v>3.97E8</v>
      </c>
      <c r="S627" s="1">
        <v>3.97E8</v>
      </c>
    </row>
    <row r="628">
      <c r="A628" s="1">
        <v>626.0</v>
      </c>
      <c r="B628" s="3">
        <v>44196.0</v>
      </c>
      <c r="C628" s="1" t="s">
        <v>354</v>
      </c>
      <c r="D628" s="1" t="s">
        <v>355</v>
      </c>
      <c r="F628" s="1">
        <v>3.24E8</v>
      </c>
      <c r="G628" s="1">
        <v>2.75E8</v>
      </c>
      <c r="H628" s="1">
        <v>8000000.0</v>
      </c>
      <c r="I628" s="1">
        <v>9.49E8</v>
      </c>
      <c r="J628" s="1">
        <v>4.53E8</v>
      </c>
      <c r="K628" s="1">
        <v>4.53E8</v>
      </c>
      <c r="L628" s="1">
        <v>-1.88E8</v>
      </c>
      <c r="M628" s="1">
        <v>4.9E7</v>
      </c>
      <c r="N628" s="1">
        <v>3.288E9</v>
      </c>
      <c r="O628" s="1">
        <v>2.835E9</v>
      </c>
      <c r="P628" s="1">
        <v>2.339E9</v>
      </c>
      <c r="Q628" s="1">
        <v>-1.29E8</v>
      </c>
      <c r="R628" s="1">
        <v>2.75E8</v>
      </c>
      <c r="S628" s="1">
        <v>2.75E8</v>
      </c>
    </row>
    <row r="629">
      <c r="A629" s="1">
        <v>627.0</v>
      </c>
      <c r="B629" s="3">
        <v>44104.0</v>
      </c>
      <c r="C629" s="1" t="s">
        <v>354</v>
      </c>
      <c r="D629" s="1" t="s">
        <v>355</v>
      </c>
      <c r="F629" s="1">
        <v>5.4E8</v>
      </c>
      <c r="G629" s="1">
        <v>4.76E8</v>
      </c>
      <c r="H629" s="1">
        <v>5000000.0</v>
      </c>
      <c r="I629" s="1">
        <v>1.061E9</v>
      </c>
      <c r="J629" s="1">
        <v>5.97E8</v>
      </c>
      <c r="K629" s="1">
        <v>5.97E8</v>
      </c>
      <c r="L629" s="1">
        <v>-1.78E8</v>
      </c>
      <c r="M629" s="1">
        <v>6.3E7</v>
      </c>
      <c r="N629" s="1">
        <v>3.284E9</v>
      </c>
      <c r="O629" s="1">
        <v>2.687E9</v>
      </c>
      <c r="P629" s="1">
        <v>2.223E9</v>
      </c>
      <c r="Q629" s="1">
        <v>-5.7E7</v>
      </c>
      <c r="R629" s="1">
        <v>4.77E8</v>
      </c>
      <c r="S629" s="1">
        <v>4.75E8</v>
      </c>
    </row>
    <row r="630">
      <c r="A630" s="1">
        <v>628.0</v>
      </c>
      <c r="B630" s="3">
        <v>44377.0</v>
      </c>
      <c r="C630" s="1" t="s">
        <v>356</v>
      </c>
      <c r="D630" s="1" t="s">
        <v>357</v>
      </c>
      <c r="F630" s="1">
        <v>7.34E8</v>
      </c>
      <c r="G630" s="1">
        <v>7.65E8</v>
      </c>
      <c r="I630" s="1">
        <v>2.854E9</v>
      </c>
      <c r="J630" s="1">
        <v>1.298E9</v>
      </c>
      <c r="K630" s="1">
        <v>1.298E9</v>
      </c>
      <c r="L630" s="1">
        <v>-5.72E8</v>
      </c>
      <c r="M630" s="1">
        <v>3.6E7</v>
      </c>
      <c r="N630" s="1">
        <v>5.758E9</v>
      </c>
      <c r="O630" s="1">
        <v>4.46E9</v>
      </c>
      <c r="P630" s="1">
        <v>2.904E9</v>
      </c>
      <c r="Q630" s="1">
        <v>-5.64E8</v>
      </c>
      <c r="R630" s="1">
        <v>6.98E8</v>
      </c>
      <c r="S630" s="1">
        <v>7.38E8</v>
      </c>
    </row>
    <row r="631">
      <c r="A631" s="1">
        <v>629.0</v>
      </c>
      <c r="B631" s="3">
        <v>44286.0</v>
      </c>
      <c r="C631" s="1" t="s">
        <v>356</v>
      </c>
      <c r="D631" s="1" t="s">
        <v>357</v>
      </c>
      <c r="F631" s="1">
        <v>1.025E9</v>
      </c>
      <c r="G631" s="1">
        <v>9.92E8</v>
      </c>
      <c r="I631" s="1">
        <v>3.029E9</v>
      </c>
      <c r="J631" s="1">
        <v>1.45E9</v>
      </c>
      <c r="K631" s="1">
        <v>1.45E9</v>
      </c>
      <c r="L631" s="1">
        <v>-5.35E8</v>
      </c>
      <c r="M631" s="1">
        <v>8.4E7</v>
      </c>
      <c r="N631" s="1">
        <v>6.15E9</v>
      </c>
      <c r="O631" s="1">
        <v>4.7E9</v>
      </c>
      <c r="P631" s="1">
        <v>3.121E9</v>
      </c>
      <c r="Q631" s="1">
        <v>-4.25E8</v>
      </c>
      <c r="R631" s="1">
        <v>9.41E8</v>
      </c>
      <c r="S631" s="1">
        <v>9.64E8</v>
      </c>
    </row>
    <row r="632">
      <c r="A632" s="1">
        <v>630.0</v>
      </c>
      <c r="B632" s="3">
        <v>44196.0</v>
      </c>
      <c r="C632" s="1" t="s">
        <v>356</v>
      </c>
      <c r="D632" s="1" t="s">
        <v>357</v>
      </c>
      <c r="F632" s="1">
        <v>-3.19E8</v>
      </c>
      <c r="G632" s="1">
        <v>-6.3E7</v>
      </c>
      <c r="I632" s="1">
        <v>2.564E9</v>
      </c>
      <c r="J632" s="1">
        <v>1.022E9</v>
      </c>
      <c r="K632" s="1">
        <v>1.022E9</v>
      </c>
      <c r="L632" s="1">
        <v>-5.35E8</v>
      </c>
      <c r="M632" s="1">
        <v>-1.62E8</v>
      </c>
      <c r="N632" s="1">
        <v>5.777E9</v>
      </c>
      <c r="O632" s="1">
        <v>4.755E9</v>
      </c>
      <c r="P632" s="1">
        <v>3.213E9</v>
      </c>
      <c r="Q632" s="1">
        <v>-1.341E9</v>
      </c>
      <c r="R632" s="1">
        <v>-1.57E8</v>
      </c>
      <c r="S632" s="1">
        <v>-7.7E7</v>
      </c>
    </row>
    <row r="633">
      <c r="A633" s="1">
        <v>631.0</v>
      </c>
      <c r="B633" s="3">
        <v>44104.0</v>
      </c>
      <c r="C633" s="1" t="s">
        <v>356</v>
      </c>
      <c r="D633" s="1" t="s">
        <v>357</v>
      </c>
      <c r="F633" s="1">
        <v>1.339E9</v>
      </c>
      <c r="G633" s="1">
        <v>1.304E9</v>
      </c>
      <c r="I633" s="1">
        <v>3.42E9</v>
      </c>
      <c r="J633" s="1">
        <v>1.879E9</v>
      </c>
      <c r="K633" s="1">
        <v>1.879E9</v>
      </c>
      <c r="L633" s="1">
        <v>-5.22E8</v>
      </c>
      <c r="M633" s="1">
        <v>1.05E8</v>
      </c>
      <c r="N633" s="1">
        <v>6.721E9</v>
      </c>
      <c r="O633" s="1">
        <v>4.842E9</v>
      </c>
      <c r="P633" s="1">
        <v>3.301E9</v>
      </c>
      <c r="Q633" s="1">
        <v>-5.4E8</v>
      </c>
      <c r="R633" s="1">
        <v>1.234E9</v>
      </c>
      <c r="S633" s="1">
        <v>1.276E9</v>
      </c>
    </row>
    <row r="634">
      <c r="A634" s="1">
        <v>632.0</v>
      </c>
      <c r="B634" s="3">
        <v>44286.0</v>
      </c>
      <c r="C634" s="1" t="s">
        <v>358</v>
      </c>
      <c r="D634" s="1" t="s">
        <v>359</v>
      </c>
      <c r="F634" s="1">
        <v>8.5388E7</v>
      </c>
      <c r="G634" s="1">
        <v>7.9362E7</v>
      </c>
      <c r="H634" s="1">
        <v>2.4217E7</v>
      </c>
      <c r="I634" s="1">
        <v>1.93897E8</v>
      </c>
      <c r="J634" s="1">
        <v>7.2004E7</v>
      </c>
      <c r="K634" s="1">
        <v>7.2004E7</v>
      </c>
      <c r="L634" s="1">
        <v>-2.2507E7</v>
      </c>
      <c r="M634" s="1">
        <v>5184000.0</v>
      </c>
      <c r="N634" s="1">
        <v>2.9266E8</v>
      </c>
      <c r="O634" s="1">
        <v>2.20656E8</v>
      </c>
      <c r="P634" s="1">
        <v>9.8763E7</v>
      </c>
      <c r="Q634" s="1">
        <v>1.3384E7</v>
      </c>
      <c r="R634" s="1">
        <v>8.0204E7</v>
      </c>
      <c r="S634" s="1">
        <v>7.8991E7</v>
      </c>
    </row>
    <row r="635">
      <c r="A635" s="1">
        <v>633.0</v>
      </c>
      <c r="B635" s="3">
        <v>44196.0</v>
      </c>
      <c r="C635" s="1" t="s">
        <v>358</v>
      </c>
      <c r="D635" s="1" t="s">
        <v>359</v>
      </c>
      <c r="F635" s="1">
        <v>1.66418E8</v>
      </c>
      <c r="G635" s="1">
        <v>1.68816E8</v>
      </c>
      <c r="H635" s="1">
        <v>1.3196E7</v>
      </c>
      <c r="I635" s="1">
        <v>1.94057E8</v>
      </c>
      <c r="J635" s="1">
        <v>8.3053E7</v>
      </c>
      <c r="K635" s="1">
        <v>8.3053E7</v>
      </c>
      <c r="L635" s="1">
        <v>-2.4048E7</v>
      </c>
      <c r="M635" s="1">
        <v>-3946000.0</v>
      </c>
      <c r="N635" s="1">
        <v>2.69241E8</v>
      </c>
      <c r="O635" s="1">
        <v>1.86188E8</v>
      </c>
      <c r="P635" s="1">
        <v>7.5184E7</v>
      </c>
      <c r="Q635" s="1">
        <v>8.3365E7</v>
      </c>
      <c r="R635" s="1">
        <v>1.70364E8</v>
      </c>
      <c r="S635" s="1">
        <v>1.68433E8</v>
      </c>
    </row>
    <row r="636">
      <c r="A636" s="1">
        <v>634.0</v>
      </c>
      <c r="B636" s="3">
        <v>44104.0</v>
      </c>
      <c r="C636" s="1" t="s">
        <v>358</v>
      </c>
      <c r="D636" s="1" t="s">
        <v>359</v>
      </c>
      <c r="F636" s="1">
        <v>7.152E7</v>
      </c>
      <c r="G636" s="1">
        <v>7.1823E7</v>
      </c>
      <c r="H636" s="1">
        <v>1.1439E7</v>
      </c>
      <c r="I636" s="1">
        <v>1.83094E8</v>
      </c>
      <c r="J636" s="1">
        <v>7.7229E7</v>
      </c>
      <c r="K636" s="1">
        <v>7.7229E7</v>
      </c>
      <c r="L636" s="1">
        <v>-2.3059E7</v>
      </c>
      <c r="M636" s="1">
        <v>-956000.0</v>
      </c>
      <c r="N636" s="1">
        <v>2.64956E8</v>
      </c>
      <c r="O636" s="1">
        <v>1.87727E8</v>
      </c>
      <c r="P636" s="1">
        <v>8.1862E7</v>
      </c>
      <c r="Q636" s="1">
        <v>-5709000.0</v>
      </c>
      <c r="R636" s="1">
        <v>7.2476E7</v>
      </c>
      <c r="S636" s="1">
        <v>7.1471E7</v>
      </c>
    </row>
    <row r="637">
      <c r="A637" s="1">
        <v>635.0</v>
      </c>
      <c r="B637" s="3">
        <v>44012.0</v>
      </c>
      <c r="C637" s="1" t="s">
        <v>358</v>
      </c>
      <c r="D637" s="1" t="s">
        <v>359</v>
      </c>
      <c r="F637" s="1">
        <v>4.0047E7</v>
      </c>
      <c r="G637" s="1">
        <v>3.982E7</v>
      </c>
      <c r="H637" s="1">
        <v>1.1506E7</v>
      </c>
      <c r="I637" s="1">
        <v>1.76515E8</v>
      </c>
      <c r="J637" s="1">
        <v>7.2725E7</v>
      </c>
      <c r="K637" s="1">
        <v>7.2725E7</v>
      </c>
      <c r="L637" s="1">
        <v>-2.2841E7</v>
      </c>
      <c r="M637" s="1">
        <v>-150000.0</v>
      </c>
      <c r="N637" s="1">
        <v>2.41241E8</v>
      </c>
      <c r="O637" s="1">
        <v>1.68516E8</v>
      </c>
      <c r="P637" s="1">
        <v>6.4726E7</v>
      </c>
      <c r="Q637" s="1">
        <v>-3.2678E7</v>
      </c>
      <c r="R637" s="1">
        <v>4.0197E7</v>
      </c>
      <c r="S637" s="1">
        <v>3.9464E7</v>
      </c>
    </row>
    <row r="638">
      <c r="A638" s="1">
        <v>636.0</v>
      </c>
      <c r="B638" s="3">
        <v>44377.0</v>
      </c>
      <c r="C638" s="1" t="s">
        <v>360</v>
      </c>
      <c r="D638" s="1" t="s">
        <v>361</v>
      </c>
      <c r="E638" s="1">
        <v>1.48E8</v>
      </c>
      <c r="F638" s="1">
        <v>7.15E8</v>
      </c>
      <c r="G638" s="1">
        <v>4.78E8</v>
      </c>
      <c r="H638" s="1">
        <v>4.46E8</v>
      </c>
      <c r="I638" s="1">
        <v>1.48E9</v>
      </c>
      <c r="J638" s="1">
        <v>7.19E8</v>
      </c>
      <c r="K638" s="1">
        <v>7.19E8</v>
      </c>
      <c r="L638" s="1">
        <v>-1.29E8</v>
      </c>
      <c r="M638" s="1">
        <v>1.51E8</v>
      </c>
      <c r="N638" s="1">
        <v>4.135E9</v>
      </c>
      <c r="O638" s="1">
        <v>3.416E9</v>
      </c>
      <c r="P638" s="1">
        <v>2.655E9</v>
      </c>
      <c r="Q638" s="1">
        <v>-4000000.0</v>
      </c>
      <c r="R638" s="1">
        <v>5.64E8</v>
      </c>
      <c r="S638" s="1">
        <v>4.78E8</v>
      </c>
    </row>
    <row r="639">
      <c r="A639" s="1">
        <v>637.0</v>
      </c>
      <c r="B639" s="3">
        <v>44286.0</v>
      </c>
      <c r="C639" s="1" t="s">
        <v>360</v>
      </c>
      <c r="D639" s="1" t="s">
        <v>361</v>
      </c>
      <c r="E639" s="1">
        <v>1.56E8</v>
      </c>
      <c r="F639" s="1">
        <v>5.73E8</v>
      </c>
      <c r="G639" s="1">
        <v>5.394E9</v>
      </c>
      <c r="H639" s="1">
        <v>4.44E8</v>
      </c>
      <c r="I639" s="1">
        <v>1.464E9</v>
      </c>
      <c r="J639" s="1">
        <v>6.97E8</v>
      </c>
      <c r="K639" s="1">
        <v>6.97E8</v>
      </c>
      <c r="L639" s="1">
        <v>-1.46E8</v>
      </c>
      <c r="M639" s="1">
        <v>3.2E7</v>
      </c>
      <c r="N639" s="1">
        <v>3.976E9</v>
      </c>
      <c r="O639" s="1">
        <v>3.279E9</v>
      </c>
      <c r="P639" s="1">
        <v>2.512E9</v>
      </c>
      <c r="Q639" s="1">
        <v>-1.24E8</v>
      </c>
      <c r="R639" s="1">
        <v>5.41E8</v>
      </c>
      <c r="S639" s="1">
        <v>5.394E9</v>
      </c>
    </row>
    <row r="640">
      <c r="A640" s="1">
        <v>638.0</v>
      </c>
      <c r="B640" s="3">
        <v>44196.0</v>
      </c>
      <c r="C640" s="1" t="s">
        <v>360</v>
      </c>
      <c r="D640" s="1" t="s">
        <v>361</v>
      </c>
      <c r="E640" s="1">
        <v>2.16E8</v>
      </c>
      <c r="F640" s="1">
        <v>1.56E8</v>
      </c>
      <c r="G640" s="1">
        <v>2.22E8</v>
      </c>
      <c r="H640" s="1">
        <v>5.29E8</v>
      </c>
      <c r="I640" s="1">
        <v>1.731E9</v>
      </c>
      <c r="J640" s="1">
        <v>4.58E8</v>
      </c>
      <c r="K640" s="1">
        <v>4.58E8</v>
      </c>
      <c r="L640" s="1">
        <v>-1.94E8</v>
      </c>
      <c r="M640" s="1">
        <v>-1.23E8</v>
      </c>
      <c r="N640" s="1">
        <v>5.252E9</v>
      </c>
      <c r="O640" s="1">
        <v>4.794E9</v>
      </c>
      <c r="P640" s="1">
        <v>3.521E9</v>
      </c>
      <c r="Q640" s="1">
        <v>-3.02E8</v>
      </c>
      <c r="R640" s="1">
        <v>2.79E8</v>
      </c>
      <c r="S640" s="1">
        <v>2.22E8</v>
      </c>
    </row>
    <row r="641">
      <c r="A641" s="1">
        <v>639.0</v>
      </c>
      <c r="B641" s="3">
        <v>44104.0</v>
      </c>
      <c r="C641" s="1" t="s">
        <v>360</v>
      </c>
      <c r="D641" s="1" t="s">
        <v>361</v>
      </c>
      <c r="E641" s="1">
        <v>1.99E8</v>
      </c>
      <c r="F641" s="1">
        <v>2.0E7</v>
      </c>
      <c r="G641" s="1">
        <v>-7.9E7</v>
      </c>
      <c r="H641" s="1">
        <v>5.19E8</v>
      </c>
      <c r="I641" s="1">
        <v>1.704E9</v>
      </c>
      <c r="J641" s="1">
        <v>4.56E8</v>
      </c>
      <c r="K641" s="1">
        <v>4.56E8</v>
      </c>
      <c r="L641" s="1">
        <v>-1.97E8</v>
      </c>
      <c r="M641" s="1">
        <v>9.2E7</v>
      </c>
      <c r="N641" s="1">
        <v>5.096E9</v>
      </c>
      <c r="O641" s="1">
        <v>4.64E9</v>
      </c>
      <c r="P641" s="1">
        <v>3.392E9</v>
      </c>
      <c r="Q641" s="1">
        <v>-4.36E8</v>
      </c>
      <c r="R641" s="1">
        <v>-7.2E7</v>
      </c>
      <c r="S641" s="1">
        <v>-7.9E7</v>
      </c>
    </row>
    <row r="642">
      <c r="A642" s="1">
        <v>640.0</v>
      </c>
      <c r="B642" s="3">
        <v>44377.0</v>
      </c>
      <c r="C642" s="1" t="s">
        <v>362</v>
      </c>
      <c r="D642" s="1" t="s">
        <v>363</v>
      </c>
      <c r="F642" s="1">
        <v>4.24E8</v>
      </c>
      <c r="G642" s="1">
        <v>2.78E8</v>
      </c>
      <c r="H642" s="1">
        <v>2.77E8</v>
      </c>
      <c r="I642" s="1">
        <v>8.86E8</v>
      </c>
      <c r="J642" s="1">
        <v>1.87E8</v>
      </c>
      <c r="K642" s="1">
        <v>1.87E8</v>
      </c>
      <c r="L642" s="1">
        <v>-6.2E7</v>
      </c>
      <c r="M642" s="1">
        <v>1.42E8</v>
      </c>
      <c r="N642" s="1">
        <v>4.141E9</v>
      </c>
      <c r="O642" s="1">
        <v>3.954E9</v>
      </c>
      <c r="P642" s="1">
        <v>3.255E9</v>
      </c>
      <c r="Q642" s="1">
        <v>2.37E8</v>
      </c>
      <c r="R642" s="1">
        <v>2.82E8</v>
      </c>
      <c r="S642" s="1">
        <v>2.78E8</v>
      </c>
    </row>
    <row r="643">
      <c r="A643" s="1">
        <v>641.0</v>
      </c>
      <c r="B643" s="3">
        <v>44286.0</v>
      </c>
      <c r="C643" s="1" t="s">
        <v>362</v>
      </c>
      <c r="D643" s="1" t="s">
        <v>363</v>
      </c>
      <c r="F643" s="1">
        <v>-7.93E8</v>
      </c>
      <c r="G643" s="1">
        <v>-7.98E8</v>
      </c>
      <c r="H643" s="1">
        <v>8.32E8</v>
      </c>
      <c r="I643" s="1">
        <v>1.016E9</v>
      </c>
      <c r="J643" s="1">
        <v>-2.94E8</v>
      </c>
      <c r="K643" s="1">
        <v>-2.94E8</v>
      </c>
      <c r="L643" s="1">
        <v>-7.7E7</v>
      </c>
      <c r="M643" s="1">
        <v>1.1E7</v>
      </c>
      <c r="N643" s="1">
        <v>4.385E9</v>
      </c>
      <c r="O643" s="1">
        <v>4.679E9</v>
      </c>
      <c r="P643" s="1">
        <v>3.369E9</v>
      </c>
      <c r="Q643" s="1">
        <v>-4.99E8</v>
      </c>
      <c r="R643" s="1">
        <v>-8.04E8</v>
      </c>
      <c r="S643" s="1">
        <v>-7.98E8</v>
      </c>
    </row>
    <row r="644">
      <c r="A644" s="1">
        <v>642.0</v>
      </c>
      <c r="B644" s="3">
        <v>44196.0</v>
      </c>
      <c r="C644" s="1" t="s">
        <v>362</v>
      </c>
      <c r="D644" s="1" t="s">
        <v>363</v>
      </c>
      <c r="F644" s="1">
        <v>1.978E9</v>
      </c>
      <c r="G644" s="1">
        <v>1.098E9</v>
      </c>
      <c r="H644" s="1">
        <v>3.18E8</v>
      </c>
      <c r="I644" s="1">
        <v>9.55E8</v>
      </c>
      <c r="J644" s="1">
        <v>1.62E8</v>
      </c>
      <c r="K644" s="1">
        <v>1.62E8</v>
      </c>
      <c r="L644" s="1">
        <v>-8.2E7</v>
      </c>
      <c r="M644" s="1">
        <v>8.75E8</v>
      </c>
      <c r="N644" s="1">
        <v>4.288E9</v>
      </c>
      <c r="O644" s="1">
        <v>4.126E9</v>
      </c>
      <c r="P644" s="1">
        <v>3.333E9</v>
      </c>
      <c r="Q644" s="1">
        <v>1.816E9</v>
      </c>
      <c r="R644" s="1">
        <v>1.103E9</v>
      </c>
      <c r="S644" s="1">
        <v>1.098E9</v>
      </c>
    </row>
    <row r="645">
      <c r="A645" s="1">
        <v>643.0</v>
      </c>
      <c r="B645" s="3">
        <v>44104.0</v>
      </c>
      <c r="C645" s="1" t="s">
        <v>362</v>
      </c>
      <c r="D645" s="1" t="s">
        <v>363</v>
      </c>
      <c r="F645" s="1">
        <v>-3.06E8</v>
      </c>
      <c r="G645" s="1">
        <v>-2.44E8</v>
      </c>
      <c r="H645" s="1">
        <v>3.39E8</v>
      </c>
      <c r="I645" s="1">
        <v>9.91E8</v>
      </c>
      <c r="J645" s="1">
        <v>1.27E8</v>
      </c>
      <c r="K645" s="1">
        <v>1.27E8</v>
      </c>
      <c r="L645" s="1">
        <v>-9.6E7</v>
      </c>
      <c r="M645" s="1">
        <v>-6.0E7</v>
      </c>
      <c r="N645" s="1">
        <v>4.554E9</v>
      </c>
      <c r="O645" s="1">
        <v>4.427E9</v>
      </c>
      <c r="P645" s="1">
        <v>3.563E9</v>
      </c>
      <c r="Q645" s="1">
        <v>-4.33E8</v>
      </c>
      <c r="R645" s="1">
        <v>-2.46E8</v>
      </c>
      <c r="S645" s="1">
        <v>-2.44E8</v>
      </c>
    </row>
    <row r="646">
      <c r="A646" s="1">
        <v>644.0</v>
      </c>
      <c r="B646" s="3">
        <v>44377.0</v>
      </c>
      <c r="C646" s="1" t="s">
        <v>364</v>
      </c>
      <c r="D646" s="1" t="s">
        <v>365</v>
      </c>
      <c r="E646" s="1">
        <v>6.3E7</v>
      </c>
      <c r="F646" s="1">
        <v>-1.07E8</v>
      </c>
      <c r="G646" s="1">
        <v>-1.46E8</v>
      </c>
      <c r="H646" s="1">
        <v>1.65E8</v>
      </c>
      <c r="I646" s="1">
        <v>6.81E8</v>
      </c>
      <c r="J646" s="1">
        <v>4.53E8</v>
      </c>
      <c r="K646" s="1">
        <v>4.53E8</v>
      </c>
      <c r="L646" s="1">
        <v>-5.1E7</v>
      </c>
      <c r="M646" s="1">
        <v>3.7E7</v>
      </c>
      <c r="N646" s="1">
        <v>2.653E9</v>
      </c>
      <c r="O646" s="1">
        <v>2.2E9</v>
      </c>
      <c r="P646" s="1">
        <v>1.972E9</v>
      </c>
      <c r="Q646" s="1">
        <v>-5.6E8</v>
      </c>
      <c r="R646" s="1">
        <v>-1.44E8</v>
      </c>
      <c r="S646" s="1">
        <v>-1.46E8</v>
      </c>
    </row>
    <row r="647">
      <c r="A647" s="1">
        <v>645.0</v>
      </c>
      <c r="B647" s="3">
        <v>44286.0</v>
      </c>
      <c r="C647" s="1" t="s">
        <v>364</v>
      </c>
      <c r="D647" s="1" t="s">
        <v>365</v>
      </c>
      <c r="E647" s="1">
        <v>5.8E7</v>
      </c>
      <c r="F647" s="1">
        <v>3.39E8</v>
      </c>
      <c r="G647" s="1">
        <v>2.74E8</v>
      </c>
      <c r="H647" s="1">
        <v>1.48E8</v>
      </c>
      <c r="I647" s="1">
        <v>6.02E8</v>
      </c>
      <c r="J647" s="1">
        <v>3.96E8</v>
      </c>
      <c r="K647" s="1">
        <v>3.96E8</v>
      </c>
      <c r="L647" s="1">
        <v>-5.1E7</v>
      </c>
      <c r="M647" s="1">
        <v>6.2E7</v>
      </c>
      <c r="N647" s="1">
        <v>2.409E9</v>
      </c>
      <c r="O647" s="1">
        <v>2.013E9</v>
      </c>
      <c r="P647" s="1">
        <v>1.807E9</v>
      </c>
      <c r="Q647" s="1">
        <v>-5.7E7</v>
      </c>
      <c r="R647" s="1">
        <v>2.77E8</v>
      </c>
      <c r="S647" s="1">
        <v>2.74E8</v>
      </c>
    </row>
    <row r="648">
      <c r="A648" s="1">
        <v>646.0</v>
      </c>
      <c r="B648" s="3">
        <v>44196.0</v>
      </c>
      <c r="C648" s="1" t="s">
        <v>364</v>
      </c>
      <c r="D648" s="1" t="s">
        <v>365</v>
      </c>
      <c r="E648" s="1">
        <v>5.7E7</v>
      </c>
      <c r="F648" s="1">
        <v>2.5E7</v>
      </c>
      <c r="G648" s="1">
        <v>3.2E7</v>
      </c>
      <c r="H648" s="1">
        <v>3.83E8</v>
      </c>
      <c r="I648" s="1">
        <v>5.27E8</v>
      </c>
      <c r="J648" s="1">
        <v>8.7E7</v>
      </c>
      <c r="K648" s="1">
        <v>8.7E7</v>
      </c>
      <c r="L648" s="1">
        <v>-5.2E7</v>
      </c>
      <c r="M648" s="1">
        <v>-9000000.0</v>
      </c>
      <c r="N648" s="1">
        <v>2.186E9</v>
      </c>
      <c r="O648" s="1">
        <v>2.099E9</v>
      </c>
      <c r="P648" s="1">
        <v>1.659E9</v>
      </c>
      <c r="Q648" s="1">
        <v>-6.2E7</v>
      </c>
      <c r="R648" s="1">
        <v>3.4E7</v>
      </c>
      <c r="S648" s="1">
        <v>3.2E7</v>
      </c>
    </row>
    <row r="649">
      <c r="A649" s="1">
        <v>647.0</v>
      </c>
      <c r="B649" s="3">
        <v>44104.0</v>
      </c>
      <c r="C649" s="1" t="s">
        <v>364</v>
      </c>
      <c r="D649" s="1" t="s">
        <v>365</v>
      </c>
      <c r="E649" s="1">
        <v>5.6E7</v>
      </c>
      <c r="F649" s="1">
        <v>1.9E8</v>
      </c>
      <c r="G649" s="1">
        <v>1.61E8</v>
      </c>
      <c r="H649" s="1">
        <v>1.35E8</v>
      </c>
      <c r="I649" s="1">
        <v>5.08E8</v>
      </c>
      <c r="J649" s="1">
        <v>3.17E8</v>
      </c>
      <c r="K649" s="1">
        <v>3.17E8</v>
      </c>
      <c r="L649" s="1">
        <v>-5.4E7</v>
      </c>
      <c r="M649" s="1">
        <v>2.5E7</v>
      </c>
      <c r="N649" s="1">
        <v>2.122E9</v>
      </c>
      <c r="O649" s="1">
        <v>1.805E9</v>
      </c>
      <c r="P649" s="1">
        <v>1.614E9</v>
      </c>
      <c r="Q649" s="1">
        <v>-1.27E8</v>
      </c>
      <c r="R649" s="1">
        <v>1.65E8</v>
      </c>
      <c r="S649" s="1">
        <v>1.61E8</v>
      </c>
    </row>
    <row r="650">
      <c r="A650" s="1">
        <v>648.0</v>
      </c>
      <c r="B650" s="3">
        <v>44377.0</v>
      </c>
      <c r="C650" s="1" t="s">
        <v>366</v>
      </c>
      <c r="D650" s="1" t="s">
        <v>367</v>
      </c>
      <c r="E650" s="1">
        <v>1.54E8</v>
      </c>
      <c r="F650" s="1">
        <v>6.2E8</v>
      </c>
      <c r="G650" s="1">
        <v>5.06E8</v>
      </c>
      <c r="H650" s="1">
        <v>8.6E8</v>
      </c>
      <c r="I650" s="1">
        <v>1.67E9</v>
      </c>
      <c r="J650" s="1">
        <v>6.56E8</v>
      </c>
      <c r="K650" s="1">
        <v>6.56E8</v>
      </c>
      <c r="L650" s="1">
        <v>-1.23E8</v>
      </c>
      <c r="M650" s="1">
        <v>1.14E8</v>
      </c>
      <c r="N650" s="1">
        <v>5.215E9</v>
      </c>
      <c r="O650" s="1">
        <v>4.559E9</v>
      </c>
      <c r="P650" s="1">
        <v>3.545E9</v>
      </c>
      <c r="Q650" s="1">
        <v>-3.6E7</v>
      </c>
      <c r="R650" s="1">
        <v>5.06E8</v>
      </c>
      <c r="S650" s="1">
        <v>5.06E8</v>
      </c>
    </row>
    <row r="651">
      <c r="A651" s="1">
        <v>649.0</v>
      </c>
      <c r="B651" s="3">
        <v>44286.0</v>
      </c>
      <c r="C651" s="1" t="s">
        <v>366</v>
      </c>
      <c r="D651" s="1" t="s">
        <v>367</v>
      </c>
      <c r="E651" s="1">
        <v>1.48E8</v>
      </c>
      <c r="F651" s="1">
        <v>5.38E8</v>
      </c>
      <c r="G651" s="1">
        <v>4.58E8</v>
      </c>
      <c r="H651" s="1">
        <v>7.8E8</v>
      </c>
      <c r="I651" s="1">
        <v>1.508E9</v>
      </c>
      <c r="J651" s="1">
        <v>5.8E8</v>
      </c>
      <c r="K651" s="1">
        <v>5.8E8</v>
      </c>
      <c r="L651" s="1">
        <v>-1.23E8</v>
      </c>
      <c r="M651" s="1">
        <v>7.9E7</v>
      </c>
      <c r="N651" s="1">
        <v>4.692E9</v>
      </c>
      <c r="O651" s="1">
        <v>4.112E9</v>
      </c>
      <c r="P651" s="1">
        <v>3.184E9</v>
      </c>
      <c r="Q651" s="1">
        <v>-4.2E7</v>
      </c>
      <c r="R651" s="1">
        <v>4.59E8</v>
      </c>
      <c r="S651" s="1">
        <v>4.58E8</v>
      </c>
    </row>
    <row r="652">
      <c r="A652" s="1">
        <v>650.0</v>
      </c>
      <c r="B652" s="3">
        <v>44196.0</v>
      </c>
      <c r="C652" s="1" t="s">
        <v>366</v>
      </c>
      <c r="D652" s="1" t="s">
        <v>367</v>
      </c>
      <c r="E652" s="1">
        <v>1.4E8</v>
      </c>
      <c r="F652" s="1">
        <v>5.53E8</v>
      </c>
      <c r="G652" s="1">
        <v>4.75E8</v>
      </c>
      <c r="H652" s="1">
        <v>7.73E8</v>
      </c>
      <c r="I652" s="1">
        <v>1.509E9</v>
      </c>
      <c r="J652" s="1">
        <v>5.96E8</v>
      </c>
      <c r="K652" s="1">
        <v>5.96E8</v>
      </c>
      <c r="L652" s="1">
        <v>-1.62E8</v>
      </c>
      <c r="M652" s="1">
        <v>7.7E7</v>
      </c>
      <c r="N652" s="1">
        <v>4.687E9</v>
      </c>
      <c r="O652" s="1">
        <v>4.091E9</v>
      </c>
      <c r="P652" s="1">
        <v>3.178E9</v>
      </c>
      <c r="Q652" s="1">
        <v>-4.3E7</v>
      </c>
      <c r="R652" s="1">
        <v>4.76E8</v>
      </c>
      <c r="S652" s="1">
        <v>4.75E8</v>
      </c>
    </row>
    <row r="653">
      <c r="A653" s="1">
        <v>651.0</v>
      </c>
      <c r="B653" s="3">
        <v>44104.0</v>
      </c>
      <c r="C653" s="1" t="s">
        <v>366</v>
      </c>
      <c r="D653" s="1" t="s">
        <v>367</v>
      </c>
      <c r="E653" s="1">
        <v>1.32E8</v>
      </c>
      <c r="F653" s="1">
        <v>5.25E8</v>
      </c>
      <c r="G653" s="1">
        <v>4.46E8</v>
      </c>
      <c r="H653" s="1">
        <v>7.6E8</v>
      </c>
      <c r="I653" s="1">
        <v>1.475E9</v>
      </c>
      <c r="J653" s="1">
        <v>5.83E8</v>
      </c>
      <c r="K653" s="1">
        <v>5.83E8</v>
      </c>
      <c r="L653" s="1">
        <v>-9.0E7</v>
      </c>
      <c r="M653" s="1">
        <v>7.8E7</v>
      </c>
      <c r="N653" s="1">
        <v>4.526E9</v>
      </c>
      <c r="O653" s="1">
        <v>3.943E9</v>
      </c>
      <c r="P653" s="1">
        <v>3.051E9</v>
      </c>
      <c r="Q653" s="1">
        <v>-5.8E7</v>
      </c>
      <c r="R653" s="1">
        <v>4.47E8</v>
      </c>
      <c r="S653" s="1">
        <v>4.46E8</v>
      </c>
    </row>
    <row r="654">
      <c r="A654" s="1">
        <v>652.0</v>
      </c>
      <c r="B654" s="3">
        <v>44377.0</v>
      </c>
      <c r="C654" s="1" t="s">
        <v>368</v>
      </c>
      <c r="D654" s="1" t="s">
        <v>369</v>
      </c>
      <c r="E654" s="1">
        <v>3.5E8</v>
      </c>
      <c r="F654" s="1">
        <v>4.01E8</v>
      </c>
      <c r="G654" s="1">
        <v>1.0734E10</v>
      </c>
      <c r="H654" s="1">
        <v>8.09E8</v>
      </c>
      <c r="I654" s="1">
        <v>1.996E9</v>
      </c>
      <c r="J654" s="1">
        <v>7.32E8</v>
      </c>
      <c r="K654" s="1">
        <v>7.32E8</v>
      </c>
      <c r="L654" s="1">
        <v>-5.8E7</v>
      </c>
      <c r="M654" s="1">
        <v>1.07E8</v>
      </c>
      <c r="N654" s="1">
        <v>2.668E9</v>
      </c>
      <c r="O654" s="1">
        <v>1.936E9</v>
      </c>
      <c r="P654" s="1">
        <v>6.72E8</v>
      </c>
      <c r="Q654" s="1">
        <v>-3.31E8</v>
      </c>
      <c r="R654" s="1">
        <v>2.94E8</v>
      </c>
      <c r="S654" s="1">
        <v>1.0734E10</v>
      </c>
    </row>
    <row r="655">
      <c r="A655" s="1">
        <v>653.0</v>
      </c>
      <c r="B655" s="3">
        <v>44286.0</v>
      </c>
      <c r="C655" s="1" t="s">
        <v>368</v>
      </c>
      <c r="D655" s="1" t="s">
        <v>369</v>
      </c>
      <c r="E655" s="1">
        <v>3.04E8</v>
      </c>
      <c r="F655" s="1">
        <v>7.24E8</v>
      </c>
      <c r="G655" s="1">
        <v>6.41E8</v>
      </c>
      <c r="H655" s="1">
        <v>7.57E8</v>
      </c>
      <c r="I655" s="1">
        <v>2.032E9</v>
      </c>
      <c r="J655" s="1">
        <v>8.76E8</v>
      </c>
      <c r="K655" s="1">
        <v>8.76E8</v>
      </c>
      <c r="L655" s="1">
        <v>-6.7E7</v>
      </c>
      <c r="M655" s="1">
        <v>1.56E8</v>
      </c>
      <c r="N655" s="1">
        <v>2.638E9</v>
      </c>
      <c r="O655" s="1">
        <v>1.762E9</v>
      </c>
      <c r="P655" s="1">
        <v>6.06E8</v>
      </c>
      <c r="Q655" s="1">
        <v>-1.52E8</v>
      </c>
      <c r="R655" s="1">
        <v>5.68E8</v>
      </c>
      <c r="S655" s="1">
        <v>6.41E8</v>
      </c>
    </row>
    <row r="656">
      <c r="A656" s="1">
        <v>654.0</v>
      </c>
      <c r="B656" s="3">
        <v>44196.0</v>
      </c>
      <c r="C656" s="1" t="s">
        <v>368</v>
      </c>
      <c r="D656" s="1" t="s">
        <v>369</v>
      </c>
      <c r="E656" s="1">
        <v>2.99E8</v>
      </c>
      <c r="F656" s="1">
        <v>1.109E9</v>
      </c>
      <c r="G656" s="1">
        <v>8.45E8</v>
      </c>
      <c r="H656" s="1">
        <v>1.057E9</v>
      </c>
      <c r="I656" s="1">
        <v>2.126E9</v>
      </c>
      <c r="J656" s="1">
        <v>6.77E8</v>
      </c>
      <c r="K656" s="1">
        <v>6.77E8</v>
      </c>
      <c r="L656" s="1">
        <v>-9.4E7</v>
      </c>
      <c r="M656" s="1">
        <v>3.28E8</v>
      </c>
      <c r="N656" s="1">
        <v>2.868E9</v>
      </c>
      <c r="O656" s="1">
        <v>2.191E9</v>
      </c>
      <c r="P656" s="1">
        <v>7.42E8</v>
      </c>
      <c r="Q656" s="1">
        <v>4.32E8</v>
      </c>
      <c r="R656" s="1">
        <v>7.81E8</v>
      </c>
      <c r="S656" s="1">
        <v>8.45E8</v>
      </c>
    </row>
    <row r="657">
      <c r="A657" s="1">
        <v>655.0</v>
      </c>
      <c r="B657" s="3">
        <v>44104.0</v>
      </c>
      <c r="C657" s="1" t="s">
        <v>368</v>
      </c>
      <c r="D657" s="1" t="s">
        <v>369</v>
      </c>
      <c r="E657" s="1">
        <v>2.87E8</v>
      </c>
      <c r="F657" s="1">
        <v>7.74E8</v>
      </c>
      <c r="G657" s="1">
        <v>6.64E8</v>
      </c>
      <c r="H657" s="1">
        <v>9.18E8</v>
      </c>
      <c r="I657" s="1">
        <v>1.95E9</v>
      </c>
      <c r="J657" s="1">
        <v>6.79E8</v>
      </c>
      <c r="K657" s="1">
        <v>6.79E8</v>
      </c>
      <c r="L657" s="1">
        <v>-6.7E7</v>
      </c>
      <c r="M657" s="1">
        <v>1.53E8</v>
      </c>
      <c r="N657" s="1">
        <v>2.606E9</v>
      </c>
      <c r="O657" s="1">
        <v>1.927E9</v>
      </c>
      <c r="P657" s="1">
        <v>6.56E8</v>
      </c>
      <c r="Q657" s="1">
        <v>9.5E7</v>
      </c>
      <c r="R657" s="1">
        <v>6.21E8</v>
      </c>
      <c r="S657" s="1">
        <v>6.64E8</v>
      </c>
    </row>
    <row r="658">
      <c r="A658" s="1">
        <v>656.0</v>
      </c>
      <c r="B658" s="3">
        <v>44377.0</v>
      </c>
      <c r="C658" s="1" t="s">
        <v>370</v>
      </c>
      <c r="D658" s="1" t="s">
        <v>371</v>
      </c>
      <c r="F658" s="1">
        <v>3.997E8</v>
      </c>
      <c r="G658" s="1">
        <v>3.108E8</v>
      </c>
      <c r="H658" s="1">
        <v>8.362E8</v>
      </c>
      <c r="I658" s="1">
        <v>1.3224E9</v>
      </c>
      <c r="J658" s="1">
        <v>4.862E8</v>
      </c>
      <c r="K658" s="1">
        <v>4.862E8</v>
      </c>
      <c r="L658" s="1">
        <v>-5.17E7</v>
      </c>
      <c r="M658" s="1">
        <v>8.61E7</v>
      </c>
      <c r="N658" s="1">
        <v>3.1627E9</v>
      </c>
      <c r="O658" s="1">
        <v>2.6765E9</v>
      </c>
      <c r="P658" s="1">
        <v>1.8403E9</v>
      </c>
      <c r="Q658" s="1">
        <v>-8.65E7</v>
      </c>
      <c r="R658" s="1">
        <v>3.136E8</v>
      </c>
      <c r="S658" s="1">
        <v>3.108E8</v>
      </c>
    </row>
    <row r="659">
      <c r="A659" s="1">
        <v>657.0</v>
      </c>
      <c r="B659" s="3">
        <v>44286.0</v>
      </c>
      <c r="C659" s="1" t="s">
        <v>370</v>
      </c>
      <c r="D659" s="1" t="s">
        <v>371</v>
      </c>
      <c r="F659" s="1">
        <v>2.626E8</v>
      </c>
      <c r="G659" s="1">
        <v>1.936E8</v>
      </c>
      <c r="H659" s="1">
        <v>8.459E8</v>
      </c>
      <c r="I659" s="1">
        <v>1.1926E9</v>
      </c>
      <c r="J659" s="1">
        <v>3.467E8</v>
      </c>
      <c r="K659" s="1">
        <v>3.467E8</v>
      </c>
      <c r="L659" s="1">
        <v>-5.38E7</v>
      </c>
      <c r="M659" s="1">
        <v>6.61E7</v>
      </c>
      <c r="N659" s="1">
        <v>2.885E9</v>
      </c>
      <c r="O659" s="1">
        <v>2.5383E9</v>
      </c>
      <c r="P659" s="1">
        <v>1.6924E9</v>
      </c>
      <c r="Q659" s="1">
        <v>-6.71E7</v>
      </c>
      <c r="R659" s="1">
        <v>1.965E8</v>
      </c>
      <c r="S659" s="1">
        <v>1.936E8</v>
      </c>
    </row>
    <row r="660">
      <c r="A660" s="1">
        <v>658.0</v>
      </c>
      <c r="B660" s="3">
        <v>44196.0</v>
      </c>
      <c r="C660" s="1" t="s">
        <v>370</v>
      </c>
      <c r="D660" s="1" t="s">
        <v>371</v>
      </c>
      <c r="F660" s="1">
        <v>3.78E8</v>
      </c>
      <c r="G660" s="1">
        <v>3.003E8</v>
      </c>
      <c r="H660" s="1">
        <v>7.946E8</v>
      </c>
      <c r="I660" s="1">
        <v>1.2876E9</v>
      </c>
      <c r="J660" s="1">
        <v>4.93E8</v>
      </c>
      <c r="K660" s="1">
        <v>4.93E8</v>
      </c>
      <c r="L660" s="1">
        <v>-5.14E7</v>
      </c>
      <c r="M660" s="1">
        <v>7.31E7</v>
      </c>
      <c r="N660" s="1">
        <v>3.0653E9</v>
      </c>
      <c r="O660" s="1">
        <v>2.5723E9</v>
      </c>
      <c r="P660" s="1">
        <v>1.7777E9</v>
      </c>
      <c r="Q660" s="1">
        <v>-1.15E8</v>
      </c>
      <c r="R660" s="1">
        <v>3.049E8</v>
      </c>
      <c r="S660" s="1">
        <v>3.003E8</v>
      </c>
    </row>
    <row r="661">
      <c r="A661" s="1">
        <v>659.0</v>
      </c>
      <c r="B661" s="3">
        <v>44104.0</v>
      </c>
      <c r="C661" s="1" t="s">
        <v>370</v>
      </c>
      <c r="D661" s="1" t="s">
        <v>371</v>
      </c>
      <c r="F661" s="1">
        <v>2.917E8</v>
      </c>
      <c r="G661" s="1">
        <v>2.462E8</v>
      </c>
      <c r="H661" s="1">
        <v>7.875E8</v>
      </c>
      <c r="I661" s="1">
        <v>1.2585E9</v>
      </c>
      <c r="J661" s="1">
        <v>4.71E8</v>
      </c>
      <c r="K661" s="1">
        <v>4.71E8</v>
      </c>
      <c r="L661" s="1">
        <v>-5.59E7</v>
      </c>
      <c r="M661" s="1">
        <v>4.24E7</v>
      </c>
      <c r="N661" s="1">
        <v>3.0186E9</v>
      </c>
      <c r="O661" s="1">
        <v>2.5476E9</v>
      </c>
      <c r="P661" s="1">
        <v>1.7601E9</v>
      </c>
      <c r="Q661" s="1">
        <v>-1.793E8</v>
      </c>
      <c r="R661" s="1">
        <v>2.493E8</v>
      </c>
      <c r="S661" s="1">
        <v>2.462E8</v>
      </c>
    </row>
    <row r="662">
      <c r="A662" s="1">
        <v>660.0</v>
      </c>
      <c r="B662" s="3">
        <v>44377.0</v>
      </c>
      <c r="C662" s="1" t="s">
        <v>372</v>
      </c>
      <c r="D662" s="1" t="s">
        <v>373</v>
      </c>
      <c r="F662" s="1">
        <v>3.86E8</v>
      </c>
      <c r="G662" s="1">
        <v>3.18E8</v>
      </c>
      <c r="H662" s="1">
        <v>-3.3E7</v>
      </c>
      <c r="I662" s="1">
        <v>1.278E9</v>
      </c>
      <c r="J662" s="1">
        <v>6.72E8</v>
      </c>
      <c r="K662" s="1">
        <v>6.72E8</v>
      </c>
      <c r="L662" s="1">
        <v>-2.75E8</v>
      </c>
      <c r="M662" s="1">
        <v>6.8E7</v>
      </c>
      <c r="N662" s="1">
        <v>3.315E9</v>
      </c>
      <c r="O662" s="1">
        <v>2.643E9</v>
      </c>
      <c r="P662" s="1">
        <v>2.037E9</v>
      </c>
      <c r="Q662" s="1">
        <v>-2.86E8</v>
      </c>
      <c r="R662" s="1">
        <v>3.18E8</v>
      </c>
      <c r="S662" s="1">
        <v>3.18E8</v>
      </c>
    </row>
    <row r="663">
      <c r="A663" s="1">
        <v>661.0</v>
      </c>
      <c r="B663" s="3">
        <v>44286.0</v>
      </c>
      <c r="C663" s="1" t="s">
        <v>372</v>
      </c>
      <c r="D663" s="1" t="s">
        <v>373</v>
      </c>
      <c r="F663" s="1">
        <v>2.23E8</v>
      </c>
      <c r="G663" s="1">
        <v>2.59E8</v>
      </c>
      <c r="H663" s="1">
        <v>-3.3E7</v>
      </c>
      <c r="I663" s="1">
        <v>1.103E9</v>
      </c>
      <c r="J663" s="1">
        <v>4.85E8</v>
      </c>
      <c r="K663" s="1">
        <v>4.85E8</v>
      </c>
      <c r="L663" s="1">
        <v>-2.48E8</v>
      </c>
      <c r="M663" s="1">
        <v>-3.6E7</v>
      </c>
      <c r="N663" s="1">
        <v>2.96E9</v>
      </c>
      <c r="O663" s="1">
        <v>2.475E9</v>
      </c>
      <c r="P663" s="1">
        <v>1.857E9</v>
      </c>
      <c r="Q663" s="1">
        <v>-2.62E8</v>
      </c>
      <c r="R663" s="1">
        <v>2.59E8</v>
      </c>
      <c r="S663" s="1">
        <v>2.59E8</v>
      </c>
    </row>
    <row r="664">
      <c r="A664" s="1">
        <v>662.0</v>
      </c>
      <c r="B664" s="3">
        <v>44196.0</v>
      </c>
      <c r="C664" s="1" t="s">
        <v>372</v>
      </c>
      <c r="D664" s="1" t="s">
        <v>373</v>
      </c>
      <c r="F664" s="1">
        <v>5.76E8</v>
      </c>
      <c r="G664" s="1">
        <v>5.26E8</v>
      </c>
      <c r="H664" s="1">
        <v>3.66E8</v>
      </c>
      <c r="I664" s="1">
        <v>1.698E9</v>
      </c>
      <c r="J664" s="1">
        <v>7.88E8</v>
      </c>
      <c r="K664" s="1">
        <v>7.88E8</v>
      </c>
      <c r="L664" s="1">
        <v>-2.52E8</v>
      </c>
      <c r="M664" s="1">
        <v>5.0E7</v>
      </c>
      <c r="N664" s="1">
        <v>3.157E9</v>
      </c>
      <c r="O664" s="1">
        <v>2.369E9</v>
      </c>
      <c r="P664" s="1">
        <v>1.459E9</v>
      </c>
      <c r="Q664" s="1">
        <v>-2.12E8</v>
      </c>
      <c r="R664" s="1">
        <v>5.26E8</v>
      </c>
      <c r="S664" s="1">
        <v>5.26E8</v>
      </c>
    </row>
    <row r="665">
      <c r="A665" s="1">
        <v>663.0</v>
      </c>
      <c r="B665" s="3">
        <v>44104.0</v>
      </c>
      <c r="C665" s="1" t="s">
        <v>372</v>
      </c>
      <c r="D665" s="1" t="s">
        <v>373</v>
      </c>
      <c r="F665" s="1">
        <v>-5.63E8</v>
      </c>
      <c r="G665" s="1">
        <v>-2.88E8</v>
      </c>
      <c r="H665" s="1">
        <v>6.94E8</v>
      </c>
      <c r="I665" s="1">
        <v>2.301E9</v>
      </c>
      <c r="J665" s="1">
        <v>1.031E9</v>
      </c>
      <c r="K665" s="1">
        <v>1.031E9</v>
      </c>
      <c r="L665" s="1">
        <v>-2.68E8</v>
      </c>
      <c r="M665" s="1">
        <v>-2.75E8</v>
      </c>
      <c r="N665" s="1">
        <v>4.644E9</v>
      </c>
      <c r="O665" s="1">
        <v>3.613E9</v>
      </c>
      <c r="P665" s="1">
        <v>2.343E9</v>
      </c>
      <c r="Q665" s="1">
        <v>-1.594E9</v>
      </c>
      <c r="R665" s="1">
        <v>-2.88E8</v>
      </c>
      <c r="S665" s="1">
        <v>-2.88E8</v>
      </c>
    </row>
    <row r="666">
      <c r="A666" s="1">
        <v>664.0</v>
      </c>
      <c r="B666" s="3">
        <v>44377.0</v>
      </c>
      <c r="C666" s="1" t="s">
        <v>374</v>
      </c>
      <c r="D666" s="1" t="s">
        <v>375</v>
      </c>
      <c r="E666" s="1">
        <v>2.253E8</v>
      </c>
      <c r="F666" s="1">
        <v>5.455E8</v>
      </c>
      <c r="G666" s="1">
        <v>4.895E8</v>
      </c>
      <c r="H666" s="1">
        <v>3.745E8</v>
      </c>
      <c r="I666" s="1">
        <v>1.0417E9</v>
      </c>
      <c r="J666" s="1">
        <v>4.419E8</v>
      </c>
      <c r="K666" s="1">
        <v>4.419E8</v>
      </c>
      <c r="L666" s="1">
        <v>-2500000.0</v>
      </c>
      <c r="M666" s="1">
        <v>5.6E7</v>
      </c>
      <c r="N666" s="1">
        <v>1.376E9</v>
      </c>
      <c r="O666" s="1">
        <v>9.341E8</v>
      </c>
      <c r="P666" s="1">
        <v>3.343E8</v>
      </c>
      <c r="Q666" s="1">
        <v>1.036E8</v>
      </c>
      <c r="R666" s="1">
        <v>4.895E8</v>
      </c>
      <c r="S666" s="1">
        <v>4.895E8</v>
      </c>
    </row>
    <row r="667">
      <c r="A667" s="1">
        <v>665.0</v>
      </c>
      <c r="B667" s="3">
        <v>44286.0</v>
      </c>
      <c r="C667" s="1" t="s">
        <v>374</v>
      </c>
      <c r="D667" s="1" t="s">
        <v>375</v>
      </c>
      <c r="E667" s="1">
        <v>2.07E8</v>
      </c>
      <c r="F667" s="1">
        <v>3.893E8</v>
      </c>
      <c r="G667" s="1">
        <v>3.382E8</v>
      </c>
      <c r="H667" s="1">
        <v>3.308E8</v>
      </c>
      <c r="I667" s="1">
        <v>9.232E8</v>
      </c>
      <c r="J667" s="1">
        <v>3.854E8</v>
      </c>
      <c r="K667" s="1">
        <v>3.854E8</v>
      </c>
      <c r="L667" s="1">
        <v>-2500000.0</v>
      </c>
      <c r="M667" s="1">
        <v>5.11E7</v>
      </c>
      <c r="N667" s="1">
        <v>1.2166E9</v>
      </c>
      <c r="O667" s="1">
        <v>8.312E8</v>
      </c>
      <c r="P667" s="1">
        <v>2.934E8</v>
      </c>
      <c r="Q667" s="1">
        <v>3900000.0</v>
      </c>
      <c r="R667" s="1">
        <v>3.382E8</v>
      </c>
      <c r="S667" s="1">
        <v>3.382E8</v>
      </c>
    </row>
    <row r="668">
      <c r="A668" s="1">
        <v>666.0</v>
      </c>
      <c r="B668" s="3">
        <v>44196.0</v>
      </c>
      <c r="C668" s="1" t="s">
        <v>374</v>
      </c>
      <c r="D668" s="1" t="s">
        <v>375</v>
      </c>
      <c r="E668" s="1">
        <v>1.957E8</v>
      </c>
      <c r="F668" s="1">
        <v>3.561E8</v>
      </c>
      <c r="G668" s="1">
        <v>3.095E8</v>
      </c>
      <c r="H668" s="1">
        <v>3.389E8</v>
      </c>
      <c r="I668" s="1">
        <v>8.954E8</v>
      </c>
      <c r="J668" s="1">
        <v>3.608E8</v>
      </c>
      <c r="K668" s="1">
        <v>3.608E8</v>
      </c>
      <c r="L668" s="1">
        <v>-1.58E7</v>
      </c>
      <c r="M668" s="1">
        <v>4.66E7</v>
      </c>
      <c r="N668" s="1">
        <v>1.1917E9</v>
      </c>
      <c r="O668" s="1">
        <v>8.309E8</v>
      </c>
      <c r="P668" s="1">
        <v>2.963E8</v>
      </c>
      <c r="Q668" s="1">
        <v>-4700000.0</v>
      </c>
      <c r="R668" s="1">
        <v>3.095E8</v>
      </c>
      <c r="S668" s="1">
        <v>3.095E8</v>
      </c>
    </row>
    <row r="669">
      <c r="A669" s="1">
        <v>667.0</v>
      </c>
      <c r="B669" s="3">
        <v>44104.0</v>
      </c>
      <c r="C669" s="1" t="s">
        <v>374</v>
      </c>
      <c r="D669" s="1" t="s">
        <v>375</v>
      </c>
      <c r="E669" s="1">
        <v>1.955E8</v>
      </c>
      <c r="F669" s="1">
        <v>3.643E8</v>
      </c>
      <c r="G669" s="1">
        <v>3.252E8</v>
      </c>
      <c r="H669" s="1">
        <v>3.072E8</v>
      </c>
      <c r="I669" s="1">
        <v>8.599E8</v>
      </c>
      <c r="J669" s="1">
        <v>3.572E8</v>
      </c>
      <c r="K669" s="1">
        <v>3.572E8</v>
      </c>
      <c r="L669" s="1">
        <v>-800000.0</v>
      </c>
      <c r="M669" s="1">
        <v>3.91E7</v>
      </c>
      <c r="N669" s="1">
        <v>1.1409E9</v>
      </c>
      <c r="O669" s="1">
        <v>7.837E8</v>
      </c>
      <c r="P669" s="1">
        <v>2.81E8</v>
      </c>
      <c r="Q669" s="1">
        <v>7100000.0</v>
      </c>
      <c r="R669" s="1">
        <v>3.252E8</v>
      </c>
      <c r="S669" s="1">
        <v>3.252E8</v>
      </c>
    </row>
    <row r="670">
      <c r="A670" s="1">
        <v>668.0</v>
      </c>
      <c r="B670" s="3">
        <v>44377.0</v>
      </c>
      <c r="C670" s="1" t="s">
        <v>376</v>
      </c>
      <c r="D670" s="1" t="s">
        <v>377</v>
      </c>
      <c r="E670" s="1">
        <v>5.15E8</v>
      </c>
      <c r="F670" s="1">
        <v>3.08E8</v>
      </c>
      <c r="G670" s="1">
        <v>2.04E8</v>
      </c>
      <c r="H670" s="1">
        <v>3.48E8</v>
      </c>
      <c r="I670" s="1">
        <v>1.236E9</v>
      </c>
      <c r="J670" s="1">
        <v>3.45E8</v>
      </c>
      <c r="K670" s="1">
        <v>3.45E8</v>
      </c>
      <c r="L670" s="1">
        <v>-1.4E7</v>
      </c>
      <c r="M670" s="1">
        <v>1.04E8</v>
      </c>
      <c r="N670" s="1">
        <v>1.551E9</v>
      </c>
      <c r="O670" s="1">
        <v>1.206E9</v>
      </c>
      <c r="P670" s="1">
        <v>3.15E8</v>
      </c>
      <c r="Q670" s="1">
        <v>-3.7E7</v>
      </c>
      <c r="R670" s="1">
        <v>2.04E8</v>
      </c>
      <c r="S670" s="1">
        <v>2.04E8</v>
      </c>
    </row>
    <row r="671">
      <c r="A671" s="1">
        <v>669.0</v>
      </c>
      <c r="B671" s="3">
        <v>44286.0</v>
      </c>
      <c r="C671" s="1" t="s">
        <v>376</v>
      </c>
      <c r="D671" s="1" t="s">
        <v>377</v>
      </c>
      <c r="E671" s="1">
        <v>4.68E8</v>
      </c>
      <c r="F671" s="1">
        <v>1.65E8</v>
      </c>
      <c r="G671" s="1">
        <v>7.6E7</v>
      </c>
      <c r="H671" s="1">
        <v>3.61E8</v>
      </c>
      <c r="I671" s="1">
        <v>1.027E9</v>
      </c>
      <c r="J671" s="1">
        <v>1.84E8</v>
      </c>
      <c r="K671" s="1">
        <v>1.84E8</v>
      </c>
      <c r="L671" s="1">
        <v>-2.2E7</v>
      </c>
      <c r="M671" s="1">
        <v>8.9E7</v>
      </c>
      <c r="N671" s="1">
        <v>1.346E9</v>
      </c>
      <c r="O671" s="1">
        <v>1.162E9</v>
      </c>
      <c r="P671" s="1">
        <v>3.19E8</v>
      </c>
      <c r="Q671" s="1">
        <v>-1.9E7</v>
      </c>
      <c r="R671" s="1">
        <v>7.6E7</v>
      </c>
      <c r="S671" s="1">
        <v>7.6E7</v>
      </c>
    </row>
    <row r="672">
      <c r="A672" s="1">
        <v>670.0</v>
      </c>
      <c r="B672" s="3">
        <v>44196.0</v>
      </c>
      <c r="C672" s="1" t="s">
        <v>376</v>
      </c>
      <c r="D672" s="1" t="s">
        <v>377</v>
      </c>
      <c r="E672" s="1">
        <v>4.51E8</v>
      </c>
      <c r="F672" s="1">
        <v>2.45E8</v>
      </c>
      <c r="G672" s="1">
        <v>2.11E8</v>
      </c>
      <c r="H672" s="1">
        <v>3.65E8</v>
      </c>
      <c r="I672" s="1">
        <v>1.072E9</v>
      </c>
      <c r="J672" s="1">
        <v>2.51E8</v>
      </c>
      <c r="K672" s="1">
        <v>2.51E8</v>
      </c>
      <c r="L672" s="1">
        <v>-1.1E7</v>
      </c>
      <c r="M672" s="1">
        <v>3.4E7</v>
      </c>
      <c r="N672" s="1">
        <v>1.673E9</v>
      </c>
      <c r="O672" s="1">
        <v>1.422E9</v>
      </c>
      <c r="P672" s="1">
        <v>6.01E8</v>
      </c>
      <c r="Q672" s="1">
        <v>-6000000.0</v>
      </c>
      <c r="R672" s="1">
        <v>2.11E8</v>
      </c>
      <c r="S672" s="1">
        <v>2.11E8</v>
      </c>
    </row>
    <row r="673">
      <c r="A673" s="1">
        <v>671.0</v>
      </c>
      <c r="B673" s="3">
        <v>44104.0</v>
      </c>
      <c r="C673" s="1" t="s">
        <v>376</v>
      </c>
      <c r="D673" s="1" t="s">
        <v>377</v>
      </c>
      <c r="E673" s="1">
        <v>4.21E8</v>
      </c>
      <c r="F673" s="1">
        <v>1.39E8</v>
      </c>
      <c r="G673" s="1">
        <v>1.85E8</v>
      </c>
      <c r="H673" s="1">
        <v>2.89E8</v>
      </c>
      <c r="I673" s="1">
        <v>8.65E8</v>
      </c>
      <c r="J673" s="1">
        <v>1.49E8</v>
      </c>
      <c r="K673" s="1">
        <v>1.49E8</v>
      </c>
      <c r="L673" s="1">
        <v>-1.1E7</v>
      </c>
      <c r="M673" s="1">
        <v>-4.6E7</v>
      </c>
      <c r="N673" s="1">
        <v>1.151E9</v>
      </c>
      <c r="O673" s="1">
        <v>1.002E9</v>
      </c>
      <c r="P673" s="1">
        <v>2.86E8</v>
      </c>
      <c r="Q673" s="1">
        <v>-1.0E7</v>
      </c>
      <c r="R673" s="1">
        <v>1.85E8</v>
      </c>
      <c r="S673" s="1">
        <v>1.85E8</v>
      </c>
    </row>
    <row r="674">
      <c r="A674" s="1">
        <v>672.0</v>
      </c>
      <c r="B674" s="3">
        <v>44286.0</v>
      </c>
      <c r="C674" s="1" t="s">
        <v>378</v>
      </c>
      <c r="D674" s="1" t="s">
        <v>379</v>
      </c>
      <c r="E674" s="1">
        <v>1.6848E9</v>
      </c>
      <c r="F674" s="1">
        <v>1.4764E9</v>
      </c>
      <c r="G674" s="1">
        <v>1.3553E9</v>
      </c>
      <c r="H674" s="1">
        <v>1.5026E9</v>
      </c>
      <c r="I674" s="1">
        <v>4.927E9</v>
      </c>
      <c r="J674" s="1">
        <v>1.7396E9</v>
      </c>
      <c r="K674" s="1">
        <v>1.7396E9</v>
      </c>
      <c r="L674" s="1">
        <v>-8.78E7</v>
      </c>
      <c r="M674" s="1">
        <v>1.211E8</v>
      </c>
      <c r="N674" s="1">
        <v>6.8056E9</v>
      </c>
      <c r="O674" s="1">
        <v>5.066E9</v>
      </c>
      <c r="P674" s="1">
        <v>1.8786E9</v>
      </c>
      <c r="Q674" s="1">
        <v>-2.632E8</v>
      </c>
      <c r="R674" s="1">
        <v>1.3553E9</v>
      </c>
      <c r="S674" s="1">
        <v>1.3553E9</v>
      </c>
    </row>
    <row r="675">
      <c r="A675" s="1">
        <v>673.0</v>
      </c>
      <c r="B675" s="3">
        <v>44196.0</v>
      </c>
      <c r="C675" s="1" t="s">
        <v>378</v>
      </c>
      <c r="D675" s="1" t="s">
        <v>379</v>
      </c>
      <c r="E675" s="1">
        <v>1.838E9</v>
      </c>
      <c r="F675" s="1">
        <v>2.4691E9</v>
      </c>
      <c r="G675" s="1">
        <v>2.1168E9</v>
      </c>
      <c r="H675" s="1">
        <v>1.4966E9</v>
      </c>
      <c r="I675" s="1">
        <v>5.7202E9</v>
      </c>
      <c r="J675" s="1">
        <v>2.3856E9</v>
      </c>
      <c r="K675" s="1">
        <v>2.3856E9</v>
      </c>
      <c r="L675" s="1">
        <v>-8.92E7</v>
      </c>
      <c r="M675" s="1">
        <v>3.523E8</v>
      </c>
      <c r="N675" s="1">
        <v>7.44E9</v>
      </c>
      <c r="O675" s="1">
        <v>5.0544E9</v>
      </c>
      <c r="P675" s="1">
        <v>1.7198E9</v>
      </c>
      <c r="Q675" s="1">
        <v>8.35E7</v>
      </c>
      <c r="R675" s="1">
        <v>2.1168E9</v>
      </c>
      <c r="S675" s="1">
        <v>2.1168E9</v>
      </c>
    </row>
    <row r="676">
      <c r="A676" s="1">
        <v>674.0</v>
      </c>
      <c r="B676" s="3">
        <v>44104.0</v>
      </c>
      <c r="C676" s="1" t="s">
        <v>378</v>
      </c>
      <c r="D676" s="1" t="s">
        <v>379</v>
      </c>
      <c r="E676" s="1">
        <v>1.4654E9</v>
      </c>
      <c r="F676" s="1">
        <v>1.4372E9</v>
      </c>
      <c r="G676" s="1">
        <v>1.2084E9</v>
      </c>
      <c r="H676" s="1">
        <v>1.4551E9</v>
      </c>
      <c r="I676" s="1">
        <v>4.4142E9</v>
      </c>
      <c r="J676" s="1">
        <v>1.4937E9</v>
      </c>
      <c r="K676" s="1">
        <v>1.4937E9</v>
      </c>
      <c r="L676" s="1">
        <v>-8.96E7</v>
      </c>
      <c r="M676" s="1">
        <v>2.288E8</v>
      </c>
      <c r="N676" s="1">
        <v>5.7406E9</v>
      </c>
      <c r="O676" s="1">
        <v>4.2469E9</v>
      </c>
      <c r="P676" s="1">
        <v>1.3264E9</v>
      </c>
      <c r="Q676" s="1">
        <v>-5.65E7</v>
      </c>
      <c r="R676" s="1">
        <v>1.2084E9</v>
      </c>
      <c r="S676" s="1">
        <v>1.2084E9</v>
      </c>
    </row>
    <row r="677">
      <c r="A677" s="1">
        <v>675.0</v>
      </c>
      <c r="B677" s="3">
        <v>44012.0</v>
      </c>
      <c r="C677" s="1" t="s">
        <v>378</v>
      </c>
      <c r="D677" s="1" t="s">
        <v>379</v>
      </c>
      <c r="E677" s="1">
        <v>1.3902E9</v>
      </c>
      <c r="F677" s="1">
        <v>1.6437E9</v>
      </c>
      <c r="G677" s="1">
        <v>1.412E9</v>
      </c>
      <c r="H677" s="1">
        <v>1.4127E9</v>
      </c>
      <c r="I677" s="1">
        <v>4.2774E9</v>
      </c>
      <c r="J677" s="1">
        <v>1.4745E9</v>
      </c>
      <c r="K677" s="1">
        <v>1.4745E9</v>
      </c>
      <c r="L677" s="1">
        <v>-8.83E7</v>
      </c>
      <c r="M677" s="1">
        <v>2.317E8</v>
      </c>
      <c r="N677" s="1">
        <v>5.4994E9</v>
      </c>
      <c r="O677" s="1">
        <v>4.0249E9</v>
      </c>
      <c r="P677" s="1">
        <v>1.222E9</v>
      </c>
      <c r="Q677" s="1">
        <v>1.692E8</v>
      </c>
      <c r="R677" s="1">
        <v>1.412E9</v>
      </c>
      <c r="S677" s="1">
        <v>1.412E9</v>
      </c>
    </row>
    <row r="678">
      <c r="A678" s="1">
        <v>676.0</v>
      </c>
      <c r="B678" s="3">
        <v>44377.0</v>
      </c>
      <c r="C678" s="1" t="s">
        <v>380</v>
      </c>
      <c r="D678" s="1" t="s">
        <v>381</v>
      </c>
      <c r="F678" s="1">
        <v>7.84E8</v>
      </c>
      <c r="G678" s="1">
        <v>6.27E8</v>
      </c>
      <c r="H678" s="1">
        <v>1.073E9</v>
      </c>
      <c r="I678" s="1">
        <v>1.982E9</v>
      </c>
      <c r="J678" s="1">
        <v>8.41E8</v>
      </c>
      <c r="K678" s="1">
        <v>8.41E8</v>
      </c>
      <c r="L678" s="1">
        <v>-4.0E7</v>
      </c>
      <c r="M678" s="1">
        <v>1.51E8</v>
      </c>
      <c r="N678" s="1">
        <v>4.697E9</v>
      </c>
      <c r="O678" s="1">
        <v>3.856E9</v>
      </c>
      <c r="P678" s="1">
        <v>2.715E9</v>
      </c>
      <c r="Q678" s="1">
        <v>-5.7E7</v>
      </c>
      <c r="R678" s="1">
        <v>6.33E8</v>
      </c>
      <c r="S678" s="1">
        <v>6.27E8</v>
      </c>
    </row>
    <row r="679">
      <c r="A679" s="1">
        <v>677.0</v>
      </c>
      <c r="B679" s="3">
        <v>44286.0</v>
      </c>
      <c r="C679" s="1" t="s">
        <v>380</v>
      </c>
      <c r="D679" s="1" t="s">
        <v>381</v>
      </c>
      <c r="F679" s="1">
        <v>7.37E8</v>
      </c>
      <c r="G679" s="1">
        <v>5.61E8</v>
      </c>
      <c r="H679" s="1">
        <v>1.054E9</v>
      </c>
      <c r="I679" s="1">
        <v>1.862E9</v>
      </c>
      <c r="J679" s="1">
        <v>7.83E8</v>
      </c>
      <c r="K679" s="1">
        <v>7.83E8</v>
      </c>
      <c r="L679" s="1">
        <v>-4.2E7</v>
      </c>
      <c r="M679" s="1">
        <v>1.69E8</v>
      </c>
      <c r="N679" s="1">
        <v>4.431E9</v>
      </c>
      <c r="O679" s="1">
        <v>3.648E9</v>
      </c>
      <c r="P679" s="1">
        <v>2.569E9</v>
      </c>
      <c r="Q679" s="1">
        <v>-4.6E7</v>
      </c>
      <c r="R679" s="1">
        <v>5.68E8</v>
      </c>
      <c r="S679" s="1">
        <v>5.61E8</v>
      </c>
    </row>
    <row r="680">
      <c r="A680" s="1">
        <v>678.0</v>
      </c>
      <c r="B680" s="3">
        <v>44196.0</v>
      </c>
      <c r="C680" s="1" t="s">
        <v>380</v>
      </c>
      <c r="D680" s="1" t="s">
        <v>381</v>
      </c>
      <c r="F680" s="1">
        <v>5.63E8</v>
      </c>
      <c r="G680" s="1">
        <v>4.45E8</v>
      </c>
      <c r="H680" s="1">
        <v>9.98E8</v>
      </c>
      <c r="I680" s="1">
        <v>1.723E9</v>
      </c>
      <c r="J680" s="1">
        <v>6.44E8</v>
      </c>
      <c r="K680" s="1">
        <v>6.44E8</v>
      </c>
      <c r="L680" s="1">
        <v>-4.2E7</v>
      </c>
      <c r="M680" s="1">
        <v>1.11E8</v>
      </c>
      <c r="N680" s="1">
        <v>4.161E9</v>
      </c>
      <c r="O680" s="1">
        <v>3.517E9</v>
      </c>
      <c r="P680" s="1">
        <v>2.438E9</v>
      </c>
      <c r="Q680" s="1">
        <v>-8.1E7</v>
      </c>
      <c r="R680" s="1">
        <v>4.52E8</v>
      </c>
      <c r="S680" s="1">
        <v>4.45E8</v>
      </c>
    </row>
    <row r="681">
      <c r="A681" s="1">
        <v>679.0</v>
      </c>
      <c r="B681" s="3">
        <v>44104.0</v>
      </c>
      <c r="C681" s="1" t="s">
        <v>380</v>
      </c>
      <c r="D681" s="1" t="s">
        <v>381</v>
      </c>
      <c r="F681" s="1">
        <v>7.65E8</v>
      </c>
      <c r="G681" s="1">
        <v>7.23E8</v>
      </c>
      <c r="H681" s="1">
        <v>9.46E8</v>
      </c>
      <c r="I681" s="1">
        <v>1.887E9</v>
      </c>
      <c r="J681" s="1">
        <v>9.26E8</v>
      </c>
      <c r="K681" s="1">
        <v>9.26E8</v>
      </c>
      <c r="L681" s="1">
        <v>-4.3E7</v>
      </c>
      <c r="M681" s="1">
        <v>3.5E7</v>
      </c>
      <c r="N681" s="1">
        <v>4.558E9</v>
      </c>
      <c r="O681" s="1">
        <v>3.632E9</v>
      </c>
      <c r="P681" s="1">
        <v>2.671E9</v>
      </c>
      <c r="Q681" s="1">
        <v>-1.61E8</v>
      </c>
      <c r="R681" s="1">
        <v>7.3E8</v>
      </c>
      <c r="S681" s="1">
        <v>7.23E8</v>
      </c>
    </row>
    <row r="682">
      <c r="A682" s="1">
        <v>680.0</v>
      </c>
      <c r="B682" s="3">
        <v>44286.0</v>
      </c>
      <c r="C682" s="1" t="s">
        <v>382</v>
      </c>
      <c r="D682" s="1" t="s">
        <v>383</v>
      </c>
      <c r="E682" s="1">
        <v>2.1818E7</v>
      </c>
      <c r="F682" s="1">
        <v>-1666000.0</v>
      </c>
      <c r="G682" s="1">
        <v>3.1698E7</v>
      </c>
      <c r="H682" s="1">
        <v>3.6645E7</v>
      </c>
      <c r="I682" s="1">
        <v>1.22949E8</v>
      </c>
      <c r="J682" s="1">
        <v>6.4486E7</v>
      </c>
      <c r="K682" s="1">
        <v>6.4486E7</v>
      </c>
      <c r="L682" s="1">
        <v>-7329000.0</v>
      </c>
      <c r="M682" s="1">
        <v>-3.3364E7</v>
      </c>
      <c r="N682" s="1">
        <v>3.01754E8</v>
      </c>
      <c r="O682" s="1">
        <v>2.37268E8</v>
      </c>
      <c r="P682" s="1">
        <v>1.78805E8</v>
      </c>
      <c r="Q682" s="1">
        <v>-6.6152E7</v>
      </c>
      <c r="R682" s="1">
        <v>3.1698E7</v>
      </c>
      <c r="S682" s="1">
        <v>3.1698E7</v>
      </c>
    </row>
    <row r="683">
      <c r="A683" s="1">
        <v>681.0</v>
      </c>
      <c r="B683" s="3">
        <v>44196.0</v>
      </c>
      <c r="C683" s="1" t="s">
        <v>382</v>
      </c>
      <c r="D683" s="1" t="s">
        <v>383</v>
      </c>
      <c r="E683" s="1">
        <v>1.5801E7</v>
      </c>
      <c r="F683" s="1">
        <v>7.1352E7</v>
      </c>
      <c r="G683" s="1">
        <v>7.2991E7</v>
      </c>
      <c r="H683" s="1">
        <v>2.7023E7</v>
      </c>
      <c r="I683" s="1">
        <v>1.21938E8</v>
      </c>
      <c r="J683" s="1">
        <v>7.9114E7</v>
      </c>
      <c r="K683" s="1">
        <v>7.9114E7</v>
      </c>
      <c r="L683" s="1">
        <v>-5901000.0</v>
      </c>
      <c r="M683" s="1">
        <v>-1639000.0</v>
      </c>
      <c r="N683" s="1">
        <v>2.64839E8</v>
      </c>
      <c r="O683" s="1">
        <v>1.85725E8</v>
      </c>
      <c r="P683" s="1">
        <v>1.42901E8</v>
      </c>
      <c r="Q683" s="1">
        <v>-7762000.0</v>
      </c>
      <c r="R683" s="1">
        <v>7.2991E7</v>
      </c>
      <c r="S683" s="1">
        <v>7.2991E7</v>
      </c>
    </row>
    <row r="684">
      <c r="A684" s="1">
        <v>682.0</v>
      </c>
      <c r="B684" s="3">
        <v>44104.0</v>
      </c>
      <c r="C684" s="1" t="s">
        <v>382</v>
      </c>
      <c r="D684" s="1" t="s">
        <v>383</v>
      </c>
      <c r="E684" s="1">
        <v>1.5052E7</v>
      </c>
      <c r="F684" s="1">
        <v>4.4845E7</v>
      </c>
      <c r="G684" s="1">
        <v>3.9362E7</v>
      </c>
      <c r="H684" s="1">
        <v>2.817E7</v>
      </c>
      <c r="I684" s="1">
        <v>9.4981E7</v>
      </c>
      <c r="J684" s="1">
        <v>5.1759E7</v>
      </c>
      <c r="K684" s="1">
        <v>5.1759E7</v>
      </c>
      <c r="L684" s="1">
        <v>-5993000.0</v>
      </c>
      <c r="M684" s="1">
        <v>5483000.0</v>
      </c>
      <c r="N684" s="1">
        <v>1.78503E8</v>
      </c>
      <c r="O684" s="1">
        <v>1.26744E8</v>
      </c>
      <c r="P684" s="1">
        <v>8.3522E7</v>
      </c>
      <c r="Q684" s="1">
        <v>-6914000.0</v>
      </c>
      <c r="R684" s="1">
        <v>3.9362E7</v>
      </c>
      <c r="S684" s="1">
        <v>3.9362E7</v>
      </c>
    </row>
    <row r="685">
      <c r="A685" s="1">
        <v>683.0</v>
      </c>
      <c r="B685" s="3">
        <v>44012.0</v>
      </c>
      <c r="C685" s="1" t="s">
        <v>382</v>
      </c>
      <c r="D685" s="1" t="s">
        <v>383</v>
      </c>
      <c r="E685" s="1">
        <v>1.3192E7</v>
      </c>
      <c r="F685" s="1">
        <v>-5.3855E7</v>
      </c>
      <c r="G685" s="1">
        <v>-4.7294E7</v>
      </c>
      <c r="H685" s="1">
        <v>2.4341E7</v>
      </c>
      <c r="I685" s="1">
        <v>4.8387E7</v>
      </c>
      <c r="J685" s="1">
        <v>1.0854E7</v>
      </c>
      <c r="K685" s="1">
        <v>1.0854E7</v>
      </c>
      <c r="L685" s="1">
        <v>-5952000.0</v>
      </c>
      <c r="M685" s="1">
        <v>-6561000.0</v>
      </c>
      <c r="N685" s="1">
        <v>1.25538E8</v>
      </c>
      <c r="O685" s="1">
        <v>1.14684E8</v>
      </c>
      <c r="P685" s="1">
        <v>7.7151E7</v>
      </c>
      <c r="Q685" s="1">
        <v>-6.4709E7</v>
      </c>
      <c r="R685" s="1">
        <v>-4.7294E7</v>
      </c>
      <c r="S685" s="1">
        <v>-4.7294E7</v>
      </c>
    </row>
    <row r="686">
      <c r="A686" s="1">
        <v>684.0</v>
      </c>
      <c r="B686" s="3">
        <v>44377.0</v>
      </c>
      <c r="C686" s="1" t="s">
        <v>384</v>
      </c>
      <c r="D686" s="1" t="s">
        <v>385</v>
      </c>
      <c r="F686" s="1">
        <v>-2.439E7</v>
      </c>
      <c r="G686" s="1">
        <v>-5974000.0</v>
      </c>
      <c r="H686" s="1">
        <v>1.45691E8</v>
      </c>
      <c r="I686" s="1">
        <v>1.118817E9</v>
      </c>
      <c r="J686" s="1">
        <v>3.64609E8</v>
      </c>
      <c r="K686" s="1">
        <v>3.64609E8</v>
      </c>
      <c r="L686" s="1">
        <v>-2.24968E8</v>
      </c>
      <c r="M686" s="1">
        <v>-1.8416E7</v>
      </c>
      <c r="N686" s="1">
        <v>2.82207E9</v>
      </c>
      <c r="O686" s="1">
        <v>2.457461E9</v>
      </c>
      <c r="P686" s="1">
        <v>1.703253E9</v>
      </c>
      <c r="Q686" s="1">
        <v>-3.88999E8</v>
      </c>
      <c r="R686" s="1">
        <v>-5974000.0</v>
      </c>
      <c r="S686" s="1">
        <v>-5974000.0</v>
      </c>
    </row>
    <row r="687">
      <c r="A687" s="1">
        <v>685.0</v>
      </c>
      <c r="B687" s="3">
        <v>44286.0</v>
      </c>
      <c r="C687" s="1" t="s">
        <v>384</v>
      </c>
      <c r="D687" s="1" t="s">
        <v>385</v>
      </c>
      <c r="F687" s="1">
        <v>4.00507E8</v>
      </c>
      <c r="G687" s="1">
        <v>3.34565E8</v>
      </c>
      <c r="H687" s="1">
        <v>3.1739E7</v>
      </c>
      <c r="I687" s="1">
        <v>1.213412E9</v>
      </c>
      <c r="J687" s="1">
        <v>4.79531E8</v>
      </c>
      <c r="K687" s="1">
        <v>4.79531E8</v>
      </c>
      <c r="L687" s="1">
        <v>-2.10514E8</v>
      </c>
      <c r="M687" s="1">
        <v>6.5942E7</v>
      </c>
      <c r="N687" s="1">
        <v>2.844838E9</v>
      </c>
      <c r="O687" s="1">
        <v>2.365307E9</v>
      </c>
      <c r="P687" s="1">
        <v>1.631426E9</v>
      </c>
      <c r="Q687" s="1">
        <v>-7.9024E7</v>
      </c>
      <c r="R687" s="1">
        <v>3.34565E8</v>
      </c>
      <c r="S687" s="1">
        <v>3.34565E8</v>
      </c>
    </row>
    <row r="688">
      <c r="A688" s="1">
        <v>686.0</v>
      </c>
      <c r="B688" s="3">
        <v>44196.0</v>
      </c>
      <c r="C688" s="1" t="s">
        <v>384</v>
      </c>
      <c r="D688" s="1" t="s">
        <v>385</v>
      </c>
      <c r="F688" s="1">
        <v>9.9096E7</v>
      </c>
      <c r="G688" s="1">
        <v>3.87968E8</v>
      </c>
      <c r="H688" s="1">
        <v>-1.65327E8</v>
      </c>
      <c r="I688" s="1">
        <v>9.68432E8</v>
      </c>
      <c r="J688" s="1">
        <v>3.98729E8</v>
      </c>
      <c r="K688" s="1">
        <v>3.98729E8</v>
      </c>
      <c r="L688" s="1">
        <v>-2.12411E8</v>
      </c>
      <c r="M688" s="1">
        <v>-2.88872E8</v>
      </c>
      <c r="N688" s="1">
        <v>2.370102E9</v>
      </c>
      <c r="O688" s="1">
        <v>1.971373E9</v>
      </c>
      <c r="P688" s="1">
        <v>1.40167E9</v>
      </c>
      <c r="Q688" s="1">
        <v>-2.99633E8</v>
      </c>
      <c r="R688" s="1">
        <v>3.87968E8</v>
      </c>
      <c r="S688" s="1">
        <v>3.87968E8</v>
      </c>
    </row>
    <row r="689">
      <c r="A689" s="1">
        <v>687.0</v>
      </c>
      <c r="B689" s="3">
        <v>44104.0</v>
      </c>
      <c r="C689" s="1" t="s">
        <v>384</v>
      </c>
      <c r="D689" s="1" t="s">
        <v>385</v>
      </c>
      <c r="F689" s="1">
        <v>6.70563E8</v>
      </c>
      <c r="G689" s="1">
        <v>5.21119E8</v>
      </c>
      <c r="H689" s="1">
        <v>7.6341E7</v>
      </c>
      <c r="I689" s="1">
        <v>1.421255E9</v>
      </c>
      <c r="J689" s="1">
        <v>7.06136E8</v>
      </c>
      <c r="K689" s="1">
        <v>7.06136E8</v>
      </c>
      <c r="L689" s="1">
        <v>-2.12439E8</v>
      </c>
      <c r="M689" s="1">
        <v>1.49444E8</v>
      </c>
      <c r="N689" s="1">
        <v>2.903568E9</v>
      </c>
      <c r="O689" s="1">
        <v>2.197432E9</v>
      </c>
      <c r="P689" s="1">
        <v>1.482313E9</v>
      </c>
      <c r="Q689" s="1">
        <v>-3.5573E7</v>
      </c>
      <c r="R689" s="1">
        <v>5.21119E8</v>
      </c>
      <c r="S689" s="1">
        <v>5.21119E8</v>
      </c>
    </row>
    <row r="690">
      <c r="A690" s="1">
        <v>688.0</v>
      </c>
      <c r="B690" s="3">
        <v>44377.0</v>
      </c>
      <c r="C690" s="1" t="s">
        <v>386</v>
      </c>
      <c r="D690" s="1" t="s">
        <v>387</v>
      </c>
      <c r="F690" s="1">
        <v>1.124E9</v>
      </c>
      <c r="G690" s="1">
        <v>9.07E8</v>
      </c>
      <c r="H690" s="1">
        <v>1.2E8</v>
      </c>
      <c r="I690" s="1">
        <v>2.912E9</v>
      </c>
      <c r="J690" s="1">
        <v>1.121E9</v>
      </c>
      <c r="K690" s="1">
        <v>1.121E9</v>
      </c>
      <c r="L690" s="1">
        <v>-4.5E7</v>
      </c>
      <c r="M690" s="1">
        <v>2.17E8</v>
      </c>
      <c r="N690" s="1">
        <v>4.515E9</v>
      </c>
      <c r="O690" s="1">
        <v>3.394E9</v>
      </c>
      <c r="P690" s="1">
        <v>1.603E9</v>
      </c>
      <c r="Q690" s="1">
        <v>3000000.0</v>
      </c>
      <c r="R690" s="1">
        <v>9.07E8</v>
      </c>
      <c r="S690" s="1">
        <v>9.07E8</v>
      </c>
    </row>
    <row r="691">
      <c r="A691" s="1">
        <v>689.0</v>
      </c>
      <c r="B691" s="3">
        <v>44286.0</v>
      </c>
      <c r="C691" s="1" t="s">
        <v>386</v>
      </c>
      <c r="D691" s="1" t="s">
        <v>387</v>
      </c>
      <c r="F691" s="1">
        <v>8.81E8</v>
      </c>
      <c r="G691" s="1">
        <v>6.77E8</v>
      </c>
      <c r="H691" s="1">
        <v>1.1E8</v>
      </c>
      <c r="I691" s="1">
        <v>2.618E9</v>
      </c>
      <c r="J691" s="1">
        <v>9.39E8</v>
      </c>
      <c r="K691" s="1">
        <v>9.39E8</v>
      </c>
      <c r="L691" s="1">
        <v>-4.7E7</v>
      </c>
      <c r="M691" s="1">
        <v>2.04E8</v>
      </c>
      <c r="N691" s="1">
        <v>4.067E9</v>
      </c>
      <c r="O691" s="1">
        <v>3.128E9</v>
      </c>
      <c r="P691" s="1">
        <v>1.449E9</v>
      </c>
      <c r="Q691" s="1">
        <v>-5.8E7</v>
      </c>
      <c r="R691" s="1">
        <v>6.77E8</v>
      </c>
      <c r="S691" s="1">
        <v>6.77E8</v>
      </c>
    </row>
    <row r="692">
      <c r="A692" s="1">
        <v>690.0</v>
      </c>
      <c r="B692" s="3">
        <v>44196.0</v>
      </c>
      <c r="C692" s="1" t="s">
        <v>386</v>
      </c>
      <c r="D692" s="1" t="s">
        <v>387</v>
      </c>
      <c r="F692" s="1">
        <v>4.2776E8</v>
      </c>
      <c r="G692" s="1">
        <v>3.37466E8</v>
      </c>
      <c r="H692" s="1">
        <v>1.13235E8</v>
      </c>
      <c r="I692" s="1">
        <v>1.704077E9</v>
      </c>
      <c r="J692" s="1">
        <v>8.52826E8</v>
      </c>
      <c r="K692" s="1">
        <v>8.52826E8</v>
      </c>
      <c r="L692" s="1">
        <v>-5.3121E7</v>
      </c>
      <c r="M692" s="1">
        <v>9.0294E7</v>
      </c>
      <c r="N692" s="1">
        <v>2.901794E9</v>
      </c>
      <c r="O692" s="1">
        <v>2.048968E9</v>
      </c>
      <c r="P692" s="1">
        <v>1.197717E9</v>
      </c>
      <c r="Q692" s="1">
        <v>-4.25066E8</v>
      </c>
      <c r="R692" s="1">
        <v>3.37466E8</v>
      </c>
      <c r="S692" s="1">
        <v>3.37466E8</v>
      </c>
    </row>
    <row r="693">
      <c r="A693" s="1">
        <v>691.0</v>
      </c>
      <c r="B693" s="3">
        <v>44104.0</v>
      </c>
      <c r="C693" s="1" t="s">
        <v>386</v>
      </c>
      <c r="D693" s="1" t="s">
        <v>387</v>
      </c>
      <c r="F693" s="1">
        <v>-5.2555E7</v>
      </c>
      <c r="G693" s="1">
        <v>-4.2467E7</v>
      </c>
      <c r="H693" s="1">
        <v>1.2446E8</v>
      </c>
      <c r="I693" s="1">
        <v>1.276567E9</v>
      </c>
      <c r="J693" s="1">
        <v>6.8262E7</v>
      </c>
      <c r="K693" s="1">
        <v>6.8262E7</v>
      </c>
      <c r="L693" s="1">
        <v>-5.3242E7</v>
      </c>
      <c r="M693" s="1">
        <v>-1.0088E7</v>
      </c>
      <c r="N693" s="1">
        <v>2.320438E9</v>
      </c>
      <c r="O693" s="1">
        <v>2.252176E9</v>
      </c>
      <c r="P693" s="1">
        <v>1.043871E9</v>
      </c>
      <c r="Q693" s="1">
        <v>-1.20817E8</v>
      </c>
      <c r="R693" s="1">
        <v>-4.2467E7</v>
      </c>
      <c r="S693" s="1">
        <v>-4.2467E7</v>
      </c>
    </row>
    <row r="694">
      <c r="A694" s="1">
        <v>692.0</v>
      </c>
      <c r="B694" s="3">
        <v>44377.0</v>
      </c>
      <c r="C694" s="1" t="s">
        <v>388</v>
      </c>
      <c r="D694" s="1" t="s">
        <v>389</v>
      </c>
      <c r="F694" s="1">
        <v>2.771E8</v>
      </c>
      <c r="G694" s="1">
        <v>2.151E8</v>
      </c>
      <c r="H694" s="1">
        <v>3.284E8</v>
      </c>
      <c r="I694" s="1">
        <v>7.518E8</v>
      </c>
      <c r="J694" s="1">
        <v>3.06E8</v>
      </c>
      <c r="K694" s="1">
        <v>3.06E8</v>
      </c>
      <c r="L694" s="1">
        <v>-3.49E7</v>
      </c>
      <c r="M694" s="1">
        <v>6.12E7</v>
      </c>
      <c r="N694" s="1">
        <v>1.2348E9</v>
      </c>
      <c r="O694" s="1">
        <v>9.288E8</v>
      </c>
      <c r="P694" s="1">
        <v>4.83E8</v>
      </c>
      <c r="Q694" s="1">
        <v>-2.89E7</v>
      </c>
      <c r="R694" s="1">
        <v>2.159E8</v>
      </c>
      <c r="S694" s="1">
        <v>2.151E8</v>
      </c>
    </row>
    <row r="695">
      <c r="A695" s="1">
        <v>693.0</v>
      </c>
      <c r="B695" s="3">
        <v>44286.0</v>
      </c>
      <c r="C695" s="1" t="s">
        <v>388</v>
      </c>
      <c r="D695" s="1" t="s">
        <v>389</v>
      </c>
      <c r="F695" s="1">
        <v>2.685E8</v>
      </c>
      <c r="G695" s="1">
        <v>2.016E8</v>
      </c>
      <c r="H695" s="1">
        <v>3.088E8</v>
      </c>
      <c r="I695" s="1">
        <v>7.297E8</v>
      </c>
      <c r="J695" s="1">
        <v>3.066E8</v>
      </c>
      <c r="K695" s="1">
        <v>3.066E8</v>
      </c>
      <c r="L695" s="1">
        <v>-3.72E7</v>
      </c>
      <c r="M695" s="1">
        <v>6.56E7</v>
      </c>
      <c r="N695" s="1">
        <v>1.213E9</v>
      </c>
      <c r="O695" s="1">
        <v>9.064E8</v>
      </c>
      <c r="P695" s="1">
        <v>4.833E8</v>
      </c>
      <c r="Q695" s="1">
        <v>-3.81E7</v>
      </c>
      <c r="R695" s="1">
        <v>2.029E8</v>
      </c>
      <c r="S695" s="1">
        <v>2.016E8</v>
      </c>
    </row>
    <row r="696">
      <c r="A696" s="1">
        <v>694.0</v>
      </c>
      <c r="B696" s="3">
        <v>44196.0</v>
      </c>
      <c r="C696" s="1" t="s">
        <v>388</v>
      </c>
      <c r="D696" s="1" t="s">
        <v>389</v>
      </c>
      <c r="F696" s="1">
        <v>1.116E8</v>
      </c>
      <c r="G696" s="1">
        <v>8.74E7</v>
      </c>
      <c r="H696" s="1">
        <v>3.444E8</v>
      </c>
      <c r="I696" s="1">
        <v>6.375E8</v>
      </c>
      <c r="J696" s="1">
        <v>1.916E8</v>
      </c>
      <c r="K696" s="1">
        <v>1.916E8</v>
      </c>
      <c r="L696" s="1">
        <v>-3.69E7</v>
      </c>
      <c r="M696" s="1">
        <v>2.1E7</v>
      </c>
      <c r="N696" s="1">
        <v>1.1184E9</v>
      </c>
      <c r="O696" s="1">
        <v>9.268E8</v>
      </c>
      <c r="P696" s="1">
        <v>4.809E8</v>
      </c>
      <c r="Q696" s="1">
        <v>-8.0E7</v>
      </c>
      <c r="R696" s="1">
        <v>9.06E7</v>
      </c>
      <c r="S696" s="1">
        <v>8.74E7</v>
      </c>
    </row>
    <row r="697">
      <c r="A697" s="1">
        <v>695.0</v>
      </c>
      <c r="B697" s="3">
        <v>44104.0</v>
      </c>
      <c r="C697" s="1" t="s">
        <v>388</v>
      </c>
      <c r="D697" s="1" t="s">
        <v>389</v>
      </c>
      <c r="F697" s="1">
        <v>3.004E8</v>
      </c>
      <c r="G697" s="1">
        <v>2.242E8</v>
      </c>
      <c r="H697" s="1">
        <v>3.32E8</v>
      </c>
      <c r="I697" s="1">
        <v>6.351E8</v>
      </c>
      <c r="J697" s="1">
        <v>2.024E8</v>
      </c>
      <c r="K697" s="1">
        <v>2.024E8</v>
      </c>
      <c r="L697" s="1">
        <v>-3.74E7</v>
      </c>
      <c r="M697" s="1">
        <v>7.54E7</v>
      </c>
      <c r="N697" s="1">
        <v>1.0683E9</v>
      </c>
      <c r="O697" s="1">
        <v>8.659E8</v>
      </c>
      <c r="P697" s="1">
        <v>4.332E8</v>
      </c>
      <c r="Q697" s="1">
        <v>9.8E7</v>
      </c>
      <c r="R697" s="1">
        <v>2.25E8</v>
      </c>
      <c r="S697" s="1">
        <v>2.242E8</v>
      </c>
    </row>
    <row r="698">
      <c r="A698" s="1">
        <v>696.0</v>
      </c>
      <c r="B698" s="3">
        <v>44377.0</v>
      </c>
      <c r="C698" s="1" t="s">
        <v>390</v>
      </c>
      <c r="D698" s="1" t="s">
        <v>391</v>
      </c>
      <c r="F698" s="1">
        <v>4.996E7</v>
      </c>
      <c r="G698" s="1">
        <v>6.8339E7</v>
      </c>
      <c r="H698" s="1">
        <v>5.07615E8</v>
      </c>
      <c r="I698" s="1">
        <v>7.92799E8</v>
      </c>
      <c r="J698" s="1">
        <v>2.85184E8</v>
      </c>
      <c r="K698" s="1">
        <v>2.85184E8</v>
      </c>
      <c r="L698" s="1">
        <v>-8.7231E7</v>
      </c>
      <c r="M698" s="1">
        <v>-1.8527E7</v>
      </c>
      <c r="N698" s="1">
        <v>1.657919E9</v>
      </c>
      <c r="O698" s="1">
        <v>1.372735E9</v>
      </c>
      <c r="P698" s="1">
        <v>8.6512E8</v>
      </c>
      <c r="Q698" s="1">
        <v>-2.35224E8</v>
      </c>
      <c r="R698" s="1">
        <v>6.8487E7</v>
      </c>
      <c r="S698" s="1">
        <v>6.8339E7</v>
      </c>
    </row>
    <row r="699">
      <c r="A699" s="1">
        <v>697.0</v>
      </c>
      <c r="B699" s="3">
        <v>44286.0</v>
      </c>
      <c r="C699" s="1" t="s">
        <v>390</v>
      </c>
      <c r="D699" s="1" t="s">
        <v>391</v>
      </c>
      <c r="F699" s="1">
        <v>1.88702E8</v>
      </c>
      <c r="G699" s="1">
        <v>1.56362E8</v>
      </c>
      <c r="H699" s="1">
        <v>4.84283E8</v>
      </c>
      <c r="I699" s="1">
        <v>7.84847E8</v>
      </c>
      <c r="J699" s="1">
        <v>3.00564E8</v>
      </c>
      <c r="K699" s="1">
        <v>3.00564E8</v>
      </c>
      <c r="L699" s="1">
        <v>-8.9681E7</v>
      </c>
      <c r="M699" s="1">
        <v>3.2628E7</v>
      </c>
      <c r="N699" s="1">
        <v>1.596064E9</v>
      </c>
      <c r="O699" s="1">
        <v>1.2955E9</v>
      </c>
      <c r="P699" s="1">
        <v>8.11217E8</v>
      </c>
      <c r="Q699" s="1">
        <v>-1.11862E8</v>
      </c>
      <c r="R699" s="1">
        <v>1.56074E8</v>
      </c>
      <c r="S699" s="1">
        <v>1.56362E8</v>
      </c>
    </row>
    <row r="700">
      <c r="A700" s="1">
        <v>698.0</v>
      </c>
      <c r="B700" s="3">
        <v>44196.0</v>
      </c>
      <c r="C700" s="1" t="s">
        <v>390</v>
      </c>
      <c r="D700" s="1" t="s">
        <v>391</v>
      </c>
      <c r="F700" s="1">
        <v>9.224E7</v>
      </c>
      <c r="G700" s="1">
        <v>5.0994E7</v>
      </c>
      <c r="H700" s="1">
        <v>4.80199E8</v>
      </c>
      <c r="I700" s="1">
        <v>7.4117E8</v>
      </c>
      <c r="J700" s="1">
        <v>2.60971E8</v>
      </c>
      <c r="K700" s="1">
        <v>2.60971E8</v>
      </c>
      <c r="L700" s="1">
        <v>-9.0912E7</v>
      </c>
      <c r="M700" s="1">
        <v>4.1304E7</v>
      </c>
      <c r="N700" s="1">
        <v>1.571905E9</v>
      </c>
      <c r="O700" s="1">
        <v>1.310934E9</v>
      </c>
      <c r="P700" s="1">
        <v>8.30735E8</v>
      </c>
      <c r="Q700" s="1">
        <v>-1.68731E8</v>
      </c>
      <c r="R700" s="1">
        <v>5.0936E7</v>
      </c>
      <c r="S700" s="1">
        <v>5.0994E7</v>
      </c>
    </row>
    <row r="701">
      <c r="A701" s="1">
        <v>699.0</v>
      </c>
      <c r="B701" s="3">
        <v>44104.0</v>
      </c>
      <c r="C701" s="1" t="s">
        <v>390</v>
      </c>
      <c r="D701" s="1" t="s">
        <v>391</v>
      </c>
      <c r="F701" s="1">
        <v>9.6734E7</v>
      </c>
      <c r="G701" s="1">
        <v>6.6687E7</v>
      </c>
      <c r="H701" s="1">
        <v>4.52077E8</v>
      </c>
      <c r="I701" s="1">
        <v>7.49314E8</v>
      </c>
      <c r="J701" s="1">
        <v>2.97237E8</v>
      </c>
      <c r="K701" s="1">
        <v>2.97237E8</v>
      </c>
      <c r="L701" s="1">
        <v>-9.9736E7</v>
      </c>
      <c r="M701" s="1">
        <v>2.9903E7</v>
      </c>
      <c r="N701" s="1">
        <v>1.517293E9</v>
      </c>
      <c r="O701" s="1">
        <v>1.220056E9</v>
      </c>
      <c r="P701" s="1">
        <v>7.67979E8</v>
      </c>
      <c r="Q701" s="1">
        <v>-2.00503E8</v>
      </c>
      <c r="R701" s="1">
        <v>6.6831E7</v>
      </c>
      <c r="S701" s="1">
        <v>6.6687E7</v>
      </c>
    </row>
    <row r="702">
      <c r="A702" s="1">
        <v>700.0</v>
      </c>
      <c r="B702" s="3">
        <v>44377.0</v>
      </c>
      <c r="C702" s="1" t="s">
        <v>392</v>
      </c>
      <c r="D702" s="1" t="s">
        <v>393</v>
      </c>
      <c r="F702" s="1">
        <v>3.28282E8</v>
      </c>
      <c r="G702" s="1">
        <v>3.16386E8</v>
      </c>
      <c r="H702" s="1">
        <v>1.4678E7</v>
      </c>
      <c r="I702" s="1">
        <v>3.68457E8</v>
      </c>
      <c r="J702" s="1">
        <v>1.53106E8</v>
      </c>
      <c r="K702" s="1">
        <v>1.53106E8</v>
      </c>
      <c r="L702" s="1">
        <v>-6.9063E7</v>
      </c>
      <c r="M702" s="1">
        <v>242000.0</v>
      </c>
      <c r="N702" s="1">
        <v>5.98059E8</v>
      </c>
      <c r="O702" s="1">
        <v>4.44953E8</v>
      </c>
      <c r="P702" s="1">
        <v>2.29602E8</v>
      </c>
      <c r="Q702" s="1">
        <v>1.75176E8</v>
      </c>
      <c r="R702" s="1">
        <v>3.2804E8</v>
      </c>
      <c r="S702" s="1">
        <v>3.15614E8</v>
      </c>
    </row>
    <row r="703">
      <c r="A703" s="1">
        <v>701.0</v>
      </c>
      <c r="B703" s="3">
        <v>44286.0</v>
      </c>
      <c r="C703" s="1" t="s">
        <v>392</v>
      </c>
      <c r="D703" s="1" t="s">
        <v>393</v>
      </c>
      <c r="F703" s="1">
        <v>6.0517E7</v>
      </c>
      <c r="G703" s="1">
        <v>5.7539E7</v>
      </c>
      <c r="H703" s="1">
        <v>1.5383E7</v>
      </c>
      <c r="I703" s="1">
        <v>3.50948E8</v>
      </c>
      <c r="J703" s="1">
        <v>1.35603E8</v>
      </c>
      <c r="K703" s="1">
        <v>1.35603E8</v>
      </c>
      <c r="L703" s="1">
        <v>-6.9543E7</v>
      </c>
      <c r="M703" s="1">
        <v>153000.0</v>
      </c>
      <c r="N703" s="1">
        <v>5.97602E8</v>
      </c>
      <c r="O703" s="1">
        <v>4.61999E8</v>
      </c>
      <c r="P703" s="1">
        <v>2.46654E8</v>
      </c>
      <c r="Q703" s="1">
        <v>-7.5086E7</v>
      </c>
      <c r="R703" s="1">
        <v>6.0364E7</v>
      </c>
      <c r="S703" s="1">
        <v>5.6766E7</v>
      </c>
    </row>
    <row r="704">
      <c r="A704" s="1">
        <v>702.0</v>
      </c>
      <c r="B704" s="3">
        <v>44196.0</v>
      </c>
      <c r="C704" s="1" t="s">
        <v>392</v>
      </c>
      <c r="D704" s="1" t="s">
        <v>393</v>
      </c>
      <c r="F704" s="1">
        <v>2.63334E8</v>
      </c>
      <c r="G704" s="1">
        <v>2.52856E8</v>
      </c>
      <c r="H704" s="1">
        <v>1.1093E7</v>
      </c>
      <c r="I704" s="1">
        <v>3.89939E8</v>
      </c>
      <c r="J704" s="1">
        <v>1.77017E8</v>
      </c>
      <c r="K704" s="1">
        <v>1.77017E8</v>
      </c>
      <c r="L704" s="1">
        <v>-1.1941E8</v>
      </c>
      <c r="M704" s="1">
        <v>350000.0</v>
      </c>
      <c r="N704" s="1">
        <v>6.13435E8</v>
      </c>
      <c r="O704" s="1">
        <v>4.36418E8</v>
      </c>
      <c r="P704" s="1">
        <v>2.23496E8</v>
      </c>
      <c r="Q704" s="1">
        <v>8.6317E7</v>
      </c>
      <c r="R704" s="1">
        <v>2.62984E8</v>
      </c>
      <c r="S704" s="1">
        <v>2.52084E8</v>
      </c>
    </row>
    <row r="705">
      <c r="A705" s="1">
        <v>703.0</v>
      </c>
      <c r="B705" s="3">
        <v>44104.0</v>
      </c>
      <c r="C705" s="1" t="s">
        <v>392</v>
      </c>
      <c r="D705" s="1" t="s">
        <v>393</v>
      </c>
      <c r="F705" s="1">
        <v>9.5627E7</v>
      </c>
      <c r="G705" s="1">
        <v>9.1286E7</v>
      </c>
      <c r="H705" s="1">
        <v>1.0859E7</v>
      </c>
      <c r="I705" s="1">
        <v>3.93899E8</v>
      </c>
      <c r="J705" s="1">
        <v>1.82435E8</v>
      </c>
      <c r="K705" s="1">
        <v>1.82435E8</v>
      </c>
      <c r="L705" s="1">
        <v>-8.2975E7</v>
      </c>
      <c r="M705" s="1">
        <v>262000.0</v>
      </c>
      <c r="N705" s="1">
        <v>6.22433E8</v>
      </c>
      <c r="O705" s="1">
        <v>4.39998E8</v>
      </c>
      <c r="P705" s="1">
        <v>2.28534E8</v>
      </c>
      <c r="Q705" s="1">
        <v>-8.6808E7</v>
      </c>
      <c r="R705" s="1">
        <v>9.5365E7</v>
      </c>
      <c r="S705" s="1">
        <v>9.0513E7</v>
      </c>
    </row>
    <row r="706">
      <c r="A706" s="1">
        <v>704.0</v>
      </c>
      <c r="B706" s="3">
        <v>44377.0</v>
      </c>
      <c r="C706" s="1" t="s">
        <v>394</v>
      </c>
      <c r="D706" s="1" t="s">
        <v>395</v>
      </c>
      <c r="F706" s="1">
        <v>6.9615E7</v>
      </c>
      <c r="G706" s="1">
        <v>6.4846E7</v>
      </c>
      <c r="H706" s="1">
        <v>1.2222E7</v>
      </c>
      <c r="I706" s="1">
        <v>2.52587E8</v>
      </c>
      <c r="J706" s="1">
        <v>1.11629E8</v>
      </c>
      <c r="K706" s="1">
        <v>1.11629E8</v>
      </c>
      <c r="L706" s="1">
        <v>-5.0971E7</v>
      </c>
      <c r="M706" s="1">
        <v>0.0</v>
      </c>
      <c r="N706" s="1">
        <v>3.69226E8</v>
      </c>
      <c r="O706" s="1">
        <v>2.57597E8</v>
      </c>
      <c r="P706" s="1">
        <v>1.16639E8</v>
      </c>
      <c r="Q706" s="1">
        <v>-4.2014E7</v>
      </c>
      <c r="R706" s="1">
        <v>6.9615E7</v>
      </c>
      <c r="S706" s="1">
        <v>6.4846E7</v>
      </c>
    </row>
    <row r="707">
      <c r="A707" s="1">
        <v>705.0</v>
      </c>
      <c r="B707" s="3">
        <v>44286.0</v>
      </c>
      <c r="C707" s="1" t="s">
        <v>394</v>
      </c>
      <c r="D707" s="1" t="s">
        <v>395</v>
      </c>
      <c r="F707" s="1">
        <v>1.76949E8</v>
      </c>
      <c r="G707" s="1">
        <v>1.68444E8</v>
      </c>
      <c r="H707" s="1">
        <v>9812000.0</v>
      </c>
      <c r="I707" s="1">
        <v>2.52695E8</v>
      </c>
      <c r="J707" s="1">
        <v>1.14296E8</v>
      </c>
      <c r="K707" s="1">
        <v>1.14296E8</v>
      </c>
      <c r="L707" s="1">
        <v>-5.1649E7</v>
      </c>
      <c r="M707" s="1">
        <v>0.0</v>
      </c>
      <c r="N707" s="1">
        <v>3.72136E8</v>
      </c>
      <c r="O707" s="1">
        <v>2.5784E8</v>
      </c>
      <c r="P707" s="1">
        <v>1.19441E8</v>
      </c>
      <c r="Q707" s="1">
        <v>6.2653E7</v>
      </c>
      <c r="R707" s="1">
        <v>1.76949E8</v>
      </c>
      <c r="S707" s="1">
        <v>1.68444E8</v>
      </c>
    </row>
    <row r="708">
      <c r="A708" s="1">
        <v>706.0</v>
      </c>
      <c r="B708" s="3">
        <v>44196.0</v>
      </c>
      <c r="C708" s="1" t="s">
        <v>394</v>
      </c>
      <c r="D708" s="1" t="s">
        <v>395</v>
      </c>
      <c r="F708" s="1">
        <v>1.01649E8</v>
      </c>
      <c r="G708" s="1">
        <v>9.5745E7</v>
      </c>
      <c r="H708" s="1">
        <v>2.3144E7</v>
      </c>
      <c r="I708" s="1">
        <v>2.53071E8</v>
      </c>
      <c r="J708" s="1">
        <v>9.98E7</v>
      </c>
      <c r="K708" s="1">
        <v>9.98E7</v>
      </c>
      <c r="L708" s="1">
        <v>-5.5609E7</v>
      </c>
      <c r="M708" s="1">
        <v>0.0</v>
      </c>
      <c r="N708" s="1">
        <v>3.69733E8</v>
      </c>
      <c r="O708" s="1">
        <v>2.69933E8</v>
      </c>
      <c r="P708" s="1">
        <v>1.16662E8</v>
      </c>
      <c r="Q708" s="1">
        <v>1849000.0</v>
      </c>
      <c r="R708" s="1">
        <v>1.01649E8</v>
      </c>
      <c r="S708" s="1">
        <v>9.5745E7</v>
      </c>
    </row>
    <row r="709">
      <c r="A709" s="1">
        <v>707.0</v>
      </c>
      <c r="B709" s="3">
        <v>44104.0</v>
      </c>
      <c r="C709" s="1" t="s">
        <v>394</v>
      </c>
      <c r="D709" s="1" t="s">
        <v>395</v>
      </c>
      <c r="F709" s="1">
        <v>7.8842E7</v>
      </c>
      <c r="G709" s="1">
        <v>7.3661E7</v>
      </c>
      <c r="H709" s="1">
        <v>1.331E7</v>
      </c>
      <c r="I709" s="1">
        <v>2.64755E8</v>
      </c>
      <c r="J709" s="1">
        <v>1.21243E8</v>
      </c>
      <c r="K709" s="1">
        <v>1.21243E8</v>
      </c>
      <c r="L709" s="1">
        <v>-5.543E7</v>
      </c>
      <c r="M709" s="1">
        <v>0.0</v>
      </c>
      <c r="N709" s="1">
        <v>3.85771E8</v>
      </c>
      <c r="O709" s="1">
        <v>2.64528E8</v>
      </c>
      <c r="P709" s="1">
        <v>1.21016E8</v>
      </c>
      <c r="Q709" s="1">
        <v>-4.2401E7</v>
      </c>
      <c r="R709" s="1">
        <v>7.8842E7</v>
      </c>
      <c r="S709" s="1">
        <v>7.3661E7</v>
      </c>
    </row>
    <row r="710">
      <c r="A710" s="1">
        <v>708.0</v>
      </c>
      <c r="B710" s="3">
        <v>44377.0</v>
      </c>
      <c r="C710" s="1" t="s">
        <v>396</v>
      </c>
      <c r="D710" s="1" t="s">
        <v>397</v>
      </c>
      <c r="F710" s="1">
        <v>1.05E9</v>
      </c>
      <c r="G710" s="1">
        <v>1.018E9</v>
      </c>
      <c r="H710" s="1">
        <v>2.604E9</v>
      </c>
      <c r="I710" s="1">
        <v>2.951E9</v>
      </c>
      <c r="J710" s="1">
        <v>3.47E8</v>
      </c>
      <c r="K710" s="1">
        <v>3.47E8</v>
      </c>
      <c r="L710" s="1">
        <v>-4.2E7</v>
      </c>
      <c r="M710" s="1">
        <v>3.5E7</v>
      </c>
      <c r="N710" s="1">
        <v>3.936E9</v>
      </c>
      <c r="O710" s="1">
        <v>3.589E9</v>
      </c>
      <c r="P710" s="1">
        <v>9.85E8</v>
      </c>
      <c r="Q710" s="1">
        <v>7.03E8</v>
      </c>
      <c r="R710" s="1">
        <v>1.015E9</v>
      </c>
      <c r="S710" s="1">
        <v>1.018E9</v>
      </c>
    </row>
    <row r="711">
      <c r="A711" s="1">
        <v>709.0</v>
      </c>
      <c r="B711" s="3">
        <v>44286.0</v>
      </c>
      <c r="C711" s="1" t="s">
        <v>396</v>
      </c>
      <c r="D711" s="1" t="s">
        <v>397</v>
      </c>
      <c r="F711" s="1">
        <v>5.8E8</v>
      </c>
      <c r="G711" s="1">
        <v>4.56E8</v>
      </c>
      <c r="H711" s="1">
        <v>2.05E9</v>
      </c>
      <c r="I711" s="1">
        <v>2.929E9</v>
      </c>
      <c r="J711" s="1">
        <v>8.79E8</v>
      </c>
      <c r="K711" s="1">
        <v>8.79E8</v>
      </c>
      <c r="L711" s="1">
        <v>-4.3E7</v>
      </c>
      <c r="M711" s="1">
        <v>1.22E8</v>
      </c>
      <c r="N711" s="1">
        <v>3.864E9</v>
      </c>
      <c r="O711" s="1">
        <v>2.985E9</v>
      </c>
      <c r="P711" s="1">
        <v>9.35E8</v>
      </c>
      <c r="Q711" s="1">
        <v>-2.99E8</v>
      </c>
      <c r="R711" s="1">
        <v>4.58E8</v>
      </c>
      <c r="S711" s="1">
        <v>4.56E8</v>
      </c>
    </row>
    <row r="712">
      <c r="A712" s="1">
        <v>710.0</v>
      </c>
      <c r="B712" s="3">
        <v>44196.0</v>
      </c>
      <c r="C712" s="1" t="s">
        <v>396</v>
      </c>
      <c r="D712" s="1" t="s">
        <v>397</v>
      </c>
      <c r="F712" s="1">
        <v>1.03E9</v>
      </c>
      <c r="G712" s="1">
        <v>8.73E8</v>
      </c>
      <c r="H712" s="1">
        <v>2.599E9</v>
      </c>
      <c r="I712" s="1">
        <v>3.771E9</v>
      </c>
      <c r="J712" s="1">
        <v>1.172E9</v>
      </c>
      <c r="K712" s="1">
        <v>1.172E9</v>
      </c>
      <c r="L712" s="1">
        <v>-4.3E7</v>
      </c>
      <c r="M712" s="1">
        <v>1.53E8</v>
      </c>
      <c r="N712" s="1">
        <v>4.853E9</v>
      </c>
      <c r="O712" s="1">
        <v>3.681E9</v>
      </c>
      <c r="P712" s="1">
        <v>1.082E9</v>
      </c>
      <c r="Q712" s="1">
        <v>-1.42E8</v>
      </c>
      <c r="R712" s="1">
        <v>8.77E8</v>
      </c>
      <c r="S712" s="1">
        <v>8.73E8</v>
      </c>
    </row>
    <row r="713">
      <c r="A713" s="1">
        <v>711.0</v>
      </c>
      <c r="B713" s="3">
        <v>44104.0</v>
      </c>
      <c r="C713" s="1" t="s">
        <v>396</v>
      </c>
      <c r="D713" s="1" t="s">
        <v>397</v>
      </c>
      <c r="F713" s="1">
        <v>6.71E8</v>
      </c>
      <c r="G713" s="1">
        <v>5.23E8</v>
      </c>
      <c r="H713" s="1">
        <v>2.029E9</v>
      </c>
      <c r="I713" s="1">
        <v>2.74E9</v>
      </c>
      <c r="J713" s="1">
        <v>7.11E8</v>
      </c>
      <c r="K713" s="1">
        <v>7.11E8</v>
      </c>
      <c r="L713" s="1">
        <v>-4.5E7</v>
      </c>
      <c r="M713" s="1">
        <v>1.46E8</v>
      </c>
      <c r="N713" s="1">
        <v>3.562E9</v>
      </c>
      <c r="O713" s="1">
        <v>2.851E9</v>
      </c>
      <c r="P713" s="1">
        <v>8.22E8</v>
      </c>
      <c r="Q713" s="1">
        <v>-4.0E7</v>
      </c>
      <c r="R713" s="1">
        <v>5.25E8</v>
      </c>
      <c r="S713" s="1">
        <v>5.23E8</v>
      </c>
    </row>
    <row r="714">
      <c r="A714" s="1">
        <v>712.0</v>
      </c>
      <c r="B714" s="3">
        <v>44377.0</v>
      </c>
      <c r="C714" s="1" t="s">
        <v>398</v>
      </c>
      <c r="D714" s="1" t="s">
        <v>399</v>
      </c>
      <c r="E714" s="1">
        <v>6.1753E7</v>
      </c>
      <c r="F714" s="1">
        <v>8.5754E7</v>
      </c>
      <c r="G714" s="1">
        <v>9.8254E7</v>
      </c>
      <c r="H714" s="1">
        <v>2.19129E8</v>
      </c>
      <c r="I714" s="1">
        <v>3.79931E8</v>
      </c>
      <c r="J714" s="1">
        <v>9.9049E7</v>
      </c>
      <c r="K714" s="1">
        <v>9.9049E7</v>
      </c>
      <c r="L714" s="1">
        <v>-1882000.0</v>
      </c>
      <c r="M714" s="1">
        <v>-1.25E7</v>
      </c>
      <c r="N714" s="1">
        <v>5.289E8</v>
      </c>
      <c r="O714" s="1">
        <v>4.29851E8</v>
      </c>
      <c r="P714" s="1">
        <v>1.48969E8</v>
      </c>
      <c r="Q714" s="1">
        <v>-1.3295E7</v>
      </c>
      <c r="R714" s="1">
        <v>9.8254E7</v>
      </c>
      <c r="S714" s="1">
        <v>9.8254E7</v>
      </c>
    </row>
    <row r="715">
      <c r="A715" s="1">
        <v>713.0</v>
      </c>
      <c r="B715" s="3">
        <v>44286.0</v>
      </c>
      <c r="C715" s="1" t="s">
        <v>398</v>
      </c>
      <c r="D715" s="1" t="s">
        <v>399</v>
      </c>
      <c r="E715" s="1">
        <v>5.3706E7</v>
      </c>
      <c r="F715" s="1">
        <v>1.57728E8</v>
      </c>
      <c r="G715" s="1">
        <v>1.43766E8</v>
      </c>
      <c r="H715" s="1">
        <v>2.03386E8</v>
      </c>
      <c r="I715" s="1">
        <v>4.07729E8</v>
      </c>
      <c r="J715" s="1">
        <v>1.50637E8</v>
      </c>
      <c r="K715" s="1">
        <v>1.50637E8</v>
      </c>
      <c r="L715" s="1">
        <v>-1685000.0</v>
      </c>
      <c r="M715" s="1">
        <v>1.3962E7</v>
      </c>
      <c r="N715" s="1">
        <v>5.50646E8</v>
      </c>
      <c r="O715" s="1">
        <v>4.00009E8</v>
      </c>
      <c r="P715" s="1">
        <v>1.42917E8</v>
      </c>
      <c r="Q715" s="1">
        <v>7091000.0</v>
      </c>
      <c r="R715" s="1">
        <v>1.43766E8</v>
      </c>
      <c r="S715" s="1">
        <v>1.43766E8</v>
      </c>
    </row>
    <row r="716">
      <c r="A716" s="1">
        <v>714.0</v>
      </c>
      <c r="B716" s="3">
        <v>44196.0</v>
      </c>
      <c r="C716" s="1" t="s">
        <v>398</v>
      </c>
      <c r="D716" s="1" t="s">
        <v>399</v>
      </c>
      <c r="E716" s="1">
        <v>5.1157E7</v>
      </c>
      <c r="F716" s="1">
        <v>1.53307E8</v>
      </c>
      <c r="G716" s="1">
        <v>1.48538E8</v>
      </c>
      <c r="H716" s="1">
        <v>2.5398E8</v>
      </c>
      <c r="I716" s="1">
        <v>4.66575E8</v>
      </c>
      <c r="J716" s="1">
        <v>1.61438E8</v>
      </c>
      <c r="K716" s="1">
        <v>1.61438E8</v>
      </c>
      <c r="L716" s="1">
        <v>-1.1417E7</v>
      </c>
      <c r="M716" s="1">
        <v>4769000.0</v>
      </c>
      <c r="N716" s="1">
        <v>6.17355E8</v>
      </c>
      <c r="O716" s="1">
        <v>4.55917E8</v>
      </c>
      <c r="P716" s="1">
        <v>1.5078E8</v>
      </c>
      <c r="Q716" s="1">
        <v>-8131000.0</v>
      </c>
      <c r="R716" s="1">
        <v>1.48538E8</v>
      </c>
      <c r="S716" s="1">
        <v>1.48538E8</v>
      </c>
    </row>
    <row r="717">
      <c r="A717" s="1">
        <v>715.0</v>
      </c>
      <c r="B717" s="3">
        <v>44104.0</v>
      </c>
      <c r="C717" s="1" t="s">
        <v>398</v>
      </c>
      <c r="D717" s="1" t="s">
        <v>399</v>
      </c>
      <c r="E717" s="1">
        <v>4.5908E7</v>
      </c>
      <c r="F717" s="1">
        <v>9.0393E7</v>
      </c>
      <c r="G717" s="1">
        <v>9.1761E7</v>
      </c>
      <c r="H717" s="1">
        <v>1.66841E8</v>
      </c>
      <c r="I717" s="1">
        <v>3.3131E8</v>
      </c>
      <c r="J717" s="1">
        <v>1.18561E8</v>
      </c>
      <c r="K717" s="1">
        <v>1.18561E8</v>
      </c>
      <c r="L717" s="1">
        <v>-1.0615E7</v>
      </c>
      <c r="M717" s="1">
        <v>-1368000.0</v>
      </c>
      <c r="N717" s="1">
        <v>4.51478E8</v>
      </c>
      <c r="O717" s="1">
        <v>3.32917E8</v>
      </c>
      <c r="P717" s="1">
        <v>1.20168E8</v>
      </c>
      <c r="Q717" s="1">
        <v>-2.8168E7</v>
      </c>
      <c r="R717" s="1">
        <v>9.1761E7</v>
      </c>
      <c r="S717" s="1">
        <v>9.1761E7</v>
      </c>
    </row>
    <row r="718">
      <c r="A718" s="1">
        <v>716.0</v>
      </c>
      <c r="B718" s="3">
        <v>44377.0</v>
      </c>
      <c r="C718" s="1" t="s">
        <v>400</v>
      </c>
      <c r="D718" s="1" t="s">
        <v>401</v>
      </c>
      <c r="F718" s="1">
        <v>7.60181E8</v>
      </c>
      <c r="G718" s="1">
        <v>6.79982E8</v>
      </c>
      <c r="H718" s="1">
        <v>1.6168E7</v>
      </c>
      <c r="I718" s="1">
        <v>7.91956E8</v>
      </c>
      <c r="J718" s="1">
        <v>7.75788E8</v>
      </c>
      <c r="K718" s="1">
        <v>7.75788E8</v>
      </c>
      <c r="L718" s="1">
        <v>-1.5607E7</v>
      </c>
      <c r="M718" s="1">
        <v>8.0199E7</v>
      </c>
      <c r="N718" s="1">
        <v>3.07669E9</v>
      </c>
      <c r="O718" s="1">
        <v>2.300902E9</v>
      </c>
      <c r="P718" s="1">
        <v>2.284734E9</v>
      </c>
      <c r="Q718" s="1">
        <v>-1.5607E7</v>
      </c>
      <c r="R718" s="1">
        <v>6.79982E8</v>
      </c>
      <c r="S718" s="1">
        <v>6.79982E8</v>
      </c>
    </row>
    <row r="719">
      <c r="A719" s="1">
        <v>717.0</v>
      </c>
      <c r="B719" s="3">
        <v>44286.0</v>
      </c>
      <c r="C719" s="1" t="s">
        <v>400</v>
      </c>
      <c r="D719" s="1" t="s">
        <v>401</v>
      </c>
      <c r="F719" s="1">
        <v>3.73095E8</v>
      </c>
      <c r="G719" s="1">
        <v>3.41862E8</v>
      </c>
      <c r="H719" s="1">
        <v>1.2378E7</v>
      </c>
      <c r="I719" s="1">
        <v>3.49312E8</v>
      </c>
      <c r="J719" s="1">
        <v>3.36934E8</v>
      </c>
      <c r="K719" s="1">
        <v>3.36934E8</v>
      </c>
      <c r="L719" s="1">
        <v>-1.5639E7</v>
      </c>
      <c r="M719" s="1">
        <v>3.1233E7</v>
      </c>
      <c r="N719" s="1">
        <v>2.691973E9</v>
      </c>
      <c r="O719" s="1">
        <v>2.355039E9</v>
      </c>
      <c r="P719" s="1">
        <v>2.342661E9</v>
      </c>
      <c r="Q719" s="1">
        <v>3.6161E7</v>
      </c>
      <c r="R719" s="1">
        <v>3.41862E8</v>
      </c>
      <c r="S719" s="1">
        <v>3.37446E8</v>
      </c>
    </row>
    <row r="720">
      <c r="A720" s="1">
        <v>718.0</v>
      </c>
      <c r="B720" s="3">
        <v>44196.0</v>
      </c>
      <c r="C720" s="1" t="s">
        <v>400</v>
      </c>
      <c r="D720" s="1" t="s">
        <v>401</v>
      </c>
      <c r="F720" s="1">
        <v>1.19396E8</v>
      </c>
      <c r="G720" s="1">
        <v>6.3602E7</v>
      </c>
      <c r="H720" s="1">
        <v>1.1934E7</v>
      </c>
      <c r="I720" s="1">
        <v>1.91376E8</v>
      </c>
      <c r="J720" s="1">
        <v>1.79442E8</v>
      </c>
      <c r="K720" s="1">
        <v>1.79442E8</v>
      </c>
      <c r="L720" s="1">
        <v>-1.4846E7</v>
      </c>
      <c r="M720" s="1">
        <v>5.5794E7</v>
      </c>
      <c r="N720" s="1">
        <v>2.806599E9</v>
      </c>
      <c r="O720" s="1">
        <v>2.627157E9</v>
      </c>
      <c r="P720" s="1">
        <v>2.615223E9</v>
      </c>
      <c r="Q720" s="1">
        <v>-6.0046E7</v>
      </c>
      <c r="R720" s="1">
        <v>6.3602E7</v>
      </c>
      <c r="S720" s="1">
        <v>6.2893E7</v>
      </c>
    </row>
    <row r="721">
      <c r="A721" s="1">
        <v>719.0</v>
      </c>
      <c r="B721" s="3">
        <v>44104.0</v>
      </c>
      <c r="C721" s="1" t="s">
        <v>400</v>
      </c>
      <c r="D721" s="1" t="s">
        <v>401</v>
      </c>
      <c r="F721" s="1">
        <v>2.72508E8</v>
      </c>
      <c r="G721" s="1">
        <v>2.43057E8</v>
      </c>
      <c r="H721" s="1">
        <v>1.0618E7</v>
      </c>
      <c r="I721" s="1">
        <v>2.28367E8</v>
      </c>
      <c r="J721" s="1">
        <v>2.17749E8</v>
      </c>
      <c r="K721" s="1">
        <v>2.17749E8</v>
      </c>
      <c r="L721" s="1">
        <v>-6641000.0</v>
      </c>
      <c r="M721" s="1">
        <v>2.9451E7</v>
      </c>
      <c r="N721" s="1">
        <v>2.548784E9</v>
      </c>
      <c r="O721" s="1">
        <v>2.331035E9</v>
      </c>
      <c r="P721" s="1">
        <v>2.320417E9</v>
      </c>
      <c r="Q721" s="1">
        <v>5.4759E7</v>
      </c>
      <c r="R721" s="1">
        <v>2.43057E8</v>
      </c>
      <c r="S721" s="1">
        <v>2.40138E8</v>
      </c>
    </row>
    <row r="722">
      <c r="A722" s="1">
        <v>720.0</v>
      </c>
      <c r="B722" s="3">
        <v>44377.0</v>
      </c>
      <c r="C722" s="1" t="s">
        <v>402</v>
      </c>
      <c r="D722" s="1" t="s">
        <v>403</v>
      </c>
      <c r="F722" s="1">
        <v>2.079E8</v>
      </c>
      <c r="G722" s="1">
        <v>1.853E8</v>
      </c>
      <c r="I722" s="1">
        <v>6.184E8</v>
      </c>
      <c r="J722" s="1">
        <v>2.953E8</v>
      </c>
      <c r="K722" s="1">
        <v>2.953E8</v>
      </c>
      <c r="L722" s="1">
        <v>-9.38E7</v>
      </c>
      <c r="M722" s="1">
        <v>1.96E7</v>
      </c>
      <c r="N722" s="1">
        <v>1.2362E9</v>
      </c>
      <c r="O722" s="1">
        <v>9.409E8</v>
      </c>
      <c r="P722" s="1">
        <v>6.178E8</v>
      </c>
      <c r="Q722" s="1">
        <v>-8.74E7</v>
      </c>
      <c r="R722" s="1">
        <v>1.883E8</v>
      </c>
      <c r="S722" s="1">
        <v>1.853E8</v>
      </c>
    </row>
    <row r="723">
      <c r="A723" s="1">
        <v>721.0</v>
      </c>
      <c r="B723" s="3">
        <v>44286.0</v>
      </c>
      <c r="C723" s="1" t="s">
        <v>402</v>
      </c>
      <c r="D723" s="1" t="s">
        <v>403</v>
      </c>
      <c r="F723" s="1">
        <v>2.176E8</v>
      </c>
      <c r="G723" s="1">
        <v>1.916E8</v>
      </c>
      <c r="H723" s="1">
        <v>1.48E7</v>
      </c>
      <c r="I723" s="1">
        <v>6.39E8</v>
      </c>
      <c r="J723" s="1">
        <v>3.1E8</v>
      </c>
      <c r="K723" s="1">
        <v>3.1E8</v>
      </c>
      <c r="L723" s="1">
        <v>-9.4E7</v>
      </c>
      <c r="M723" s="1">
        <v>2.3E7</v>
      </c>
      <c r="N723" s="1">
        <v>1.6119E9</v>
      </c>
      <c r="O723" s="1">
        <v>1.3019E9</v>
      </c>
      <c r="P723" s="1">
        <v>9.729E8</v>
      </c>
      <c r="Q723" s="1">
        <v>-9.24E7</v>
      </c>
      <c r="R723" s="1">
        <v>1.946E8</v>
      </c>
      <c r="S723" s="1">
        <v>1.916E8</v>
      </c>
    </row>
    <row r="724">
      <c r="A724" s="1">
        <v>722.0</v>
      </c>
      <c r="B724" s="3">
        <v>44196.0</v>
      </c>
      <c r="C724" s="1" t="s">
        <v>402</v>
      </c>
      <c r="D724" s="1" t="s">
        <v>403</v>
      </c>
      <c r="F724" s="1">
        <v>6.24E7</v>
      </c>
      <c r="G724" s="1">
        <v>5.1E7</v>
      </c>
      <c r="H724" s="1">
        <v>1.49E7</v>
      </c>
      <c r="I724" s="1">
        <v>4.76E8</v>
      </c>
      <c r="J724" s="1">
        <v>1.491E8</v>
      </c>
      <c r="K724" s="1">
        <v>1.491E8</v>
      </c>
      <c r="L724" s="1">
        <v>-9.34E7</v>
      </c>
      <c r="M724" s="1">
        <v>8400000.0</v>
      </c>
      <c r="N724" s="1">
        <v>1.0944E9</v>
      </c>
      <c r="O724" s="1">
        <v>9.453E8</v>
      </c>
      <c r="P724" s="1">
        <v>6.184E8</v>
      </c>
      <c r="Q724" s="1">
        <v>-8.67E7</v>
      </c>
      <c r="R724" s="1">
        <v>5.4E7</v>
      </c>
      <c r="S724" s="1">
        <v>5.1E7</v>
      </c>
    </row>
    <row r="725">
      <c r="A725" s="1">
        <v>723.0</v>
      </c>
      <c r="B725" s="3">
        <v>44104.0</v>
      </c>
      <c r="C725" s="1" t="s">
        <v>402</v>
      </c>
      <c r="D725" s="1" t="s">
        <v>403</v>
      </c>
      <c r="F725" s="1">
        <v>4.175E8</v>
      </c>
      <c r="G725" s="1">
        <v>3.645E8</v>
      </c>
      <c r="H725" s="1">
        <v>1.37E7</v>
      </c>
      <c r="I725" s="1">
        <v>8.594E8</v>
      </c>
      <c r="J725" s="1">
        <v>5.367E8</v>
      </c>
      <c r="K725" s="1">
        <v>5.367E8</v>
      </c>
      <c r="L725" s="1">
        <v>-9.48E7</v>
      </c>
      <c r="M725" s="1">
        <v>5.0E7</v>
      </c>
      <c r="N725" s="1">
        <v>1.5176E9</v>
      </c>
      <c r="O725" s="1">
        <v>9.809E8</v>
      </c>
      <c r="P725" s="1">
        <v>6.582E8</v>
      </c>
      <c r="Q725" s="1">
        <v>-1.192E8</v>
      </c>
      <c r="R725" s="1">
        <v>3.675E8</v>
      </c>
      <c r="S725" s="1">
        <v>3.645E8</v>
      </c>
    </row>
    <row r="726">
      <c r="A726" s="1">
        <v>724.0</v>
      </c>
      <c r="B726" s="3">
        <v>44377.0</v>
      </c>
      <c r="C726" s="1" t="s">
        <v>404</v>
      </c>
      <c r="D726" s="1" t="s">
        <v>405</v>
      </c>
      <c r="F726" s="1">
        <v>3.52789E8</v>
      </c>
      <c r="G726" s="1">
        <v>2.6452E8</v>
      </c>
      <c r="H726" s="1">
        <v>-2.21E7</v>
      </c>
      <c r="I726" s="1">
        <v>1.061304E9</v>
      </c>
      <c r="J726" s="1">
        <v>4.73705E8</v>
      </c>
      <c r="K726" s="1">
        <v>4.73705E8</v>
      </c>
      <c r="L726" s="1">
        <v>-1.45435E8</v>
      </c>
      <c r="M726" s="1">
        <v>8.6389E7</v>
      </c>
      <c r="N726" s="1">
        <v>2.122538E9</v>
      </c>
      <c r="O726" s="1">
        <v>1.648833E9</v>
      </c>
      <c r="P726" s="1">
        <v>1.061234E9</v>
      </c>
      <c r="Q726" s="1">
        <v>-1.20916E8</v>
      </c>
      <c r="R726" s="1">
        <v>2.664E8</v>
      </c>
      <c r="S726" s="1">
        <v>2.6452E8</v>
      </c>
    </row>
    <row r="727">
      <c r="A727" s="1">
        <v>725.0</v>
      </c>
      <c r="B727" s="3">
        <v>44286.0</v>
      </c>
      <c r="C727" s="1" t="s">
        <v>404</v>
      </c>
      <c r="D727" s="1" t="s">
        <v>405</v>
      </c>
      <c r="F727" s="1">
        <v>4.82003E8</v>
      </c>
      <c r="G727" s="1">
        <v>3.66143E8</v>
      </c>
      <c r="H727" s="1">
        <v>-2.01E7</v>
      </c>
      <c r="I727" s="1">
        <v>1.361807E9</v>
      </c>
      <c r="J727" s="1">
        <v>6.05668E8</v>
      </c>
      <c r="K727" s="1">
        <v>6.05668E8</v>
      </c>
      <c r="L727" s="1">
        <v>-1.37766E8</v>
      </c>
      <c r="M727" s="1">
        <v>1.1398E8</v>
      </c>
      <c r="N727" s="1">
        <v>2.82584E9</v>
      </c>
      <c r="O727" s="1">
        <v>2.220172E9</v>
      </c>
      <c r="P727" s="1">
        <v>1.464033E9</v>
      </c>
      <c r="Q727" s="1">
        <v>-1.23665E8</v>
      </c>
      <c r="R727" s="1">
        <v>3.68023E8</v>
      </c>
      <c r="S727" s="1">
        <v>3.66143E8</v>
      </c>
    </row>
    <row r="728">
      <c r="A728" s="1">
        <v>726.0</v>
      </c>
      <c r="B728" s="3">
        <v>44196.0</v>
      </c>
      <c r="C728" s="1" t="s">
        <v>404</v>
      </c>
      <c r="D728" s="1" t="s">
        <v>405</v>
      </c>
      <c r="F728" s="1">
        <v>3.44368E8</v>
      </c>
      <c r="G728" s="1">
        <v>2.71923E8</v>
      </c>
      <c r="H728" s="1">
        <v>-1.01E7</v>
      </c>
      <c r="I728" s="1">
        <v>1.087446E9</v>
      </c>
      <c r="J728" s="1">
        <v>4.67328E8</v>
      </c>
      <c r="K728" s="1">
        <v>4.67328E8</v>
      </c>
      <c r="L728" s="1">
        <v>-1.35385E8</v>
      </c>
      <c r="M728" s="1">
        <v>7.0565E7</v>
      </c>
      <c r="N728" s="1">
        <v>2.233933E9</v>
      </c>
      <c r="O728" s="1">
        <v>1.766605E9</v>
      </c>
      <c r="P728" s="1">
        <v>1.146487E9</v>
      </c>
      <c r="Q728" s="1">
        <v>-1.2296E8</v>
      </c>
      <c r="R728" s="1">
        <v>2.73803E8</v>
      </c>
      <c r="S728" s="1">
        <v>2.71923E8</v>
      </c>
    </row>
    <row r="729">
      <c r="A729" s="1">
        <v>727.0</v>
      </c>
      <c r="B729" s="3">
        <v>44104.0</v>
      </c>
      <c r="C729" s="1" t="s">
        <v>404</v>
      </c>
      <c r="D729" s="1" t="s">
        <v>405</v>
      </c>
      <c r="F729" s="1">
        <v>4.56382E8</v>
      </c>
      <c r="G729" s="1">
        <v>3.4626E8</v>
      </c>
      <c r="H729" s="1">
        <v>-1.1E7</v>
      </c>
      <c r="I729" s="1">
        <v>1.207257E9</v>
      </c>
      <c r="J729" s="1">
        <v>5.7413E8</v>
      </c>
      <c r="K729" s="1">
        <v>5.7413E8</v>
      </c>
      <c r="L729" s="1">
        <v>-1.34066E8</v>
      </c>
      <c r="M729" s="1">
        <v>1.08242E8</v>
      </c>
      <c r="N729" s="1">
        <v>2.343642E9</v>
      </c>
      <c r="O729" s="1">
        <v>1.769512E9</v>
      </c>
      <c r="P729" s="1">
        <v>1.136385E9</v>
      </c>
      <c r="Q729" s="1">
        <v>-1.17748E8</v>
      </c>
      <c r="R729" s="1">
        <v>3.4814E8</v>
      </c>
      <c r="S729" s="1">
        <v>3.4626E8</v>
      </c>
    </row>
    <row r="730">
      <c r="A730" s="1">
        <v>728.0</v>
      </c>
      <c r="B730" s="3">
        <v>44286.0</v>
      </c>
      <c r="C730" s="1" t="s">
        <v>406</v>
      </c>
      <c r="D730" s="1" t="s">
        <v>407</v>
      </c>
      <c r="F730" s="1">
        <v>-2.83E8</v>
      </c>
      <c r="G730" s="1">
        <v>-2.89E8</v>
      </c>
      <c r="H730" s="1">
        <v>-2.0E7</v>
      </c>
      <c r="I730" s="1">
        <v>1.943E9</v>
      </c>
      <c r="J730" s="1">
        <v>5.02E8</v>
      </c>
      <c r="K730" s="1">
        <v>5.02E8</v>
      </c>
      <c r="L730" s="1">
        <v>-3.86E8</v>
      </c>
      <c r="M730" s="1">
        <v>-1.9E7</v>
      </c>
      <c r="N730" s="1">
        <v>9.89E9</v>
      </c>
      <c r="O730" s="1">
        <v>9.388E9</v>
      </c>
      <c r="P730" s="1">
        <v>7.947E9</v>
      </c>
      <c r="Q730" s="1">
        <v>-7.85E8</v>
      </c>
      <c r="R730" s="1">
        <v>-2.64E8</v>
      </c>
      <c r="S730" s="1">
        <v>-2.89E8</v>
      </c>
    </row>
    <row r="731">
      <c r="A731" s="1">
        <v>729.0</v>
      </c>
      <c r="B731" s="3">
        <v>44196.0</v>
      </c>
      <c r="C731" s="1" t="s">
        <v>406</v>
      </c>
      <c r="D731" s="1" t="s">
        <v>407</v>
      </c>
      <c r="F731" s="1">
        <v>6.67E8</v>
      </c>
      <c r="G731" s="1">
        <v>3.59E8</v>
      </c>
      <c r="H731" s="1">
        <v>-1.5E7</v>
      </c>
      <c r="I731" s="1">
        <v>2.259E9</v>
      </c>
      <c r="J731" s="1">
        <v>8.44E8</v>
      </c>
      <c r="K731" s="1">
        <v>8.44E8</v>
      </c>
      <c r="L731" s="1">
        <v>-3.94E8</v>
      </c>
      <c r="M731" s="1">
        <v>2.32E8</v>
      </c>
      <c r="N731" s="1">
        <v>8.114E9</v>
      </c>
      <c r="O731" s="1">
        <v>7.27E9</v>
      </c>
      <c r="P731" s="1">
        <v>5.855E9</v>
      </c>
      <c r="Q731" s="1">
        <v>-1.77E8</v>
      </c>
      <c r="R731" s="1">
        <v>4.35E8</v>
      </c>
      <c r="S731" s="1">
        <v>3.59E8</v>
      </c>
    </row>
    <row r="732">
      <c r="A732" s="1">
        <v>730.0</v>
      </c>
      <c r="B732" s="3">
        <v>44104.0</v>
      </c>
      <c r="C732" s="1" t="s">
        <v>406</v>
      </c>
      <c r="D732" s="1" t="s">
        <v>407</v>
      </c>
      <c r="F732" s="1">
        <v>7.85E8</v>
      </c>
      <c r="G732" s="1">
        <v>5.01E8</v>
      </c>
      <c r="H732" s="1">
        <v>-1.5E7</v>
      </c>
      <c r="I732" s="1">
        <v>3.132E9</v>
      </c>
      <c r="J732" s="1">
        <v>1.674E9</v>
      </c>
      <c r="K732" s="1">
        <v>1.674E9</v>
      </c>
      <c r="L732" s="1">
        <v>-4.04E8</v>
      </c>
      <c r="M732" s="1">
        <v>2.16E8</v>
      </c>
      <c r="N732" s="1">
        <v>8.853E9</v>
      </c>
      <c r="O732" s="1">
        <v>7.179E9</v>
      </c>
      <c r="P732" s="1">
        <v>5.721E9</v>
      </c>
      <c r="Q732" s="1">
        <v>-8.89E8</v>
      </c>
      <c r="R732" s="1">
        <v>5.69E8</v>
      </c>
      <c r="S732" s="1">
        <v>5.01E8</v>
      </c>
    </row>
    <row r="733">
      <c r="A733" s="1">
        <v>731.0</v>
      </c>
      <c r="B733" s="3">
        <v>44012.0</v>
      </c>
      <c r="C733" s="1" t="s">
        <v>406</v>
      </c>
      <c r="D733" s="1" t="s">
        <v>407</v>
      </c>
      <c r="F733" s="1">
        <v>7.93E8</v>
      </c>
      <c r="G733" s="1">
        <v>5.21E8</v>
      </c>
      <c r="H733" s="1">
        <v>-1.3E7</v>
      </c>
      <c r="I733" s="1">
        <v>1.966E9</v>
      </c>
      <c r="J733" s="1">
        <v>5.67E8</v>
      </c>
      <c r="K733" s="1">
        <v>5.67E8</v>
      </c>
      <c r="L733" s="1">
        <v>-4.27E8</v>
      </c>
      <c r="M733" s="1">
        <v>2.19E8</v>
      </c>
      <c r="N733" s="1">
        <v>7.325E9</v>
      </c>
      <c r="O733" s="1">
        <v>6.758E9</v>
      </c>
      <c r="P733" s="1">
        <v>5.359E9</v>
      </c>
      <c r="Q733" s="1">
        <v>2.26E8</v>
      </c>
      <c r="R733" s="1">
        <v>5.74E8</v>
      </c>
      <c r="S733" s="1">
        <v>5.21E8</v>
      </c>
    </row>
    <row r="734">
      <c r="A734" s="1">
        <v>732.0</v>
      </c>
      <c r="B734" s="3">
        <v>44286.0</v>
      </c>
      <c r="C734" s="1" t="s">
        <v>408</v>
      </c>
      <c r="D734" s="1" t="s">
        <v>409</v>
      </c>
      <c r="E734" s="1">
        <v>2.47E8</v>
      </c>
      <c r="F734" s="1">
        <v>-7.5E8</v>
      </c>
      <c r="G734" s="1">
        <v>-5.78E8</v>
      </c>
      <c r="H734" s="1">
        <v>8.2E8</v>
      </c>
      <c r="I734" s="1">
        <v>9.35E8</v>
      </c>
      <c r="J734" s="1">
        <v>-3.41E8</v>
      </c>
      <c r="K734" s="1">
        <v>-3.41E8</v>
      </c>
      <c r="L734" s="1">
        <v>-9.8E7</v>
      </c>
      <c r="M734" s="1">
        <v>-1.69E8</v>
      </c>
      <c r="N734" s="1">
        <v>1.246E9</v>
      </c>
      <c r="O734" s="1">
        <v>1.587E9</v>
      </c>
      <c r="P734" s="1">
        <v>3.11E8</v>
      </c>
      <c r="Q734" s="1">
        <v>-4.09E8</v>
      </c>
      <c r="R734" s="1">
        <v>-5.81E8</v>
      </c>
      <c r="S734" s="1">
        <v>-6.06E8</v>
      </c>
    </row>
    <row r="735">
      <c r="A735" s="1">
        <v>733.0</v>
      </c>
      <c r="B735" s="3">
        <v>44196.0</v>
      </c>
      <c r="C735" s="1" t="s">
        <v>408</v>
      </c>
      <c r="D735" s="1" t="s">
        <v>409</v>
      </c>
      <c r="E735" s="1">
        <v>2.23E8</v>
      </c>
      <c r="F735" s="1">
        <v>-4.95E8</v>
      </c>
      <c r="G735" s="1">
        <v>-3.83E8</v>
      </c>
      <c r="H735" s="1">
        <v>6.35E8</v>
      </c>
      <c r="I735" s="1">
        <v>6.33E8</v>
      </c>
      <c r="J735" s="1">
        <v>-4.23E8</v>
      </c>
      <c r="K735" s="1">
        <v>-4.23E8</v>
      </c>
      <c r="L735" s="1">
        <v>-1.02E8</v>
      </c>
      <c r="M735" s="1">
        <v>-1.04E8</v>
      </c>
      <c r="N735" s="1">
        <v>9.2E8</v>
      </c>
      <c r="O735" s="1">
        <v>1.343E9</v>
      </c>
      <c r="P735" s="1">
        <v>2.87E8</v>
      </c>
      <c r="Q735" s="1">
        <v>-7.2E7</v>
      </c>
      <c r="R735" s="1">
        <v>-3.91E8</v>
      </c>
      <c r="S735" s="1">
        <v>-4.12E8</v>
      </c>
    </row>
    <row r="736">
      <c r="A736" s="1">
        <v>734.0</v>
      </c>
      <c r="B736" s="3">
        <v>44104.0</v>
      </c>
      <c r="C736" s="1" t="s">
        <v>408</v>
      </c>
      <c r="D736" s="1" t="s">
        <v>409</v>
      </c>
      <c r="E736" s="1">
        <v>2.24E8</v>
      </c>
      <c r="F736" s="1">
        <v>-2.24E8</v>
      </c>
      <c r="G736" s="1">
        <v>-1.92E8</v>
      </c>
      <c r="H736" s="1">
        <v>6.63E8</v>
      </c>
      <c r="I736" s="1">
        <v>1.129E9</v>
      </c>
      <c r="J736" s="1">
        <v>2.0E7</v>
      </c>
      <c r="K736" s="1">
        <v>2.0E7</v>
      </c>
      <c r="L736" s="1">
        <v>-1.13E8</v>
      </c>
      <c r="M736" s="1">
        <v>-2.4E7</v>
      </c>
      <c r="N736" s="1">
        <v>1.504E9</v>
      </c>
      <c r="O736" s="1">
        <v>1.484E9</v>
      </c>
      <c r="P736" s="1">
        <v>3.75E8</v>
      </c>
      <c r="Q736" s="1">
        <v>-2.44E8</v>
      </c>
      <c r="R736" s="1">
        <v>-2.0E8</v>
      </c>
      <c r="S736" s="1">
        <v>-2.21E8</v>
      </c>
    </row>
    <row r="737">
      <c r="A737" s="1">
        <v>735.0</v>
      </c>
      <c r="B737" s="3">
        <v>44012.0</v>
      </c>
      <c r="C737" s="1" t="s">
        <v>408</v>
      </c>
      <c r="D737" s="1" t="s">
        <v>409</v>
      </c>
      <c r="E737" s="1">
        <v>2.55E8</v>
      </c>
      <c r="F737" s="1">
        <v>-9.53E8</v>
      </c>
      <c r="G737" s="1">
        <v>-7.36E8</v>
      </c>
      <c r="H737" s="1">
        <v>4.48E8</v>
      </c>
      <c r="I737" s="1">
        <v>1.77E8</v>
      </c>
      <c r="J737" s="1">
        <v>-7.58E8</v>
      </c>
      <c r="K737" s="1">
        <v>-7.58E8</v>
      </c>
      <c r="L737" s="1">
        <v>-9.5E7</v>
      </c>
      <c r="M737" s="1">
        <v>-2.13E8</v>
      </c>
      <c r="N737" s="1">
        <v>5.66E8</v>
      </c>
      <c r="O737" s="1">
        <v>1.324E9</v>
      </c>
      <c r="P737" s="1">
        <v>3.89E8</v>
      </c>
      <c r="Q737" s="1">
        <v>-1.95E8</v>
      </c>
      <c r="R737" s="1">
        <v>-7.4E8</v>
      </c>
      <c r="S737" s="1">
        <v>-7.53E8</v>
      </c>
    </row>
    <row r="738">
      <c r="A738" s="1">
        <v>736.0</v>
      </c>
      <c r="B738" s="3">
        <v>44286.0</v>
      </c>
      <c r="C738" s="1" t="s">
        <v>410</v>
      </c>
      <c r="D738" s="1" t="s">
        <v>411</v>
      </c>
      <c r="F738" s="1">
        <v>3.90461E8</v>
      </c>
      <c r="G738" s="1">
        <v>2.8722E8</v>
      </c>
      <c r="H738" s="1">
        <v>3070000.0</v>
      </c>
      <c r="I738" s="1">
        <v>4.54151E8</v>
      </c>
      <c r="J738" s="1">
        <v>3.85515E8</v>
      </c>
      <c r="K738" s="1">
        <v>3.85515E8</v>
      </c>
      <c r="M738" s="1">
        <v>1.02511E8</v>
      </c>
      <c r="N738" s="1">
        <v>3.35754E9</v>
      </c>
      <c r="O738" s="1">
        <v>2.972025E9</v>
      </c>
      <c r="P738" s="1">
        <v>2.903389E9</v>
      </c>
      <c r="Q738" s="1">
        <v>4946000.0</v>
      </c>
      <c r="R738" s="1">
        <v>2.8795E8</v>
      </c>
      <c r="S738" s="1">
        <v>2.8722E8</v>
      </c>
    </row>
    <row r="739">
      <c r="A739" s="1">
        <v>737.0</v>
      </c>
      <c r="B739" s="3">
        <v>44196.0</v>
      </c>
      <c r="C739" s="1" t="s">
        <v>410</v>
      </c>
      <c r="D739" s="1" t="s">
        <v>411</v>
      </c>
      <c r="F739" s="1">
        <v>2.83907E8</v>
      </c>
      <c r="G739" s="1">
        <v>1.9862E8</v>
      </c>
      <c r="H739" s="1">
        <v>4135000.0</v>
      </c>
      <c r="I739" s="1">
        <v>3.57761E8</v>
      </c>
      <c r="J739" s="1">
        <v>2.81811E8</v>
      </c>
      <c r="K739" s="1">
        <v>2.81811E8</v>
      </c>
      <c r="M739" s="1">
        <v>8.4382E7</v>
      </c>
      <c r="N739" s="1">
        <v>3.169188E9</v>
      </c>
      <c r="O739" s="1">
        <v>2.887377E9</v>
      </c>
      <c r="P739" s="1">
        <v>2.811427E9</v>
      </c>
      <c r="Q739" s="1">
        <v>2096000.0</v>
      </c>
      <c r="R739" s="1">
        <v>1.99525E8</v>
      </c>
      <c r="S739" s="1">
        <v>1.9862E8</v>
      </c>
    </row>
    <row r="740">
      <c r="A740" s="1">
        <v>738.0</v>
      </c>
      <c r="B740" s="3">
        <v>44104.0</v>
      </c>
      <c r="C740" s="1" t="s">
        <v>410</v>
      </c>
      <c r="D740" s="1" t="s">
        <v>411</v>
      </c>
      <c r="F740" s="1">
        <v>2.54429E8</v>
      </c>
      <c r="G740" s="1">
        <v>1.91307E8</v>
      </c>
      <c r="H740" s="1">
        <v>2945000.0</v>
      </c>
      <c r="I740" s="1">
        <v>3.18282E8</v>
      </c>
      <c r="J740" s="1">
        <v>2.51945E8</v>
      </c>
      <c r="K740" s="1">
        <v>2.51945E8</v>
      </c>
      <c r="M740" s="1">
        <v>6.271E7</v>
      </c>
      <c r="N740" s="1">
        <v>2.464797E9</v>
      </c>
      <c r="O740" s="1">
        <v>2.212852E9</v>
      </c>
      <c r="P740" s="1">
        <v>2.146515E9</v>
      </c>
      <c r="Q740" s="1">
        <v>2484000.0</v>
      </c>
      <c r="R740" s="1">
        <v>1.91719E8</v>
      </c>
      <c r="S740" s="1">
        <v>1.91307E8</v>
      </c>
    </row>
    <row r="741">
      <c r="A741" s="1">
        <v>739.0</v>
      </c>
      <c r="B741" s="3">
        <v>44012.0</v>
      </c>
      <c r="C741" s="1" t="s">
        <v>410</v>
      </c>
      <c r="D741" s="1" t="s">
        <v>411</v>
      </c>
      <c r="F741" s="1">
        <v>2.50982E8</v>
      </c>
      <c r="G741" s="1">
        <v>1.83869E8</v>
      </c>
      <c r="H741" s="1">
        <v>3113000.0</v>
      </c>
      <c r="I741" s="1">
        <v>3.13109E8</v>
      </c>
      <c r="J741" s="1">
        <v>2.47626E8</v>
      </c>
      <c r="K741" s="1">
        <v>2.47626E8</v>
      </c>
      <c r="M741" s="1">
        <v>6.6794E7</v>
      </c>
      <c r="N741" s="1">
        <v>2.580632E9</v>
      </c>
      <c r="O741" s="1">
        <v>2.333006E9</v>
      </c>
      <c r="P741" s="1">
        <v>2.267523E9</v>
      </c>
      <c r="Q741" s="1">
        <v>3356000.0</v>
      </c>
      <c r="R741" s="1">
        <v>1.84188E8</v>
      </c>
      <c r="S741" s="1">
        <v>1.83869E8</v>
      </c>
    </row>
    <row r="742">
      <c r="A742" s="1">
        <v>740.0</v>
      </c>
      <c r="B742" s="3">
        <v>44377.0</v>
      </c>
      <c r="C742" s="1" t="s">
        <v>412</v>
      </c>
      <c r="D742" s="1" t="s">
        <v>413</v>
      </c>
      <c r="F742" s="1">
        <v>1.84E8</v>
      </c>
      <c r="G742" s="1">
        <v>1.67948E8</v>
      </c>
      <c r="H742" s="1">
        <v>2.6341E7</v>
      </c>
      <c r="I742" s="1">
        <v>2.97313E8</v>
      </c>
      <c r="J742" s="1">
        <v>2.11402E8</v>
      </c>
      <c r="K742" s="1">
        <v>2.11402E8</v>
      </c>
      <c r="L742" s="1">
        <v>-4.024E7</v>
      </c>
      <c r="M742" s="1">
        <v>5421000.0</v>
      </c>
      <c r="N742" s="1">
        <v>3.93203E8</v>
      </c>
      <c r="O742" s="1">
        <v>1.81801E8</v>
      </c>
      <c r="P742" s="1">
        <v>9.589E7</v>
      </c>
      <c r="Q742" s="1">
        <v>-2.7402E7</v>
      </c>
      <c r="R742" s="1">
        <v>1.78579E8</v>
      </c>
      <c r="S742" s="1">
        <v>1.67716E8</v>
      </c>
    </row>
    <row r="743">
      <c r="A743" s="1">
        <v>741.0</v>
      </c>
      <c r="B743" s="3">
        <v>44286.0</v>
      </c>
      <c r="C743" s="1" t="s">
        <v>412</v>
      </c>
      <c r="D743" s="1" t="s">
        <v>413</v>
      </c>
      <c r="F743" s="1">
        <v>2.19638E8</v>
      </c>
      <c r="G743" s="1">
        <v>2.02998E8</v>
      </c>
      <c r="H743" s="1">
        <v>2.354E7</v>
      </c>
      <c r="I743" s="1">
        <v>2.66285E8</v>
      </c>
      <c r="J743" s="1">
        <v>1.84146E8</v>
      </c>
      <c r="K743" s="1">
        <v>1.84146E8</v>
      </c>
      <c r="L743" s="1">
        <v>-4.0695E7</v>
      </c>
      <c r="M743" s="1">
        <v>4137000.0</v>
      </c>
      <c r="N743" s="1">
        <v>3.65813E8</v>
      </c>
      <c r="O743" s="1">
        <v>1.81667E8</v>
      </c>
      <c r="P743" s="1">
        <v>9.9528E7</v>
      </c>
      <c r="Q743" s="1">
        <v>3.5492E7</v>
      </c>
      <c r="R743" s="1">
        <v>2.15501E8</v>
      </c>
      <c r="S743" s="1">
        <v>2.02686E8</v>
      </c>
    </row>
    <row r="744">
      <c r="A744" s="1">
        <v>742.0</v>
      </c>
      <c r="B744" s="3">
        <v>44196.0</v>
      </c>
      <c r="C744" s="1" t="s">
        <v>412</v>
      </c>
      <c r="D744" s="1" t="s">
        <v>413</v>
      </c>
      <c r="F744" s="1">
        <v>1.70106E8</v>
      </c>
      <c r="G744" s="1">
        <v>1.56056E8</v>
      </c>
      <c r="H744" s="1">
        <v>5.2688E7</v>
      </c>
      <c r="I744" s="1">
        <v>2.9377E8</v>
      </c>
      <c r="J744" s="1">
        <v>1.84343E8</v>
      </c>
      <c r="K744" s="1">
        <v>1.84343E8</v>
      </c>
      <c r="L744" s="1">
        <v>-4.1016E7</v>
      </c>
      <c r="M744" s="1">
        <v>3797000.0</v>
      </c>
      <c r="N744" s="1">
        <v>3.60159E8</v>
      </c>
      <c r="O744" s="1">
        <v>1.75816E8</v>
      </c>
      <c r="P744" s="1">
        <v>6.6389E7</v>
      </c>
      <c r="Q744" s="1">
        <v>-1.4237E7</v>
      </c>
      <c r="R744" s="1">
        <v>1.66309E8</v>
      </c>
      <c r="S744" s="1">
        <v>1.55863E8</v>
      </c>
    </row>
    <row r="745">
      <c r="A745" s="1">
        <v>743.0</v>
      </c>
      <c r="B745" s="3">
        <v>44104.0</v>
      </c>
      <c r="C745" s="1" t="s">
        <v>412</v>
      </c>
      <c r="D745" s="1" t="s">
        <v>413</v>
      </c>
      <c r="F745" s="1">
        <v>1.28511E8</v>
      </c>
      <c r="G745" s="1">
        <v>1.14633E8</v>
      </c>
      <c r="H745" s="1">
        <v>2.3894E7</v>
      </c>
      <c r="I745" s="1">
        <v>2.49118E8</v>
      </c>
      <c r="J745" s="1">
        <v>1.68812E8</v>
      </c>
      <c r="K745" s="1">
        <v>1.68812E8</v>
      </c>
      <c r="L745" s="1">
        <v>-4.3446E7</v>
      </c>
      <c r="M745" s="1">
        <v>4657000.0</v>
      </c>
      <c r="N745" s="1">
        <v>3.48629E8</v>
      </c>
      <c r="O745" s="1">
        <v>1.79817E8</v>
      </c>
      <c r="P745" s="1">
        <v>9.9511E7</v>
      </c>
      <c r="Q745" s="1">
        <v>-4.0301E7</v>
      </c>
      <c r="R745" s="1">
        <v>1.23854E8</v>
      </c>
      <c r="S745" s="1">
        <v>1.14456E8</v>
      </c>
    </row>
    <row r="746">
      <c r="A746" s="1">
        <v>744.0</v>
      </c>
      <c r="B746" s="3">
        <v>44377.0</v>
      </c>
      <c r="C746" s="1" t="s">
        <v>414</v>
      </c>
      <c r="D746" s="1" t="s">
        <v>415</v>
      </c>
      <c r="F746" s="1">
        <v>6.307E9</v>
      </c>
      <c r="G746" s="1">
        <v>4.69E9</v>
      </c>
      <c r="H746" s="1">
        <v>2.497E9</v>
      </c>
      <c r="I746" s="1">
        <v>2.0506E10</v>
      </c>
      <c r="J746" s="1">
        <v>5.135E9</v>
      </c>
      <c r="K746" s="1">
        <v>5.135E9</v>
      </c>
      <c r="L746" s="1">
        <v>-2.54E8</v>
      </c>
      <c r="M746" s="1">
        <v>1.526E9</v>
      </c>
      <c r="N746" s="1">
        <v>6.6306E10</v>
      </c>
      <c r="O746" s="1">
        <v>6.1171E10</v>
      </c>
      <c r="P746" s="1">
        <v>4.58E10</v>
      </c>
      <c r="Q746" s="1">
        <v>1.172E9</v>
      </c>
      <c r="R746" s="1">
        <v>4.781E9</v>
      </c>
      <c r="S746" s="1">
        <v>4.69E9</v>
      </c>
    </row>
    <row r="747">
      <c r="A747" s="1">
        <v>745.0</v>
      </c>
      <c r="B747" s="3">
        <v>44286.0</v>
      </c>
      <c r="C747" s="1" t="s">
        <v>414</v>
      </c>
      <c r="D747" s="1" t="s">
        <v>415</v>
      </c>
      <c r="F747" s="1">
        <v>3.592E9</v>
      </c>
      <c r="G747" s="1">
        <v>2.73E9</v>
      </c>
      <c r="H747" s="1">
        <v>2.767E9</v>
      </c>
      <c r="I747" s="1">
        <v>1.7011E10</v>
      </c>
      <c r="J747" s="1">
        <v>3.027E9</v>
      </c>
      <c r="K747" s="1">
        <v>3.027E9</v>
      </c>
      <c r="L747" s="1">
        <v>-2.58E8</v>
      </c>
      <c r="M747" s="1">
        <v>7.96E8</v>
      </c>
      <c r="N747" s="1">
        <v>5.7674E10</v>
      </c>
      <c r="O747" s="1">
        <v>5.4647E10</v>
      </c>
      <c r="P747" s="1">
        <v>4.0663E10</v>
      </c>
      <c r="Q747" s="1">
        <v>5.65E8</v>
      </c>
      <c r="R747" s="1">
        <v>2.796E9</v>
      </c>
      <c r="S747" s="1">
        <v>2.73E9</v>
      </c>
    </row>
    <row r="748">
      <c r="A748" s="1">
        <v>746.0</v>
      </c>
      <c r="B748" s="3">
        <v>44196.0</v>
      </c>
      <c r="C748" s="1" t="s">
        <v>414</v>
      </c>
      <c r="D748" s="1" t="s">
        <v>415</v>
      </c>
      <c r="F748" s="1">
        <v>-2.6613E10</v>
      </c>
      <c r="G748" s="1">
        <v>-2.007E10</v>
      </c>
      <c r="H748" s="1">
        <v>2.187E9</v>
      </c>
      <c r="I748" s="1">
        <v>1.5973E10</v>
      </c>
      <c r="J748" s="1">
        <v>-1.176E9</v>
      </c>
      <c r="K748" s="1">
        <v>-1.176E9</v>
      </c>
      <c r="L748" s="1">
        <v>-3.13E8</v>
      </c>
      <c r="M748" s="1">
        <v>-6.01E9</v>
      </c>
      <c r="N748" s="1">
        <v>4.6203E10</v>
      </c>
      <c r="O748" s="1">
        <v>4.7379E10</v>
      </c>
      <c r="P748" s="1">
        <v>3.023E10</v>
      </c>
      <c r="Q748" s="1">
        <v>-2.5437E10</v>
      </c>
      <c r="R748" s="1">
        <v>-2.0603E10</v>
      </c>
      <c r="S748" s="1">
        <v>-2.007E10</v>
      </c>
    </row>
    <row r="749">
      <c r="A749" s="1">
        <v>747.0</v>
      </c>
      <c r="B749" s="3">
        <v>44104.0</v>
      </c>
      <c r="C749" s="1" t="s">
        <v>414</v>
      </c>
      <c r="D749" s="1" t="s">
        <v>415</v>
      </c>
      <c r="F749" s="1">
        <v>-3.72E8</v>
      </c>
      <c r="G749" s="1">
        <v>-6.8E8</v>
      </c>
      <c r="H749" s="1">
        <v>2.716E9</v>
      </c>
      <c r="I749" s="1">
        <v>1.4643E10</v>
      </c>
      <c r="J749" s="1">
        <v>-5.96E8</v>
      </c>
      <c r="K749" s="1">
        <v>-5.96E8</v>
      </c>
      <c r="L749" s="1">
        <v>-2.79E8</v>
      </c>
      <c r="M749" s="1">
        <v>3.37E8</v>
      </c>
      <c r="N749" s="1">
        <v>4.5696E10</v>
      </c>
      <c r="O749" s="1">
        <v>4.6292E10</v>
      </c>
      <c r="P749" s="1">
        <v>3.1053E10</v>
      </c>
      <c r="Q749" s="1">
        <v>2.24E8</v>
      </c>
      <c r="R749" s="1">
        <v>-7.09E8</v>
      </c>
      <c r="S749" s="1">
        <v>-6.8E8</v>
      </c>
    </row>
    <row r="750">
      <c r="A750" s="1">
        <v>748.0</v>
      </c>
      <c r="B750" s="3">
        <v>44286.0</v>
      </c>
      <c r="C750" s="1" t="s">
        <v>416</v>
      </c>
      <c r="D750" s="1" t="s">
        <v>417</v>
      </c>
      <c r="E750" s="1">
        <v>1.30608E8</v>
      </c>
      <c r="F750" s="1">
        <v>5.2124E7</v>
      </c>
      <c r="G750" s="1">
        <v>4.3241E7</v>
      </c>
      <c r="H750" s="1">
        <v>2.96256E8</v>
      </c>
      <c r="I750" s="1">
        <v>5.2109E8</v>
      </c>
      <c r="J750" s="1">
        <v>9.4226E7</v>
      </c>
      <c r="K750" s="1">
        <v>9.4226E7</v>
      </c>
      <c r="M750" s="1">
        <v>8883000.0</v>
      </c>
      <c r="N750" s="1">
        <v>6.45287E8</v>
      </c>
      <c r="O750" s="1">
        <v>5.51061E8</v>
      </c>
      <c r="P750" s="1">
        <v>1.24197E8</v>
      </c>
      <c r="Q750" s="1">
        <v>-4.2102E7</v>
      </c>
      <c r="R750" s="1">
        <v>4.3241E7</v>
      </c>
      <c r="S750" s="1">
        <v>4.3241E7</v>
      </c>
    </row>
    <row r="751">
      <c r="A751" s="1">
        <v>749.0</v>
      </c>
      <c r="B751" s="3">
        <v>44196.0</v>
      </c>
      <c r="C751" s="1" t="s">
        <v>416</v>
      </c>
      <c r="D751" s="1" t="s">
        <v>417</v>
      </c>
      <c r="E751" s="1">
        <v>1.14191E8</v>
      </c>
      <c r="F751" s="1">
        <v>1.17065E8</v>
      </c>
      <c r="G751" s="1">
        <v>8.7678E7</v>
      </c>
      <c r="H751" s="1">
        <v>2.74999E8</v>
      </c>
      <c r="I751" s="1">
        <v>5.09638E8</v>
      </c>
      <c r="J751" s="1">
        <v>1.20448E8</v>
      </c>
      <c r="K751" s="1">
        <v>1.20448E8</v>
      </c>
      <c r="M751" s="1">
        <v>2.9387E7</v>
      </c>
      <c r="N751" s="1">
        <v>6.24617E8</v>
      </c>
      <c r="O751" s="1">
        <v>5.04169E8</v>
      </c>
      <c r="P751" s="1">
        <v>1.14979E8</v>
      </c>
      <c r="Q751" s="1">
        <v>-3383000.0</v>
      </c>
      <c r="R751" s="1">
        <v>8.7678E7</v>
      </c>
      <c r="S751" s="1">
        <v>8.7678E7</v>
      </c>
    </row>
    <row r="752">
      <c r="A752" s="1">
        <v>750.0</v>
      </c>
      <c r="B752" s="3">
        <v>44104.0</v>
      </c>
      <c r="C752" s="1" t="s">
        <v>416</v>
      </c>
      <c r="D752" s="1" t="s">
        <v>417</v>
      </c>
      <c r="E752" s="1">
        <v>1.203E8</v>
      </c>
      <c r="F752" s="1">
        <v>9.7523E7</v>
      </c>
      <c r="G752" s="1">
        <v>7.7663E7</v>
      </c>
      <c r="H752" s="1">
        <v>2.83936E8</v>
      </c>
      <c r="I752" s="1">
        <v>5.02849E8</v>
      </c>
      <c r="J752" s="1">
        <v>9.8613E7</v>
      </c>
      <c r="K752" s="1">
        <v>9.8613E7</v>
      </c>
      <c r="M752" s="1">
        <v>1.986E7</v>
      </c>
      <c r="N752" s="1">
        <v>6.14816E8</v>
      </c>
      <c r="O752" s="1">
        <v>5.16203E8</v>
      </c>
      <c r="P752" s="1">
        <v>1.11967E8</v>
      </c>
      <c r="Q752" s="1">
        <v>-1090000.0</v>
      </c>
      <c r="R752" s="1">
        <v>7.7663E7</v>
      </c>
      <c r="S752" s="1">
        <v>7.7663E7</v>
      </c>
    </row>
    <row r="753">
      <c r="A753" s="1">
        <v>751.0</v>
      </c>
      <c r="B753" s="3">
        <v>44012.0</v>
      </c>
      <c r="C753" s="1" t="s">
        <v>416</v>
      </c>
      <c r="D753" s="1" t="s">
        <v>417</v>
      </c>
      <c r="E753" s="1">
        <v>1.15991E8</v>
      </c>
      <c r="F753" s="1">
        <v>8.7762E7</v>
      </c>
      <c r="G753" s="1">
        <v>6.9872E7</v>
      </c>
      <c r="H753" s="1">
        <v>2.736E8</v>
      </c>
      <c r="I753" s="1">
        <v>4.77212E8</v>
      </c>
      <c r="J753" s="1">
        <v>8.7621E7</v>
      </c>
      <c r="K753" s="1">
        <v>8.7621E7</v>
      </c>
      <c r="M753" s="1">
        <v>1.789E7</v>
      </c>
      <c r="N753" s="1">
        <v>5.83252E8</v>
      </c>
      <c r="O753" s="1">
        <v>4.95631E8</v>
      </c>
      <c r="P753" s="1">
        <v>1.0604E8</v>
      </c>
      <c r="Q753" s="1">
        <v>141000.0</v>
      </c>
      <c r="R753" s="1">
        <v>6.9872E7</v>
      </c>
      <c r="S753" s="1">
        <v>6.9872E7</v>
      </c>
    </row>
    <row r="754">
      <c r="A754" s="1">
        <v>752.0</v>
      </c>
      <c r="B754" s="3">
        <v>44377.0</v>
      </c>
      <c r="C754" s="1" t="s">
        <v>418</v>
      </c>
      <c r="D754" s="1" t="s">
        <v>419</v>
      </c>
      <c r="E754" s="1">
        <v>6.096E9</v>
      </c>
      <c r="F754" s="1">
        <v>1.2513E10</v>
      </c>
      <c r="G754" s="1">
        <v>1.0394E10</v>
      </c>
      <c r="H754" s="1">
        <v>5.215E9</v>
      </c>
      <c r="I754" s="1">
        <v>2.3678E10</v>
      </c>
      <c r="J754" s="1">
        <v>1.2367E10</v>
      </c>
      <c r="K754" s="1">
        <v>1.2367E10</v>
      </c>
      <c r="M754" s="1">
        <v>2.119E9</v>
      </c>
      <c r="N754" s="1">
        <v>2.9077E10</v>
      </c>
      <c r="O754" s="1">
        <v>1.671E10</v>
      </c>
      <c r="P754" s="1">
        <v>5.399E9</v>
      </c>
      <c r="Q754" s="1">
        <v>1.46E8</v>
      </c>
      <c r="R754" s="1">
        <v>1.0394E10</v>
      </c>
      <c r="S754" s="1">
        <v>1.0394E10</v>
      </c>
    </row>
    <row r="755">
      <c r="A755" s="1">
        <v>753.0</v>
      </c>
      <c r="B755" s="3">
        <v>44286.0</v>
      </c>
      <c r="C755" s="1" t="s">
        <v>418</v>
      </c>
      <c r="D755" s="1" t="s">
        <v>419</v>
      </c>
      <c r="E755" s="1">
        <v>5.197E9</v>
      </c>
      <c r="F755" s="1">
        <v>1.1503E10</v>
      </c>
      <c r="G755" s="1">
        <v>9.497E9</v>
      </c>
      <c r="H755" s="1">
        <v>4.465E9</v>
      </c>
      <c r="I755" s="1">
        <v>2.104E10</v>
      </c>
      <c r="J755" s="1">
        <v>1.1378E10</v>
      </c>
      <c r="K755" s="1">
        <v>1.1378E10</v>
      </c>
      <c r="M755" s="1">
        <v>2.006E9</v>
      </c>
      <c r="N755" s="1">
        <v>2.6171E10</v>
      </c>
      <c r="O755" s="1">
        <v>1.4793E10</v>
      </c>
      <c r="P755" s="1">
        <v>5.131E9</v>
      </c>
      <c r="Q755" s="1">
        <v>1.25E8</v>
      </c>
      <c r="R755" s="1">
        <v>9.497E9</v>
      </c>
      <c r="S755" s="1">
        <v>9.497E9</v>
      </c>
    </row>
    <row r="756">
      <c r="A756" s="1">
        <v>754.0</v>
      </c>
      <c r="B756" s="3">
        <v>44196.0</v>
      </c>
      <c r="C756" s="1" t="s">
        <v>418</v>
      </c>
      <c r="D756" s="1" t="s">
        <v>419</v>
      </c>
      <c r="E756" s="1">
        <v>5.207E9</v>
      </c>
      <c r="F756" s="1">
        <v>1.3055E10</v>
      </c>
      <c r="G756" s="1">
        <v>1.1219E10</v>
      </c>
      <c r="H756" s="1">
        <v>4.88E9</v>
      </c>
      <c r="I756" s="1">
        <v>2.2862E10</v>
      </c>
      <c r="J756" s="1">
        <v>1.2775E10</v>
      </c>
      <c r="K756" s="1">
        <v>1.2775E10</v>
      </c>
      <c r="M756" s="1">
        <v>1.836E9</v>
      </c>
      <c r="N756" s="1">
        <v>2.8072E10</v>
      </c>
      <c r="O756" s="1">
        <v>1.5297E10</v>
      </c>
      <c r="P756" s="1">
        <v>5.21E9</v>
      </c>
      <c r="Q756" s="1">
        <v>2.8E8</v>
      </c>
      <c r="R756" s="1">
        <v>1.1219E10</v>
      </c>
      <c r="S756" s="1">
        <v>1.1219E10</v>
      </c>
    </row>
    <row r="757">
      <c r="A757" s="1">
        <v>755.0</v>
      </c>
      <c r="B757" s="3">
        <v>44104.0</v>
      </c>
      <c r="C757" s="1" t="s">
        <v>418</v>
      </c>
      <c r="D757" s="1" t="s">
        <v>419</v>
      </c>
      <c r="E757" s="1">
        <v>4.763E9</v>
      </c>
      <c r="F757" s="1">
        <v>8.133E9</v>
      </c>
      <c r="G757" s="1">
        <v>7.846E9</v>
      </c>
      <c r="H757" s="1">
        <v>4.473E9</v>
      </c>
      <c r="I757" s="1">
        <v>1.7276E10</v>
      </c>
      <c r="J757" s="1">
        <v>8.04E9</v>
      </c>
      <c r="K757" s="1">
        <v>8.04E9</v>
      </c>
      <c r="M757" s="1">
        <v>2.87E8</v>
      </c>
      <c r="N757" s="1">
        <v>2.147E10</v>
      </c>
      <c r="O757" s="1">
        <v>1.343E10</v>
      </c>
      <c r="P757" s="1">
        <v>4.194E9</v>
      </c>
      <c r="Q757" s="1">
        <v>9.3E7</v>
      </c>
      <c r="R757" s="1">
        <v>7.846E9</v>
      </c>
      <c r="S757" s="1">
        <v>7.846E9</v>
      </c>
    </row>
    <row r="758">
      <c r="A758" s="1">
        <v>756.0</v>
      </c>
      <c r="B758" s="3">
        <v>44377.0</v>
      </c>
      <c r="C758" s="1" t="s">
        <v>420</v>
      </c>
      <c r="D758" s="1" t="s">
        <v>421</v>
      </c>
      <c r="F758" s="1">
        <v>3.152E8</v>
      </c>
      <c r="G758" s="1">
        <v>2.397E8</v>
      </c>
      <c r="H758" s="1">
        <v>3.829E8</v>
      </c>
      <c r="I758" s="1">
        <v>7.007E8</v>
      </c>
      <c r="J758" s="1">
        <v>3.178E8</v>
      </c>
      <c r="K758" s="1">
        <v>3.178E8</v>
      </c>
      <c r="L758" s="1">
        <v>-2600000.0</v>
      </c>
      <c r="M758" s="1">
        <v>7.55E7</v>
      </c>
      <c r="N758" s="1">
        <v>1.5077E9</v>
      </c>
      <c r="O758" s="1">
        <v>1.1899E9</v>
      </c>
      <c r="P758" s="1">
        <v>8.07E8</v>
      </c>
      <c r="Q758" s="1">
        <v>-2600000.0</v>
      </c>
      <c r="R758" s="1">
        <v>2.397E8</v>
      </c>
      <c r="S758" s="1">
        <v>2.397E8</v>
      </c>
    </row>
    <row r="759">
      <c r="A759" s="1">
        <v>757.0</v>
      </c>
      <c r="B759" s="3">
        <v>44286.0</v>
      </c>
      <c r="C759" s="1" t="s">
        <v>420</v>
      </c>
      <c r="D759" s="1" t="s">
        <v>421</v>
      </c>
      <c r="F759" s="1">
        <v>2.779E8</v>
      </c>
      <c r="G759" s="1">
        <v>2.106E8</v>
      </c>
      <c r="H759" s="1">
        <v>3.631E8</v>
      </c>
      <c r="I759" s="1">
        <v>6.434E8</v>
      </c>
      <c r="J759" s="1">
        <v>2.803E8</v>
      </c>
      <c r="K759" s="1">
        <v>2.803E8</v>
      </c>
      <c r="L759" s="1">
        <v>-2400000.0</v>
      </c>
      <c r="M759" s="1">
        <v>6.73E7</v>
      </c>
      <c r="N759" s="1">
        <v>1.417E9</v>
      </c>
      <c r="O759" s="1">
        <v>1.1367E9</v>
      </c>
      <c r="P759" s="1">
        <v>7.736E8</v>
      </c>
      <c r="Q759" s="1">
        <v>-2400000.0</v>
      </c>
      <c r="R759" s="1">
        <v>2.106E8</v>
      </c>
      <c r="S759" s="1">
        <v>2.106E8</v>
      </c>
    </row>
    <row r="760">
      <c r="A760" s="1">
        <v>758.0</v>
      </c>
      <c r="B760" s="3">
        <v>44196.0</v>
      </c>
      <c r="C760" s="1" t="s">
        <v>420</v>
      </c>
      <c r="D760" s="1" t="s">
        <v>421</v>
      </c>
      <c r="F760" s="1">
        <v>2.622E8</v>
      </c>
      <c r="G760" s="1">
        <v>1.961E8</v>
      </c>
      <c r="H760" s="1">
        <v>3.547E8</v>
      </c>
      <c r="I760" s="1">
        <v>6.188E8</v>
      </c>
      <c r="J760" s="1">
        <v>2.641E8</v>
      </c>
      <c r="K760" s="1">
        <v>2.641E8</v>
      </c>
      <c r="L760" s="1">
        <v>-2500000.0</v>
      </c>
      <c r="M760" s="1">
        <v>6.61E7</v>
      </c>
      <c r="N760" s="1">
        <v>1.358E9</v>
      </c>
      <c r="O760" s="1">
        <v>1.0939E9</v>
      </c>
      <c r="P760" s="1">
        <v>7.392E8</v>
      </c>
      <c r="Q760" s="1">
        <v>-1900000.0</v>
      </c>
      <c r="R760" s="1">
        <v>1.961E8</v>
      </c>
      <c r="S760" s="1">
        <v>1.961E8</v>
      </c>
    </row>
    <row r="761">
      <c r="A761" s="1">
        <v>759.0</v>
      </c>
      <c r="B761" s="3">
        <v>44104.0</v>
      </c>
      <c r="C761" s="1" t="s">
        <v>420</v>
      </c>
      <c r="D761" s="1" t="s">
        <v>421</v>
      </c>
      <c r="F761" s="1">
        <v>2.876E8</v>
      </c>
      <c r="G761" s="1">
        <v>2.215E8</v>
      </c>
      <c r="H761" s="1">
        <v>3.515E8</v>
      </c>
      <c r="I761" s="1">
        <v>6.406E8</v>
      </c>
      <c r="J761" s="1">
        <v>2.891E8</v>
      </c>
      <c r="K761" s="1">
        <v>2.891E8</v>
      </c>
      <c r="L761" s="1">
        <v>-2600000.0</v>
      </c>
      <c r="M761" s="1">
        <v>6.61E7</v>
      </c>
      <c r="N761" s="1">
        <v>1.4133E9</v>
      </c>
      <c r="O761" s="1">
        <v>1.1242E9</v>
      </c>
      <c r="P761" s="1">
        <v>7.727E8</v>
      </c>
      <c r="Q761" s="1">
        <v>-1500000.0</v>
      </c>
      <c r="R761" s="1">
        <v>2.215E8</v>
      </c>
      <c r="S761" s="1">
        <v>2.215E8</v>
      </c>
    </row>
    <row r="762">
      <c r="A762" s="1">
        <v>760.0</v>
      </c>
      <c r="B762" s="3">
        <v>44377.0</v>
      </c>
      <c r="C762" s="1" t="s">
        <v>422</v>
      </c>
      <c r="D762" s="1" t="s">
        <v>423</v>
      </c>
      <c r="F762" s="1">
        <v>4.8059E7</v>
      </c>
      <c r="G762" s="1">
        <v>4.6204E7</v>
      </c>
      <c r="H762" s="1">
        <v>1.2846E7</v>
      </c>
      <c r="I762" s="1">
        <v>1.59507E8</v>
      </c>
      <c r="J762" s="1">
        <v>7.8986E7</v>
      </c>
      <c r="K762" s="1">
        <v>7.8986E7</v>
      </c>
      <c r="L762" s="1">
        <v>-3.1177E7</v>
      </c>
      <c r="M762" s="1">
        <v>0.0</v>
      </c>
      <c r="N762" s="1">
        <v>2.31748E8</v>
      </c>
      <c r="O762" s="1">
        <v>1.52762E8</v>
      </c>
      <c r="P762" s="1">
        <v>7.2241E7</v>
      </c>
      <c r="Q762" s="1">
        <v>-3.0927E7</v>
      </c>
      <c r="R762" s="1">
        <v>4.8059E7</v>
      </c>
      <c r="S762" s="1">
        <v>4.3895E7</v>
      </c>
    </row>
    <row r="763">
      <c r="A763" s="1">
        <v>761.0</v>
      </c>
      <c r="B763" s="3">
        <v>44286.0</v>
      </c>
      <c r="C763" s="1" t="s">
        <v>422</v>
      </c>
      <c r="D763" s="1" t="s">
        <v>423</v>
      </c>
      <c r="F763" s="1">
        <v>4.9739E7</v>
      </c>
      <c r="G763" s="1">
        <v>4.8236E7</v>
      </c>
      <c r="H763" s="1">
        <v>1.0258E7</v>
      </c>
      <c r="I763" s="1">
        <v>1.38165E8</v>
      </c>
      <c r="J763" s="1">
        <v>6.4033E7</v>
      </c>
      <c r="K763" s="1">
        <v>6.4033E7</v>
      </c>
      <c r="L763" s="1">
        <v>-3.2085E7</v>
      </c>
      <c r="M763" s="1">
        <v>0.0</v>
      </c>
      <c r="N763" s="1">
        <v>2.16823E8</v>
      </c>
      <c r="O763" s="1">
        <v>1.5279E8</v>
      </c>
      <c r="P763" s="1">
        <v>7.8658E7</v>
      </c>
      <c r="Q763" s="1">
        <v>-1.4294E7</v>
      </c>
      <c r="R763" s="1">
        <v>4.9739E7</v>
      </c>
      <c r="S763" s="1">
        <v>4.5932E7</v>
      </c>
    </row>
    <row r="764">
      <c r="A764" s="1">
        <v>762.0</v>
      </c>
      <c r="B764" s="3">
        <v>44196.0</v>
      </c>
      <c r="C764" s="1" t="s">
        <v>422</v>
      </c>
      <c r="D764" s="1" t="s">
        <v>423</v>
      </c>
      <c r="F764" s="1">
        <v>1.02211E8</v>
      </c>
      <c r="G764" s="1">
        <v>9.4725E7</v>
      </c>
      <c r="H764" s="1">
        <v>1.8739E7</v>
      </c>
      <c r="I764" s="1">
        <v>1.47122E8</v>
      </c>
      <c r="J764" s="1">
        <v>6.3959E7</v>
      </c>
      <c r="K764" s="1">
        <v>6.3959E7</v>
      </c>
      <c r="L764" s="1">
        <v>-3.7543E7</v>
      </c>
      <c r="M764" s="1">
        <v>0.0</v>
      </c>
      <c r="N764" s="1">
        <v>2.18108E8</v>
      </c>
      <c r="O764" s="1">
        <v>1.54149E8</v>
      </c>
      <c r="P764" s="1">
        <v>7.0986E7</v>
      </c>
      <c r="Q764" s="1">
        <v>3.8252E7</v>
      </c>
      <c r="R764" s="1">
        <v>1.02211E8</v>
      </c>
      <c r="S764" s="1">
        <v>9.2467E7</v>
      </c>
    </row>
    <row r="765">
      <c r="A765" s="1">
        <v>763.0</v>
      </c>
      <c r="B765" s="3">
        <v>44104.0</v>
      </c>
      <c r="C765" s="1" t="s">
        <v>422</v>
      </c>
      <c r="D765" s="1" t="s">
        <v>423</v>
      </c>
      <c r="F765" s="1">
        <v>-3.3623E7</v>
      </c>
      <c r="G765" s="1">
        <v>-2.8289E7</v>
      </c>
      <c r="H765" s="1">
        <v>9308000.0</v>
      </c>
      <c r="I765" s="1">
        <v>1.34224E8</v>
      </c>
      <c r="J765" s="1">
        <v>5.9285E7</v>
      </c>
      <c r="K765" s="1">
        <v>5.9285E7</v>
      </c>
      <c r="L765" s="1">
        <v>-3.6228E7</v>
      </c>
      <c r="M765" s="1">
        <v>0.0</v>
      </c>
      <c r="N765" s="1">
        <v>2.06576E8</v>
      </c>
      <c r="O765" s="1">
        <v>1.47291E8</v>
      </c>
      <c r="P765" s="1">
        <v>7.2352E7</v>
      </c>
      <c r="Q765" s="1">
        <v>-9.2908E7</v>
      </c>
      <c r="R765" s="1">
        <v>-3.3623E7</v>
      </c>
      <c r="S765" s="1">
        <v>-3.0548E7</v>
      </c>
    </row>
    <row r="766">
      <c r="A766" s="1">
        <v>764.0</v>
      </c>
      <c r="B766" s="3">
        <v>44347.0</v>
      </c>
      <c r="C766" s="1" t="s">
        <v>424</v>
      </c>
      <c r="D766" s="1" t="s">
        <v>425</v>
      </c>
      <c r="F766" s="1">
        <v>2.613E9</v>
      </c>
      <c r="G766" s="1">
        <v>1.868E9</v>
      </c>
      <c r="H766" s="1">
        <v>4.28E8</v>
      </c>
      <c r="I766" s="1">
        <v>7.594E9</v>
      </c>
      <c r="J766" s="1">
        <v>3.333E9</v>
      </c>
      <c r="K766" s="1">
        <v>3.333E9</v>
      </c>
      <c r="L766" s="1">
        <v>-1.86E8</v>
      </c>
      <c r="M766" s="1">
        <v>7.45E8</v>
      </c>
      <c r="N766" s="1">
        <v>2.2565E10</v>
      </c>
      <c r="O766" s="1">
        <v>1.9232E10</v>
      </c>
      <c r="P766" s="1">
        <v>1.4971E10</v>
      </c>
      <c r="Q766" s="1">
        <v>-7.2E8</v>
      </c>
      <c r="R766" s="1">
        <v>1.868E9</v>
      </c>
      <c r="S766" s="1">
        <v>1.868E9</v>
      </c>
    </row>
    <row r="767">
      <c r="A767" s="1">
        <v>765.0</v>
      </c>
      <c r="B767" s="3">
        <v>44255.0</v>
      </c>
      <c r="C767" s="1" t="s">
        <v>424</v>
      </c>
      <c r="D767" s="1" t="s">
        <v>425</v>
      </c>
      <c r="F767" s="1">
        <v>1.049E9</v>
      </c>
      <c r="G767" s="1">
        <v>8.92E8</v>
      </c>
      <c r="H767" s="1">
        <v>4.28E8</v>
      </c>
      <c r="I767" s="1">
        <v>5.333E9</v>
      </c>
      <c r="J767" s="1">
        <v>1.217E9</v>
      </c>
      <c r="K767" s="1">
        <v>1.217E9</v>
      </c>
      <c r="L767" s="1">
        <v>-1.87E8</v>
      </c>
      <c r="M767" s="1">
        <v>1.57E8</v>
      </c>
      <c r="N767" s="1">
        <v>2.151E10</v>
      </c>
      <c r="O767" s="1">
        <v>2.0293E10</v>
      </c>
      <c r="P767" s="1">
        <v>1.6177E10</v>
      </c>
      <c r="Q767" s="1">
        <v>-1.68E8</v>
      </c>
      <c r="R767" s="1">
        <v>8.92E8</v>
      </c>
      <c r="S767" s="1">
        <v>8.89E8</v>
      </c>
    </row>
    <row r="768">
      <c r="A768" s="1">
        <v>766.0</v>
      </c>
      <c r="B768" s="3">
        <v>44165.0</v>
      </c>
      <c r="C768" s="1" t="s">
        <v>424</v>
      </c>
      <c r="D768" s="1" t="s">
        <v>425</v>
      </c>
      <c r="F768" s="1">
        <v>1.406E9</v>
      </c>
      <c r="G768" s="1">
        <v>1.226E9</v>
      </c>
      <c r="H768" s="1">
        <v>4.28E8</v>
      </c>
      <c r="I768" s="1">
        <v>5.417E9</v>
      </c>
      <c r="J768" s="1">
        <v>1.615E9</v>
      </c>
      <c r="K768" s="1">
        <v>1.615E9</v>
      </c>
      <c r="L768" s="1">
        <v>-1.84E8</v>
      </c>
      <c r="M768" s="1">
        <v>1.8E8</v>
      </c>
      <c r="N768" s="1">
        <v>2.0563E10</v>
      </c>
      <c r="O768" s="1">
        <v>1.8948E10</v>
      </c>
      <c r="P768" s="1">
        <v>1.5146E10</v>
      </c>
      <c r="Q768" s="1">
        <v>-2.09E8</v>
      </c>
      <c r="R768" s="1">
        <v>1.226E9</v>
      </c>
      <c r="S768" s="1">
        <v>1.224E9</v>
      </c>
    </row>
    <row r="769">
      <c r="A769" s="1">
        <v>767.0</v>
      </c>
      <c r="B769" s="3">
        <v>44074.0</v>
      </c>
      <c r="C769" s="1" t="s">
        <v>424</v>
      </c>
      <c r="D769" s="1" t="s">
        <v>425</v>
      </c>
      <c r="F769" s="1">
        <v>1.606E9</v>
      </c>
      <c r="G769" s="1">
        <v>1.245E9</v>
      </c>
      <c r="H769" s="1">
        <v>4.28E8</v>
      </c>
      <c r="I769" s="1">
        <v>5.386E9</v>
      </c>
      <c r="J769" s="1">
        <v>1.791E9</v>
      </c>
      <c r="K769" s="1">
        <v>1.791E9</v>
      </c>
      <c r="L769" s="1">
        <v>-1.84E8</v>
      </c>
      <c r="M769" s="1">
        <v>3.61E8</v>
      </c>
      <c r="N769" s="1">
        <v>1.9321E10</v>
      </c>
      <c r="O769" s="1">
        <v>1.753E10</v>
      </c>
      <c r="P769" s="1">
        <v>1.3935E10</v>
      </c>
      <c r="Q769" s="1">
        <v>-1.85E8</v>
      </c>
      <c r="R769" s="1">
        <v>1.245E9</v>
      </c>
      <c r="S769" s="1">
        <v>1.243E9</v>
      </c>
    </row>
    <row r="770">
      <c r="A770" s="1">
        <v>768.0</v>
      </c>
      <c r="B770" s="3">
        <v>44377.0</v>
      </c>
      <c r="C770" s="1" t="s">
        <v>426</v>
      </c>
      <c r="D770" s="1" t="s">
        <v>427</v>
      </c>
      <c r="F770" s="1">
        <v>6.44E8</v>
      </c>
      <c r="G770" s="1">
        <v>3.41E8</v>
      </c>
      <c r="H770" s="1">
        <v>9.77E8</v>
      </c>
      <c r="I770" s="1">
        <v>1.34E9</v>
      </c>
      <c r="J770" s="1">
        <v>3.63E8</v>
      </c>
      <c r="K770" s="1">
        <v>3.63E8</v>
      </c>
      <c r="L770" s="1">
        <v>-4.8E7</v>
      </c>
      <c r="M770" s="1">
        <v>3.02E8</v>
      </c>
      <c r="N770" s="1">
        <v>3.475E9</v>
      </c>
      <c r="O770" s="1">
        <v>3.112E9</v>
      </c>
      <c r="P770" s="1">
        <v>2.135E9</v>
      </c>
      <c r="Q770" s="1">
        <v>2.81E8</v>
      </c>
      <c r="R770" s="1">
        <v>3.42E8</v>
      </c>
      <c r="S770" s="1">
        <v>3.41E8</v>
      </c>
    </row>
    <row r="771">
      <c r="A771" s="1">
        <v>769.0</v>
      </c>
      <c r="B771" s="3">
        <v>44286.0</v>
      </c>
      <c r="C771" s="1" t="s">
        <v>426</v>
      </c>
      <c r="D771" s="1" t="s">
        <v>427</v>
      </c>
      <c r="F771" s="1">
        <v>-4.67E8</v>
      </c>
      <c r="G771" s="1">
        <v>-3.73E8</v>
      </c>
      <c r="H771" s="1">
        <v>9.97E8</v>
      </c>
      <c r="I771" s="1">
        <v>1.105E9</v>
      </c>
      <c r="J771" s="1">
        <v>1.08E8</v>
      </c>
      <c r="K771" s="1">
        <v>1.08E8</v>
      </c>
      <c r="L771" s="1">
        <v>-7.4E7</v>
      </c>
      <c r="M771" s="1">
        <v>-9.7E7</v>
      </c>
      <c r="N771" s="1">
        <v>3.223E9</v>
      </c>
      <c r="O771" s="1">
        <v>3.115E9</v>
      </c>
      <c r="P771" s="1">
        <v>2.118E9</v>
      </c>
      <c r="Q771" s="1">
        <v>-5.75E8</v>
      </c>
      <c r="R771" s="1">
        <v>-3.7E8</v>
      </c>
      <c r="S771" s="1">
        <v>-3.73E8</v>
      </c>
    </row>
    <row r="772">
      <c r="A772" s="1">
        <v>770.0</v>
      </c>
      <c r="B772" s="3">
        <v>44196.0</v>
      </c>
      <c r="C772" s="1" t="s">
        <v>426</v>
      </c>
      <c r="D772" s="1" t="s">
        <v>427</v>
      </c>
      <c r="F772" s="1">
        <v>1.05E8</v>
      </c>
      <c r="G772" s="1">
        <v>1.04E8</v>
      </c>
      <c r="H772" s="1">
        <v>6.61E8</v>
      </c>
      <c r="I772" s="1">
        <v>1.206E9</v>
      </c>
      <c r="J772" s="1">
        <v>5.45E8</v>
      </c>
      <c r="K772" s="1">
        <v>5.45E8</v>
      </c>
      <c r="L772" s="1">
        <v>-8.7E7</v>
      </c>
      <c r="M772" s="1">
        <v>2000000.0</v>
      </c>
      <c r="N772" s="1">
        <v>3.316E9</v>
      </c>
      <c r="O772" s="1">
        <v>2.771E9</v>
      </c>
      <c r="P772" s="1">
        <v>2.11E9</v>
      </c>
      <c r="Q772" s="1">
        <v>-4.4E8</v>
      </c>
      <c r="R772" s="1">
        <v>1.03E8</v>
      </c>
      <c r="S772" s="1">
        <v>1.04E8</v>
      </c>
    </row>
    <row r="773">
      <c r="A773" s="1">
        <v>771.0</v>
      </c>
      <c r="B773" s="3">
        <v>44104.0</v>
      </c>
      <c r="C773" s="1" t="s">
        <v>426</v>
      </c>
      <c r="D773" s="1" t="s">
        <v>427</v>
      </c>
      <c r="F773" s="1">
        <v>1.43E8</v>
      </c>
      <c r="G773" s="1">
        <v>2.0E7</v>
      </c>
      <c r="H773" s="1">
        <v>6.67E8</v>
      </c>
      <c r="I773" s="1">
        <v>1.093E9</v>
      </c>
      <c r="J773" s="1">
        <v>4.26E8</v>
      </c>
      <c r="K773" s="1">
        <v>4.26E8</v>
      </c>
      <c r="L773" s="1">
        <v>-8.4E7</v>
      </c>
      <c r="M773" s="1">
        <v>1.21E8</v>
      </c>
      <c r="N773" s="1">
        <v>3.197E9</v>
      </c>
      <c r="O773" s="1">
        <v>2.771E9</v>
      </c>
      <c r="P773" s="1">
        <v>2.104E9</v>
      </c>
      <c r="Q773" s="1">
        <v>-2.83E8</v>
      </c>
      <c r="R773" s="1">
        <v>2.2E7</v>
      </c>
      <c r="S773" s="1">
        <v>2.0E7</v>
      </c>
    </row>
    <row r="774">
      <c r="A774" s="1">
        <v>772.0</v>
      </c>
      <c r="B774" s="3">
        <v>44377.0</v>
      </c>
      <c r="C774" s="1" t="s">
        <v>428</v>
      </c>
      <c r="D774" s="1" t="s">
        <v>429</v>
      </c>
      <c r="F774" s="1">
        <v>9.11E8</v>
      </c>
      <c r="G774" s="1">
        <v>7.09E8</v>
      </c>
      <c r="H774" s="1">
        <v>8.61E8</v>
      </c>
      <c r="I774" s="1">
        <v>2.066E9</v>
      </c>
      <c r="J774" s="1">
        <v>0.0</v>
      </c>
      <c r="K774" s="1">
        <v>9.15E8</v>
      </c>
      <c r="M774" s="1">
        <v>2.02E8</v>
      </c>
      <c r="N774" s="1">
        <v>2.066E9</v>
      </c>
      <c r="O774" s="1">
        <v>1.151E9</v>
      </c>
      <c r="P774" s="1">
        <v>0.0</v>
      </c>
      <c r="Q774" s="1">
        <v>-4000000.0</v>
      </c>
      <c r="R774" s="1">
        <v>7.09E8</v>
      </c>
      <c r="S774" s="1">
        <v>6.73E8</v>
      </c>
    </row>
    <row r="775">
      <c r="A775" s="1">
        <v>773.0</v>
      </c>
      <c r="B775" s="3">
        <v>44286.0</v>
      </c>
      <c r="C775" s="1" t="s">
        <v>428</v>
      </c>
      <c r="D775" s="1" t="s">
        <v>429</v>
      </c>
      <c r="F775" s="1">
        <v>8.83E8</v>
      </c>
      <c r="G775" s="1">
        <v>6.94E8</v>
      </c>
      <c r="H775" s="1">
        <v>9.35E8</v>
      </c>
      <c r="I775" s="1">
        <v>2.125E9</v>
      </c>
      <c r="J775" s="1">
        <v>0.0</v>
      </c>
      <c r="K775" s="1">
        <v>9.1E8</v>
      </c>
      <c r="M775" s="1">
        <v>1.89E8</v>
      </c>
      <c r="N775" s="1">
        <v>2.125E9</v>
      </c>
      <c r="O775" s="1">
        <v>1.215E9</v>
      </c>
      <c r="P775" s="1">
        <v>0.0</v>
      </c>
      <c r="Q775" s="1">
        <v>-2.7E7</v>
      </c>
      <c r="R775" s="1">
        <v>6.94E8</v>
      </c>
      <c r="S775" s="1">
        <v>6.72E8</v>
      </c>
    </row>
    <row r="776">
      <c r="A776" s="1">
        <v>774.0</v>
      </c>
      <c r="B776" s="3">
        <v>44196.0</v>
      </c>
      <c r="C776" s="1" t="s">
        <v>428</v>
      </c>
      <c r="D776" s="1" t="s">
        <v>429</v>
      </c>
      <c r="F776" s="1">
        <v>7.46E8</v>
      </c>
      <c r="G776" s="1">
        <v>6.04E8</v>
      </c>
      <c r="H776" s="1">
        <v>9.26E8</v>
      </c>
      <c r="I776" s="1">
        <v>1.991E9</v>
      </c>
      <c r="J776" s="1">
        <v>0.0</v>
      </c>
      <c r="K776" s="1">
        <v>7.57E8</v>
      </c>
      <c r="M776" s="1">
        <v>1.42E8</v>
      </c>
      <c r="N776" s="1">
        <v>1.991E9</v>
      </c>
      <c r="O776" s="1">
        <v>1.234E9</v>
      </c>
      <c r="P776" s="1">
        <v>0.0</v>
      </c>
      <c r="Q776" s="1">
        <v>-1.1E7</v>
      </c>
      <c r="R776" s="1">
        <v>6.04E8</v>
      </c>
      <c r="S776" s="1">
        <v>5.66E8</v>
      </c>
    </row>
    <row r="777">
      <c r="A777" s="1">
        <v>775.0</v>
      </c>
      <c r="B777" s="3">
        <v>44104.0</v>
      </c>
      <c r="C777" s="1" t="s">
        <v>428</v>
      </c>
      <c r="D777" s="1" t="s">
        <v>429</v>
      </c>
      <c r="F777" s="1">
        <v>7.46E8</v>
      </c>
      <c r="G777" s="1">
        <v>5.81E8</v>
      </c>
      <c r="H777" s="1">
        <v>8.71E8</v>
      </c>
      <c r="I777" s="1">
        <v>1.918E9</v>
      </c>
      <c r="J777" s="1">
        <v>0.0</v>
      </c>
      <c r="K777" s="1">
        <v>7.58E8</v>
      </c>
      <c r="M777" s="1">
        <v>1.65E8</v>
      </c>
      <c r="N777" s="1">
        <v>1.918E9</v>
      </c>
      <c r="O777" s="1">
        <v>1.16E9</v>
      </c>
      <c r="P777" s="1">
        <v>0.0</v>
      </c>
      <c r="Q777" s="1">
        <v>-1.2E7</v>
      </c>
      <c r="R777" s="1">
        <v>5.81E8</v>
      </c>
      <c r="S777" s="1">
        <v>5.6E8</v>
      </c>
    </row>
    <row r="778">
      <c r="A778" s="1">
        <v>776.0</v>
      </c>
      <c r="B778" s="3">
        <v>44377.0</v>
      </c>
      <c r="C778" s="1" t="s">
        <v>430</v>
      </c>
      <c r="D778" s="1" t="s">
        <v>431</v>
      </c>
      <c r="F778" s="1">
        <v>4.51565E8</v>
      </c>
      <c r="G778" s="1">
        <v>3.73106E8</v>
      </c>
      <c r="H778" s="1">
        <v>6.76044E8</v>
      </c>
      <c r="I778" s="1">
        <v>1.21433E9</v>
      </c>
      <c r="J778" s="1">
        <v>0.0</v>
      </c>
      <c r="K778" s="1">
        <v>4.70188E8</v>
      </c>
      <c r="M778" s="1">
        <v>7.8459E7</v>
      </c>
      <c r="N778" s="1">
        <v>1.21433E9</v>
      </c>
      <c r="O778" s="1">
        <v>7.44142E8</v>
      </c>
      <c r="P778" s="1">
        <v>0.0</v>
      </c>
      <c r="Q778" s="1">
        <v>-1.8623E7</v>
      </c>
      <c r="R778" s="1">
        <v>3.73106E8</v>
      </c>
      <c r="S778" s="1">
        <v>3.49451E8</v>
      </c>
    </row>
    <row r="779">
      <c r="A779" s="1">
        <v>777.0</v>
      </c>
      <c r="B779" s="3">
        <v>44286.0</v>
      </c>
      <c r="C779" s="1" t="s">
        <v>430</v>
      </c>
      <c r="D779" s="1" t="s">
        <v>431</v>
      </c>
      <c r="F779" s="1">
        <v>4.28845E8</v>
      </c>
      <c r="G779" s="1">
        <v>3.34833E8</v>
      </c>
      <c r="H779" s="1">
        <v>6.38356E8</v>
      </c>
      <c r="I779" s="1">
        <v>1.149241E9</v>
      </c>
      <c r="J779" s="1">
        <v>0.0</v>
      </c>
      <c r="K779" s="1">
        <v>4.4547E8</v>
      </c>
      <c r="M779" s="1">
        <v>9.4012E7</v>
      </c>
      <c r="N779" s="1">
        <v>1.149241E9</v>
      </c>
      <c r="O779" s="1">
        <v>7.03771E8</v>
      </c>
      <c r="P779" s="1">
        <v>0.0</v>
      </c>
      <c r="Q779" s="1">
        <v>-1.6625E7</v>
      </c>
      <c r="R779" s="1">
        <v>3.34833E8</v>
      </c>
      <c r="S779" s="1">
        <v>3.16308E8</v>
      </c>
    </row>
    <row r="780">
      <c r="A780" s="1">
        <v>778.0</v>
      </c>
      <c r="B780" s="3">
        <v>44196.0</v>
      </c>
      <c r="C780" s="1" t="s">
        <v>430</v>
      </c>
      <c r="D780" s="1" t="s">
        <v>431</v>
      </c>
      <c r="F780" s="1">
        <v>3.79255E8</v>
      </c>
      <c r="G780" s="1">
        <v>2.9556E8</v>
      </c>
      <c r="H780" s="1">
        <v>5.83502E8</v>
      </c>
      <c r="I780" s="1">
        <v>1.045299E9</v>
      </c>
      <c r="J780" s="1">
        <v>0.0</v>
      </c>
      <c r="K780" s="1">
        <v>4.17705E8</v>
      </c>
      <c r="M780" s="1">
        <v>8.3695E7</v>
      </c>
      <c r="N780" s="1">
        <v>1.045299E9</v>
      </c>
      <c r="O780" s="1">
        <v>6.27594E8</v>
      </c>
      <c r="P780" s="1">
        <v>0.0</v>
      </c>
      <c r="Q780" s="1">
        <v>-3.845E7</v>
      </c>
      <c r="R780" s="1">
        <v>2.9556E8</v>
      </c>
      <c r="S780" s="1">
        <v>2.79488E8</v>
      </c>
    </row>
    <row r="781">
      <c r="A781" s="1">
        <v>779.0</v>
      </c>
      <c r="B781" s="3">
        <v>44104.0</v>
      </c>
      <c r="C781" s="1" t="s">
        <v>430</v>
      </c>
      <c r="D781" s="1" t="s">
        <v>431</v>
      </c>
      <c r="F781" s="1">
        <v>3.64515E8</v>
      </c>
      <c r="G781" s="1">
        <v>2.93137E8</v>
      </c>
      <c r="H781" s="1">
        <v>5.32071E8</v>
      </c>
      <c r="I781" s="1">
        <v>9.72725E8</v>
      </c>
      <c r="J781" s="1">
        <v>0.0</v>
      </c>
      <c r="K781" s="1">
        <v>3.75518E8</v>
      </c>
      <c r="M781" s="1">
        <v>7.1378E7</v>
      </c>
      <c r="N781" s="1">
        <v>9.72725E8</v>
      </c>
      <c r="O781" s="1">
        <v>5.97207E8</v>
      </c>
      <c r="P781" s="1">
        <v>0.0</v>
      </c>
      <c r="Q781" s="1">
        <v>-1.1003E7</v>
      </c>
      <c r="R781" s="1">
        <v>2.93137E8</v>
      </c>
      <c r="S781" s="1">
        <v>2.78321E8</v>
      </c>
    </row>
    <row r="782">
      <c r="A782" s="1">
        <v>780.0</v>
      </c>
      <c r="B782" s="3">
        <v>44286.0</v>
      </c>
      <c r="C782" s="1" t="s">
        <v>432</v>
      </c>
      <c r="D782" s="1" t="s">
        <v>433</v>
      </c>
      <c r="F782" s="1">
        <v>4.22E8</v>
      </c>
      <c r="G782" s="1">
        <v>3.35E8</v>
      </c>
      <c r="H782" s="1">
        <v>-1.17E8</v>
      </c>
      <c r="I782" s="1">
        <v>1.798E9</v>
      </c>
      <c r="J782" s="1">
        <v>5.67E8</v>
      </c>
      <c r="K782" s="1">
        <v>5.67E8</v>
      </c>
      <c r="L782" s="1">
        <v>-2.79E8</v>
      </c>
      <c r="M782" s="1">
        <v>8.7E7</v>
      </c>
      <c r="N782" s="1">
        <v>2.726E9</v>
      </c>
      <c r="O782" s="1">
        <v>2.159E9</v>
      </c>
      <c r="P782" s="1">
        <v>9.28E8</v>
      </c>
      <c r="Q782" s="1">
        <v>-1.45E8</v>
      </c>
      <c r="R782" s="1">
        <v>3.35E8</v>
      </c>
      <c r="S782" s="1">
        <v>3.35E8</v>
      </c>
    </row>
    <row r="783">
      <c r="A783" s="1">
        <v>781.0</v>
      </c>
      <c r="B783" s="3">
        <v>44196.0</v>
      </c>
      <c r="C783" s="1" t="s">
        <v>432</v>
      </c>
      <c r="D783" s="1" t="s">
        <v>433</v>
      </c>
      <c r="F783" s="1">
        <v>2.16E8</v>
      </c>
      <c r="G783" s="1">
        <v>2.42E8</v>
      </c>
      <c r="H783" s="1">
        <v>-2.35E8</v>
      </c>
      <c r="I783" s="1">
        <v>1.843E9</v>
      </c>
      <c r="J783" s="1">
        <v>6.89E8</v>
      </c>
      <c r="K783" s="1">
        <v>6.89E8</v>
      </c>
      <c r="L783" s="1">
        <v>-2.66E8</v>
      </c>
      <c r="M783" s="1">
        <v>4000000.0</v>
      </c>
      <c r="N783" s="1">
        <v>2.354E9</v>
      </c>
      <c r="O783" s="1">
        <v>1.665E9</v>
      </c>
      <c r="P783" s="1">
        <v>5.11E8</v>
      </c>
      <c r="Q783" s="1">
        <v>-4.73E8</v>
      </c>
      <c r="R783" s="1">
        <v>2.12E8</v>
      </c>
      <c r="S783" s="1">
        <v>2.42E8</v>
      </c>
    </row>
    <row r="784">
      <c r="A784" s="1">
        <v>782.0</v>
      </c>
      <c r="B784" s="3">
        <v>44104.0</v>
      </c>
      <c r="C784" s="1" t="s">
        <v>432</v>
      </c>
      <c r="D784" s="1" t="s">
        <v>433</v>
      </c>
      <c r="F784" s="1">
        <v>5.76E8</v>
      </c>
      <c r="G784" s="1">
        <v>4.54E8</v>
      </c>
      <c r="H784" s="1">
        <v>-2.35E8</v>
      </c>
      <c r="I784" s="1">
        <v>2.246E9</v>
      </c>
      <c r="J784" s="1">
        <v>7.21E8</v>
      </c>
      <c r="K784" s="1">
        <v>7.21E8</v>
      </c>
      <c r="L784" s="1">
        <v>-2.58E8</v>
      </c>
      <c r="M784" s="1">
        <v>1.16E8</v>
      </c>
      <c r="N784" s="1">
        <v>3.022E9</v>
      </c>
      <c r="O784" s="1">
        <v>2.301E9</v>
      </c>
      <c r="P784" s="1">
        <v>7.76E8</v>
      </c>
      <c r="Q784" s="1">
        <v>-1.45E8</v>
      </c>
      <c r="R784" s="1">
        <v>4.6E8</v>
      </c>
      <c r="S784" s="1">
        <v>4.54E8</v>
      </c>
    </row>
    <row r="785">
      <c r="A785" s="1">
        <v>783.0</v>
      </c>
      <c r="B785" s="3">
        <v>44012.0</v>
      </c>
      <c r="C785" s="1" t="s">
        <v>432</v>
      </c>
      <c r="D785" s="1" t="s">
        <v>433</v>
      </c>
      <c r="F785" s="1">
        <v>3.73E8</v>
      </c>
      <c r="G785" s="1">
        <v>3.09E8</v>
      </c>
      <c r="H785" s="1">
        <v>-2.35E8</v>
      </c>
      <c r="I785" s="1">
        <v>1.819E9</v>
      </c>
      <c r="J785" s="1">
        <v>5.15E8</v>
      </c>
      <c r="K785" s="1">
        <v>5.15E8</v>
      </c>
      <c r="L785" s="1">
        <v>-2.57E8</v>
      </c>
      <c r="M785" s="1">
        <v>6.6E7</v>
      </c>
      <c r="N785" s="1">
        <v>2.522E9</v>
      </c>
      <c r="O785" s="1">
        <v>2.007E9</v>
      </c>
      <c r="P785" s="1">
        <v>7.03E8</v>
      </c>
      <c r="Q785" s="1">
        <v>-1.42E8</v>
      </c>
      <c r="R785" s="1">
        <v>3.07E8</v>
      </c>
      <c r="S785" s="1">
        <v>3.09E8</v>
      </c>
    </row>
    <row r="786">
      <c r="A786" s="1">
        <v>784.0</v>
      </c>
      <c r="B786" s="3">
        <v>44377.0</v>
      </c>
      <c r="C786" s="1" t="s">
        <v>434</v>
      </c>
      <c r="D786" s="1" t="s">
        <v>435</v>
      </c>
      <c r="F786" s="1">
        <v>5.12E8</v>
      </c>
      <c r="G786" s="1">
        <v>2.69E8</v>
      </c>
      <c r="H786" s="1">
        <v>1.44E9</v>
      </c>
      <c r="I786" s="1">
        <v>2.084E9</v>
      </c>
      <c r="J786" s="1">
        <v>6.44E8</v>
      </c>
      <c r="K786" s="1">
        <v>6.44E8</v>
      </c>
      <c r="L786" s="1">
        <v>-1.76E8</v>
      </c>
      <c r="M786" s="1">
        <v>2.28E8</v>
      </c>
      <c r="N786" s="1">
        <v>4.051E9</v>
      </c>
      <c r="O786" s="1">
        <v>3.407E9</v>
      </c>
      <c r="P786" s="1">
        <v>1.967E9</v>
      </c>
      <c r="Q786" s="1">
        <v>-1.32E8</v>
      </c>
      <c r="R786" s="1">
        <v>2.84E8</v>
      </c>
      <c r="S786" s="1">
        <v>2.69E8</v>
      </c>
    </row>
    <row r="787">
      <c r="A787" s="1">
        <v>785.0</v>
      </c>
      <c r="B787" s="3">
        <v>44286.0</v>
      </c>
      <c r="C787" s="1" t="s">
        <v>434</v>
      </c>
      <c r="D787" s="1" t="s">
        <v>435</v>
      </c>
      <c r="F787" s="1">
        <v>3.36E8</v>
      </c>
      <c r="G787" s="1">
        <v>3.04E8</v>
      </c>
      <c r="H787" s="1">
        <v>1.367E9</v>
      </c>
      <c r="I787" s="1">
        <v>1.848E9</v>
      </c>
      <c r="J787" s="1">
        <v>4.81E8</v>
      </c>
      <c r="K787" s="1">
        <v>4.81E8</v>
      </c>
      <c r="L787" s="1">
        <v>-1.77E8</v>
      </c>
      <c r="M787" s="1">
        <v>1.8E7</v>
      </c>
      <c r="N787" s="1">
        <v>3.755E9</v>
      </c>
      <c r="O787" s="1">
        <v>3.274E9</v>
      </c>
      <c r="P787" s="1">
        <v>1.907E9</v>
      </c>
      <c r="Q787" s="1">
        <v>-1.45E8</v>
      </c>
      <c r="R787" s="1">
        <v>3.18E8</v>
      </c>
      <c r="S787" s="1">
        <v>3.04E8</v>
      </c>
    </row>
    <row r="788">
      <c r="A788" s="1">
        <v>786.0</v>
      </c>
      <c r="B788" s="3">
        <v>44196.0</v>
      </c>
      <c r="C788" s="1" t="s">
        <v>434</v>
      </c>
      <c r="D788" s="1" t="s">
        <v>435</v>
      </c>
      <c r="F788" s="1">
        <v>3.33E8</v>
      </c>
      <c r="G788" s="1">
        <v>3.0E8</v>
      </c>
      <c r="H788" s="1">
        <v>1.379E9</v>
      </c>
      <c r="I788" s="1">
        <v>1.978E9</v>
      </c>
      <c r="J788" s="1">
        <v>5.99E8</v>
      </c>
      <c r="K788" s="1">
        <v>5.99E8</v>
      </c>
      <c r="L788" s="1">
        <v>-1.75E8</v>
      </c>
      <c r="M788" s="1">
        <v>2.0E7</v>
      </c>
      <c r="N788" s="1">
        <v>3.832E9</v>
      </c>
      <c r="O788" s="1">
        <v>3.233E9</v>
      </c>
      <c r="P788" s="1">
        <v>1.854E9</v>
      </c>
      <c r="Q788" s="1">
        <v>-2.66E8</v>
      </c>
      <c r="R788" s="1">
        <v>3.13E8</v>
      </c>
      <c r="S788" s="1">
        <v>3.0E8</v>
      </c>
    </row>
    <row r="789">
      <c r="A789" s="1">
        <v>787.0</v>
      </c>
      <c r="B789" s="3">
        <v>44104.0</v>
      </c>
      <c r="C789" s="1" t="s">
        <v>434</v>
      </c>
      <c r="D789" s="1" t="s">
        <v>435</v>
      </c>
      <c r="F789" s="1">
        <v>4.0E8</v>
      </c>
      <c r="G789" s="1">
        <v>2.64E8</v>
      </c>
      <c r="H789" s="1">
        <v>1.408E9</v>
      </c>
      <c r="I789" s="1">
        <v>1.953E9</v>
      </c>
      <c r="J789" s="1">
        <v>5.45E8</v>
      </c>
      <c r="K789" s="1">
        <v>5.45E8</v>
      </c>
      <c r="L789" s="1">
        <v>-1.76E8</v>
      </c>
      <c r="M789" s="1">
        <v>1.24E8</v>
      </c>
      <c r="N789" s="1">
        <v>3.786E9</v>
      </c>
      <c r="O789" s="1">
        <v>3.241E9</v>
      </c>
      <c r="P789" s="1">
        <v>1.833E9</v>
      </c>
      <c r="Q789" s="1">
        <v>-1.45E8</v>
      </c>
      <c r="R789" s="1">
        <v>2.76E8</v>
      </c>
      <c r="S789" s="1">
        <v>2.64E8</v>
      </c>
    </row>
    <row r="790">
      <c r="A790" s="1">
        <v>788.0</v>
      </c>
      <c r="B790" s="3">
        <v>44377.0</v>
      </c>
      <c r="C790" s="1" t="s">
        <v>436</v>
      </c>
      <c r="D790" s="1" t="s">
        <v>437</v>
      </c>
      <c r="F790" s="1">
        <v>2.62519E8</v>
      </c>
      <c r="G790" s="1">
        <v>1.96247E8</v>
      </c>
      <c r="H790" s="1">
        <v>1.78233E8</v>
      </c>
      <c r="I790" s="1">
        <v>5.45087E8</v>
      </c>
      <c r="J790" s="1">
        <v>2.97612E8</v>
      </c>
      <c r="K790" s="1">
        <v>2.97612E8</v>
      </c>
      <c r="L790" s="1">
        <v>-3.4685E7</v>
      </c>
      <c r="M790" s="1">
        <v>6.6272E7</v>
      </c>
      <c r="N790" s="1">
        <v>6.67381E8</v>
      </c>
      <c r="O790" s="1">
        <v>3.69769E8</v>
      </c>
      <c r="P790" s="1">
        <v>1.22294E8</v>
      </c>
      <c r="Q790" s="1">
        <v>-3.5093E7</v>
      </c>
      <c r="R790" s="1">
        <v>1.96247E8</v>
      </c>
      <c r="S790" s="1">
        <v>1.96247E8</v>
      </c>
    </row>
    <row r="791">
      <c r="A791" s="1">
        <v>789.0</v>
      </c>
      <c r="B791" s="3">
        <v>44286.0</v>
      </c>
      <c r="C791" s="1" t="s">
        <v>436</v>
      </c>
      <c r="D791" s="1" t="s">
        <v>437</v>
      </c>
      <c r="F791" s="1">
        <v>2.3568E8</v>
      </c>
      <c r="G791" s="1">
        <v>1.84239E8</v>
      </c>
      <c r="H791" s="1">
        <v>1.60444E8</v>
      </c>
      <c r="I791" s="1">
        <v>4.92195E8</v>
      </c>
      <c r="J791" s="1">
        <v>2.65965E8</v>
      </c>
      <c r="K791" s="1">
        <v>2.65965E8</v>
      </c>
      <c r="L791" s="1">
        <v>-2.8551E7</v>
      </c>
      <c r="M791" s="1">
        <v>5.1441E7</v>
      </c>
      <c r="N791" s="1">
        <v>6.08623E8</v>
      </c>
      <c r="O791" s="1">
        <v>3.42658E8</v>
      </c>
      <c r="P791" s="1">
        <v>1.16428E8</v>
      </c>
      <c r="Q791" s="1">
        <v>-3.0285E7</v>
      </c>
      <c r="R791" s="1">
        <v>1.84239E8</v>
      </c>
      <c r="S791" s="1">
        <v>1.84239E8</v>
      </c>
    </row>
    <row r="792">
      <c r="A792" s="1">
        <v>790.0</v>
      </c>
      <c r="B792" s="3">
        <v>44196.0</v>
      </c>
      <c r="C792" s="1" t="s">
        <v>436</v>
      </c>
      <c r="D792" s="1" t="s">
        <v>437</v>
      </c>
      <c r="F792" s="1">
        <v>2.63188E8</v>
      </c>
      <c r="G792" s="1">
        <v>2.09851E8</v>
      </c>
      <c r="H792" s="1">
        <v>1.38698E8</v>
      </c>
      <c r="I792" s="1">
        <v>4.95819E8</v>
      </c>
      <c r="J792" s="1">
        <v>2.94233E8</v>
      </c>
      <c r="K792" s="1">
        <v>2.94233E8</v>
      </c>
      <c r="L792" s="1">
        <v>-3.0329E7</v>
      </c>
      <c r="M792" s="1">
        <v>5.3337E7</v>
      </c>
      <c r="N792" s="1">
        <v>6.17333E8</v>
      </c>
      <c r="O792" s="1">
        <v>3.231E8</v>
      </c>
      <c r="P792" s="1">
        <v>1.21514E8</v>
      </c>
      <c r="Q792" s="1">
        <v>-3.1045E7</v>
      </c>
      <c r="R792" s="1">
        <v>2.09851E8</v>
      </c>
      <c r="S792" s="1">
        <v>2.09851E8</v>
      </c>
    </row>
    <row r="793">
      <c r="A793" s="1">
        <v>791.0</v>
      </c>
      <c r="B793" s="3">
        <v>44104.0</v>
      </c>
      <c r="C793" s="1" t="s">
        <v>436</v>
      </c>
      <c r="D793" s="1" t="s">
        <v>437</v>
      </c>
      <c r="F793" s="1">
        <v>2.3541E8</v>
      </c>
      <c r="G793" s="1">
        <v>1.88817E8</v>
      </c>
      <c r="H793" s="1">
        <v>1.3763E8</v>
      </c>
      <c r="I793" s="1">
        <v>4.65427E8</v>
      </c>
      <c r="J793" s="1">
        <v>2.64532E8</v>
      </c>
      <c r="K793" s="1">
        <v>2.64532E8</v>
      </c>
      <c r="L793" s="1">
        <v>-3.1383E7</v>
      </c>
      <c r="M793" s="1">
        <v>4.6593E7</v>
      </c>
      <c r="N793" s="1">
        <v>5.85283E8</v>
      </c>
      <c r="O793" s="1">
        <v>3.20751E8</v>
      </c>
      <c r="P793" s="1">
        <v>1.19856E8</v>
      </c>
      <c r="Q793" s="1">
        <v>-2.9122E7</v>
      </c>
      <c r="R793" s="1">
        <v>1.88817E8</v>
      </c>
      <c r="S793" s="1">
        <v>1.88817E8</v>
      </c>
    </row>
    <row r="794">
      <c r="A794" s="1">
        <v>792.0</v>
      </c>
      <c r="B794" s="3">
        <v>44377.0</v>
      </c>
      <c r="C794" s="1" t="s">
        <v>438</v>
      </c>
      <c r="D794" s="1" t="s">
        <v>439</v>
      </c>
      <c r="E794" s="1">
        <v>6.59E7</v>
      </c>
      <c r="F794" s="1">
        <v>2.512E8</v>
      </c>
      <c r="G794" s="1">
        <v>2.029E8</v>
      </c>
      <c r="H794" s="1">
        <v>1.61E8</v>
      </c>
      <c r="I794" s="1">
        <v>5.318E8</v>
      </c>
      <c r="J794" s="1">
        <v>2.991E8</v>
      </c>
      <c r="K794" s="1">
        <v>2.991E8</v>
      </c>
      <c r="L794" s="1">
        <v>-3.26E7</v>
      </c>
      <c r="M794" s="1">
        <v>3.34E7</v>
      </c>
      <c r="N794" s="1">
        <v>1.242E9</v>
      </c>
      <c r="O794" s="1">
        <v>9.429E8</v>
      </c>
      <c r="P794" s="1">
        <v>7.102E8</v>
      </c>
      <c r="Q794" s="1">
        <v>-4.79E7</v>
      </c>
      <c r="R794" s="1">
        <v>2.178E8</v>
      </c>
      <c r="S794" s="1">
        <v>2.024E8</v>
      </c>
    </row>
    <row r="795">
      <c r="A795" s="1">
        <v>793.0</v>
      </c>
      <c r="B795" s="3">
        <v>44286.0</v>
      </c>
      <c r="C795" s="1" t="s">
        <v>438</v>
      </c>
      <c r="D795" s="1" t="s">
        <v>439</v>
      </c>
      <c r="E795" s="1">
        <v>7.4E7</v>
      </c>
      <c r="F795" s="1">
        <v>2.235E8</v>
      </c>
      <c r="G795" s="1">
        <v>1.826E8</v>
      </c>
      <c r="H795" s="1">
        <v>1.741E8</v>
      </c>
      <c r="I795" s="1">
        <v>5.124E8</v>
      </c>
      <c r="J795" s="1">
        <v>2.643E8</v>
      </c>
      <c r="K795" s="1">
        <v>2.643E8</v>
      </c>
      <c r="L795" s="1">
        <v>-3.24E7</v>
      </c>
      <c r="M795" s="1">
        <v>3.22E7</v>
      </c>
      <c r="N795" s="1">
        <v>1.1956E9</v>
      </c>
      <c r="O795" s="1">
        <v>9.313E8</v>
      </c>
      <c r="P795" s="1">
        <v>6.832E8</v>
      </c>
      <c r="Q795" s="1">
        <v>-4.08E7</v>
      </c>
      <c r="R795" s="1">
        <v>1.913E8</v>
      </c>
      <c r="S795" s="1">
        <v>1.822E8</v>
      </c>
    </row>
    <row r="796">
      <c r="A796" s="1">
        <v>794.0</v>
      </c>
      <c r="B796" s="3">
        <v>44196.0</v>
      </c>
      <c r="C796" s="1" t="s">
        <v>438</v>
      </c>
      <c r="D796" s="1" t="s">
        <v>439</v>
      </c>
      <c r="E796" s="1">
        <v>8.46E7</v>
      </c>
      <c r="F796" s="1">
        <v>1.075E8</v>
      </c>
      <c r="G796" s="1">
        <v>4.95E7</v>
      </c>
      <c r="H796" s="1">
        <v>1.687E8</v>
      </c>
      <c r="I796" s="1">
        <v>5.014E8</v>
      </c>
      <c r="J796" s="1">
        <v>2.486E8</v>
      </c>
      <c r="K796" s="1">
        <v>2.486E8</v>
      </c>
      <c r="L796" s="1">
        <v>-3.43E7</v>
      </c>
      <c r="M796" s="1">
        <v>6.86E7</v>
      </c>
      <c r="N796" s="1">
        <v>1.1522E9</v>
      </c>
      <c r="O796" s="1">
        <v>9.036E8</v>
      </c>
      <c r="P796" s="1">
        <v>6.508E8</v>
      </c>
      <c r="Q796" s="1">
        <v>-1.411E8</v>
      </c>
      <c r="R796" s="1">
        <v>3.89E7</v>
      </c>
      <c r="S796" s="1">
        <v>4.94E7</v>
      </c>
    </row>
    <row r="797">
      <c r="A797" s="1">
        <v>795.0</v>
      </c>
      <c r="B797" s="3">
        <v>44104.0</v>
      </c>
      <c r="C797" s="1" t="s">
        <v>438</v>
      </c>
      <c r="D797" s="1" t="s">
        <v>439</v>
      </c>
      <c r="E797" s="1">
        <v>7.17E7</v>
      </c>
      <c r="F797" s="1">
        <v>1.489E8</v>
      </c>
      <c r="G797" s="1">
        <v>1.114E8</v>
      </c>
      <c r="H797" s="1">
        <v>1.733E8</v>
      </c>
      <c r="I797" s="1">
        <v>4.664E8</v>
      </c>
      <c r="J797" s="1">
        <v>2.213E8</v>
      </c>
      <c r="K797" s="1">
        <v>2.213E8</v>
      </c>
      <c r="L797" s="1">
        <v>-3.55E7</v>
      </c>
      <c r="M797" s="1">
        <v>1.84E7</v>
      </c>
      <c r="N797" s="1">
        <v>1.0846E9</v>
      </c>
      <c r="O797" s="1">
        <v>8.633E8</v>
      </c>
      <c r="P797" s="1">
        <v>6.182E8</v>
      </c>
      <c r="Q797" s="1">
        <v>-7.24E7</v>
      </c>
      <c r="R797" s="1">
        <v>1.305E8</v>
      </c>
      <c r="S797" s="1">
        <v>1.111E8</v>
      </c>
    </row>
    <row r="798">
      <c r="A798" s="1">
        <v>796.0</v>
      </c>
      <c r="B798" s="3">
        <v>44377.0</v>
      </c>
      <c r="C798" s="1" t="s">
        <v>440</v>
      </c>
      <c r="D798" s="1" t="s">
        <v>441</v>
      </c>
      <c r="F798" s="1">
        <v>7.35E8</v>
      </c>
      <c r="G798" s="1">
        <v>5.61E8</v>
      </c>
      <c r="H798" s="1">
        <v>1.856E9</v>
      </c>
      <c r="I798" s="1">
        <v>2.864E9</v>
      </c>
      <c r="J798" s="1">
        <v>1.008E9</v>
      </c>
      <c r="K798" s="1">
        <v>1.008E9</v>
      </c>
      <c r="L798" s="1">
        <v>-4.53E8</v>
      </c>
      <c r="M798" s="1">
        <v>1.82E8</v>
      </c>
      <c r="N798" s="1">
        <v>2.6752E10</v>
      </c>
      <c r="O798" s="1">
        <v>2.5744E10</v>
      </c>
      <c r="P798" s="1">
        <v>2.3888E10</v>
      </c>
      <c r="Q798" s="1">
        <v>-2.73E8</v>
      </c>
      <c r="R798" s="1">
        <v>5.53E8</v>
      </c>
      <c r="S798" s="1">
        <v>5.61E8</v>
      </c>
    </row>
    <row r="799">
      <c r="A799" s="1">
        <v>797.0</v>
      </c>
      <c r="B799" s="3">
        <v>44286.0</v>
      </c>
      <c r="C799" s="1" t="s">
        <v>440</v>
      </c>
      <c r="D799" s="1" t="s">
        <v>441</v>
      </c>
      <c r="F799" s="1">
        <v>3.942E9</v>
      </c>
      <c r="G799" s="1">
        <v>3.262E9</v>
      </c>
      <c r="H799" s="1">
        <v>2.231E9</v>
      </c>
      <c r="I799" s="1">
        <v>5.357E9</v>
      </c>
      <c r="J799" s="1">
        <v>3.126E9</v>
      </c>
      <c r="K799" s="1">
        <v>3.126E9</v>
      </c>
      <c r="L799" s="1">
        <v>-4.76E8</v>
      </c>
      <c r="M799" s="1">
        <v>6.8E8</v>
      </c>
      <c r="N799" s="1">
        <v>3.6228E10</v>
      </c>
      <c r="O799" s="1">
        <v>3.3102E10</v>
      </c>
      <c r="P799" s="1">
        <v>3.0871E10</v>
      </c>
      <c r="Q799" s="1">
        <v>8.16E8</v>
      </c>
      <c r="R799" s="1">
        <v>3.262E9</v>
      </c>
      <c r="S799" s="1">
        <v>3.262E9</v>
      </c>
    </row>
    <row r="800">
      <c r="A800" s="1">
        <v>798.0</v>
      </c>
      <c r="B800" s="3">
        <v>44196.0</v>
      </c>
      <c r="C800" s="1" t="s">
        <v>440</v>
      </c>
      <c r="D800" s="1" t="s">
        <v>441</v>
      </c>
      <c r="F800" s="1">
        <v>-3.81E9</v>
      </c>
      <c r="G800" s="1">
        <v>-2.788E9</v>
      </c>
      <c r="H800" s="1">
        <v>3.304E9</v>
      </c>
      <c r="I800" s="1">
        <v>1.035E9</v>
      </c>
      <c r="J800" s="1">
        <v>-2.269E9</v>
      </c>
      <c r="K800" s="1">
        <v>-2.269E9</v>
      </c>
      <c r="L800" s="1">
        <v>-4.72E8</v>
      </c>
      <c r="M800" s="1">
        <v>-1.019E9</v>
      </c>
      <c r="N800" s="1">
        <v>3.5952E10</v>
      </c>
      <c r="O800" s="1">
        <v>3.8221E10</v>
      </c>
      <c r="P800" s="1">
        <v>3.4917E10</v>
      </c>
      <c r="Q800" s="1">
        <v>-1.541E9</v>
      </c>
      <c r="R800" s="1">
        <v>-2.791E9</v>
      </c>
      <c r="S800" s="1">
        <v>-2.788E9</v>
      </c>
    </row>
    <row r="801">
      <c r="A801" s="1">
        <v>799.0</v>
      </c>
      <c r="B801" s="3">
        <v>44104.0</v>
      </c>
      <c r="C801" s="1" t="s">
        <v>440</v>
      </c>
      <c r="D801" s="1" t="s">
        <v>441</v>
      </c>
      <c r="F801" s="1">
        <v>2.756E9</v>
      </c>
      <c r="G801" s="1">
        <v>2.385E9</v>
      </c>
      <c r="H801" s="1">
        <v>1.822E9</v>
      </c>
      <c r="I801" s="1">
        <v>4.83E9</v>
      </c>
      <c r="J801" s="1">
        <v>3.008E9</v>
      </c>
      <c r="K801" s="1">
        <v>3.008E9</v>
      </c>
      <c r="L801" s="1">
        <v>-5.07E8</v>
      </c>
      <c r="M801" s="1">
        <v>3.66E8</v>
      </c>
      <c r="N801" s="1">
        <v>3.7501E10</v>
      </c>
      <c r="O801" s="1">
        <v>3.4493E10</v>
      </c>
      <c r="P801" s="1">
        <v>3.2671E10</v>
      </c>
      <c r="Q801" s="1">
        <v>-2.52E8</v>
      </c>
      <c r="R801" s="1">
        <v>2.39E9</v>
      </c>
      <c r="S801" s="1">
        <v>2.385E9</v>
      </c>
    </row>
    <row r="802">
      <c r="A802" s="1">
        <v>800.0</v>
      </c>
      <c r="B802" s="3">
        <v>44377.0</v>
      </c>
      <c r="C802" s="1" t="s">
        <v>442</v>
      </c>
      <c r="D802" s="1" t="s">
        <v>443</v>
      </c>
      <c r="E802" s="1">
        <v>1.066E8</v>
      </c>
      <c r="F802" s="1">
        <v>1.45E8</v>
      </c>
      <c r="G802" s="1">
        <v>1.375E8</v>
      </c>
      <c r="H802" s="1">
        <v>3.613E8</v>
      </c>
      <c r="I802" s="1">
        <v>6.142E8</v>
      </c>
      <c r="J802" s="1">
        <v>1.463E8</v>
      </c>
      <c r="K802" s="1">
        <v>1.463E8</v>
      </c>
      <c r="L802" s="1">
        <v>-4500000.0</v>
      </c>
      <c r="M802" s="1">
        <v>7500000.0</v>
      </c>
      <c r="N802" s="1">
        <v>8.011E8</v>
      </c>
      <c r="O802" s="1">
        <v>6.548E8</v>
      </c>
      <c r="P802" s="1">
        <v>1.869E8</v>
      </c>
      <c r="Q802" s="1">
        <v>-1300000.0</v>
      </c>
      <c r="R802" s="1">
        <v>1.375E8</v>
      </c>
      <c r="S802" s="1">
        <v>1.375E8</v>
      </c>
    </row>
    <row r="803">
      <c r="A803" s="1">
        <v>801.0</v>
      </c>
      <c r="B803" s="3">
        <v>44286.0</v>
      </c>
      <c r="C803" s="1" t="s">
        <v>442</v>
      </c>
      <c r="D803" s="1" t="s">
        <v>443</v>
      </c>
      <c r="E803" s="1">
        <v>9.72E7</v>
      </c>
      <c r="F803" s="1">
        <v>1.194E8</v>
      </c>
      <c r="G803" s="1">
        <v>1.072E8</v>
      </c>
      <c r="H803" s="1">
        <v>3.36E8</v>
      </c>
      <c r="I803" s="1">
        <v>5.537E8</v>
      </c>
      <c r="J803" s="1">
        <v>1.205E8</v>
      </c>
      <c r="K803" s="1">
        <v>1.205E8</v>
      </c>
      <c r="L803" s="1">
        <v>-200000.0</v>
      </c>
      <c r="M803" s="1">
        <v>1.22E7</v>
      </c>
      <c r="N803" s="1">
        <v>7.103E8</v>
      </c>
      <c r="O803" s="1">
        <v>5.898E8</v>
      </c>
      <c r="P803" s="1">
        <v>1.566E8</v>
      </c>
      <c r="Q803" s="1">
        <v>-1100000.0</v>
      </c>
      <c r="R803" s="1">
        <v>1.072E8</v>
      </c>
      <c r="S803" s="1">
        <v>1.072E8</v>
      </c>
    </row>
    <row r="804">
      <c r="A804" s="1">
        <v>802.0</v>
      </c>
      <c r="B804" s="3">
        <v>44196.0</v>
      </c>
      <c r="C804" s="1" t="s">
        <v>442</v>
      </c>
      <c r="D804" s="1" t="s">
        <v>443</v>
      </c>
      <c r="E804" s="1">
        <v>8.9E7</v>
      </c>
      <c r="F804" s="1">
        <v>1.717E8</v>
      </c>
      <c r="G804" s="1">
        <v>1.467E8</v>
      </c>
      <c r="H804" s="1">
        <v>3.238E8</v>
      </c>
      <c r="I804" s="1">
        <v>5.81E8</v>
      </c>
      <c r="J804" s="1">
        <v>1.682E8</v>
      </c>
      <c r="K804" s="1">
        <v>1.682E8</v>
      </c>
      <c r="L804" s="1">
        <v>-200000.0</v>
      </c>
      <c r="M804" s="1">
        <v>2.5E7</v>
      </c>
      <c r="N804" s="1">
        <v>7.48E8</v>
      </c>
      <c r="O804" s="1">
        <v>5.798E8</v>
      </c>
      <c r="P804" s="1">
        <v>1.67E8</v>
      </c>
      <c r="Q804" s="1">
        <v>3500000.0</v>
      </c>
      <c r="R804" s="1">
        <v>1.467E8</v>
      </c>
      <c r="S804" s="1">
        <v>1.467E8</v>
      </c>
    </row>
    <row r="805">
      <c r="A805" s="1">
        <v>803.0</v>
      </c>
      <c r="B805" s="3">
        <v>44104.0</v>
      </c>
      <c r="C805" s="1" t="s">
        <v>442</v>
      </c>
      <c r="D805" s="1" t="s">
        <v>443</v>
      </c>
      <c r="E805" s="1">
        <v>9.0E7</v>
      </c>
      <c r="F805" s="1">
        <v>1.284E8</v>
      </c>
      <c r="G805" s="1">
        <v>1.234E8</v>
      </c>
      <c r="H805" s="1">
        <v>2.961E8</v>
      </c>
      <c r="I805" s="1">
        <v>5.119E8</v>
      </c>
      <c r="J805" s="1">
        <v>1.258E8</v>
      </c>
      <c r="K805" s="1">
        <v>1.258E8</v>
      </c>
      <c r="L805" s="1">
        <v>-200000.0</v>
      </c>
      <c r="M805" s="1">
        <v>5000000.0</v>
      </c>
      <c r="N805" s="1">
        <v>6.511E8</v>
      </c>
      <c r="O805" s="1">
        <v>5.253E8</v>
      </c>
      <c r="P805" s="1">
        <v>1.392E8</v>
      </c>
      <c r="Q805" s="1">
        <v>2600000.0</v>
      </c>
      <c r="R805" s="1">
        <v>1.234E8</v>
      </c>
      <c r="S805" s="1">
        <v>1.234E8</v>
      </c>
    </row>
    <row r="806">
      <c r="A806" s="1">
        <v>804.0</v>
      </c>
      <c r="B806" s="3">
        <v>44379.0</v>
      </c>
      <c r="C806" s="1" t="s">
        <v>444</v>
      </c>
      <c r="D806" s="1" t="s">
        <v>445</v>
      </c>
      <c r="E806" s="1">
        <v>8.78E7</v>
      </c>
      <c r="F806" s="1">
        <v>2.075E8</v>
      </c>
      <c r="G806" s="1">
        <v>1.809E8</v>
      </c>
      <c r="H806" s="1">
        <v>4.571E8</v>
      </c>
      <c r="I806" s="1">
        <v>7.555E8</v>
      </c>
      <c r="J806" s="1">
        <v>2.106E8</v>
      </c>
      <c r="K806" s="1">
        <v>2.106E8</v>
      </c>
      <c r="L806" s="1">
        <v>-2.52E7</v>
      </c>
      <c r="M806" s="1">
        <v>2.55E7</v>
      </c>
      <c r="N806" s="1">
        <v>1.3197E9</v>
      </c>
      <c r="O806" s="1">
        <v>1.1091E9</v>
      </c>
      <c r="P806" s="1">
        <v>5.642E8</v>
      </c>
      <c r="Q806" s="1">
        <v>-3100000.0</v>
      </c>
      <c r="R806" s="1">
        <v>1.82E8</v>
      </c>
      <c r="S806" s="1">
        <v>1.637E8</v>
      </c>
    </row>
    <row r="807">
      <c r="A807" s="1">
        <v>805.0</v>
      </c>
      <c r="B807" s="3">
        <v>44288.0</v>
      </c>
      <c r="C807" s="1" t="s">
        <v>444</v>
      </c>
      <c r="D807" s="1" t="s">
        <v>445</v>
      </c>
      <c r="E807" s="1">
        <v>8.62E7</v>
      </c>
      <c r="F807" s="1">
        <v>1.187E8</v>
      </c>
      <c r="G807" s="1">
        <v>1.102E8</v>
      </c>
      <c r="H807" s="1">
        <v>4.289E8</v>
      </c>
      <c r="I807" s="1">
        <v>7.119E8</v>
      </c>
      <c r="J807" s="1">
        <v>1.968E8</v>
      </c>
      <c r="K807" s="1">
        <v>1.968E8</v>
      </c>
      <c r="L807" s="1">
        <v>-2.77E7</v>
      </c>
      <c r="M807" s="1">
        <v>7000000.0</v>
      </c>
      <c r="N807" s="1">
        <v>1.2592E9</v>
      </c>
      <c r="O807" s="1">
        <v>1.0624E9</v>
      </c>
      <c r="P807" s="1">
        <v>5.473E8</v>
      </c>
      <c r="Q807" s="1">
        <v>-7.81E7</v>
      </c>
      <c r="R807" s="1">
        <v>1.117E8</v>
      </c>
      <c r="S807" s="1">
        <v>9.29E7</v>
      </c>
    </row>
    <row r="808">
      <c r="A808" s="1">
        <v>806.0</v>
      </c>
      <c r="B808" s="3">
        <v>44196.0</v>
      </c>
      <c r="C808" s="1" t="s">
        <v>444</v>
      </c>
      <c r="D808" s="1" t="s">
        <v>445</v>
      </c>
      <c r="E808" s="1">
        <v>-1.03E7</v>
      </c>
      <c r="F808" s="1">
        <v>1.018E9</v>
      </c>
      <c r="G808" s="1">
        <v>1.2156E9</v>
      </c>
      <c r="H808" s="1">
        <v>2.36E7</v>
      </c>
      <c r="I808" s="1">
        <v>-5.68E7</v>
      </c>
      <c r="J808" s="1">
        <v>-7.01E7</v>
      </c>
      <c r="K808" s="1">
        <v>-7.01E7</v>
      </c>
      <c r="L808" s="1">
        <v>-1.78E7</v>
      </c>
      <c r="M808" s="1">
        <v>-3.58E7</v>
      </c>
      <c r="N808" s="1">
        <v>-5.526E8</v>
      </c>
      <c r="O808" s="1">
        <v>-4.825E8</v>
      </c>
      <c r="P808" s="1">
        <v>-4.958E8</v>
      </c>
      <c r="Q808" s="1">
        <v>1.0881E9</v>
      </c>
      <c r="R808" s="1">
        <v>1.0538E9</v>
      </c>
      <c r="S808" s="1">
        <v>1.1984E9</v>
      </c>
    </row>
    <row r="809">
      <c r="A809" s="1">
        <v>807.0</v>
      </c>
      <c r="B809" s="3">
        <v>44099.0</v>
      </c>
      <c r="C809" s="1" t="s">
        <v>444</v>
      </c>
      <c r="D809" s="1" t="s">
        <v>445</v>
      </c>
      <c r="E809" s="1">
        <v>1.107E8</v>
      </c>
      <c r="F809" s="1">
        <v>2.651E8</v>
      </c>
      <c r="G809" s="1">
        <v>2.258E8</v>
      </c>
      <c r="H809" s="1">
        <v>5.631E8</v>
      </c>
      <c r="I809" s="1">
        <v>9.834E8</v>
      </c>
      <c r="J809" s="1">
        <v>3.096E8</v>
      </c>
      <c r="K809" s="1">
        <v>3.096E8</v>
      </c>
      <c r="L809" s="1">
        <v>-4.39E7</v>
      </c>
      <c r="M809" s="1">
        <v>3.93E7</v>
      </c>
      <c r="N809" s="1">
        <v>1.9023E9</v>
      </c>
      <c r="O809" s="1">
        <v>1.5927E9</v>
      </c>
      <c r="P809" s="1">
        <v>9.189E8</v>
      </c>
      <c r="Q809" s="1">
        <v>-4.45E7</v>
      </c>
      <c r="R809" s="1">
        <v>2.258E8</v>
      </c>
      <c r="S809" s="1">
        <v>2.085E8</v>
      </c>
    </row>
    <row r="810">
      <c r="A810" s="1">
        <v>808.0</v>
      </c>
      <c r="B810" s="3">
        <v>44377.0</v>
      </c>
      <c r="C810" s="1" t="s">
        <v>446</v>
      </c>
      <c r="D810" s="1" t="s">
        <v>447</v>
      </c>
      <c r="F810" s="1">
        <v>2.75E8</v>
      </c>
      <c r="G810" s="1">
        <v>2.172E8</v>
      </c>
      <c r="H810" s="1">
        <v>3.946E8</v>
      </c>
      <c r="I810" s="1">
        <v>7.058E8</v>
      </c>
      <c r="J810" s="1">
        <v>2.952E8</v>
      </c>
      <c r="K810" s="1">
        <v>2.952E8</v>
      </c>
      <c r="L810" s="1">
        <v>-2.12E7</v>
      </c>
      <c r="M810" s="1">
        <v>5.78E7</v>
      </c>
      <c r="N810" s="1">
        <v>1.9361E9</v>
      </c>
      <c r="O810" s="1">
        <v>1.6409E9</v>
      </c>
      <c r="P810" s="1">
        <v>1.2303E9</v>
      </c>
      <c r="Q810" s="1">
        <v>-2.02E7</v>
      </c>
      <c r="R810" s="1">
        <v>2.172E8</v>
      </c>
      <c r="S810" s="1">
        <v>2.172E8</v>
      </c>
    </row>
    <row r="811">
      <c r="A811" s="1">
        <v>809.0</v>
      </c>
      <c r="B811" s="3">
        <v>44286.0</v>
      </c>
      <c r="C811" s="1" t="s">
        <v>446</v>
      </c>
      <c r="D811" s="1" t="s">
        <v>447</v>
      </c>
      <c r="F811" s="1">
        <v>2.237E8</v>
      </c>
      <c r="G811" s="1">
        <v>1.778E8</v>
      </c>
      <c r="H811" s="1">
        <v>3.715E8</v>
      </c>
      <c r="I811" s="1">
        <v>6.474E8</v>
      </c>
      <c r="J811" s="1">
        <v>2.593E8</v>
      </c>
      <c r="K811" s="1">
        <v>2.593E8</v>
      </c>
      <c r="L811" s="1">
        <v>-2.14E7</v>
      </c>
      <c r="M811" s="1">
        <v>4.59E7</v>
      </c>
      <c r="N811" s="1">
        <v>1.771E9</v>
      </c>
      <c r="O811" s="1">
        <v>1.5117E9</v>
      </c>
      <c r="P811" s="1">
        <v>1.1236E9</v>
      </c>
      <c r="Q811" s="1">
        <v>-3.56E7</v>
      </c>
      <c r="R811" s="1">
        <v>1.778E8</v>
      </c>
      <c r="S811" s="1">
        <v>1.778E8</v>
      </c>
    </row>
    <row r="812">
      <c r="A812" s="1">
        <v>810.0</v>
      </c>
      <c r="B812" s="3">
        <v>44196.0</v>
      </c>
      <c r="C812" s="1" t="s">
        <v>446</v>
      </c>
      <c r="D812" s="1" t="s">
        <v>447</v>
      </c>
      <c r="F812" s="1">
        <v>2.107E8</v>
      </c>
      <c r="G812" s="1">
        <v>1.636E8</v>
      </c>
      <c r="H812" s="1">
        <v>3.632E8</v>
      </c>
      <c r="I812" s="1">
        <v>6.181E8</v>
      </c>
      <c r="J812" s="1">
        <v>2.44E8</v>
      </c>
      <c r="K812" s="1">
        <v>2.44E8</v>
      </c>
      <c r="L812" s="1">
        <v>-1.95E7</v>
      </c>
      <c r="M812" s="1">
        <v>4.71E7</v>
      </c>
      <c r="N812" s="1">
        <v>1.6597E9</v>
      </c>
      <c r="O812" s="1">
        <v>1.4157E9</v>
      </c>
      <c r="P812" s="1">
        <v>1.0416E9</v>
      </c>
      <c r="Q812" s="1">
        <v>-3.33E7</v>
      </c>
      <c r="R812" s="1">
        <v>1.636E8</v>
      </c>
      <c r="S812" s="1">
        <v>1.636E8</v>
      </c>
    </row>
    <row r="813">
      <c r="A813" s="1">
        <v>811.0</v>
      </c>
      <c r="B813" s="3">
        <v>44104.0</v>
      </c>
      <c r="C813" s="1" t="s">
        <v>446</v>
      </c>
      <c r="D813" s="1" t="s">
        <v>447</v>
      </c>
      <c r="F813" s="1">
        <v>2.198E8</v>
      </c>
      <c r="G813" s="1">
        <v>1.646E8</v>
      </c>
      <c r="H813" s="1">
        <v>3.278E8</v>
      </c>
      <c r="I813" s="1">
        <v>5.806E8</v>
      </c>
      <c r="J813" s="1">
        <v>2.423E8</v>
      </c>
      <c r="K813" s="1">
        <v>2.423E8</v>
      </c>
      <c r="L813" s="1">
        <v>-2.01E7</v>
      </c>
      <c r="M813" s="1">
        <v>5.4E7</v>
      </c>
      <c r="N813" s="1">
        <v>1.6521E9</v>
      </c>
      <c r="O813" s="1">
        <v>1.4098E9</v>
      </c>
      <c r="P813" s="1">
        <v>1.0715E9</v>
      </c>
      <c r="Q813" s="1">
        <v>-2.25E7</v>
      </c>
      <c r="R813" s="1">
        <v>1.658E8</v>
      </c>
      <c r="S813" s="1">
        <v>1.646E8</v>
      </c>
    </row>
    <row r="814">
      <c r="A814" s="1">
        <v>812.0</v>
      </c>
      <c r="B814" s="3">
        <v>44377.0</v>
      </c>
      <c r="C814" s="1" t="s">
        <v>448</v>
      </c>
      <c r="D814" s="1" t="s">
        <v>449</v>
      </c>
      <c r="F814" s="1">
        <v>3.57E8</v>
      </c>
      <c r="G814" s="1">
        <v>2.53E8</v>
      </c>
      <c r="H814" s="1">
        <v>5.4E8</v>
      </c>
      <c r="I814" s="1">
        <v>1.252E9</v>
      </c>
      <c r="J814" s="1">
        <v>6.28E8</v>
      </c>
      <c r="K814" s="1">
        <v>6.28E8</v>
      </c>
      <c r="L814" s="1">
        <v>-9.9E7</v>
      </c>
      <c r="M814" s="1">
        <v>8.5E7</v>
      </c>
      <c r="N814" s="1">
        <v>2.89E9</v>
      </c>
      <c r="O814" s="1">
        <v>2.262E9</v>
      </c>
      <c r="P814" s="1">
        <v>1.638E9</v>
      </c>
      <c r="Q814" s="1">
        <v>-2.71E8</v>
      </c>
      <c r="R814" s="1">
        <v>2.72E8</v>
      </c>
      <c r="S814" s="1">
        <v>2.53E8</v>
      </c>
    </row>
    <row r="815">
      <c r="A815" s="1">
        <v>813.0</v>
      </c>
      <c r="B815" s="3">
        <v>44286.0</v>
      </c>
      <c r="C815" s="1" t="s">
        <v>448</v>
      </c>
      <c r="D815" s="1" t="s">
        <v>449</v>
      </c>
      <c r="F815" s="1">
        <v>7.78E8</v>
      </c>
      <c r="G815" s="1">
        <v>5.67E8</v>
      </c>
      <c r="H815" s="1">
        <v>4.37E8</v>
      </c>
      <c r="I815" s="1">
        <v>1.33E9</v>
      </c>
      <c r="J815" s="1">
        <v>8.15E8</v>
      </c>
      <c r="K815" s="1">
        <v>8.15E8</v>
      </c>
      <c r="L815" s="1">
        <v>-9.8E7</v>
      </c>
      <c r="M815" s="1">
        <v>1.96E8</v>
      </c>
      <c r="N815" s="1">
        <v>3.215E9</v>
      </c>
      <c r="O815" s="1">
        <v>2.4E9</v>
      </c>
      <c r="P815" s="1">
        <v>1.885E9</v>
      </c>
      <c r="Q815" s="1">
        <v>-3.7E7</v>
      </c>
      <c r="R815" s="1">
        <v>5.82E8</v>
      </c>
      <c r="S815" s="1">
        <v>5.67E8</v>
      </c>
    </row>
    <row r="816">
      <c r="A816" s="1">
        <v>814.0</v>
      </c>
      <c r="B816" s="3">
        <v>44196.0</v>
      </c>
      <c r="C816" s="1" t="s">
        <v>448</v>
      </c>
      <c r="D816" s="1" t="s">
        <v>449</v>
      </c>
      <c r="F816" s="1">
        <v>3.04E8</v>
      </c>
      <c r="G816" s="1">
        <v>2.24E8</v>
      </c>
      <c r="H816" s="1">
        <v>4.42E8</v>
      </c>
      <c r="I816" s="1">
        <v>7.41E8</v>
      </c>
      <c r="J816" s="1">
        <v>2.29E8</v>
      </c>
      <c r="K816" s="1">
        <v>2.29E8</v>
      </c>
      <c r="L816" s="1">
        <v>-9.9E7</v>
      </c>
      <c r="M816" s="1">
        <v>7.4E7</v>
      </c>
      <c r="N816" s="1">
        <v>4.087E9</v>
      </c>
      <c r="O816" s="1">
        <v>3.858E9</v>
      </c>
      <c r="P816" s="1">
        <v>3.346E9</v>
      </c>
      <c r="Q816" s="1">
        <v>7.5E7</v>
      </c>
      <c r="R816" s="1">
        <v>2.3E8</v>
      </c>
      <c r="S816" s="1">
        <v>2.24E8</v>
      </c>
    </row>
    <row r="817">
      <c r="A817" s="1">
        <v>815.0</v>
      </c>
      <c r="B817" s="3">
        <v>44104.0</v>
      </c>
      <c r="C817" s="1" t="s">
        <v>448</v>
      </c>
      <c r="D817" s="1" t="s">
        <v>449</v>
      </c>
      <c r="F817" s="1">
        <v>1.479E9</v>
      </c>
      <c r="G817" s="1">
        <v>1.106E9</v>
      </c>
      <c r="H817" s="1">
        <v>3.88E8</v>
      </c>
      <c r="I817" s="1">
        <v>1.549E9</v>
      </c>
      <c r="J817" s="1">
        <v>1.093E9</v>
      </c>
      <c r="K817" s="1">
        <v>1.093E9</v>
      </c>
      <c r="L817" s="1">
        <v>-9.9E7</v>
      </c>
      <c r="M817" s="1">
        <v>3.62E8</v>
      </c>
      <c r="N817" s="1">
        <v>2.717E9</v>
      </c>
      <c r="O817" s="1">
        <v>1.624E9</v>
      </c>
      <c r="P817" s="1">
        <v>1.168E9</v>
      </c>
      <c r="Q817" s="1">
        <v>3.86E8</v>
      </c>
      <c r="R817" s="1">
        <v>1.117E9</v>
      </c>
      <c r="S817" s="1">
        <v>1.106E9</v>
      </c>
    </row>
    <row r="818">
      <c r="A818" s="1">
        <v>816.0</v>
      </c>
      <c r="B818" s="3">
        <v>44377.0</v>
      </c>
      <c r="C818" s="1" t="s">
        <v>450</v>
      </c>
      <c r="D818" s="1" t="s">
        <v>451</v>
      </c>
      <c r="F818" s="1">
        <v>3.57E8</v>
      </c>
      <c r="G818" s="1">
        <v>2.53E8</v>
      </c>
      <c r="H818" s="1">
        <v>5.4E8</v>
      </c>
      <c r="I818" s="1">
        <v>1.252E9</v>
      </c>
      <c r="J818" s="1">
        <v>6.28E8</v>
      </c>
      <c r="K818" s="1">
        <v>6.28E8</v>
      </c>
      <c r="L818" s="1">
        <v>-9.9E7</v>
      </c>
      <c r="M818" s="1">
        <v>8.5E7</v>
      </c>
      <c r="N818" s="1">
        <v>2.89E9</v>
      </c>
      <c r="O818" s="1">
        <v>2.262E9</v>
      </c>
      <c r="P818" s="1">
        <v>1.638E9</v>
      </c>
      <c r="Q818" s="1">
        <v>-2.71E8</v>
      </c>
      <c r="R818" s="1">
        <v>2.72E8</v>
      </c>
      <c r="S818" s="1">
        <v>2.53E8</v>
      </c>
    </row>
    <row r="819">
      <c r="A819" s="1">
        <v>817.0</v>
      </c>
      <c r="B819" s="3">
        <v>44286.0</v>
      </c>
      <c r="C819" s="1" t="s">
        <v>450</v>
      </c>
      <c r="D819" s="1" t="s">
        <v>451</v>
      </c>
      <c r="F819" s="1">
        <v>7.78E8</v>
      </c>
      <c r="G819" s="1">
        <v>5.67E8</v>
      </c>
      <c r="H819" s="1">
        <v>4.37E8</v>
      </c>
      <c r="I819" s="1">
        <v>1.33E9</v>
      </c>
      <c r="J819" s="1">
        <v>8.15E8</v>
      </c>
      <c r="K819" s="1">
        <v>8.15E8</v>
      </c>
      <c r="L819" s="1">
        <v>-9.8E7</v>
      </c>
      <c r="M819" s="1">
        <v>1.96E8</v>
      </c>
      <c r="N819" s="1">
        <v>3.215E9</v>
      </c>
      <c r="O819" s="1">
        <v>2.4E9</v>
      </c>
      <c r="P819" s="1">
        <v>1.885E9</v>
      </c>
      <c r="Q819" s="1">
        <v>-3.7E7</v>
      </c>
      <c r="R819" s="1">
        <v>5.82E8</v>
      </c>
      <c r="S819" s="1">
        <v>5.67E8</v>
      </c>
    </row>
    <row r="820">
      <c r="A820" s="1">
        <v>818.0</v>
      </c>
      <c r="B820" s="3">
        <v>44196.0</v>
      </c>
      <c r="C820" s="1" t="s">
        <v>450</v>
      </c>
      <c r="D820" s="1" t="s">
        <v>451</v>
      </c>
      <c r="F820" s="1">
        <v>3.04E8</v>
      </c>
      <c r="G820" s="1">
        <v>2.24E8</v>
      </c>
      <c r="H820" s="1">
        <v>4.42E8</v>
      </c>
      <c r="I820" s="1">
        <v>7.41E8</v>
      </c>
      <c r="J820" s="1">
        <v>2.29E8</v>
      </c>
      <c r="K820" s="1">
        <v>2.29E8</v>
      </c>
      <c r="L820" s="1">
        <v>-9.9E7</v>
      </c>
      <c r="M820" s="1">
        <v>7.4E7</v>
      </c>
      <c r="N820" s="1">
        <v>4.087E9</v>
      </c>
      <c r="O820" s="1">
        <v>3.858E9</v>
      </c>
      <c r="P820" s="1">
        <v>3.346E9</v>
      </c>
      <c r="Q820" s="1">
        <v>7.5E7</v>
      </c>
      <c r="R820" s="1">
        <v>2.3E8</v>
      </c>
      <c r="S820" s="1">
        <v>2.24E8</v>
      </c>
    </row>
    <row r="821">
      <c r="A821" s="1">
        <v>819.0</v>
      </c>
      <c r="B821" s="3">
        <v>44104.0</v>
      </c>
      <c r="C821" s="1" t="s">
        <v>450</v>
      </c>
      <c r="D821" s="1" t="s">
        <v>451</v>
      </c>
      <c r="F821" s="1">
        <v>1.479E9</v>
      </c>
      <c r="G821" s="1">
        <v>1.106E9</v>
      </c>
      <c r="H821" s="1">
        <v>3.88E8</v>
      </c>
      <c r="I821" s="1">
        <v>1.549E9</v>
      </c>
      <c r="J821" s="1">
        <v>1.093E9</v>
      </c>
      <c r="K821" s="1">
        <v>1.093E9</v>
      </c>
      <c r="L821" s="1">
        <v>-9.9E7</v>
      </c>
      <c r="M821" s="1">
        <v>3.62E8</v>
      </c>
      <c r="N821" s="1">
        <v>2.717E9</v>
      </c>
      <c r="O821" s="1">
        <v>1.624E9</v>
      </c>
      <c r="P821" s="1">
        <v>1.168E9</v>
      </c>
      <c r="Q821" s="1">
        <v>3.86E8</v>
      </c>
      <c r="R821" s="1">
        <v>1.117E9</v>
      </c>
      <c r="S821" s="1">
        <v>1.106E9</v>
      </c>
    </row>
    <row r="822">
      <c r="A822" s="1">
        <v>820.0</v>
      </c>
      <c r="B822" s="3">
        <v>44377.0</v>
      </c>
      <c r="C822" s="1" t="s">
        <v>452</v>
      </c>
      <c r="D822" s="1" t="s">
        <v>453</v>
      </c>
      <c r="F822" s="1">
        <v>5.554E8</v>
      </c>
      <c r="G822" s="1">
        <v>4.384E8</v>
      </c>
      <c r="H822" s="1">
        <v>3.344E8</v>
      </c>
      <c r="I822" s="1">
        <v>9.135E8</v>
      </c>
      <c r="J822" s="1">
        <v>5.211E8</v>
      </c>
      <c r="K822" s="1">
        <v>5.211E8</v>
      </c>
      <c r="L822" s="1">
        <v>-2.57E7</v>
      </c>
      <c r="M822" s="1">
        <v>8.38E7</v>
      </c>
      <c r="N822" s="1">
        <v>2.1729E9</v>
      </c>
      <c r="O822" s="1">
        <v>1.6518E9</v>
      </c>
      <c r="P822" s="1">
        <v>1.2594E9</v>
      </c>
      <c r="Q822" s="1">
        <v>3.43E7</v>
      </c>
      <c r="R822" s="1">
        <v>4.716E8</v>
      </c>
      <c r="S822" s="1">
        <v>4.19E8</v>
      </c>
    </row>
    <row r="823">
      <c r="A823" s="1">
        <v>821.0</v>
      </c>
      <c r="B823" s="3">
        <v>44286.0</v>
      </c>
      <c r="C823" s="1" t="s">
        <v>452</v>
      </c>
      <c r="D823" s="1" t="s">
        <v>453</v>
      </c>
      <c r="F823" s="1">
        <v>6.135E8</v>
      </c>
      <c r="G823" s="1">
        <v>3.818E8</v>
      </c>
      <c r="H823" s="1">
        <v>2.882E8</v>
      </c>
      <c r="I823" s="1">
        <v>8.595E8</v>
      </c>
      <c r="J823" s="1">
        <v>5.134E8</v>
      </c>
      <c r="K823" s="1">
        <v>5.134E8</v>
      </c>
      <c r="L823" s="1">
        <v>-1.59E7</v>
      </c>
      <c r="M823" s="1">
        <v>1.281E8</v>
      </c>
      <c r="N823" s="1">
        <v>2.0765E9</v>
      </c>
      <c r="O823" s="1">
        <v>1.5631E9</v>
      </c>
      <c r="P823" s="1">
        <v>1.217E9</v>
      </c>
      <c r="Q823" s="1">
        <v>1.001E8</v>
      </c>
      <c r="R823" s="1">
        <v>4.854E8</v>
      </c>
      <c r="S823" s="1">
        <v>3.649E8</v>
      </c>
    </row>
    <row r="824">
      <c r="A824" s="1">
        <v>822.0</v>
      </c>
      <c r="B824" s="3">
        <v>44196.0</v>
      </c>
      <c r="C824" s="1" t="s">
        <v>452</v>
      </c>
      <c r="D824" s="1" t="s">
        <v>453</v>
      </c>
      <c r="F824" s="1">
        <v>5.373E8</v>
      </c>
      <c r="G824" s="1">
        <v>3.453E8</v>
      </c>
      <c r="H824" s="1">
        <v>2.849E8</v>
      </c>
      <c r="I824" s="1">
        <v>8.3E8</v>
      </c>
      <c r="J824" s="1">
        <v>4.869E8</v>
      </c>
      <c r="K824" s="1">
        <v>4.869E8</v>
      </c>
      <c r="L824" s="1">
        <v>-2.97E7</v>
      </c>
      <c r="M824" s="1">
        <v>1.425E8</v>
      </c>
      <c r="N824" s="1">
        <v>1.9951E9</v>
      </c>
      <c r="O824" s="1">
        <v>1.5082E9</v>
      </c>
      <c r="P824" s="1">
        <v>1.1651E9</v>
      </c>
      <c r="Q824" s="1">
        <v>5.04E7</v>
      </c>
      <c r="R824" s="1">
        <v>3.948E8</v>
      </c>
      <c r="S824" s="1">
        <v>3.307E8</v>
      </c>
    </row>
    <row r="825">
      <c r="A825" s="1">
        <v>823.0</v>
      </c>
      <c r="B825" s="3">
        <v>44104.0</v>
      </c>
      <c r="C825" s="1" t="s">
        <v>452</v>
      </c>
      <c r="D825" s="1" t="s">
        <v>453</v>
      </c>
      <c r="F825" s="1">
        <v>1.996E8</v>
      </c>
      <c r="G825" s="1">
        <v>7.89E7</v>
      </c>
      <c r="H825" s="1">
        <v>2.319E8</v>
      </c>
      <c r="I825" s="1">
        <v>6.79E8</v>
      </c>
      <c r="J825" s="1">
        <v>4.098E8</v>
      </c>
      <c r="K825" s="1">
        <v>4.098E8</v>
      </c>
      <c r="L825" s="1">
        <v>-1.57E7</v>
      </c>
      <c r="M825" s="1">
        <v>7.31E7</v>
      </c>
      <c r="N825" s="1">
        <v>1.6274E9</v>
      </c>
      <c r="O825" s="1">
        <v>1.2176E9</v>
      </c>
      <c r="P825" s="1">
        <v>9.484E8</v>
      </c>
      <c r="Q825" s="1">
        <v>-2.102E8</v>
      </c>
      <c r="R825" s="1">
        <v>1.265E8</v>
      </c>
      <c r="S825" s="1">
        <v>6.36E7</v>
      </c>
    </row>
    <row r="826">
      <c r="A826" s="1">
        <v>824.0</v>
      </c>
      <c r="B826" s="3">
        <v>44377.0</v>
      </c>
      <c r="C826" s="1" t="s">
        <v>454</v>
      </c>
      <c r="D826" s="1" t="s">
        <v>455</v>
      </c>
      <c r="F826" s="1">
        <v>1.934E9</v>
      </c>
      <c r="G826" s="1">
        <v>1.083E9</v>
      </c>
      <c r="H826" s="1">
        <v>8.7E7</v>
      </c>
      <c r="I826" s="1">
        <v>2.75E9</v>
      </c>
      <c r="J826" s="1">
        <v>2.133E9</v>
      </c>
      <c r="K826" s="1">
        <v>2.133E9</v>
      </c>
      <c r="L826" s="1">
        <v>-1.48E8</v>
      </c>
      <c r="M826" s="1">
        <v>6.03E8</v>
      </c>
      <c r="N826" s="1">
        <v>5.748E9</v>
      </c>
      <c r="O826" s="1">
        <v>3.615E9</v>
      </c>
      <c r="P826" s="1">
        <v>2.998E9</v>
      </c>
      <c r="Q826" s="1">
        <v>-1.99E8</v>
      </c>
      <c r="R826" s="1">
        <v>1.331E9</v>
      </c>
      <c r="S826" s="1">
        <v>1.079E9</v>
      </c>
    </row>
    <row r="827">
      <c r="A827" s="1">
        <v>825.0</v>
      </c>
      <c r="B827" s="3">
        <v>44286.0</v>
      </c>
      <c r="C827" s="1" t="s">
        <v>454</v>
      </c>
      <c r="D827" s="1" t="s">
        <v>455</v>
      </c>
      <c r="F827" s="1">
        <v>1.396E9</v>
      </c>
      <c r="G827" s="1">
        <v>7.18E8</v>
      </c>
      <c r="H827" s="1">
        <v>1.0E8</v>
      </c>
      <c r="I827" s="1">
        <v>2.063E9</v>
      </c>
      <c r="J827" s="1">
        <v>1.532E9</v>
      </c>
      <c r="K827" s="1">
        <v>1.532E9</v>
      </c>
      <c r="L827" s="1">
        <v>-1.45E8</v>
      </c>
      <c r="M827" s="1">
        <v>4.43E8</v>
      </c>
      <c r="N827" s="1">
        <v>4.85E9</v>
      </c>
      <c r="O827" s="1">
        <v>3.318E9</v>
      </c>
      <c r="P827" s="1">
        <v>2.787E9</v>
      </c>
      <c r="Q827" s="1">
        <v>-1.36E8</v>
      </c>
      <c r="R827" s="1">
        <v>9.53E8</v>
      </c>
      <c r="S827" s="1">
        <v>7.18E8</v>
      </c>
    </row>
    <row r="828">
      <c r="A828" s="1">
        <v>826.0</v>
      </c>
      <c r="B828" s="3">
        <v>44196.0</v>
      </c>
      <c r="C828" s="1" t="s">
        <v>454</v>
      </c>
      <c r="D828" s="1" t="s">
        <v>455</v>
      </c>
      <c r="F828" s="1">
        <v>1.469E9</v>
      </c>
      <c r="G828" s="1">
        <v>7.08E8</v>
      </c>
      <c r="H828" s="1">
        <v>1.17E8</v>
      </c>
      <c r="I828" s="1">
        <v>1.864E9</v>
      </c>
      <c r="J828" s="1">
        <v>1.335E9</v>
      </c>
      <c r="K828" s="1">
        <v>1.335E9</v>
      </c>
      <c r="L828" s="1">
        <v>-2.01E8</v>
      </c>
      <c r="M828" s="1">
        <v>6.11E8</v>
      </c>
      <c r="N828" s="1">
        <v>4.495E9</v>
      </c>
      <c r="O828" s="1">
        <v>3.16E9</v>
      </c>
      <c r="P828" s="1">
        <v>2.631E9</v>
      </c>
      <c r="Q828" s="1">
        <v>1.34E8</v>
      </c>
      <c r="R828" s="1">
        <v>8.58E8</v>
      </c>
      <c r="S828" s="1">
        <v>7.08E8</v>
      </c>
    </row>
    <row r="829">
      <c r="A829" s="1">
        <v>827.0</v>
      </c>
      <c r="B829" s="3">
        <v>44104.0</v>
      </c>
      <c r="C829" s="1" t="s">
        <v>454</v>
      </c>
      <c r="D829" s="1" t="s">
        <v>455</v>
      </c>
      <c r="F829" s="1">
        <v>7.29E8</v>
      </c>
      <c r="G829" s="1">
        <v>3.29E8</v>
      </c>
      <c r="H829" s="1">
        <v>7.2E7</v>
      </c>
      <c r="I829" s="1">
        <v>1.407E9</v>
      </c>
      <c r="J829" s="1">
        <v>9.16E8</v>
      </c>
      <c r="K829" s="1">
        <v>9.16E8</v>
      </c>
      <c r="L829" s="1">
        <v>-1.2E8</v>
      </c>
      <c r="M829" s="1">
        <v>2.97E8</v>
      </c>
      <c r="N829" s="1">
        <v>3.851E9</v>
      </c>
      <c r="O829" s="1">
        <v>2.935E9</v>
      </c>
      <c r="P829" s="1">
        <v>2.444E9</v>
      </c>
      <c r="Q829" s="1">
        <v>-1.87E8</v>
      </c>
      <c r="R829" s="1">
        <v>4.32E8</v>
      </c>
      <c r="S829" s="1">
        <v>3.26E8</v>
      </c>
    </row>
    <row r="830">
      <c r="A830" s="1">
        <v>828.0</v>
      </c>
      <c r="B830" s="3">
        <v>44408.0</v>
      </c>
      <c r="C830" s="1" t="s">
        <v>456</v>
      </c>
      <c r="D830" s="1" t="s">
        <v>457</v>
      </c>
      <c r="F830" s="1">
        <v>3.59E8</v>
      </c>
      <c r="G830" s="1">
        <v>2.58E8</v>
      </c>
      <c r="H830" s="1">
        <v>1.398E9</v>
      </c>
      <c r="I830" s="1">
        <v>1.823E9</v>
      </c>
      <c r="J830" s="1">
        <v>4.25E8</v>
      </c>
      <c r="K830" s="1">
        <v>4.25E8</v>
      </c>
      <c r="L830" s="1">
        <v>-5.1E7</v>
      </c>
      <c r="M830" s="1">
        <v>1.01E8</v>
      </c>
      <c r="N830" s="1">
        <v>4.211E9</v>
      </c>
      <c r="O830" s="1">
        <v>3.786E9</v>
      </c>
      <c r="P830" s="1">
        <v>2.388E9</v>
      </c>
      <c r="Q830" s="1">
        <v>-6.6E7</v>
      </c>
      <c r="R830" s="1">
        <v>2.58E8</v>
      </c>
      <c r="S830" s="1">
        <v>2.58E8</v>
      </c>
    </row>
    <row r="831">
      <c r="A831" s="1">
        <v>829.0</v>
      </c>
      <c r="B831" s="3">
        <v>44317.0</v>
      </c>
      <c r="C831" s="1" t="s">
        <v>456</v>
      </c>
      <c r="D831" s="1" t="s">
        <v>457</v>
      </c>
      <c r="F831" s="1">
        <v>1.87E8</v>
      </c>
      <c r="G831" s="1">
        <v>1.66E8</v>
      </c>
      <c r="H831" s="1">
        <v>1.329E9</v>
      </c>
      <c r="I831" s="1">
        <v>1.63E9</v>
      </c>
      <c r="J831" s="1">
        <v>3.01E8</v>
      </c>
      <c r="K831" s="1">
        <v>3.01E8</v>
      </c>
      <c r="L831" s="1">
        <v>-5.4E7</v>
      </c>
      <c r="M831" s="1">
        <v>2.1E7</v>
      </c>
      <c r="N831" s="1">
        <v>3.991E9</v>
      </c>
      <c r="O831" s="1">
        <v>3.69E9</v>
      </c>
      <c r="P831" s="1">
        <v>2.361E9</v>
      </c>
      <c r="Q831" s="1">
        <v>-1.14E8</v>
      </c>
      <c r="R831" s="1">
        <v>1.66E8</v>
      </c>
      <c r="S831" s="1">
        <v>1.66E8</v>
      </c>
    </row>
    <row r="832">
      <c r="A832" s="1">
        <v>830.0</v>
      </c>
      <c r="B832" s="3">
        <v>44226.0</v>
      </c>
      <c r="C832" s="1" t="s">
        <v>456</v>
      </c>
      <c r="D832" s="1" t="s">
        <v>457</v>
      </c>
      <c r="E832" s="1">
        <v>4.6E7</v>
      </c>
      <c r="F832" s="1">
        <v>7.7E7</v>
      </c>
      <c r="G832" s="1">
        <v>2.34E8</v>
      </c>
      <c r="H832" s="1">
        <v>2.913E9</v>
      </c>
      <c r="I832" s="1">
        <v>3.043E9</v>
      </c>
      <c r="J832" s="1">
        <v>8.4E7</v>
      </c>
      <c r="K832" s="1">
        <v>8.4E7</v>
      </c>
      <c r="L832" s="1">
        <v>-6.0E7</v>
      </c>
      <c r="M832" s="1">
        <v>-1.57E8</v>
      </c>
      <c r="N832" s="1">
        <v>4.424E9</v>
      </c>
      <c r="O832" s="1">
        <v>4.34E9</v>
      </c>
      <c r="P832" s="1">
        <v>1.381E9</v>
      </c>
      <c r="Q832" s="1">
        <v>-7000000.0</v>
      </c>
      <c r="R832" s="1">
        <v>2.34E8</v>
      </c>
      <c r="S832" s="1">
        <v>2.34E8</v>
      </c>
    </row>
    <row r="833">
      <c r="A833" s="1">
        <v>831.0</v>
      </c>
      <c r="B833" s="3">
        <v>44135.0</v>
      </c>
      <c r="C833" s="1" t="s">
        <v>456</v>
      </c>
      <c r="D833" s="1" t="s">
        <v>457</v>
      </c>
      <c r="E833" s="1">
        <v>4.6E7</v>
      </c>
      <c r="F833" s="1">
        <v>1.21E8</v>
      </c>
      <c r="G833" s="1">
        <v>9.5E7</v>
      </c>
      <c r="H833" s="1">
        <v>1.449E9</v>
      </c>
      <c r="I833" s="1">
        <v>1.62E9</v>
      </c>
      <c r="J833" s="1">
        <v>1.71E8</v>
      </c>
      <c r="K833" s="1">
        <v>1.71E8</v>
      </c>
      <c r="L833" s="1">
        <v>-5.5E7</v>
      </c>
      <c r="M833" s="1">
        <v>2.6E7</v>
      </c>
      <c r="N833" s="1">
        <v>3.994E9</v>
      </c>
      <c r="O833" s="1">
        <v>3.823E9</v>
      </c>
      <c r="P833" s="1">
        <v>2.374E9</v>
      </c>
      <c r="Q833" s="1">
        <v>-5.0E7</v>
      </c>
      <c r="R833" s="1">
        <v>9.5E7</v>
      </c>
      <c r="S833" s="1">
        <v>9.5E7</v>
      </c>
    </row>
    <row r="834">
      <c r="A834" s="1">
        <v>832.0</v>
      </c>
      <c r="B834" s="3">
        <v>44373.0</v>
      </c>
      <c r="C834" s="1" t="s">
        <v>458</v>
      </c>
      <c r="D834" s="1" t="s">
        <v>459</v>
      </c>
      <c r="E834" s="1">
        <v>2.00981E8</v>
      </c>
      <c r="F834" s="1">
        <v>3.72059E8</v>
      </c>
      <c r="G834" s="1">
        <v>3.16997E8</v>
      </c>
      <c r="H834" s="1">
        <v>2.08698E8</v>
      </c>
      <c r="I834" s="1">
        <v>7.80851E8</v>
      </c>
      <c r="J834" s="1">
        <v>3.71172E8</v>
      </c>
      <c r="K834" s="1">
        <v>3.71172E8</v>
      </c>
      <c r="M834" s="1">
        <v>5.5062E7</v>
      </c>
      <c r="N834" s="1">
        <v>1.326905E9</v>
      </c>
      <c r="O834" s="1">
        <v>9.55733E8</v>
      </c>
      <c r="P834" s="1">
        <v>5.46054E8</v>
      </c>
      <c r="Q834" s="1">
        <v>887000.0</v>
      </c>
      <c r="R834" s="1">
        <v>3.16997E8</v>
      </c>
      <c r="S834" s="1">
        <v>3.16997E8</v>
      </c>
    </row>
    <row r="835">
      <c r="A835" s="1">
        <v>833.0</v>
      </c>
      <c r="B835" s="3">
        <v>44282.0</v>
      </c>
      <c r="C835" s="1" t="s">
        <v>458</v>
      </c>
      <c r="D835" s="1" t="s">
        <v>459</v>
      </c>
      <c r="E835" s="1">
        <v>2.03214E8</v>
      </c>
      <c r="F835" s="1">
        <v>2.50514E8</v>
      </c>
      <c r="G835" s="1">
        <v>2.20029E8</v>
      </c>
      <c r="H835" s="1">
        <v>1.88683E8</v>
      </c>
      <c r="I835" s="1">
        <v>6.41556E8</v>
      </c>
      <c r="J835" s="1">
        <v>2.49659E8</v>
      </c>
      <c r="K835" s="1">
        <v>2.49659E8</v>
      </c>
      <c r="M835" s="1">
        <v>3.0485E7</v>
      </c>
      <c r="N835" s="1">
        <v>1.072327E9</v>
      </c>
      <c r="O835" s="1">
        <v>8.22668E8</v>
      </c>
      <c r="P835" s="1">
        <v>4.30771E8</v>
      </c>
      <c r="Q835" s="1">
        <v>855000.0</v>
      </c>
      <c r="R835" s="1">
        <v>2.20029E8</v>
      </c>
      <c r="S835" s="1">
        <v>2.20029E8</v>
      </c>
    </row>
    <row r="836">
      <c r="A836" s="1">
        <v>834.0</v>
      </c>
      <c r="B836" s="3">
        <v>44191.0</v>
      </c>
      <c r="C836" s="1" t="s">
        <v>458</v>
      </c>
      <c r="D836" s="1" t="s">
        <v>459</v>
      </c>
      <c r="E836" s="1">
        <v>1.99672E8</v>
      </c>
      <c r="F836" s="1">
        <v>3.91466E8</v>
      </c>
      <c r="G836" s="1">
        <v>3.33548E8</v>
      </c>
      <c r="H836" s="1">
        <v>2.20045E8</v>
      </c>
      <c r="I836" s="1">
        <v>7.90984E8</v>
      </c>
      <c r="J836" s="1">
        <v>3.71267E8</v>
      </c>
      <c r="K836" s="1">
        <v>3.71267E8</v>
      </c>
      <c r="M836" s="1">
        <v>5.7918E7</v>
      </c>
      <c r="N836" s="1">
        <v>1.351405E9</v>
      </c>
      <c r="O836" s="1">
        <v>9.80138E8</v>
      </c>
      <c r="P836" s="1">
        <v>5.60421E8</v>
      </c>
      <c r="Q836" s="1">
        <v>2.0199E7</v>
      </c>
      <c r="R836" s="1">
        <v>3.33548E8</v>
      </c>
      <c r="S836" s="1">
        <v>3.33548E8</v>
      </c>
    </row>
    <row r="837">
      <c r="A837" s="1">
        <v>835.0</v>
      </c>
      <c r="B837" s="3">
        <v>44100.0</v>
      </c>
      <c r="C837" s="1" t="s">
        <v>458</v>
      </c>
      <c r="D837" s="1" t="s">
        <v>459</v>
      </c>
      <c r="E837" s="1">
        <v>1.74882E8</v>
      </c>
      <c r="F837" s="1">
        <v>3.36717E8</v>
      </c>
      <c r="G837" s="1">
        <v>3.13417E8</v>
      </c>
      <c r="H837" s="1">
        <v>1.76E8</v>
      </c>
      <c r="I837" s="1">
        <v>6.67983E8</v>
      </c>
      <c r="J837" s="1">
        <v>3.17101E8</v>
      </c>
      <c r="K837" s="1">
        <v>3.17101E8</v>
      </c>
      <c r="M837" s="1">
        <v>2.33E7</v>
      </c>
      <c r="N837" s="1">
        <v>1.109194E9</v>
      </c>
      <c r="O837" s="1">
        <v>7.92093E8</v>
      </c>
      <c r="P837" s="1">
        <v>4.41211E8</v>
      </c>
      <c r="Q837" s="1">
        <v>1.9616E7</v>
      </c>
      <c r="R837" s="1">
        <v>3.13417E8</v>
      </c>
      <c r="S837" s="1">
        <v>3.13417E8</v>
      </c>
    </row>
    <row r="838">
      <c r="A838" s="1">
        <v>836.0</v>
      </c>
      <c r="B838" s="3">
        <v>44377.0</v>
      </c>
      <c r="C838" s="1" t="s">
        <v>460</v>
      </c>
      <c r="D838" s="1" t="s">
        <v>461</v>
      </c>
      <c r="F838" s="1">
        <v>3.79187E8</v>
      </c>
      <c r="G838" s="1">
        <v>2.71236E8</v>
      </c>
      <c r="H838" s="1">
        <v>4.88496E8</v>
      </c>
      <c r="I838" s="1">
        <v>8.16517E8</v>
      </c>
      <c r="J838" s="1">
        <v>2.76016E8</v>
      </c>
      <c r="K838" s="1">
        <v>2.76016E8</v>
      </c>
      <c r="L838" s="1">
        <v>-3.139E7</v>
      </c>
      <c r="M838" s="1">
        <v>1.07951E8</v>
      </c>
      <c r="N838" s="1">
        <v>1.167319E9</v>
      </c>
      <c r="O838" s="1">
        <v>8.91303E8</v>
      </c>
      <c r="P838" s="1">
        <v>3.50802E8</v>
      </c>
      <c r="Q838" s="1">
        <v>1.03171E8</v>
      </c>
      <c r="R838" s="1">
        <v>2.71236E8</v>
      </c>
      <c r="S838" s="1">
        <v>2.71236E8</v>
      </c>
    </row>
    <row r="839">
      <c r="A839" s="1">
        <v>837.0</v>
      </c>
      <c r="B839" s="3">
        <v>44286.0</v>
      </c>
      <c r="C839" s="1" t="s">
        <v>460</v>
      </c>
      <c r="D839" s="1" t="s">
        <v>461</v>
      </c>
      <c r="F839" s="1">
        <v>2.14753E8</v>
      </c>
      <c r="G839" s="1">
        <v>1.641E8</v>
      </c>
      <c r="H839" s="1">
        <v>4.80755E8</v>
      </c>
      <c r="I839" s="1">
        <v>7.69571E8</v>
      </c>
      <c r="J839" s="1">
        <v>2.32552E8</v>
      </c>
      <c r="K839" s="1">
        <v>2.32552E8</v>
      </c>
      <c r="L839" s="1">
        <v>-1.0349E7</v>
      </c>
      <c r="M839" s="1">
        <v>5.0653E7</v>
      </c>
      <c r="N839" s="1">
        <v>1.104038E9</v>
      </c>
      <c r="O839" s="1">
        <v>8.71486E8</v>
      </c>
      <c r="P839" s="1">
        <v>3.34467E8</v>
      </c>
      <c r="Q839" s="1">
        <v>-1.7799E7</v>
      </c>
      <c r="R839" s="1">
        <v>1.641E8</v>
      </c>
      <c r="S839" s="1">
        <v>1.641E8</v>
      </c>
    </row>
    <row r="840">
      <c r="A840" s="1">
        <v>838.0</v>
      </c>
      <c r="B840" s="3">
        <v>44196.0</v>
      </c>
      <c r="C840" s="1" t="s">
        <v>460</v>
      </c>
      <c r="D840" s="1" t="s">
        <v>461</v>
      </c>
      <c r="F840" s="1">
        <v>1.56155E8</v>
      </c>
      <c r="G840" s="1">
        <v>1.19607E8</v>
      </c>
      <c r="H840" s="1">
        <v>5.23375E8</v>
      </c>
      <c r="I840" s="1">
        <v>7.61331E8</v>
      </c>
      <c r="J840" s="1">
        <v>1.81575E8</v>
      </c>
      <c r="K840" s="1">
        <v>1.81575E8</v>
      </c>
      <c r="L840" s="1">
        <v>-1.8154E7</v>
      </c>
      <c r="M840" s="1">
        <v>3.6548E7</v>
      </c>
      <c r="N840" s="1">
        <v>1.112759E9</v>
      </c>
      <c r="O840" s="1">
        <v>9.31184E8</v>
      </c>
      <c r="P840" s="1">
        <v>3.51428E8</v>
      </c>
      <c r="Q840" s="1">
        <v>-2.542E7</v>
      </c>
      <c r="R840" s="1">
        <v>1.19607E8</v>
      </c>
      <c r="S840" s="1">
        <v>1.19607E8</v>
      </c>
    </row>
    <row r="841">
      <c r="A841" s="1">
        <v>839.0</v>
      </c>
      <c r="B841" s="3">
        <v>44104.0</v>
      </c>
      <c r="C841" s="1" t="s">
        <v>460</v>
      </c>
      <c r="D841" s="1" t="s">
        <v>461</v>
      </c>
      <c r="F841" s="1">
        <v>1.4167E7</v>
      </c>
      <c r="G841" s="1">
        <v>1.6964E7</v>
      </c>
      <c r="H841" s="1">
        <v>5.22708E8</v>
      </c>
      <c r="I841" s="1">
        <v>6.64851E8</v>
      </c>
      <c r="J841" s="1">
        <v>8.8172E7</v>
      </c>
      <c r="K841" s="1">
        <v>8.8172E7</v>
      </c>
      <c r="L841" s="1">
        <v>-3.0538E7</v>
      </c>
      <c r="M841" s="1">
        <v>-2797000.0</v>
      </c>
      <c r="N841" s="1">
        <v>9.94618E8</v>
      </c>
      <c r="O841" s="1">
        <v>9.06446E8</v>
      </c>
      <c r="P841" s="1">
        <v>3.29767E8</v>
      </c>
      <c r="Q841" s="1">
        <v>-7.4005E7</v>
      </c>
      <c r="R841" s="1">
        <v>1.6964E7</v>
      </c>
      <c r="S841" s="1">
        <v>1.6964E7</v>
      </c>
    </row>
    <row r="842">
      <c r="A842" s="1">
        <v>840.0</v>
      </c>
      <c r="B842" s="3">
        <v>44286.0</v>
      </c>
      <c r="C842" s="1" t="s">
        <v>462</v>
      </c>
      <c r="D842" s="1" t="s">
        <v>463</v>
      </c>
      <c r="E842" s="1">
        <v>2.2388E7</v>
      </c>
      <c r="F842" s="1">
        <v>1.85313E8</v>
      </c>
      <c r="G842" s="1">
        <v>1.48993E8</v>
      </c>
      <c r="H842" s="1">
        <v>1.01323E8</v>
      </c>
      <c r="I842" s="1">
        <v>3.21814E8</v>
      </c>
      <c r="J842" s="1">
        <v>1.89124E8</v>
      </c>
      <c r="K842" s="1">
        <v>1.89124E8</v>
      </c>
      <c r="L842" s="1">
        <v>-7723000.0</v>
      </c>
      <c r="M842" s="1">
        <v>3.5368E7</v>
      </c>
      <c r="N842" s="1">
        <v>8.07434E8</v>
      </c>
      <c r="O842" s="1">
        <v>6.1831E8</v>
      </c>
      <c r="P842" s="1">
        <v>4.8562E8</v>
      </c>
      <c r="Q842" s="1">
        <v>-3811000.0</v>
      </c>
      <c r="R842" s="1">
        <v>1.49945E8</v>
      </c>
      <c r="S842" s="1">
        <v>1.49116E8</v>
      </c>
    </row>
    <row r="843">
      <c r="A843" s="1">
        <v>841.0</v>
      </c>
      <c r="B843" s="3">
        <v>44196.0</v>
      </c>
      <c r="C843" s="1" t="s">
        <v>462</v>
      </c>
      <c r="D843" s="1" t="s">
        <v>463</v>
      </c>
      <c r="E843" s="1">
        <v>2.1489E7</v>
      </c>
      <c r="F843" s="1">
        <v>1.63986E8</v>
      </c>
      <c r="G843" s="1">
        <v>1.25001E8</v>
      </c>
      <c r="H843" s="1">
        <v>9.8719E7</v>
      </c>
      <c r="I843" s="1">
        <v>2.99902E8</v>
      </c>
      <c r="J843" s="1">
        <v>1.70754E8</v>
      </c>
      <c r="K843" s="1">
        <v>1.70754E8</v>
      </c>
      <c r="L843" s="1">
        <v>-7910000.0</v>
      </c>
      <c r="M843" s="1">
        <v>3.9006E7</v>
      </c>
      <c r="N843" s="1">
        <v>7.61082E8</v>
      </c>
      <c r="O843" s="1">
        <v>5.90328E8</v>
      </c>
      <c r="P843" s="1">
        <v>4.6118E8</v>
      </c>
      <c r="Q843" s="1">
        <v>-6768000.0</v>
      </c>
      <c r="R843" s="1">
        <v>1.2498E8</v>
      </c>
      <c r="S843" s="1">
        <v>1.26035E8</v>
      </c>
    </row>
    <row r="844">
      <c r="A844" s="1">
        <v>842.0</v>
      </c>
      <c r="B844" s="3">
        <v>44104.0</v>
      </c>
      <c r="C844" s="1" t="s">
        <v>462</v>
      </c>
      <c r="D844" s="1" t="s">
        <v>463</v>
      </c>
      <c r="E844" s="1">
        <v>2.0658E7</v>
      </c>
      <c r="F844" s="1">
        <v>1.47285E8</v>
      </c>
      <c r="G844" s="1">
        <v>1.1497E8</v>
      </c>
      <c r="H844" s="1">
        <v>9.1962E7</v>
      </c>
      <c r="I844" s="1">
        <v>2.76149E8</v>
      </c>
      <c r="J844" s="1">
        <v>1.55637E8</v>
      </c>
      <c r="K844" s="1">
        <v>1.55637E8</v>
      </c>
      <c r="L844" s="1">
        <v>-8096000.0</v>
      </c>
      <c r="M844" s="1">
        <v>3.205E7</v>
      </c>
      <c r="N844" s="1">
        <v>7.01355E8</v>
      </c>
      <c r="O844" s="1">
        <v>5.45718E8</v>
      </c>
      <c r="P844" s="1">
        <v>4.25206E8</v>
      </c>
      <c r="Q844" s="1">
        <v>-8352000.0</v>
      </c>
      <c r="R844" s="1">
        <v>1.15235E8</v>
      </c>
      <c r="S844" s="1">
        <v>1.15781E8</v>
      </c>
    </row>
    <row r="845">
      <c r="A845" s="1">
        <v>843.0</v>
      </c>
      <c r="B845" s="3">
        <v>44012.0</v>
      </c>
      <c r="C845" s="1" t="s">
        <v>462</v>
      </c>
      <c r="D845" s="1" t="s">
        <v>463</v>
      </c>
      <c r="E845" s="1">
        <v>1.9455E7</v>
      </c>
      <c r="F845" s="1">
        <v>8.2065E7</v>
      </c>
      <c r="G845" s="1">
        <v>6.6145E7</v>
      </c>
      <c r="H845" s="1">
        <v>9.2308E7</v>
      </c>
      <c r="I845" s="1">
        <v>2.15301E8</v>
      </c>
      <c r="J845" s="1">
        <v>9.5871E7</v>
      </c>
      <c r="K845" s="1">
        <v>9.5871E7</v>
      </c>
      <c r="L845" s="1">
        <v>-7932000.0</v>
      </c>
      <c r="M845" s="1">
        <v>1.8473E7</v>
      </c>
      <c r="N845" s="1">
        <v>5.46848E8</v>
      </c>
      <c r="O845" s="1">
        <v>4.50977E8</v>
      </c>
      <c r="P845" s="1">
        <v>3.31547E8</v>
      </c>
      <c r="Q845" s="1">
        <v>-1.3806E7</v>
      </c>
      <c r="R845" s="1">
        <v>6.3592E7</v>
      </c>
      <c r="S845" s="1">
        <v>6.4575E7</v>
      </c>
    </row>
    <row r="846">
      <c r="A846" s="1">
        <v>844.0</v>
      </c>
      <c r="B846" s="3">
        <v>44381.0</v>
      </c>
      <c r="C846" s="1" t="s">
        <v>464</v>
      </c>
      <c r="D846" s="1" t="s">
        <v>465</v>
      </c>
      <c r="F846" s="1">
        <v>8.81E8</v>
      </c>
      <c r="G846" s="1">
        <v>7.37E8</v>
      </c>
      <c r="H846" s="1">
        <v>4.75E8</v>
      </c>
      <c r="I846" s="1">
        <v>1.515E9</v>
      </c>
      <c r="J846" s="1">
        <v>1.04E9</v>
      </c>
      <c r="K846" s="1">
        <v>1.04E9</v>
      </c>
      <c r="L846" s="1">
        <v>-1.09E8</v>
      </c>
      <c r="M846" s="1">
        <v>1.44E8</v>
      </c>
      <c r="N846" s="1">
        <v>9.22E9</v>
      </c>
      <c r="O846" s="1">
        <v>8.18E9</v>
      </c>
      <c r="P846" s="1">
        <v>7.705E9</v>
      </c>
      <c r="Q846" s="1">
        <v>-1.59E8</v>
      </c>
      <c r="R846" s="1">
        <v>7.37E8</v>
      </c>
      <c r="S846" s="1">
        <v>7.37E8</v>
      </c>
    </row>
    <row r="847">
      <c r="A847" s="1">
        <v>845.0</v>
      </c>
      <c r="B847" s="3">
        <v>44290.0</v>
      </c>
      <c r="C847" s="1" t="s">
        <v>464</v>
      </c>
      <c r="D847" s="1" t="s">
        <v>465</v>
      </c>
      <c r="F847" s="1">
        <v>8.45E8</v>
      </c>
      <c r="G847" s="1">
        <v>7.08E8</v>
      </c>
      <c r="H847" s="1">
        <v>5.02E8</v>
      </c>
      <c r="I847" s="1">
        <v>1.497E9</v>
      </c>
      <c r="J847" s="1">
        <v>9.95E8</v>
      </c>
      <c r="K847" s="1">
        <v>9.95E8</v>
      </c>
      <c r="L847" s="1">
        <v>-1.23E8</v>
      </c>
      <c r="M847" s="1">
        <v>1.37E8</v>
      </c>
      <c r="N847" s="1">
        <v>9.389E9</v>
      </c>
      <c r="O847" s="1">
        <v>8.394E9</v>
      </c>
      <c r="P847" s="1">
        <v>7.892E9</v>
      </c>
      <c r="Q847" s="1">
        <v>-1.5E8</v>
      </c>
      <c r="R847" s="1">
        <v>7.08E8</v>
      </c>
      <c r="S847" s="1">
        <v>7.08E8</v>
      </c>
    </row>
    <row r="848">
      <c r="A848" s="1">
        <v>846.0</v>
      </c>
      <c r="B848" s="3">
        <v>44196.0</v>
      </c>
      <c r="C848" s="1" t="s">
        <v>464</v>
      </c>
      <c r="D848" s="1" t="s">
        <v>465</v>
      </c>
      <c r="F848" s="1">
        <v>1.185E9</v>
      </c>
      <c r="G848" s="1">
        <v>1.002E9</v>
      </c>
      <c r="H848" s="1">
        <v>6.14E8</v>
      </c>
      <c r="I848" s="1">
        <v>1.85E9</v>
      </c>
      <c r="J848" s="1">
        <v>1.236E9</v>
      </c>
      <c r="K848" s="1">
        <v>1.236E9</v>
      </c>
      <c r="L848" s="1">
        <v>-1.32E8</v>
      </c>
      <c r="M848" s="1">
        <v>1.83E8</v>
      </c>
      <c r="N848" s="1">
        <v>1.0481E10</v>
      </c>
      <c r="O848" s="1">
        <v>9.245E9</v>
      </c>
      <c r="P848" s="1">
        <v>8.631E9</v>
      </c>
      <c r="Q848" s="1">
        <v>-5.1E7</v>
      </c>
      <c r="R848" s="1">
        <v>1.002E9</v>
      </c>
      <c r="S848" s="1">
        <v>1.002E9</v>
      </c>
    </row>
    <row r="849">
      <c r="A849" s="1">
        <v>847.0</v>
      </c>
      <c r="B849" s="3">
        <v>44101.0</v>
      </c>
      <c r="C849" s="1" t="s">
        <v>464</v>
      </c>
      <c r="D849" s="1" t="s">
        <v>465</v>
      </c>
      <c r="F849" s="1">
        <v>9.78E8</v>
      </c>
      <c r="G849" s="1">
        <v>8.34E8</v>
      </c>
      <c r="H849" s="1">
        <v>4.8E8</v>
      </c>
      <c r="I849" s="1">
        <v>1.595E9</v>
      </c>
      <c r="J849" s="1">
        <v>1.115E9</v>
      </c>
      <c r="K849" s="1">
        <v>1.115E9</v>
      </c>
      <c r="L849" s="1">
        <v>-1.18E8</v>
      </c>
      <c r="M849" s="1">
        <v>1.44E8</v>
      </c>
      <c r="N849" s="1">
        <v>9.431E9</v>
      </c>
      <c r="O849" s="1">
        <v>8.316E9</v>
      </c>
      <c r="P849" s="1">
        <v>7.836E9</v>
      </c>
      <c r="Q849" s="1">
        <v>-1.37E8</v>
      </c>
      <c r="R849" s="1">
        <v>8.34E8</v>
      </c>
      <c r="S849" s="1">
        <v>8.34E8</v>
      </c>
    </row>
    <row r="850">
      <c r="A850" s="1">
        <v>848.0</v>
      </c>
      <c r="B850" s="3">
        <v>44377.0</v>
      </c>
      <c r="C850" s="1" t="s">
        <v>466</v>
      </c>
      <c r="D850" s="1" t="s">
        <v>467</v>
      </c>
      <c r="E850" s="1">
        <v>6.04E8</v>
      </c>
      <c r="F850" s="1">
        <v>-1.036E9</v>
      </c>
      <c r="G850" s="1">
        <v>-1.131E9</v>
      </c>
      <c r="H850" s="1">
        <v>2.648E9</v>
      </c>
      <c r="I850" s="1">
        <v>3.239E9</v>
      </c>
      <c r="J850" s="1">
        <v>-1.3E7</v>
      </c>
      <c r="K850" s="1">
        <v>-1.3E7</v>
      </c>
      <c r="L850" s="1">
        <v>-2.61E8</v>
      </c>
      <c r="M850" s="1">
        <v>-4.66E8</v>
      </c>
      <c r="N850" s="1">
        <v>1.8279E10</v>
      </c>
      <c r="O850" s="1">
        <v>1.8292E10</v>
      </c>
      <c r="P850" s="1">
        <v>1.504E10</v>
      </c>
      <c r="Q850" s="1">
        <v>-1.023E9</v>
      </c>
      <c r="R850" s="1">
        <v>-5.7E8</v>
      </c>
      <c r="S850" s="1">
        <v>-1.19E9</v>
      </c>
    </row>
    <row r="851">
      <c r="A851" s="1">
        <v>849.0</v>
      </c>
      <c r="B851" s="3">
        <v>44286.0</v>
      </c>
      <c r="C851" s="1" t="s">
        <v>466</v>
      </c>
      <c r="D851" s="1" t="s">
        <v>467</v>
      </c>
      <c r="E851" s="1">
        <v>5.61E8</v>
      </c>
      <c r="F851" s="1">
        <v>2.36E8</v>
      </c>
      <c r="G851" s="1">
        <v>-2.803E9</v>
      </c>
      <c r="H851" s="1">
        <v>2.659E9</v>
      </c>
      <c r="I851" s="1">
        <v>3.722E9</v>
      </c>
      <c r="J851" s="1">
        <v>5.02E8</v>
      </c>
      <c r="K851" s="1">
        <v>5.02E8</v>
      </c>
      <c r="L851" s="1">
        <v>-2.67E8</v>
      </c>
      <c r="M851" s="1">
        <v>1.41E8</v>
      </c>
      <c r="N851" s="1">
        <v>1.7118E10</v>
      </c>
      <c r="O851" s="1">
        <v>1.6616E10</v>
      </c>
      <c r="P851" s="1">
        <v>1.3396E10</v>
      </c>
      <c r="Q851" s="1">
        <v>-2.66E8</v>
      </c>
      <c r="R851" s="1">
        <v>9.5E7</v>
      </c>
      <c r="S851" s="1">
        <v>-2.873E9</v>
      </c>
    </row>
    <row r="852">
      <c r="A852" s="1">
        <v>850.0</v>
      </c>
      <c r="B852" s="3">
        <v>44196.0</v>
      </c>
      <c r="C852" s="1" t="s">
        <v>466</v>
      </c>
      <c r="D852" s="1" t="s">
        <v>467</v>
      </c>
      <c r="E852" s="1">
        <v>2.565E9</v>
      </c>
      <c r="F852" s="1">
        <v>2.721E9</v>
      </c>
      <c r="G852" s="1">
        <v>2.636E9</v>
      </c>
      <c r="H852" s="1">
        <v>2.571E9</v>
      </c>
      <c r="I852" s="1">
        <v>6.37E9</v>
      </c>
      <c r="J852" s="1">
        <v>1.234E9</v>
      </c>
      <c r="K852" s="1">
        <v>1.234E9</v>
      </c>
      <c r="L852" s="1">
        <v>-2.54E8</v>
      </c>
      <c r="M852" s="1">
        <v>1.63E8</v>
      </c>
      <c r="N852" s="1">
        <v>2.1929E10</v>
      </c>
      <c r="O852" s="1">
        <v>2.0695E10</v>
      </c>
      <c r="P852" s="1">
        <v>1.5559E10</v>
      </c>
      <c r="Q852" s="1">
        <v>1.487E9</v>
      </c>
      <c r="R852" s="1">
        <v>2.558E9</v>
      </c>
      <c r="S852" s="1">
        <v>2.419E9</v>
      </c>
    </row>
    <row r="853">
      <c r="A853" s="1">
        <v>851.0</v>
      </c>
      <c r="B853" s="3">
        <v>44104.0</v>
      </c>
      <c r="C853" s="1" t="s">
        <v>466</v>
      </c>
      <c r="D853" s="1" t="s">
        <v>467</v>
      </c>
      <c r="E853" s="1">
        <v>2.565E9</v>
      </c>
      <c r="F853" s="1">
        <v>-1.661E9</v>
      </c>
      <c r="G853" s="1">
        <v>-1.144E9</v>
      </c>
      <c r="H853" s="1">
        <v>2.918E9</v>
      </c>
      <c r="I853" s="1">
        <v>2.963E9</v>
      </c>
      <c r="J853" s="1">
        <v>4.5E7</v>
      </c>
      <c r="K853" s="1">
        <v>4.5E7</v>
      </c>
      <c r="L853" s="1">
        <v>-3.13E8</v>
      </c>
      <c r="M853" s="1">
        <v>-5.01E8</v>
      </c>
      <c r="N853" s="1">
        <v>1.9417E10</v>
      </c>
      <c r="O853" s="1">
        <v>1.9372E10</v>
      </c>
      <c r="P853" s="1">
        <v>1.6454E10</v>
      </c>
      <c r="Q853" s="1">
        <v>-1.706E9</v>
      </c>
      <c r="R853" s="1">
        <v>-1.16E9</v>
      </c>
      <c r="S853" s="1">
        <v>-1.196E9</v>
      </c>
    </row>
    <row r="854">
      <c r="A854" s="1">
        <v>852.0</v>
      </c>
      <c r="B854" s="3">
        <v>44346.0</v>
      </c>
      <c r="C854" s="1" t="s">
        <v>468</v>
      </c>
      <c r="D854" s="1" t="s">
        <v>469</v>
      </c>
      <c r="F854" s="1">
        <v>5.068E8</v>
      </c>
      <c r="G854" s="1">
        <v>4.168E8</v>
      </c>
      <c r="H854" s="1">
        <v>7.897E8</v>
      </c>
      <c r="I854" s="1">
        <v>1.5835E9</v>
      </c>
      <c r="J854" s="1">
        <v>7.938E8</v>
      </c>
      <c r="K854" s="1">
        <v>7.938E8</v>
      </c>
      <c r="L854" s="1">
        <v>-1.1E8</v>
      </c>
      <c r="M854" s="1">
        <v>1.069E8</v>
      </c>
      <c r="N854" s="1">
        <v>4.5236E9</v>
      </c>
      <c r="O854" s="1">
        <v>3.7298E9</v>
      </c>
      <c r="P854" s="1">
        <v>2.9401E9</v>
      </c>
      <c r="Q854" s="1">
        <v>-2.87E8</v>
      </c>
      <c r="R854" s="1">
        <v>3.999E8</v>
      </c>
      <c r="S854" s="1">
        <v>4.168E8</v>
      </c>
    </row>
    <row r="855">
      <c r="A855" s="1">
        <v>853.0</v>
      </c>
      <c r="B855" s="3">
        <v>44255.0</v>
      </c>
      <c r="C855" s="1" t="s">
        <v>468</v>
      </c>
      <c r="D855" s="1" t="s">
        <v>469</v>
      </c>
      <c r="F855" s="1">
        <v>7.658E8</v>
      </c>
      <c r="G855" s="1">
        <v>5.957E8</v>
      </c>
      <c r="H855" s="1">
        <v>6.829E8</v>
      </c>
      <c r="I855" s="1">
        <v>1.5546E9</v>
      </c>
      <c r="J855" s="1">
        <v>8.717E8</v>
      </c>
      <c r="K855" s="1">
        <v>8.717E8</v>
      </c>
      <c r="L855" s="1">
        <v>-1.06E8</v>
      </c>
      <c r="M855" s="1">
        <v>1.62E8</v>
      </c>
      <c r="N855" s="1">
        <v>4.52E9</v>
      </c>
      <c r="O855" s="1">
        <v>3.6483E9</v>
      </c>
      <c r="P855" s="1">
        <v>2.9654E9</v>
      </c>
      <c r="Q855" s="1">
        <v>-1.059E8</v>
      </c>
      <c r="R855" s="1">
        <v>6.038E8</v>
      </c>
      <c r="S855" s="1">
        <v>5.957E8</v>
      </c>
    </row>
    <row r="856">
      <c r="A856" s="1">
        <v>854.0</v>
      </c>
      <c r="B856" s="3">
        <v>44164.0</v>
      </c>
      <c r="C856" s="1" t="s">
        <v>468</v>
      </c>
      <c r="D856" s="1" t="s">
        <v>469</v>
      </c>
      <c r="F856" s="1">
        <v>8.853E8</v>
      </c>
      <c r="G856" s="1">
        <v>6.884E8</v>
      </c>
      <c r="H856" s="1">
        <v>7.712E8</v>
      </c>
      <c r="I856" s="1">
        <v>1.7216E9</v>
      </c>
      <c r="J856" s="1">
        <v>9.504E8</v>
      </c>
      <c r="K856" s="1">
        <v>9.504E8</v>
      </c>
      <c r="L856" s="1">
        <v>-1.006E8</v>
      </c>
      <c r="M856" s="1">
        <v>1.894E8</v>
      </c>
      <c r="N856" s="1">
        <v>4.7194E9</v>
      </c>
      <c r="O856" s="1">
        <v>3.769E9</v>
      </c>
      <c r="P856" s="1">
        <v>2.9978E9</v>
      </c>
      <c r="Q856" s="1">
        <v>-6.51E7</v>
      </c>
      <c r="R856" s="1">
        <v>6.959E8</v>
      </c>
      <c r="S856" s="1">
        <v>6.884E8</v>
      </c>
    </row>
    <row r="857">
      <c r="A857" s="1">
        <v>855.0</v>
      </c>
      <c r="B857" s="3">
        <v>44073.0</v>
      </c>
      <c r="C857" s="1" t="s">
        <v>468</v>
      </c>
      <c r="D857" s="1" t="s">
        <v>469</v>
      </c>
      <c r="F857" s="1">
        <v>8.172E8</v>
      </c>
      <c r="G857" s="1">
        <v>6.389E8</v>
      </c>
      <c r="H857" s="1">
        <v>7.029E8</v>
      </c>
      <c r="I857" s="1">
        <v>1.5909E9</v>
      </c>
      <c r="J857" s="1">
        <v>8.88E8</v>
      </c>
      <c r="K857" s="1">
        <v>8.88E8</v>
      </c>
      <c r="L857" s="1">
        <v>-1.111E8</v>
      </c>
      <c r="M857" s="1">
        <v>1.708E8</v>
      </c>
      <c r="N857" s="1">
        <v>4.364E9</v>
      </c>
      <c r="O857" s="1">
        <v>3.476E9</v>
      </c>
      <c r="P857" s="1">
        <v>2.7731E9</v>
      </c>
      <c r="Q857" s="1">
        <v>-7.08E7</v>
      </c>
      <c r="R857" s="1">
        <v>6.464E8</v>
      </c>
      <c r="S857" s="1">
        <v>6.389E8</v>
      </c>
    </row>
    <row r="858">
      <c r="A858" s="1">
        <v>856.0</v>
      </c>
      <c r="B858" s="3">
        <v>44377.0</v>
      </c>
      <c r="C858" s="1" t="s">
        <v>470</v>
      </c>
      <c r="D858" s="1" t="s">
        <v>471</v>
      </c>
      <c r="F858" s="1">
        <v>3.75E9</v>
      </c>
      <c r="G858" s="1">
        <v>2.836E9</v>
      </c>
      <c r="H858" s="1">
        <v>1.533E9</v>
      </c>
      <c r="I858" s="1">
        <v>5.057E9</v>
      </c>
      <c r="J858" s="1">
        <v>3.524E9</v>
      </c>
      <c r="K858" s="1">
        <v>3.524E9</v>
      </c>
      <c r="L858" s="1">
        <v>-2.43E8</v>
      </c>
      <c r="M858" s="1">
        <v>9.71E8</v>
      </c>
      <c r="N858" s="1">
        <v>3.4167E10</v>
      </c>
      <c r="O858" s="1">
        <v>3.0643E10</v>
      </c>
      <c r="P858" s="1">
        <v>2.911E10</v>
      </c>
      <c r="Q858" s="1">
        <v>2.26E8</v>
      </c>
      <c r="R858" s="1">
        <v>2.779E9</v>
      </c>
      <c r="S858" s="1">
        <v>2.79E9</v>
      </c>
    </row>
    <row r="859">
      <c r="A859" s="1">
        <v>857.0</v>
      </c>
      <c r="B859" s="3">
        <v>44286.0</v>
      </c>
      <c r="C859" s="1" t="s">
        <v>470</v>
      </c>
      <c r="D859" s="1" t="s">
        <v>471</v>
      </c>
      <c r="F859" s="1">
        <v>4.191E9</v>
      </c>
      <c r="G859" s="1">
        <v>3.022E9</v>
      </c>
      <c r="H859" s="1">
        <v>1.32E9</v>
      </c>
      <c r="I859" s="1">
        <v>5.134E9</v>
      </c>
      <c r="J859" s="1">
        <v>3.814E9</v>
      </c>
      <c r="K859" s="1">
        <v>3.814E9</v>
      </c>
      <c r="L859" s="1">
        <v>-2.5E8</v>
      </c>
      <c r="M859" s="1">
        <v>1.177E9</v>
      </c>
      <c r="N859" s="1">
        <v>3.2474E10</v>
      </c>
      <c r="O859" s="1">
        <v>2.866E10</v>
      </c>
      <c r="P859" s="1">
        <v>2.734E10</v>
      </c>
      <c r="Q859" s="1">
        <v>3.77E8</v>
      </c>
      <c r="R859" s="1">
        <v>3.014E9</v>
      </c>
      <c r="S859" s="1">
        <v>2.976E9</v>
      </c>
    </row>
    <row r="860">
      <c r="A860" s="1">
        <v>858.0</v>
      </c>
      <c r="B860" s="3">
        <v>44196.0</v>
      </c>
      <c r="C860" s="1" t="s">
        <v>470</v>
      </c>
      <c r="D860" s="1" t="s">
        <v>471</v>
      </c>
      <c r="F860" s="1">
        <v>3.439E9</v>
      </c>
      <c r="G860" s="1">
        <v>2.846E9</v>
      </c>
      <c r="H860" s="1">
        <v>2.088E9</v>
      </c>
      <c r="I860" s="1">
        <v>5.014E9</v>
      </c>
      <c r="J860" s="1">
        <v>2.926E9</v>
      </c>
      <c r="K860" s="1">
        <v>2.926E9</v>
      </c>
      <c r="L860" s="1">
        <v>-2.75E8</v>
      </c>
      <c r="M860" s="1">
        <v>6.42E8</v>
      </c>
      <c r="N860" s="1">
        <v>3.7518E10</v>
      </c>
      <c r="O860" s="1">
        <v>3.4592E10</v>
      </c>
      <c r="P860" s="1">
        <v>3.2504E10</v>
      </c>
      <c r="Q860" s="1">
        <v>5.13E8</v>
      </c>
      <c r="R860" s="1">
        <v>2.797E9</v>
      </c>
      <c r="S860" s="1">
        <v>2.801E9</v>
      </c>
    </row>
    <row r="861">
      <c r="A861" s="1">
        <v>859.0</v>
      </c>
      <c r="B861" s="3">
        <v>44104.0</v>
      </c>
      <c r="C861" s="1" t="s">
        <v>470</v>
      </c>
      <c r="D861" s="1" t="s">
        <v>471</v>
      </c>
      <c r="F861" s="1">
        <v>4.905E9</v>
      </c>
      <c r="G861" s="1">
        <v>4.045E9</v>
      </c>
      <c r="H861" s="1">
        <v>1.23E9</v>
      </c>
      <c r="I861" s="1">
        <v>6.098E9</v>
      </c>
      <c r="J861" s="1">
        <v>4.868E9</v>
      </c>
      <c r="K861" s="1">
        <v>4.868E9</v>
      </c>
      <c r="L861" s="1">
        <v>-3.27E8</v>
      </c>
      <c r="M861" s="1">
        <v>8.87E8</v>
      </c>
      <c r="N861" s="1">
        <v>3.548E10</v>
      </c>
      <c r="O861" s="1">
        <v>3.0612E10</v>
      </c>
      <c r="P861" s="1">
        <v>2.9382E10</v>
      </c>
      <c r="Q861" s="1">
        <v>3.7E7</v>
      </c>
      <c r="R861" s="1">
        <v>4.018E9</v>
      </c>
      <c r="S861" s="1">
        <v>4.005E9</v>
      </c>
    </row>
    <row r="862">
      <c r="A862" s="1">
        <v>860.0</v>
      </c>
      <c r="B862" s="3">
        <v>44377.0</v>
      </c>
      <c r="C862" s="1" t="s">
        <v>472</v>
      </c>
      <c r="D862" s="1" t="s">
        <v>473</v>
      </c>
      <c r="F862" s="1">
        <v>2.69607E8</v>
      </c>
      <c r="G862" s="1">
        <v>1.96496E8</v>
      </c>
      <c r="H862" s="1">
        <v>1.263673E9</v>
      </c>
      <c r="I862" s="1">
        <v>1.689105E9</v>
      </c>
      <c r="J862" s="1">
        <v>3.46435E8</v>
      </c>
      <c r="K862" s="1">
        <v>3.46435E8</v>
      </c>
      <c r="L862" s="1">
        <v>-1.6107E7</v>
      </c>
      <c r="M862" s="1">
        <v>7.3111E7</v>
      </c>
      <c r="N862" s="1">
        <v>4.783738E9</v>
      </c>
      <c r="O862" s="1">
        <v>4.437303E9</v>
      </c>
      <c r="P862" s="1">
        <v>3.094633E9</v>
      </c>
      <c r="Q862" s="1">
        <v>-7.6828E7</v>
      </c>
      <c r="R862" s="1">
        <v>1.96496E8</v>
      </c>
      <c r="S862" s="1">
        <v>1.96496E8</v>
      </c>
    </row>
    <row r="863">
      <c r="A863" s="1">
        <v>861.0</v>
      </c>
      <c r="B863" s="3">
        <v>44286.0</v>
      </c>
      <c r="C863" s="1" t="s">
        <v>472</v>
      </c>
      <c r="D863" s="1" t="s">
        <v>473</v>
      </c>
      <c r="F863" s="1">
        <v>2.85859E8</v>
      </c>
      <c r="G863" s="1">
        <v>2.1771E8</v>
      </c>
      <c r="H863" s="1">
        <v>1.186966E9</v>
      </c>
      <c r="I863" s="1">
        <v>1.540815E9</v>
      </c>
      <c r="J863" s="1">
        <v>2.76644E8</v>
      </c>
      <c r="K863" s="1">
        <v>2.76644E8</v>
      </c>
      <c r="L863" s="1">
        <v>-1.9062E7</v>
      </c>
      <c r="M863" s="1">
        <v>6.8149E7</v>
      </c>
      <c r="N863" s="1">
        <v>4.464714E9</v>
      </c>
      <c r="O863" s="1">
        <v>4.18807E9</v>
      </c>
      <c r="P863" s="1">
        <v>2.923899E9</v>
      </c>
      <c r="Q863" s="1">
        <v>9215000.0</v>
      </c>
      <c r="R863" s="1">
        <v>2.1771E8</v>
      </c>
      <c r="S863" s="1">
        <v>2.1771E8</v>
      </c>
    </row>
    <row r="864">
      <c r="A864" s="1">
        <v>862.0</v>
      </c>
      <c r="B864" s="3">
        <v>44196.0</v>
      </c>
      <c r="C864" s="1" t="s">
        <v>472</v>
      </c>
      <c r="D864" s="1" t="s">
        <v>473</v>
      </c>
      <c r="F864" s="1">
        <v>2.25546E8</v>
      </c>
      <c r="G864" s="1">
        <v>1.71204E8</v>
      </c>
      <c r="H864" s="1">
        <v>1.121115E9</v>
      </c>
      <c r="I864" s="1">
        <v>1.44811E9</v>
      </c>
      <c r="J864" s="1">
        <v>2.57112E8</v>
      </c>
      <c r="K864" s="1">
        <v>2.57112E8</v>
      </c>
      <c r="L864" s="1">
        <v>-2.1495E7</v>
      </c>
      <c r="M864" s="1">
        <v>5.3914E7</v>
      </c>
      <c r="N864" s="1">
        <v>4.251594E9</v>
      </c>
      <c r="O864" s="1">
        <v>3.994482E9</v>
      </c>
      <c r="P864" s="1">
        <v>2.803484E9</v>
      </c>
      <c r="Q864" s="1">
        <v>-3.1566E7</v>
      </c>
      <c r="R864" s="1">
        <v>1.71632E8</v>
      </c>
      <c r="S864" s="1">
        <v>1.71204E8</v>
      </c>
    </row>
    <row r="865">
      <c r="A865" s="1">
        <v>863.0</v>
      </c>
      <c r="B865" s="3">
        <v>44104.0</v>
      </c>
      <c r="C865" s="1" t="s">
        <v>472</v>
      </c>
      <c r="D865" s="1" t="s">
        <v>473</v>
      </c>
      <c r="F865" s="1">
        <v>2.97665E8</v>
      </c>
      <c r="G865" s="1">
        <v>2.27531E8</v>
      </c>
      <c r="H865" s="1">
        <v>1.133851E9</v>
      </c>
      <c r="I865" s="1">
        <v>1.528066E9</v>
      </c>
      <c r="J865" s="1">
        <v>3.19485E8</v>
      </c>
      <c r="K865" s="1">
        <v>3.19485E8</v>
      </c>
      <c r="L865" s="1">
        <v>-2.5788E7</v>
      </c>
      <c r="M865" s="1">
        <v>6.4747E7</v>
      </c>
      <c r="N865" s="1">
        <v>4.370086E9</v>
      </c>
      <c r="O865" s="1">
        <v>4.050601E9</v>
      </c>
      <c r="P865" s="1">
        <v>2.84202E9</v>
      </c>
      <c r="Q865" s="1">
        <v>-2.182E7</v>
      </c>
      <c r="R865" s="1">
        <v>2.32918E8</v>
      </c>
      <c r="S865" s="1">
        <v>2.27531E8</v>
      </c>
    </row>
    <row r="866">
      <c r="A866" s="1">
        <v>864.0</v>
      </c>
      <c r="B866" s="3">
        <v>44377.0</v>
      </c>
      <c r="C866" s="1" t="s">
        <v>474</v>
      </c>
      <c r="D866" s="1" t="s">
        <v>475</v>
      </c>
      <c r="E866" s="1">
        <v>1.134E9</v>
      </c>
      <c r="F866" s="1">
        <v>1.817E9</v>
      </c>
      <c r="G866" s="1">
        <v>1.522E9</v>
      </c>
      <c r="H866" s="1">
        <v>1.351E9</v>
      </c>
      <c r="I866" s="1">
        <v>4.827E9</v>
      </c>
      <c r="J866" s="1">
        <v>2.342E9</v>
      </c>
      <c r="K866" s="1">
        <v>2.342E9</v>
      </c>
      <c r="L866" s="1">
        <v>-2.56E8</v>
      </c>
      <c r="M866" s="1">
        <v>3.0E8</v>
      </c>
      <c r="N866" s="1">
        <v>6.217E9</v>
      </c>
      <c r="O866" s="1">
        <v>3.875E9</v>
      </c>
      <c r="P866" s="1">
        <v>1.39E9</v>
      </c>
      <c r="Q866" s="1">
        <v>-5.25E8</v>
      </c>
      <c r="R866" s="1">
        <v>1.517E9</v>
      </c>
      <c r="S866" s="1">
        <v>1.522E9</v>
      </c>
    </row>
    <row r="867">
      <c r="A867" s="1">
        <v>865.0</v>
      </c>
      <c r="B867" s="3">
        <v>44286.0</v>
      </c>
      <c r="C867" s="1" t="s">
        <v>474</v>
      </c>
      <c r="D867" s="1" t="s">
        <v>475</v>
      </c>
      <c r="E867" s="1">
        <v>1.055E9</v>
      </c>
      <c r="F867" s="1">
        <v>2.264E9</v>
      </c>
      <c r="G867" s="1">
        <v>1.729E9</v>
      </c>
      <c r="H867" s="1">
        <v>1.044E9</v>
      </c>
      <c r="I867" s="1">
        <v>5.062E9</v>
      </c>
      <c r="J867" s="1">
        <v>2.963E9</v>
      </c>
      <c r="K867" s="1">
        <v>2.963E9</v>
      </c>
      <c r="L867" s="1">
        <v>-2.57E8</v>
      </c>
      <c r="M867" s="1">
        <v>5.42E8</v>
      </c>
      <c r="N867" s="1">
        <v>6.423E9</v>
      </c>
      <c r="O867" s="1">
        <v>3.46E9</v>
      </c>
      <c r="P867" s="1">
        <v>1.361E9</v>
      </c>
      <c r="Q867" s="1">
        <v>-6.99E8</v>
      </c>
      <c r="R867" s="1">
        <v>1.722E9</v>
      </c>
      <c r="S867" s="1">
        <v>1.729E9</v>
      </c>
    </row>
    <row r="868">
      <c r="A868" s="1">
        <v>866.0</v>
      </c>
      <c r="B868" s="3">
        <v>44196.0</v>
      </c>
      <c r="C868" s="1" t="s">
        <v>474</v>
      </c>
      <c r="D868" s="1" t="s">
        <v>475</v>
      </c>
      <c r="E868" s="1">
        <v>1.412E9</v>
      </c>
      <c r="F868" s="1">
        <v>1.814E9</v>
      </c>
      <c r="G868" s="1">
        <v>1.551E9</v>
      </c>
      <c r="H868" s="1">
        <v>1.576E9</v>
      </c>
      <c r="I868" s="1">
        <v>6.904E9</v>
      </c>
      <c r="J868" s="1">
        <v>3.916E9</v>
      </c>
      <c r="K868" s="1">
        <v>3.916E9</v>
      </c>
      <c r="L868" s="1">
        <v>-2.67E8</v>
      </c>
      <c r="M868" s="1">
        <v>2.7E8</v>
      </c>
      <c r="N868" s="1">
        <v>7.421E9</v>
      </c>
      <c r="O868" s="1">
        <v>3.505E9</v>
      </c>
      <c r="P868" s="1">
        <v>5.17E8</v>
      </c>
      <c r="Q868" s="1">
        <v>-2.102E9</v>
      </c>
      <c r="R868" s="1">
        <v>1.544E9</v>
      </c>
      <c r="S868" s="1">
        <v>1.551E9</v>
      </c>
    </row>
    <row r="869">
      <c r="A869" s="1">
        <v>867.0</v>
      </c>
      <c r="B869" s="3">
        <v>44104.0</v>
      </c>
      <c r="C869" s="1" t="s">
        <v>474</v>
      </c>
      <c r="D869" s="1" t="s">
        <v>475</v>
      </c>
      <c r="E869" s="1">
        <v>1.158E9</v>
      </c>
      <c r="F869" s="1">
        <v>8.25E8</v>
      </c>
      <c r="G869" s="1">
        <v>3.6E8</v>
      </c>
      <c r="H869" s="1">
        <v>1.106E9</v>
      </c>
      <c r="I869" s="1">
        <v>5.436E9</v>
      </c>
      <c r="J869" s="1">
        <v>3.172E9</v>
      </c>
      <c r="K869" s="1">
        <v>3.172E9</v>
      </c>
      <c r="L869" s="1">
        <v>-2.36E8</v>
      </c>
      <c r="M869" s="1">
        <v>4.72E8</v>
      </c>
      <c r="N869" s="1">
        <v>6.577E9</v>
      </c>
      <c r="O869" s="1">
        <v>3.405E9</v>
      </c>
      <c r="P869" s="1">
        <v>1.141E9</v>
      </c>
      <c r="Q869" s="1">
        <v>-2.347E9</v>
      </c>
      <c r="R869" s="1">
        <v>3.53E8</v>
      </c>
      <c r="S869" s="1">
        <v>3.6E8</v>
      </c>
    </row>
    <row r="870">
      <c r="A870" s="1">
        <v>868.0</v>
      </c>
      <c r="B870" s="3">
        <v>44377.0</v>
      </c>
      <c r="C870" s="1" t="s">
        <v>476</v>
      </c>
      <c r="D870" s="1" t="s">
        <v>477</v>
      </c>
      <c r="F870" s="1">
        <v>3.27621E8</v>
      </c>
      <c r="G870" s="1">
        <v>2.6359E8</v>
      </c>
      <c r="H870" s="1">
        <v>7.60269E8</v>
      </c>
      <c r="I870" s="1">
        <v>1.201127E9</v>
      </c>
      <c r="J870" s="1">
        <v>4.40858E8</v>
      </c>
      <c r="K870" s="1">
        <v>4.40858E8</v>
      </c>
      <c r="L870" s="1">
        <v>-7.9E7</v>
      </c>
      <c r="M870" s="1">
        <v>6.0808E7</v>
      </c>
      <c r="N870" s="1">
        <v>2.137437E9</v>
      </c>
      <c r="O870" s="1">
        <v>1.696579E9</v>
      </c>
      <c r="P870" s="1">
        <v>9.3631E8</v>
      </c>
      <c r="Q870" s="1">
        <v>-1.13237E8</v>
      </c>
      <c r="R870" s="1">
        <v>2.66813E8</v>
      </c>
      <c r="S870" s="1">
        <v>2.6359E8</v>
      </c>
    </row>
    <row r="871">
      <c r="A871" s="1">
        <v>869.0</v>
      </c>
      <c r="B871" s="3">
        <v>44286.0</v>
      </c>
      <c r="C871" s="1" t="s">
        <v>476</v>
      </c>
      <c r="D871" s="1" t="s">
        <v>477</v>
      </c>
      <c r="F871" s="1">
        <v>2.19085E8</v>
      </c>
      <c r="G871" s="1">
        <v>1.96681E8</v>
      </c>
      <c r="H871" s="1">
        <v>6.97702E8</v>
      </c>
      <c r="I871" s="1">
        <v>1.064761E9</v>
      </c>
      <c r="J871" s="1">
        <v>3.67059E8</v>
      </c>
      <c r="K871" s="1">
        <v>3.67059E8</v>
      </c>
      <c r="L871" s="1">
        <v>-8.12E7</v>
      </c>
      <c r="M871" s="1">
        <v>2.0675E7</v>
      </c>
      <c r="N871" s="1">
        <v>1.990007E9</v>
      </c>
      <c r="O871" s="1">
        <v>1.622948E9</v>
      </c>
      <c r="P871" s="1">
        <v>9.25246E8</v>
      </c>
      <c r="Q871" s="1">
        <v>-1.47974E8</v>
      </c>
      <c r="R871" s="1">
        <v>1.9841E8</v>
      </c>
      <c r="S871" s="1">
        <v>1.96681E8</v>
      </c>
    </row>
    <row r="872">
      <c r="A872" s="1">
        <v>870.0</v>
      </c>
      <c r="B872" s="3">
        <v>44196.0</v>
      </c>
      <c r="C872" s="1" t="s">
        <v>476</v>
      </c>
      <c r="D872" s="1" t="s">
        <v>477</v>
      </c>
      <c r="F872" s="1">
        <v>2.02798E8</v>
      </c>
      <c r="G872" s="1">
        <v>1.82644E8</v>
      </c>
      <c r="H872" s="1">
        <v>7.38516E8</v>
      </c>
      <c r="I872" s="1">
        <v>1.046598E9</v>
      </c>
      <c r="J872" s="1">
        <v>3.08082E8</v>
      </c>
      <c r="K872" s="1">
        <v>3.08082E8</v>
      </c>
      <c r="L872" s="1">
        <v>-8.25E7</v>
      </c>
      <c r="M872" s="1">
        <v>1.798E7</v>
      </c>
      <c r="N872" s="1">
        <v>1.930193E9</v>
      </c>
      <c r="O872" s="1">
        <v>1.622111E9</v>
      </c>
      <c r="P872" s="1">
        <v>8.83595E8</v>
      </c>
      <c r="Q872" s="1">
        <v>-1.05284E8</v>
      </c>
      <c r="R872" s="1">
        <v>1.84818E8</v>
      </c>
      <c r="S872" s="1">
        <v>1.82644E8</v>
      </c>
    </row>
    <row r="873">
      <c r="A873" s="1">
        <v>871.0</v>
      </c>
      <c r="B873" s="3">
        <v>44104.0</v>
      </c>
      <c r="C873" s="1" t="s">
        <v>476</v>
      </c>
      <c r="D873" s="1" t="s">
        <v>477</v>
      </c>
      <c r="F873" s="1">
        <v>2.73064E8</v>
      </c>
      <c r="G873" s="1">
        <v>2.20971E8</v>
      </c>
      <c r="H873" s="1">
        <v>6.60775E8</v>
      </c>
      <c r="I873" s="1">
        <v>1.016894E9</v>
      </c>
      <c r="J873" s="1">
        <v>3.56119E8</v>
      </c>
      <c r="K873" s="1">
        <v>3.56119E8</v>
      </c>
      <c r="L873" s="1">
        <v>-8.21E7</v>
      </c>
      <c r="M873" s="1">
        <v>4.2834E7</v>
      </c>
      <c r="N873" s="1">
        <v>1.917815E9</v>
      </c>
      <c r="O873" s="1">
        <v>1.561696E9</v>
      </c>
      <c r="P873" s="1">
        <v>9.00921E8</v>
      </c>
      <c r="Q873" s="1">
        <v>-8.3055E7</v>
      </c>
      <c r="R873" s="1">
        <v>2.3023E8</v>
      </c>
      <c r="S873" s="1">
        <v>2.20971E8</v>
      </c>
    </row>
    <row r="874">
      <c r="A874" s="1">
        <v>872.0</v>
      </c>
      <c r="B874" s="3">
        <v>44377.0</v>
      </c>
      <c r="C874" s="1" t="s">
        <v>478</v>
      </c>
      <c r="D874" s="1" t="s">
        <v>479</v>
      </c>
      <c r="F874" s="1">
        <v>2.45243E8</v>
      </c>
      <c r="G874" s="1">
        <v>1.99618E8</v>
      </c>
      <c r="I874" s="1">
        <v>3.46167E8</v>
      </c>
      <c r="J874" s="1">
        <v>2.67012E8</v>
      </c>
      <c r="K874" s="1">
        <v>2.67012E8</v>
      </c>
      <c r="L874" s="1">
        <v>-2.1769E7</v>
      </c>
      <c r="M874" s="1">
        <v>4.5625E7</v>
      </c>
      <c r="N874" s="1">
        <v>1.271111E9</v>
      </c>
      <c r="O874" s="1">
        <v>1.004099E9</v>
      </c>
      <c r="P874" s="1">
        <v>9.24944E8</v>
      </c>
      <c r="Q874" s="1">
        <v>-2.1769E7</v>
      </c>
      <c r="R874" s="1">
        <v>1.99618E8</v>
      </c>
      <c r="S874" s="1">
        <v>1.99618E8</v>
      </c>
    </row>
    <row r="875">
      <c r="A875" s="1">
        <v>873.0</v>
      </c>
      <c r="B875" s="3">
        <v>44286.0</v>
      </c>
      <c r="C875" s="1" t="s">
        <v>478</v>
      </c>
      <c r="D875" s="1" t="s">
        <v>479</v>
      </c>
      <c r="F875" s="1">
        <v>2.18794E8</v>
      </c>
      <c r="G875" s="1">
        <v>1.78517E8</v>
      </c>
      <c r="I875" s="1">
        <v>3.21182E8</v>
      </c>
      <c r="J875" s="1">
        <v>2.448E8</v>
      </c>
      <c r="K875" s="1">
        <v>2.448E8</v>
      </c>
      <c r="L875" s="1">
        <v>-2.1178E7</v>
      </c>
      <c r="M875" s="1">
        <v>4.0277E7</v>
      </c>
      <c r="N875" s="1">
        <v>1.26656E9</v>
      </c>
      <c r="O875" s="1">
        <v>1.02176E9</v>
      </c>
      <c r="P875" s="1">
        <v>9.45378E8</v>
      </c>
      <c r="Q875" s="1">
        <v>-2.6006E7</v>
      </c>
      <c r="R875" s="1">
        <v>1.78517E8</v>
      </c>
      <c r="S875" s="1">
        <v>1.78517E8</v>
      </c>
    </row>
    <row r="876">
      <c r="A876" s="1">
        <v>874.0</v>
      </c>
      <c r="B876" s="3">
        <v>44196.0</v>
      </c>
      <c r="C876" s="1" t="s">
        <v>478</v>
      </c>
      <c r="D876" s="1" t="s">
        <v>479</v>
      </c>
      <c r="F876" s="1">
        <v>2.49984E8</v>
      </c>
      <c r="G876" s="1">
        <v>2.0424E8</v>
      </c>
      <c r="H876" s="1">
        <v>9800000.0</v>
      </c>
      <c r="I876" s="1">
        <v>3.45738E8</v>
      </c>
      <c r="J876" s="1">
        <v>2.71393E8</v>
      </c>
      <c r="K876" s="1">
        <v>2.71393E8</v>
      </c>
      <c r="L876" s="1">
        <v>-2.1409E7</v>
      </c>
      <c r="M876" s="1">
        <v>4.5744E7</v>
      </c>
      <c r="N876" s="1">
        <v>1.228941E9</v>
      </c>
      <c r="O876" s="1">
        <v>9.57548E8</v>
      </c>
      <c r="P876" s="1">
        <v>8.83203E8</v>
      </c>
      <c r="Q876" s="1">
        <v>-2.1409E7</v>
      </c>
      <c r="R876" s="1">
        <v>2.0424E8</v>
      </c>
      <c r="S876" s="1">
        <v>2.0424E8</v>
      </c>
    </row>
    <row r="877">
      <c r="A877" s="1">
        <v>875.0</v>
      </c>
      <c r="B877" s="3">
        <v>44104.0</v>
      </c>
      <c r="C877" s="1" t="s">
        <v>478</v>
      </c>
      <c r="D877" s="1" t="s">
        <v>479</v>
      </c>
      <c r="F877" s="1">
        <v>2.31538E8</v>
      </c>
      <c r="G877" s="1">
        <v>1.88945E8</v>
      </c>
      <c r="H877" s="1">
        <v>9800000.0</v>
      </c>
      <c r="I877" s="1">
        <v>3.28609E8</v>
      </c>
      <c r="J877" s="1">
        <v>2.53212E8</v>
      </c>
      <c r="K877" s="1">
        <v>2.53212E8</v>
      </c>
      <c r="L877" s="1">
        <v>-2.1674E7</v>
      </c>
      <c r="M877" s="1">
        <v>4.2593E7</v>
      </c>
      <c r="N877" s="1">
        <v>1.195042E9</v>
      </c>
      <c r="O877" s="1">
        <v>9.4183E8</v>
      </c>
      <c r="P877" s="1">
        <v>8.66433E8</v>
      </c>
      <c r="Q877" s="1">
        <v>-2.1674E7</v>
      </c>
      <c r="R877" s="1">
        <v>1.88945E8</v>
      </c>
      <c r="S877" s="1">
        <v>1.88945E8</v>
      </c>
    </row>
    <row r="878">
      <c r="A878" s="1">
        <v>876.0</v>
      </c>
      <c r="B878" s="3">
        <v>44377.0</v>
      </c>
      <c r="C878" s="1" t="s">
        <v>480</v>
      </c>
      <c r="D878" s="1" t="s">
        <v>481</v>
      </c>
      <c r="F878" s="1">
        <v>6.84E9</v>
      </c>
      <c r="G878" s="1">
        <v>5.486E9</v>
      </c>
      <c r="H878" s="1">
        <v>5.963E9</v>
      </c>
      <c r="I878" s="1">
        <v>1.3984E10</v>
      </c>
      <c r="J878" s="1">
        <v>0.0</v>
      </c>
      <c r="K878" s="1">
        <v>7.066E9</v>
      </c>
      <c r="M878" s="1">
        <v>1.354E9</v>
      </c>
      <c r="N878" s="1">
        <v>1.548E10</v>
      </c>
      <c r="O878" s="1">
        <v>8.414E9</v>
      </c>
      <c r="P878" s="1">
        <v>1.496E9</v>
      </c>
      <c r="Q878" s="1">
        <v>-2.26E8</v>
      </c>
      <c r="R878" s="1">
        <v>5.486E9</v>
      </c>
      <c r="S878" s="1">
        <v>5.34E9</v>
      </c>
    </row>
    <row r="879">
      <c r="A879" s="1">
        <v>877.0</v>
      </c>
      <c r="B879" s="3">
        <v>44286.0</v>
      </c>
      <c r="C879" s="1" t="s">
        <v>480</v>
      </c>
      <c r="D879" s="1" t="s">
        <v>481</v>
      </c>
      <c r="F879" s="1">
        <v>8.337E9</v>
      </c>
      <c r="G879" s="1">
        <v>6.836E9</v>
      </c>
      <c r="H879" s="1">
        <v>6.73E9</v>
      </c>
      <c r="I879" s="1">
        <v>1.6143E10</v>
      </c>
      <c r="J879" s="1">
        <v>0.0</v>
      </c>
      <c r="K879" s="1">
        <v>8.411E9</v>
      </c>
      <c r="M879" s="1">
        <v>1.501E9</v>
      </c>
      <c r="N879" s="1">
        <v>1.7774E10</v>
      </c>
      <c r="O879" s="1">
        <v>9.363E9</v>
      </c>
      <c r="P879" s="1">
        <v>1.631E9</v>
      </c>
      <c r="Q879" s="1">
        <v>-7.4E7</v>
      </c>
      <c r="R879" s="1">
        <v>6.836E9</v>
      </c>
      <c r="S879" s="1">
        <v>6.704E9</v>
      </c>
    </row>
    <row r="880">
      <c r="A880" s="1">
        <v>878.0</v>
      </c>
      <c r="B880" s="3">
        <v>44196.0</v>
      </c>
      <c r="C880" s="1" t="s">
        <v>480</v>
      </c>
      <c r="D880" s="1" t="s">
        <v>481</v>
      </c>
      <c r="F880" s="1">
        <v>5.541E9</v>
      </c>
      <c r="G880" s="1">
        <v>4.506E9</v>
      </c>
      <c r="H880" s="1">
        <v>3.172E9</v>
      </c>
      <c r="I880" s="1">
        <v>9.797E9</v>
      </c>
      <c r="J880" s="1">
        <v>0.0</v>
      </c>
      <c r="K880" s="1">
        <v>5.561E9</v>
      </c>
      <c r="M880" s="1">
        <v>1.035E9</v>
      </c>
      <c r="N880" s="1">
        <v>1.1448E10</v>
      </c>
      <c r="O880" s="1">
        <v>5.887E9</v>
      </c>
      <c r="P880" s="1">
        <v>1.651E9</v>
      </c>
      <c r="Q880" s="1">
        <v>-2.0E7</v>
      </c>
      <c r="R880" s="1">
        <v>4.506E9</v>
      </c>
      <c r="S880" s="1">
        <v>4.358E9</v>
      </c>
    </row>
    <row r="881">
      <c r="A881" s="1">
        <v>879.0</v>
      </c>
      <c r="B881" s="3">
        <v>44104.0</v>
      </c>
      <c r="C881" s="1" t="s">
        <v>480</v>
      </c>
      <c r="D881" s="1" t="s">
        <v>481</v>
      </c>
      <c r="F881" s="1">
        <v>4.299E9</v>
      </c>
      <c r="G881" s="1">
        <v>3.367E9</v>
      </c>
      <c r="H881" s="1">
        <v>3.72E9</v>
      </c>
      <c r="I881" s="1">
        <v>9.252E9</v>
      </c>
      <c r="J881" s="1">
        <v>0.0</v>
      </c>
      <c r="K881" s="1">
        <v>4.555E9</v>
      </c>
      <c r="M881" s="1">
        <v>9.32E8</v>
      </c>
      <c r="N881" s="1">
        <v>1.0503E10</v>
      </c>
      <c r="O881" s="1">
        <v>5.948E9</v>
      </c>
      <c r="P881" s="1">
        <v>1.251E9</v>
      </c>
      <c r="Q881" s="1">
        <v>-2.56E8</v>
      </c>
      <c r="R881" s="1">
        <v>3.367E9</v>
      </c>
      <c r="S881" s="1">
        <v>3.229E9</v>
      </c>
    </row>
    <row r="882">
      <c r="A882" s="1">
        <v>880.0</v>
      </c>
      <c r="B882" s="3">
        <v>44377.0</v>
      </c>
      <c r="C882" s="1" t="s">
        <v>482</v>
      </c>
      <c r="D882" s="1" t="s">
        <v>483</v>
      </c>
      <c r="F882" s="1">
        <v>2.95E8</v>
      </c>
      <c r="G882" s="1">
        <v>2.27E8</v>
      </c>
      <c r="H882" s="1">
        <v>5.1E7</v>
      </c>
      <c r="I882" s="1">
        <v>4.85E8</v>
      </c>
      <c r="J882" s="1">
        <v>4.34E8</v>
      </c>
      <c r="K882" s="1">
        <v>4.34E8</v>
      </c>
      <c r="L882" s="1">
        <v>-1.34E8</v>
      </c>
      <c r="M882" s="1">
        <v>6.5E7</v>
      </c>
      <c r="N882" s="1">
        <v>3.707E9</v>
      </c>
      <c r="O882" s="1">
        <v>3.273E9</v>
      </c>
      <c r="P882" s="1">
        <v>3.222E9</v>
      </c>
      <c r="Q882" s="1">
        <v>-1.39E8</v>
      </c>
      <c r="R882" s="1">
        <v>2.3E8</v>
      </c>
      <c r="S882" s="1">
        <v>2.27E8</v>
      </c>
    </row>
    <row r="883">
      <c r="A883" s="1">
        <v>881.0</v>
      </c>
      <c r="B883" s="3">
        <v>44286.0</v>
      </c>
      <c r="C883" s="1" t="s">
        <v>482</v>
      </c>
      <c r="D883" s="1" t="s">
        <v>483</v>
      </c>
      <c r="F883" s="1">
        <v>2.23E8</v>
      </c>
      <c r="G883" s="1">
        <v>1.7E8</v>
      </c>
      <c r="H883" s="1">
        <v>4.8E7</v>
      </c>
      <c r="I883" s="1">
        <v>4.18E8</v>
      </c>
      <c r="J883" s="1">
        <v>3.7E8</v>
      </c>
      <c r="K883" s="1">
        <v>3.7E8</v>
      </c>
      <c r="L883" s="1">
        <v>-1.35E8</v>
      </c>
      <c r="M883" s="1">
        <v>5.2E7</v>
      </c>
      <c r="N883" s="1">
        <v>3.451E9</v>
      </c>
      <c r="O883" s="1">
        <v>3.081E9</v>
      </c>
      <c r="P883" s="1">
        <v>3.033E9</v>
      </c>
      <c r="Q883" s="1">
        <v>-1.47E8</v>
      </c>
      <c r="R883" s="1">
        <v>1.71E8</v>
      </c>
      <c r="S883" s="1">
        <v>1.7E8</v>
      </c>
    </row>
    <row r="884">
      <c r="A884" s="1">
        <v>882.0</v>
      </c>
      <c r="B884" s="3">
        <v>44196.0</v>
      </c>
      <c r="C884" s="1" t="s">
        <v>482</v>
      </c>
      <c r="D884" s="1" t="s">
        <v>483</v>
      </c>
      <c r="F884" s="1">
        <v>-2.4E8</v>
      </c>
      <c r="G884" s="1">
        <v>-2.35E8</v>
      </c>
      <c r="H884" s="1">
        <v>4.4E7</v>
      </c>
      <c r="I884" s="1">
        <v>3.94E8</v>
      </c>
      <c r="J884" s="1">
        <v>2.62E8</v>
      </c>
      <c r="K884" s="1">
        <v>2.62E8</v>
      </c>
      <c r="L884" s="1">
        <v>-1.35E8</v>
      </c>
      <c r="M884" s="1">
        <v>-1.3E7</v>
      </c>
      <c r="N884" s="1">
        <v>3.237E9</v>
      </c>
      <c r="O884" s="1">
        <v>2.975E9</v>
      </c>
      <c r="P884" s="1">
        <v>2.843E9</v>
      </c>
      <c r="Q884" s="1">
        <v>-5.02E8</v>
      </c>
      <c r="R884" s="1">
        <v>-2.27E8</v>
      </c>
      <c r="S884" s="1">
        <v>-2.35E8</v>
      </c>
    </row>
    <row r="885">
      <c r="A885" s="1">
        <v>883.0</v>
      </c>
      <c r="B885" s="3">
        <v>44104.0</v>
      </c>
      <c r="C885" s="1" t="s">
        <v>482</v>
      </c>
      <c r="D885" s="1" t="s">
        <v>483</v>
      </c>
      <c r="F885" s="1">
        <v>-1000000.0</v>
      </c>
      <c r="G885" s="1">
        <v>-1.7E7</v>
      </c>
      <c r="H885" s="1">
        <v>4.1E7</v>
      </c>
      <c r="I885" s="1">
        <v>3.05E8</v>
      </c>
      <c r="J885" s="1">
        <v>2.56E8</v>
      </c>
      <c r="K885" s="1">
        <v>2.56E8</v>
      </c>
      <c r="L885" s="1">
        <v>-1.33E8</v>
      </c>
      <c r="M885" s="1">
        <v>1.8E7</v>
      </c>
      <c r="N885" s="1">
        <v>2.975E9</v>
      </c>
      <c r="O885" s="1">
        <v>2.719E9</v>
      </c>
      <c r="P885" s="1">
        <v>2.67E9</v>
      </c>
      <c r="Q885" s="1">
        <v>-2.57E8</v>
      </c>
      <c r="R885" s="1">
        <v>-1.9E7</v>
      </c>
      <c r="S885" s="1">
        <v>-1.7E7</v>
      </c>
    </row>
    <row r="886">
      <c r="A886" s="1">
        <v>884.0</v>
      </c>
      <c r="B886" s="3">
        <v>44380.0</v>
      </c>
      <c r="C886" s="1" t="s">
        <v>484</v>
      </c>
      <c r="D886" s="1" t="s">
        <v>485</v>
      </c>
      <c r="F886" s="1">
        <v>1.73099E8</v>
      </c>
      <c r="G886" s="1">
        <v>1.28676E8</v>
      </c>
      <c r="H886" s="1">
        <v>4.576E8</v>
      </c>
      <c r="I886" s="1">
        <v>6.83529E8</v>
      </c>
      <c r="J886" s="1">
        <v>2.25929E8</v>
      </c>
      <c r="K886" s="1">
        <v>2.25929E8</v>
      </c>
      <c r="L886" s="1">
        <v>-4.244E7</v>
      </c>
      <c r="M886" s="1">
        <v>2.5236E7</v>
      </c>
      <c r="N886" s="1">
        <v>1.751311E9</v>
      </c>
      <c r="O886" s="1">
        <v>1.525382E9</v>
      </c>
      <c r="P886" s="1">
        <v>1.067782E9</v>
      </c>
      <c r="Q886" s="1">
        <v>-5.283E7</v>
      </c>
      <c r="R886" s="1">
        <v>1.47863E8</v>
      </c>
      <c r="S886" s="1">
        <v>1.28676E8</v>
      </c>
    </row>
    <row r="887">
      <c r="A887" s="1">
        <v>885.0</v>
      </c>
      <c r="B887" s="3">
        <v>44289.0</v>
      </c>
      <c r="C887" s="1" t="s">
        <v>484</v>
      </c>
      <c r="D887" s="1" t="s">
        <v>485</v>
      </c>
      <c r="F887" s="1">
        <v>1.43101E8</v>
      </c>
      <c r="G887" s="1">
        <v>-2.63262E8</v>
      </c>
      <c r="H887" s="1">
        <v>4.05334E8</v>
      </c>
      <c r="I887" s="1">
        <v>6.05488E8</v>
      </c>
      <c r="J887" s="1">
        <v>2.00154E8</v>
      </c>
      <c r="K887" s="1">
        <v>2.00154E8</v>
      </c>
      <c r="L887" s="1">
        <v>-4.446E7</v>
      </c>
      <c r="M887" s="1">
        <v>1.4697E7</v>
      </c>
      <c r="N887" s="1">
        <v>1.508029E9</v>
      </c>
      <c r="O887" s="1">
        <v>1.307875E9</v>
      </c>
      <c r="P887" s="1">
        <v>9.02541E8</v>
      </c>
      <c r="Q887" s="1">
        <v>-5.7053E7</v>
      </c>
      <c r="R887" s="1">
        <v>1.28404E8</v>
      </c>
      <c r="S887" s="1">
        <v>-2.63262E8</v>
      </c>
    </row>
    <row r="888">
      <c r="A888" s="1">
        <v>886.0</v>
      </c>
      <c r="B888" s="3">
        <v>44198.0</v>
      </c>
      <c r="C888" s="1" t="s">
        <v>484</v>
      </c>
      <c r="D888" s="1" t="s">
        <v>485</v>
      </c>
      <c r="E888" s="1">
        <v>4.471E7</v>
      </c>
      <c r="F888" s="1">
        <v>-4.94134E8</v>
      </c>
      <c r="G888" s="1">
        <v>-3.32164E8</v>
      </c>
      <c r="H888" s="1">
        <v>4.49694E8</v>
      </c>
      <c r="I888" s="1">
        <v>7.35275E8</v>
      </c>
      <c r="J888" s="1">
        <v>2.0695E8</v>
      </c>
      <c r="K888" s="1">
        <v>2.0695E8</v>
      </c>
      <c r="L888" s="1">
        <v>-4.4115E7</v>
      </c>
      <c r="M888" s="1">
        <v>-1.6197E8</v>
      </c>
      <c r="N888" s="1">
        <v>1.800843E9</v>
      </c>
      <c r="O888" s="1">
        <v>1.593893E9</v>
      </c>
      <c r="P888" s="1">
        <v>1.065568E9</v>
      </c>
      <c r="Q888" s="1">
        <v>-7.01084E8</v>
      </c>
      <c r="R888" s="1">
        <v>-3.32164E8</v>
      </c>
      <c r="S888" s="1">
        <v>-3.32164E8</v>
      </c>
    </row>
    <row r="889">
      <c r="A889" s="1">
        <v>887.0</v>
      </c>
      <c r="B889" s="3">
        <v>44100.0</v>
      </c>
      <c r="C889" s="1" t="s">
        <v>484</v>
      </c>
      <c r="D889" s="1" t="s">
        <v>485</v>
      </c>
      <c r="E889" s="1">
        <v>4.471E7</v>
      </c>
      <c r="F889" s="1">
        <v>1.25394E8</v>
      </c>
      <c r="G889" s="1">
        <v>1.03278E8</v>
      </c>
      <c r="H889" s="1">
        <v>4.46355E8</v>
      </c>
      <c r="I889" s="1">
        <v>6.64349E8</v>
      </c>
      <c r="J889" s="1">
        <v>2.17994E8</v>
      </c>
      <c r="K889" s="1">
        <v>2.17994E8</v>
      </c>
      <c r="L889" s="1">
        <v>-4.3868E7</v>
      </c>
      <c r="M889" s="1">
        <v>2.2116E7</v>
      </c>
      <c r="N889" s="1">
        <v>1.808266E9</v>
      </c>
      <c r="O889" s="1">
        <v>1.590272E9</v>
      </c>
      <c r="P889" s="1">
        <v>1.143917E9</v>
      </c>
      <c r="Q889" s="1">
        <v>-9.26E7</v>
      </c>
      <c r="R889" s="1">
        <v>1.03278E8</v>
      </c>
      <c r="S889" s="1">
        <v>1.03278E8</v>
      </c>
    </row>
    <row r="890">
      <c r="A890" s="1">
        <v>888.0</v>
      </c>
      <c r="B890" s="3">
        <v>44374.0</v>
      </c>
      <c r="C890" s="1" t="s">
        <v>486</v>
      </c>
      <c r="D890" s="1" t="s">
        <v>487</v>
      </c>
      <c r="E890" s="1">
        <v>8.72E7</v>
      </c>
      <c r="F890" s="1">
        <v>4.11E7</v>
      </c>
      <c r="G890" s="1">
        <v>-2.29E7</v>
      </c>
      <c r="H890" s="1">
        <v>4.597E8</v>
      </c>
      <c r="I890" s="1">
        <v>7.55E8</v>
      </c>
      <c r="J890" s="1">
        <v>1.784E8</v>
      </c>
      <c r="K890" s="1">
        <v>1.784E8</v>
      </c>
      <c r="L890" s="1">
        <v>-4.61E7</v>
      </c>
      <c r="M890" s="1">
        <v>6.3E7</v>
      </c>
      <c r="N890" s="1">
        <v>1.3222E9</v>
      </c>
      <c r="O890" s="1">
        <v>1.1438E9</v>
      </c>
      <c r="P890" s="1">
        <v>5.672E8</v>
      </c>
      <c r="Q890" s="1">
        <v>-1.373E8</v>
      </c>
      <c r="R890" s="1">
        <v>-2.19E7</v>
      </c>
      <c r="S890" s="1">
        <v>-2.29E7</v>
      </c>
    </row>
    <row r="891">
      <c r="A891" s="1">
        <v>889.0</v>
      </c>
      <c r="B891" s="3">
        <v>44283.0</v>
      </c>
      <c r="C891" s="1" t="s">
        <v>486</v>
      </c>
      <c r="D891" s="1" t="s">
        <v>487</v>
      </c>
      <c r="E891" s="1">
        <v>6.18E7</v>
      </c>
      <c r="F891" s="1">
        <v>1.295E8</v>
      </c>
      <c r="G891" s="1">
        <v>1.162E8</v>
      </c>
      <c r="H891" s="1">
        <v>3.765E8</v>
      </c>
      <c r="I891" s="1">
        <v>6.185E8</v>
      </c>
      <c r="J891" s="1">
        <v>1.473E8</v>
      </c>
      <c r="K891" s="1">
        <v>1.473E8</v>
      </c>
      <c r="L891" s="1">
        <v>-4.79E7</v>
      </c>
      <c r="M891" s="1">
        <v>1.2E7</v>
      </c>
      <c r="N891" s="1">
        <v>1.1148E9</v>
      </c>
      <c r="O891" s="1">
        <v>9.675E8</v>
      </c>
      <c r="P891" s="1">
        <v>4.963E8</v>
      </c>
      <c r="Q891" s="1">
        <v>-1.78E7</v>
      </c>
      <c r="R891" s="1">
        <v>1.175E8</v>
      </c>
      <c r="S891" s="1">
        <v>1.162E8</v>
      </c>
    </row>
    <row r="892">
      <c r="A892" s="1">
        <v>890.0</v>
      </c>
      <c r="B892" s="3">
        <v>44192.0</v>
      </c>
      <c r="C892" s="1" t="s">
        <v>486</v>
      </c>
      <c r="D892" s="1" t="s">
        <v>487</v>
      </c>
      <c r="E892" s="1">
        <v>8.4659E7</v>
      </c>
      <c r="F892" s="1">
        <v>1.38474E8</v>
      </c>
      <c r="G892" s="1">
        <v>1.05173E8</v>
      </c>
      <c r="H892" s="1">
        <v>4.72029E8</v>
      </c>
      <c r="I892" s="1">
        <v>8.28432E8</v>
      </c>
      <c r="J892" s="1">
        <v>2.34683E8</v>
      </c>
      <c r="K892" s="1">
        <v>2.34683E8</v>
      </c>
      <c r="L892" s="1">
        <v>-4.8428E7</v>
      </c>
      <c r="M892" s="1">
        <v>3.2308E7</v>
      </c>
      <c r="N892" s="1">
        <v>1.722971E9</v>
      </c>
      <c r="O892" s="1">
        <v>1.488288E9</v>
      </c>
      <c r="P892" s="1">
        <v>8.94539E8</v>
      </c>
      <c r="Q892" s="1">
        <v>-9.6209E7</v>
      </c>
      <c r="R892" s="1">
        <v>1.06166E8</v>
      </c>
      <c r="S892" s="1">
        <v>1.05173E8</v>
      </c>
    </row>
    <row r="893">
      <c r="A893" s="1">
        <v>891.0</v>
      </c>
      <c r="B893" s="3">
        <v>44101.0</v>
      </c>
      <c r="C893" s="1" t="s">
        <v>486</v>
      </c>
      <c r="D893" s="1" t="s">
        <v>487</v>
      </c>
      <c r="E893" s="1">
        <v>6.2709E7</v>
      </c>
      <c r="F893" s="1">
        <v>2.99198E8</v>
      </c>
      <c r="G893" s="1">
        <v>2.20898E8</v>
      </c>
      <c r="H893" s="1">
        <v>4.62768E8</v>
      </c>
      <c r="I893" s="1">
        <v>9.04156E8</v>
      </c>
      <c r="J893" s="1">
        <v>3.42507E8</v>
      </c>
      <c r="K893" s="1">
        <v>3.42507E8</v>
      </c>
      <c r="L893" s="1">
        <v>-4.94E7</v>
      </c>
      <c r="M893" s="1">
        <v>7.9215E7</v>
      </c>
      <c r="N893" s="1">
        <v>1.776623E9</v>
      </c>
      <c r="O893" s="1">
        <v>1.434116E9</v>
      </c>
      <c r="P893" s="1">
        <v>8.72467E8</v>
      </c>
      <c r="Q893" s="1">
        <v>-4.3309E7</v>
      </c>
      <c r="R893" s="1">
        <v>2.19983E8</v>
      </c>
      <c r="S893" s="1">
        <v>2.20898E8</v>
      </c>
    </row>
    <row r="894">
      <c r="A894" s="1">
        <v>892.0</v>
      </c>
      <c r="B894" s="3">
        <v>44377.0</v>
      </c>
      <c r="C894" s="1" t="s">
        <v>488</v>
      </c>
      <c r="D894" s="1" t="s">
        <v>489</v>
      </c>
      <c r="F894" s="1">
        <v>2.117E9</v>
      </c>
      <c r="G894" s="1">
        <v>1.45E9</v>
      </c>
      <c r="I894" s="1">
        <v>5.67E9</v>
      </c>
      <c r="J894" s="1">
        <v>2.485E9</v>
      </c>
      <c r="K894" s="1">
        <v>2.485E9</v>
      </c>
      <c r="L894" s="1">
        <v>-3.86E8</v>
      </c>
      <c r="M894" s="1">
        <v>4.53E8</v>
      </c>
      <c r="N894" s="1">
        <v>1.4435E10</v>
      </c>
      <c r="O894" s="1">
        <v>1.195E10</v>
      </c>
      <c r="P894" s="1">
        <v>8.765E9</v>
      </c>
      <c r="Q894" s="1">
        <v>-3.68E8</v>
      </c>
      <c r="R894" s="1">
        <v>1.664E9</v>
      </c>
      <c r="S894" s="1">
        <v>1.45E9</v>
      </c>
    </row>
    <row r="895">
      <c r="A895" s="1">
        <v>893.0</v>
      </c>
      <c r="B895" s="3">
        <v>44286.0</v>
      </c>
      <c r="C895" s="1" t="s">
        <v>488</v>
      </c>
      <c r="D895" s="1" t="s">
        <v>489</v>
      </c>
      <c r="F895" s="1">
        <v>1.973E9</v>
      </c>
      <c r="G895" s="1">
        <v>1.423E9</v>
      </c>
      <c r="I895" s="1">
        <v>5.452E9</v>
      </c>
      <c r="J895" s="1">
        <v>2.334E9</v>
      </c>
      <c r="K895" s="1">
        <v>2.334E9</v>
      </c>
      <c r="L895" s="1">
        <v>-3.84E8</v>
      </c>
      <c r="M895" s="1">
        <v>3.93E8</v>
      </c>
      <c r="N895" s="1">
        <v>1.3977E10</v>
      </c>
      <c r="O895" s="1">
        <v>1.1643E10</v>
      </c>
      <c r="P895" s="1">
        <v>8.525E9</v>
      </c>
      <c r="Q895" s="1">
        <v>-3.61E8</v>
      </c>
      <c r="R895" s="1">
        <v>1.58E9</v>
      </c>
      <c r="S895" s="1">
        <v>1.423E9</v>
      </c>
    </row>
    <row r="896">
      <c r="A896" s="1">
        <v>894.0</v>
      </c>
      <c r="B896" s="3">
        <v>44196.0</v>
      </c>
      <c r="C896" s="1" t="s">
        <v>488</v>
      </c>
      <c r="D896" s="1" t="s">
        <v>489</v>
      </c>
      <c r="F896" s="1">
        <v>2.072E9</v>
      </c>
      <c r="G896" s="1">
        <v>1.426E9</v>
      </c>
      <c r="H896" s="1">
        <v>9.23E8</v>
      </c>
      <c r="I896" s="1">
        <v>5.534E9</v>
      </c>
      <c r="J896" s="1">
        <v>2.39E9</v>
      </c>
      <c r="K896" s="1">
        <v>2.39E9</v>
      </c>
      <c r="L896" s="1">
        <v>-3.83E8</v>
      </c>
      <c r="M896" s="1">
        <v>3.78E8</v>
      </c>
      <c r="N896" s="1">
        <v>1.4293E10</v>
      </c>
      <c r="O896" s="1">
        <v>1.1903E10</v>
      </c>
      <c r="P896" s="1">
        <v>8.759E9</v>
      </c>
      <c r="Q896" s="1">
        <v>-3.18E8</v>
      </c>
      <c r="R896" s="1">
        <v>1.694E9</v>
      </c>
      <c r="S896" s="1">
        <v>1.426E9</v>
      </c>
    </row>
    <row r="897">
      <c r="A897" s="1">
        <v>895.0</v>
      </c>
      <c r="B897" s="3">
        <v>44104.0</v>
      </c>
      <c r="C897" s="1" t="s">
        <v>488</v>
      </c>
      <c r="D897" s="1" t="s">
        <v>489</v>
      </c>
      <c r="F897" s="1">
        <v>9.88E8</v>
      </c>
      <c r="G897" s="1">
        <v>6.68E8</v>
      </c>
      <c r="H897" s="1">
        <v>9.23E8</v>
      </c>
      <c r="I897" s="1">
        <v>5.086E9</v>
      </c>
      <c r="J897" s="1">
        <v>2.141E9</v>
      </c>
      <c r="K897" s="1">
        <v>2.141E9</v>
      </c>
      <c r="L897" s="1">
        <v>-3.85E8</v>
      </c>
      <c r="M897" s="1">
        <v>2.09E8</v>
      </c>
      <c r="N897" s="1">
        <v>1.3311E10</v>
      </c>
      <c r="O897" s="1">
        <v>1.117E10</v>
      </c>
      <c r="P897" s="1">
        <v>8.225E9</v>
      </c>
      <c r="Q897" s="1">
        <v>-1.153E9</v>
      </c>
      <c r="R897" s="1">
        <v>7.79E8</v>
      </c>
      <c r="S897" s="1">
        <v>6.68E8</v>
      </c>
    </row>
    <row r="898">
      <c r="A898" s="1">
        <v>896.0</v>
      </c>
      <c r="B898" s="3">
        <v>44377.0</v>
      </c>
      <c r="C898" s="1" t="s">
        <v>490</v>
      </c>
      <c r="D898" s="1" t="s">
        <v>491</v>
      </c>
      <c r="F898" s="1">
        <v>1.67302E8</v>
      </c>
      <c r="G898" s="1">
        <v>2.7628E8</v>
      </c>
      <c r="H898" s="1">
        <v>2.4088E7</v>
      </c>
      <c r="I898" s="1">
        <v>2.84487E8</v>
      </c>
      <c r="J898" s="1">
        <v>8.894E7</v>
      </c>
      <c r="K898" s="1">
        <v>8.894E7</v>
      </c>
      <c r="L898" s="1">
        <v>-3.8681E7</v>
      </c>
      <c r="M898" s="1">
        <v>-763000.0</v>
      </c>
      <c r="N898" s="1">
        <v>4.76238E8</v>
      </c>
      <c r="O898" s="1">
        <v>3.87298E8</v>
      </c>
      <c r="P898" s="1">
        <v>1.91751E8</v>
      </c>
      <c r="Q898" s="1">
        <v>7.8362E7</v>
      </c>
      <c r="R898" s="1">
        <v>1.68065E8</v>
      </c>
      <c r="S898" s="1">
        <v>2.75993E8</v>
      </c>
    </row>
    <row r="899">
      <c r="A899" s="1">
        <v>897.0</v>
      </c>
      <c r="B899" s="3">
        <v>44286.0</v>
      </c>
      <c r="C899" s="1" t="s">
        <v>490</v>
      </c>
      <c r="D899" s="1" t="s">
        <v>491</v>
      </c>
      <c r="F899" s="1">
        <v>-1.20577E8</v>
      </c>
      <c r="G899" s="1">
        <v>1.45788E8</v>
      </c>
      <c r="H899" s="1">
        <v>2.2439E7</v>
      </c>
      <c r="I899" s="1">
        <v>2.68863E8</v>
      </c>
      <c r="J899" s="1">
        <v>8.8886E7</v>
      </c>
      <c r="K899" s="1">
        <v>8.8886E7</v>
      </c>
      <c r="L899" s="1">
        <v>-4.6843E7</v>
      </c>
      <c r="M899" s="1">
        <v>8000.0</v>
      </c>
      <c r="N899" s="1">
        <v>4.55276E8</v>
      </c>
      <c r="O899" s="1">
        <v>3.6639E8</v>
      </c>
      <c r="P899" s="1">
        <v>1.86413E8</v>
      </c>
      <c r="Q899" s="1">
        <v>-2.09463E8</v>
      </c>
      <c r="R899" s="1">
        <v>-1.20585E8</v>
      </c>
      <c r="S899" s="1">
        <v>1.43337E8</v>
      </c>
    </row>
    <row r="900">
      <c r="A900" s="1">
        <v>898.0</v>
      </c>
      <c r="B900" s="3">
        <v>44196.0</v>
      </c>
      <c r="C900" s="1" t="s">
        <v>490</v>
      </c>
      <c r="D900" s="1" t="s">
        <v>491</v>
      </c>
      <c r="F900" s="1">
        <v>-2.1835E7</v>
      </c>
      <c r="G900" s="1">
        <v>1.46394E8</v>
      </c>
      <c r="H900" s="1">
        <v>2.5507E7</v>
      </c>
      <c r="I900" s="1">
        <v>2.4606E8</v>
      </c>
      <c r="J900" s="1">
        <v>7.3378E7</v>
      </c>
      <c r="K900" s="1">
        <v>7.3378E7</v>
      </c>
      <c r="L900" s="1">
        <v>-5.4088E7</v>
      </c>
      <c r="M900" s="1">
        <v>-2631000.0</v>
      </c>
      <c r="N900" s="1">
        <v>4.31697E8</v>
      </c>
      <c r="O900" s="1">
        <v>3.58319E8</v>
      </c>
      <c r="P900" s="1">
        <v>1.85637E8</v>
      </c>
      <c r="Q900" s="1">
        <v>-9.5213E7</v>
      </c>
      <c r="R900" s="1">
        <v>-1.9204E7</v>
      </c>
      <c r="S900" s="1">
        <v>1.46129E8</v>
      </c>
    </row>
    <row r="901">
      <c r="A901" s="1">
        <v>899.0</v>
      </c>
      <c r="B901" s="3">
        <v>44104.0</v>
      </c>
      <c r="C901" s="1" t="s">
        <v>490</v>
      </c>
      <c r="D901" s="1" t="s">
        <v>491</v>
      </c>
      <c r="F901" s="1">
        <v>-3.5407E7</v>
      </c>
      <c r="G901" s="1">
        <v>-6.3417E7</v>
      </c>
      <c r="H901" s="1">
        <v>2.1661E7</v>
      </c>
      <c r="I901" s="1">
        <v>2.77861E8</v>
      </c>
      <c r="J901" s="1">
        <v>8.257E7</v>
      </c>
      <c r="K901" s="1">
        <v>8.257E7</v>
      </c>
      <c r="L901" s="1">
        <v>-5.6235E7</v>
      </c>
      <c r="M901" s="1">
        <v>2.4174E7</v>
      </c>
      <c r="N901" s="1">
        <v>5.97739E8</v>
      </c>
      <c r="O901" s="1">
        <v>5.15169E8</v>
      </c>
      <c r="P901" s="1">
        <v>3.19878E8</v>
      </c>
      <c r="Q901" s="1">
        <v>-1.17977E8</v>
      </c>
      <c r="R901" s="1">
        <v>-5.9581E7</v>
      </c>
      <c r="S901" s="1">
        <v>-6.3768E7</v>
      </c>
    </row>
    <row r="902">
      <c r="A902" s="1">
        <v>900.0</v>
      </c>
      <c r="B902" s="3">
        <v>44282.0</v>
      </c>
      <c r="C902" s="1" t="s">
        <v>492</v>
      </c>
      <c r="D902" s="1" t="s">
        <v>493</v>
      </c>
      <c r="F902" s="1">
        <v>2.31613E8</v>
      </c>
      <c r="G902" s="1">
        <v>1.65997E8</v>
      </c>
      <c r="H902" s="1">
        <v>6.57992E8</v>
      </c>
      <c r="I902" s="1">
        <v>8.90851E8</v>
      </c>
      <c r="J902" s="1">
        <v>2.32859E8</v>
      </c>
      <c r="K902" s="1">
        <v>2.32859E8</v>
      </c>
      <c r="L902" s="1">
        <v>-6485000.0</v>
      </c>
      <c r="M902" s="1">
        <v>5.6685E7</v>
      </c>
      <c r="N902" s="1">
        <v>2.924961E9</v>
      </c>
      <c r="O902" s="1">
        <v>2.692102E9</v>
      </c>
      <c r="P902" s="1">
        <v>2.03411E9</v>
      </c>
      <c r="Q902" s="1">
        <v>-1246000.0</v>
      </c>
      <c r="R902" s="1">
        <v>1.74928E8</v>
      </c>
      <c r="S902" s="1">
        <v>1.65997E8</v>
      </c>
    </row>
    <row r="903">
      <c r="A903" s="1">
        <v>901.0</v>
      </c>
      <c r="B903" s="3">
        <v>44191.0</v>
      </c>
      <c r="C903" s="1" t="s">
        <v>492</v>
      </c>
      <c r="D903" s="1" t="s">
        <v>493</v>
      </c>
      <c r="F903" s="1">
        <v>1.76038E8</v>
      </c>
      <c r="G903" s="1">
        <v>1.42633E8</v>
      </c>
      <c r="H903" s="1">
        <v>6.95331E8</v>
      </c>
      <c r="I903" s="1">
        <v>8.59711E8</v>
      </c>
      <c r="J903" s="1">
        <v>1.6438E8</v>
      </c>
      <c r="K903" s="1">
        <v>1.6438E8</v>
      </c>
      <c r="L903" s="1">
        <v>-1.1968E7</v>
      </c>
      <c r="M903" s="1">
        <v>2.9409E7</v>
      </c>
      <c r="N903" s="1">
        <v>3.165725E9</v>
      </c>
      <c r="O903" s="1">
        <v>3.001345E9</v>
      </c>
      <c r="P903" s="1">
        <v>2.306014E9</v>
      </c>
      <c r="Q903" s="1">
        <v>1.1658E7</v>
      </c>
      <c r="R903" s="1">
        <v>1.46629E8</v>
      </c>
      <c r="S903" s="1">
        <v>1.42633E8</v>
      </c>
    </row>
    <row r="904">
      <c r="A904" s="1">
        <v>902.0</v>
      </c>
      <c r="B904" s="3">
        <v>44100.0</v>
      </c>
      <c r="C904" s="1" t="s">
        <v>492</v>
      </c>
      <c r="D904" s="1" t="s">
        <v>493</v>
      </c>
      <c r="F904" s="1">
        <v>1.80818E8</v>
      </c>
      <c r="G904" s="1">
        <v>1.41697E8</v>
      </c>
      <c r="H904" s="1">
        <v>5.59636E8</v>
      </c>
      <c r="I904" s="1">
        <v>7.54299E8</v>
      </c>
      <c r="J904" s="1">
        <v>1.94663E8</v>
      </c>
      <c r="K904" s="1">
        <v>1.94663E8</v>
      </c>
      <c r="L904" s="1">
        <v>-1.1111E7</v>
      </c>
      <c r="M904" s="1">
        <v>2.9005E7</v>
      </c>
      <c r="N904" s="1">
        <v>2.840146E9</v>
      </c>
      <c r="O904" s="1">
        <v>2.645483E9</v>
      </c>
      <c r="P904" s="1">
        <v>2.085847E9</v>
      </c>
      <c r="Q904" s="1">
        <v>-1.3845E7</v>
      </c>
      <c r="R904" s="1">
        <v>1.51813E8</v>
      </c>
      <c r="S904" s="1">
        <v>1.41697E8</v>
      </c>
    </row>
    <row r="905">
      <c r="A905" s="1">
        <v>903.0</v>
      </c>
      <c r="B905" s="3">
        <v>44009.0</v>
      </c>
      <c r="C905" s="1" t="s">
        <v>492</v>
      </c>
      <c r="D905" s="1" t="s">
        <v>493</v>
      </c>
      <c r="F905" s="1">
        <v>-1.4802E7</v>
      </c>
      <c r="G905" s="1">
        <v>-1.0797E7</v>
      </c>
      <c r="H905" s="1">
        <v>4.45793E8</v>
      </c>
      <c r="I905" s="1">
        <v>4.54294E8</v>
      </c>
      <c r="J905" s="1">
        <v>8501000.0</v>
      </c>
      <c r="K905" s="1">
        <v>8501000.0</v>
      </c>
      <c r="L905" s="1">
        <v>-1.0486E7</v>
      </c>
      <c r="M905" s="1">
        <v>-950000.0</v>
      </c>
      <c r="N905" s="1">
        <v>1.684399E9</v>
      </c>
      <c r="O905" s="1">
        <v>1.675898E9</v>
      </c>
      <c r="P905" s="1">
        <v>1.230105E9</v>
      </c>
      <c r="Q905" s="1">
        <v>-2.3303E7</v>
      </c>
      <c r="R905" s="1">
        <v>-1.3852E7</v>
      </c>
      <c r="S905" s="1">
        <v>-1.0797E7</v>
      </c>
    </row>
    <row r="906">
      <c r="A906" s="1">
        <v>904.0</v>
      </c>
      <c r="B906" s="3">
        <v>44377.0</v>
      </c>
      <c r="C906" s="1" t="s">
        <v>494</v>
      </c>
      <c r="D906" s="1" t="s">
        <v>495</v>
      </c>
      <c r="F906" s="1">
        <v>1.35E8</v>
      </c>
      <c r="G906" s="1">
        <v>-7.3E7</v>
      </c>
      <c r="H906" s="1">
        <v>3.99E8</v>
      </c>
      <c r="I906" s="1">
        <v>1.213E9</v>
      </c>
      <c r="J906" s="1">
        <v>2.54E8</v>
      </c>
      <c r="K906" s="1">
        <v>2.54E8</v>
      </c>
      <c r="L906" s="1">
        <v>-1.18E8</v>
      </c>
      <c r="M906" s="1">
        <v>1.22E8</v>
      </c>
      <c r="N906" s="1">
        <v>1.535E9</v>
      </c>
      <c r="O906" s="1">
        <v>1.281E9</v>
      </c>
      <c r="P906" s="1">
        <v>3.22E8</v>
      </c>
      <c r="Q906" s="1">
        <v>-1.19E8</v>
      </c>
      <c r="R906" s="1">
        <v>1.3E7</v>
      </c>
      <c r="S906" s="1">
        <v>-7.3E7</v>
      </c>
    </row>
    <row r="907">
      <c r="A907" s="1">
        <v>905.0</v>
      </c>
      <c r="B907" s="3">
        <v>44286.0</v>
      </c>
      <c r="C907" s="1" t="s">
        <v>494</v>
      </c>
      <c r="D907" s="1" t="s">
        <v>495</v>
      </c>
      <c r="F907" s="1">
        <v>4.59E8</v>
      </c>
      <c r="G907" s="1">
        <v>2.52E8</v>
      </c>
      <c r="H907" s="1">
        <v>3.59E8</v>
      </c>
      <c r="I907" s="1">
        <v>1.343E9</v>
      </c>
      <c r="J907" s="1">
        <v>5.77E8</v>
      </c>
      <c r="K907" s="1">
        <v>5.77E8</v>
      </c>
      <c r="L907" s="1">
        <v>-1.17E8</v>
      </c>
      <c r="M907" s="1">
        <v>1.23E8</v>
      </c>
      <c r="N907" s="1">
        <v>1.861E9</v>
      </c>
      <c r="O907" s="1">
        <v>1.284E9</v>
      </c>
      <c r="P907" s="1">
        <v>5.18E8</v>
      </c>
      <c r="Q907" s="1">
        <v>-1.18E8</v>
      </c>
      <c r="R907" s="1">
        <v>3.36E8</v>
      </c>
      <c r="S907" s="1">
        <v>2.52E8</v>
      </c>
    </row>
    <row r="908">
      <c r="A908" s="1">
        <v>906.0</v>
      </c>
      <c r="B908" s="3">
        <v>44196.0</v>
      </c>
      <c r="C908" s="1" t="s">
        <v>494</v>
      </c>
      <c r="D908" s="1" t="s">
        <v>495</v>
      </c>
      <c r="F908" s="1">
        <v>4.5E7</v>
      </c>
      <c r="G908" s="1">
        <v>-9.7E7</v>
      </c>
      <c r="H908" s="1">
        <v>3.28E8</v>
      </c>
      <c r="I908" s="1">
        <v>1.061E9</v>
      </c>
      <c r="J908" s="1">
        <v>1.38E8</v>
      </c>
      <c r="K908" s="1">
        <v>1.38E8</v>
      </c>
      <c r="L908" s="1">
        <v>-1.18E8</v>
      </c>
      <c r="M908" s="1">
        <v>7.2E7</v>
      </c>
      <c r="N908" s="1">
        <v>1.289E9</v>
      </c>
      <c r="O908" s="1">
        <v>1.151E9</v>
      </c>
      <c r="P908" s="1">
        <v>2.28E8</v>
      </c>
      <c r="Q908" s="1">
        <v>-9.3E7</v>
      </c>
      <c r="R908" s="1">
        <v>-2.7E7</v>
      </c>
      <c r="S908" s="1">
        <v>-9.7E7</v>
      </c>
    </row>
    <row r="909">
      <c r="A909" s="1">
        <v>907.0</v>
      </c>
      <c r="B909" s="3">
        <v>44104.0</v>
      </c>
      <c r="C909" s="1" t="s">
        <v>494</v>
      </c>
      <c r="D909" s="1" t="s">
        <v>495</v>
      </c>
      <c r="F909" s="1">
        <v>-1.78E8</v>
      </c>
      <c r="G909" s="1">
        <v>-2.43E8</v>
      </c>
      <c r="H909" s="1">
        <v>3.66E8</v>
      </c>
      <c r="I909" s="1">
        <v>9.04E8</v>
      </c>
      <c r="J909" s="1">
        <v>-3.2E7</v>
      </c>
      <c r="K909" s="1">
        <v>-3.2E7</v>
      </c>
      <c r="L909" s="1">
        <v>-1.18E8</v>
      </c>
      <c r="M909" s="1">
        <v>5000000.0</v>
      </c>
      <c r="N909" s="1">
        <v>1.125E9</v>
      </c>
      <c r="O909" s="1">
        <v>1.157E9</v>
      </c>
      <c r="P909" s="1">
        <v>2.21E8</v>
      </c>
      <c r="Q909" s="1">
        <v>-1.46E8</v>
      </c>
      <c r="R909" s="1">
        <v>-1.83E8</v>
      </c>
      <c r="S909" s="1">
        <v>-2.43E8</v>
      </c>
    </row>
    <row r="910">
      <c r="A910" s="1">
        <v>908.0</v>
      </c>
      <c r="B910" s="3">
        <v>44408.0</v>
      </c>
      <c r="C910" s="1" t="s">
        <v>496</v>
      </c>
      <c r="D910" s="1" t="s">
        <v>497</v>
      </c>
      <c r="E910" s="1">
        <v>5.06E8</v>
      </c>
      <c r="F910" s="1">
        <v>4.06E8</v>
      </c>
      <c r="G910" s="1">
        <v>3.92E8</v>
      </c>
      <c r="H910" s="1">
        <v>1.271E9</v>
      </c>
      <c r="I910" s="1">
        <v>2.382E9</v>
      </c>
      <c r="J910" s="1">
        <v>5.99E8</v>
      </c>
      <c r="K910" s="1">
        <v>5.99E8</v>
      </c>
      <c r="L910" s="1">
        <v>-6.6E7</v>
      </c>
      <c r="M910" s="1">
        <v>1.4E7</v>
      </c>
      <c r="N910" s="1">
        <v>6.897E9</v>
      </c>
      <c r="O910" s="1">
        <v>6.298E9</v>
      </c>
      <c r="P910" s="1">
        <v>4.515E9</v>
      </c>
      <c r="Q910" s="1">
        <v>-1.93E8</v>
      </c>
      <c r="R910" s="1">
        <v>3.92E8</v>
      </c>
      <c r="S910" s="1">
        <v>3.92E8</v>
      </c>
    </row>
    <row r="911">
      <c r="A911" s="1">
        <v>909.0</v>
      </c>
      <c r="B911" s="3">
        <v>44316.0</v>
      </c>
      <c r="C911" s="1" t="s">
        <v>496</v>
      </c>
      <c r="D911" s="1" t="s">
        <v>497</v>
      </c>
      <c r="E911" s="1">
        <v>5.03E8</v>
      </c>
      <c r="F911" s="1">
        <v>2.88E8</v>
      </c>
      <c r="G911" s="1">
        <v>2.59E8</v>
      </c>
      <c r="H911" s="1">
        <v>1.18E9</v>
      </c>
      <c r="I911" s="1">
        <v>2.287E9</v>
      </c>
      <c r="J911" s="1">
        <v>5.13E8</v>
      </c>
      <c r="K911" s="1">
        <v>5.13E8</v>
      </c>
      <c r="L911" s="1">
        <v>-1.01E8</v>
      </c>
      <c r="M911" s="1">
        <v>2.9E7</v>
      </c>
      <c r="N911" s="1">
        <v>6.7E9</v>
      </c>
      <c r="O911" s="1">
        <v>6.187E9</v>
      </c>
      <c r="P911" s="1">
        <v>4.413E9</v>
      </c>
      <c r="Q911" s="1">
        <v>-2.25E8</v>
      </c>
      <c r="R911" s="1">
        <v>2.59E8</v>
      </c>
      <c r="S911" s="1">
        <v>2.59E8</v>
      </c>
    </row>
    <row r="912">
      <c r="A912" s="1">
        <v>910.0</v>
      </c>
      <c r="B912" s="3">
        <v>44227.0</v>
      </c>
      <c r="C912" s="1" t="s">
        <v>496</v>
      </c>
      <c r="D912" s="1" t="s">
        <v>497</v>
      </c>
      <c r="E912" s="1">
        <v>4.68E8</v>
      </c>
      <c r="F912" s="1">
        <v>2.05E8</v>
      </c>
      <c r="G912" s="1">
        <v>2.23E8</v>
      </c>
      <c r="H912" s="1">
        <v>1.142E9</v>
      </c>
      <c r="I912" s="1">
        <v>2.288E9</v>
      </c>
      <c r="J912" s="1">
        <v>5.52E8</v>
      </c>
      <c r="K912" s="1">
        <v>5.52E8</v>
      </c>
      <c r="L912" s="1">
        <v>-1.01E8</v>
      </c>
      <c r="M912" s="1">
        <v>-1.8E7</v>
      </c>
      <c r="N912" s="1">
        <v>6.833E9</v>
      </c>
      <c r="O912" s="1">
        <v>6.281E9</v>
      </c>
      <c r="P912" s="1">
        <v>4.545E9</v>
      </c>
      <c r="Q912" s="1">
        <v>-3.47E8</v>
      </c>
      <c r="R912" s="1">
        <v>2.23E8</v>
      </c>
      <c r="S912" s="1">
        <v>2.23E8</v>
      </c>
    </row>
    <row r="913">
      <c r="A913" s="1">
        <v>911.0</v>
      </c>
      <c r="B913" s="3">
        <v>44135.0</v>
      </c>
      <c r="C913" s="1" t="s">
        <v>496</v>
      </c>
      <c r="D913" s="1" t="s">
        <v>497</v>
      </c>
      <c r="E913" s="1">
        <v>4.84E8</v>
      </c>
      <c r="F913" s="1">
        <v>1.25E8</v>
      </c>
      <c r="G913" s="1">
        <v>1.57E8</v>
      </c>
      <c r="H913" s="1">
        <v>1.126E9</v>
      </c>
      <c r="I913" s="1">
        <v>2.206E9</v>
      </c>
      <c r="J913" s="1">
        <v>5.02E8</v>
      </c>
      <c r="K913" s="1">
        <v>5.02E8</v>
      </c>
      <c r="L913" s="1">
        <v>-1.78E8</v>
      </c>
      <c r="M913" s="1">
        <v>-3.2E7</v>
      </c>
      <c r="N913" s="1">
        <v>7.208E9</v>
      </c>
      <c r="O913" s="1">
        <v>6.706E9</v>
      </c>
      <c r="P913" s="1">
        <v>5.002E9</v>
      </c>
      <c r="Q913" s="1">
        <v>-3.77E8</v>
      </c>
      <c r="R913" s="1">
        <v>1.57E8</v>
      </c>
      <c r="S913" s="1">
        <v>1.57E8</v>
      </c>
    </row>
    <row r="914">
      <c r="A914" s="1">
        <v>912.0</v>
      </c>
      <c r="B914" s="3">
        <v>44286.0</v>
      </c>
      <c r="C914" s="1" t="s">
        <v>498</v>
      </c>
      <c r="D914" s="1" t="s">
        <v>499</v>
      </c>
      <c r="F914" s="1">
        <v>-1.44E8</v>
      </c>
      <c r="G914" s="1">
        <v>-1.08E8</v>
      </c>
      <c r="H914" s="1">
        <v>9.8E7</v>
      </c>
      <c r="I914" s="1">
        <v>2.43E8</v>
      </c>
      <c r="J914" s="1">
        <v>2.0E7</v>
      </c>
      <c r="K914" s="1">
        <v>2.0E7</v>
      </c>
      <c r="L914" s="1">
        <v>-1.03E8</v>
      </c>
      <c r="M914" s="1">
        <v>-3.5E7</v>
      </c>
      <c r="N914" s="1">
        <v>3.53E8</v>
      </c>
      <c r="O914" s="1">
        <v>3.33E8</v>
      </c>
      <c r="P914" s="1">
        <v>1.1E8</v>
      </c>
      <c r="Q914" s="1">
        <v>-1.64E8</v>
      </c>
      <c r="R914" s="1">
        <v>-1.09E8</v>
      </c>
      <c r="S914" s="1">
        <v>-1.08E8</v>
      </c>
    </row>
    <row r="915">
      <c r="A915" s="1">
        <v>913.0</v>
      </c>
      <c r="B915" s="3">
        <v>44196.0</v>
      </c>
      <c r="C915" s="1" t="s">
        <v>498</v>
      </c>
      <c r="D915" s="1" t="s">
        <v>499</v>
      </c>
      <c r="F915" s="1">
        <v>-3.49E8</v>
      </c>
      <c r="G915" s="1">
        <v>-2.24E8</v>
      </c>
      <c r="H915" s="1">
        <v>1.27E8</v>
      </c>
      <c r="I915" s="1">
        <v>2.42E8</v>
      </c>
      <c r="J915" s="1">
        <v>1.02E8</v>
      </c>
      <c r="K915" s="1">
        <v>1.02E8</v>
      </c>
      <c r="L915" s="1">
        <v>-1.13E8</v>
      </c>
      <c r="M915" s="1">
        <v>-1.24E8</v>
      </c>
      <c r="N915" s="1">
        <v>3.84E8</v>
      </c>
      <c r="O915" s="1">
        <v>2.82E8</v>
      </c>
      <c r="P915" s="1">
        <v>1.42E8</v>
      </c>
      <c r="Q915" s="1">
        <v>-4.51E8</v>
      </c>
      <c r="R915" s="1">
        <v>-2.25E8</v>
      </c>
      <c r="S915" s="1">
        <v>-2.24E8</v>
      </c>
    </row>
    <row r="916">
      <c r="A916" s="1">
        <v>914.0</v>
      </c>
      <c r="B916" s="3">
        <v>44104.0</v>
      </c>
      <c r="C916" s="1" t="s">
        <v>498</v>
      </c>
      <c r="D916" s="1" t="s">
        <v>499</v>
      </c>
      <c r="F916" s="1">
        <v>-1.14E8</v>
      </c>
      <c r="G916" s="1">
        <v>-7.9E7</v>
      </c>
      <c r="H916" s="1">
        <v>6.9E7</v>
      </c>
      <c r="I916" s="1">
        <v>2.41E8</v>
      </c>
      <c r="J916" s="1">
        <v>1.7E7</v>
      </c>
      <c r="K916" s="1">
        <v>1.7E7</v>
      </c>
      <c r="L916" s="1">
        <v>-1.16E8</v>
      </c>
      <c r="M916" s="1">
        <v>-3.3E7</v>
      </c>
      <c r="N916" s="1">
        <v>3.85E8</v>
      </c>
      <c r="O916" s="1">
        <v>3.68E8</v>
      </c>
      <c r="P916" s="1">
        <v>1.44E8</v>
      </c>
      <c r="Q916" s="1">
        <v>-1.31E8</v>
      </c>
      <c r="R916" s="1">
        <v>-8.1E7</v>
      </c>
      <c r="S916" s="1">
        <v>-7.9E7</v>
      </c>
    </row>
    <row r="917">
      <c r="A917" s="1">
        <v>915.0</v>
      </c>
      <c r="B917" s="3">
        <v>44012.0</v>
      </c>
      <c r="C917" s="1" t="s">
        <v>498</v>
      </c>
      <c r="D917" s="1" t="s">
        <v>499</v>
      </c>
      <c r="F917" s="1">
        <v>-4.44E8</v>
      </c>
      <c r="G917" s="1">
        <v>-4.3E8</v>
      </c>
      <c r="H917" s="1">
        <v>6.6E7</v>
      </c>
      <c r="I917" s="1">
        <v>8.1E7</v>
      </c>
      <c r="J917" s="1">
        <v>-2.52E8</v>
      </c>
      <c r="K917" s="1">
        <v>-2.52E8</v>
      </c>
      <c r="L917" s="1">
        <v>-1.06E8</v>
      </c>
      <c r="M917" s="1">
        <v>-1.2E7</v>
      </c>
      <c r="N917" s="1">
        <v>1.76E8</v>
      </c>
      <c r="O917" s="1">
        <v>4.28E8</v>
      </c>
      <c r="P917" s="1">
        <v>9.5E7</v>
      </c>
      <c r="Q917" s="1">
        <v>-1.92E8</v>
      </c>
      <c r="R917" s="1">
        <v>-4.32E8</v>
      </c>
      <c r="S917" s="1">
        <v>-4.3E8</v>
      </c>
    </row>
    <row r="918">
      <c r="A918" s="1">
        <v>916.0</v>
      </c>
      <c r="B918" s="3">
        <v>44373.0</v>
      </c>
      <c r="C918" s="1" t="s">
        <v>500</v>
      </c>
      <c r="D918" s="1" t="s">
        <v>501</v>
      </c>
      <c r="E918" s="1">
        <v>6.9E7</v>
      </c>
      <c r="F918" s="1">
        <v>3.375E8</v>
      </c>
      <c r="G918" s="1">
        <v>2.684E8</v>
      </c>
      <c r="H918" s="1">
        <v>2.6E8</v>
      </c>
      <c r="I918" s="1">
        <v>7.697E8</v>
      </c>
      <c r="J918" s="1">
        <v>3.622E8</v>
      </c>
      <c r="K918" s="1">
        <v>3.622E8</v>
      </c>
      <c r="L918" s="1">
        <v>-2.16E7</v>
      </c>
      <c r="M918" s="1">
        <v>6.94E7</v>
      </c>
      <c r="N918" s="1">
        <v>1.1683E9</v>
      </c>
      <c r="O918" s="1">
        <v>8.061E8</v>
      </c>
      <c r="P918" s="1">
        <v>3.986E8</v>
      </c>
      <c r="Q918" s="1">
        <v>-2.47E7</v>
      </c>
      <c r="R918" s="1">
        <v>2.681E8</v>
      </c>
      <c r="S918" s="1">
        <v>2.684E8</v>
      </c>
    </row>
    <row r="919">
      <c r="A919" s="1">
        <v>917.0</v>
      </c>
      <c r="B919" s="3">
        <v>44282.0</v>
      </c>
      <c r="C919" s="1" t="s">
        <v>500</v>
      </c>
      <c r="D919" s="1" t="s">
        <v>501</v>
      </c>
      <c r="E919" s="1">
        <v>7.15E7</v>
      </c>
      <c r="F919" s="1">
        <v>7.805E8</v>
      </c>
      <c r="G919" s="1">
        <v>6.199E8</v>
      </c>
      <c r="H919" s="1">
        <v>2.204E8</v>
      </c>
      <c r="I919" s="1">
        <v>1.1526E9</v>
      </c>
      <c r="J919" s="1">
        <v>7.86E8</v>
      </c>
      <c r="K919" s="1">
        <v>7.86E8</v>
      </c>
      <c r="L919" s="1">
        <v>-2.13E7</v>
      </c>
      <c r="M919" s="1">
        <v>1.611E8</v>
      </c>
      <c r="N919" s="1">
        <v>1.5376E9</v>
      </c>
      <c r="O919" s="1">
        <v>7.516E8</v>
      </c>
      <c r="P919" s="1">
        <v>3.85E8</v>
      </c>
      <c r="Q919" s="1">
        <v>-5500000.0</v>
      </c>
      <c r="R919" s="1">
        <v>6.194E8</v>
      </c>
      <c r="S919" s="1">
        <v>6.199E8</v>
      </c>
    </row>
    <row r="920">
      <c r="A920" s="1">
        <v>918.0</v>
      </c>
      <c r="B920" s="3">
        <v>44191.0</v>
      </c>
      <c r="C920" s="1" t="s">
        <v>500</v>
      </c>
      <c r="D920" s="1" t="s">
        <v>501</v>
      </c>
      <c r="E920" s="1">
        <v>5.93E7</v>
      </c>
      <c r="F920" s="1">
        <v>8.324E8</v>
      </c>
      <c r="G920" s="1">
        <v>6.544E8</v>
      </c>
      <c r="H920" s="1">
        <v>2.195E8</v>
      </c>
      <c r="I920" s="1">
        <v>1.243E9</v>
      </c>
      <c r="J920" s="1">
        <v>8.925E8</v>
      </c>
      <c r="K920" s="1">
        <v>8.925E8</v>
      </c>
      <c r="L920" s="1">
        <v>-2.81E7</v>
      </c>
      <c r="M920" s="1">
        <v>1.79E8</v>
      </c>
      <c r="N920" s="1">
        <v>1.6098E9</v>
      </c>
      <c r="O920" s="1">
        <v>7.173E8</v>
      </c>
      <c r="P920" s="1">
        <v>3.668E8</v>
      </c>
      <c r="Q920" s="1">
        <v>-6.01E7</v>
      </c>
      <c r="R920" s="1">
        <v>6.534E8</v>
      </c>
      <c r="S920" s="1">
        <v>6.544E8</v>
      </c>
    </row>
    <row r="921">
      <c r="A921" s="1">
        <v>919.0</v>
      </c>
      <c r="B921" s="3">
        <v>44100.0</v>
      </c>
      <c r="C921" s="1" t="s">
        <v>500</v>
      </c>
      <c r="D921" s="1" t="s">
        <v>501</v>
      </c>
      <c r="E921" s="1">
        <v>5.7E7</v>
      </c>
      <c r="F921" s="1">
        <v>6.171E8</v>
      </c>
      <c r="G921" s="1">
        <v>4.949E8</v>
      </c>
      <c r="H921" s="1">
        <v>2.242E8</v>
      </c>
      <c r="I921" s="1">
        <v>1.0024E9</v>
      </c>
      <c r="J921" s="1">
        <v>6.501E8</v>
      </c>
      <c r="K921" s="1">
        <v>6.501E8</v>
      </c>
      <c r="L921" s="1">
        <v>-2.5E7</v>
      </c>
      <c r="M921" s="1">
        <v>1.235E8</v>
      </c>
      <c r="N921" s="1">
        <v>1.3469E9</v>
      </c>
      <c r="O921" s="1">
        <v>6.968E8</v>
      </c>
      <c r="P921" s="1">
        <v>3.445E8</v>
      </c>
      <c r="Q921" s="1">
        <v>-3.3E7</v>
      </c>
      <c r="R921" s="1">
        <v>4.936E8</v>
      </c>
      <c r="S921" s="1">
        <v>4.949E8</v>
      </c>
    </row>
    <row r="922">
      <c r="A922" s="1">
        <v>920.0</v>
      </c>
      <c r="B922" s="3">
        <v>44409.0</v>
      </c>
      <c r="C922" s="1" t="s">
        <v>502</v>
      </c>
      <c r="D922" s="1" t="s">
        <v>503</v>
      </c>
      <c r="F922" s="1">
        <v>6.318E9</v>
      </c>
      <c r="G922" s="1">
        <v>4.807E9</v>
      </c>
      <c r="H922" s="1">
        <v>6.409E9</v>
      </c>
      <c r="I922" s="1">
        <v>1.3665E10</v>
      </c>
      <c r="J922" s="1">
        <v>6.663E9</v>
      </c>
      <c r="K922" s="1">
        <v>6.663E9</v>
      </c>
      <c r="L922" s="1">
        <v>-3.26E8</v>
      </c>
      <c r="M922" s="1">
        <v>1.511E9</v>
      </c>
      <c r="N922" s="1">
        <v>4.1118E10</v>
      </c>
      <c r="O922" s="1">
        <v>3.4455E10</v>
      </c>
      <c r="P922" s="1">
        <v>2.7453E10</v>
      </c>
      <c r="Q922" s="1">
        <v>-3.45E8</v>
      </c>
      <c r="R922" s="1">
        <v>4.807E9</v>
      </c>
      <c r="S922" s="1">
        <v>4.807E9</v>
      </c>
    </row>
    <row r="923">
      <c r="A923" s="1">
        <v>921.0</v>
      </c>
      <c r="B923" s="3">
        <v>44318.0</v>
      </c>
      <c r="C923" s="1" t="s">
        <v>502</v>
      </c>
      <c r="D923" s="1" t="s">
        <v>503</v>
      </c>
      <c r="F923" s="1">
        <v>5.448E9</v>
      </c>
      <c r="G923" s="1">
        <v>4.145E9</v>
      </c>
      <c r="H923" s="1">
        <v>6.296E9</v>
      </c>
      <c r="I923" s="1">
        <v>1.2742E10</v>
      </c>
      <c r="J923" s="1">
        <v>5.859E9</v>
      </c>
      <c r="K923" s="1">
        <v>5.859E9</v>
      </c>
      <c r="L923" s="1">
        <v>-3.39E8</v>
      </c>
      <c r="M923" s="1">
        <v>1.303E9</v>
      </c>
      <c r="N923" s="1">
        <v>3.75E10</v>
      </c>
      <c r="O923" s="1">
        <v>3.1641E10</v>
      </c>
      <c r="P923" s="1">
        <v>2.4758E10</v>
      </c>
      <c r="Q923" s="1">
        <v>-4.11E8</v>
      </c>
      <c r="R923" s="1">
        <v>4.145E9</v>
      </c>
      <c r="S923" s="1">
        <v>4.145E9</v>
      </c>
    </row>
    <row r="924">
      <c r="A924" s="1">
        <v>922.0</v>
      </c>
      <c r="B924" s="3">
        <v>44227.0</v>
      </c>
      <c r="C924" s="1" t="s">
        <v>502</v>
      </c>
      <c r="D924" s="1" t="s">
        <v>503</v>
      </c>
      <c r="F924" s="1">
        <v>3.756E9</v>
      </c>
      <c r="G924" s="1">
        <v>2.857E9</v>
      </c>
      <c r="H924" s="1">
        <v>5.722E9</v>
      </c>
      <c r="I924" s="1">
        <v>1.0831E10</v>
      </c>
      <c r="J924" s="1">
        <v>4.548E9</v>
      </c>
      <c r="K924" s="1">
        <v>4.548E9</v>
      </c>
      <c r="L924" s="1">
        <v>-3.37E8</v>
      </c>
      <c r="M924" s="1">
        <v>8.99E8</v>
      </c>
      <c r="N924" s="1">
        <v>3.2261E10</v>
      </c>
      <c r="O924" s="1">
        <v>2.7713E10</v>
      </c>
      <c r="P924" s="1">
        <v>2.143E10</v>
      </c>
      <c r="Q924" s="1">
        <v>-7.92E8</v>
      </c>
      <c r="R924" s="1">
        <v>2.857E9</v>
      </c>
      <c r="S924" s="1">
        <v>2.857E9</v>
      </c>
    </row>
    <row r="925">
      <c r="A925" s="1">
        <v>923.0</v>
      </c>
      <c r="B925" s="3">
        <v>44136.0</v>
      </c>
      <c r="C925" s="1" t="s">
        <v>502</v>
      </c>
      <c r="D925" s="1" t="s">
        <v>503</v>
      </c>
      <c r="F925" s="1">
        <v>4.523E9</v>
      </c>
      <c r="G925" s="1">
        <v>3.432E9</v>
      </c>
      <c r="H925" s="1">
        <v>5.663E9</v>
      </c>
      <c r="I925" s="1">
        <v>1.1456E10</v>
      </c>
      <c r="J925" s="1">
        <v>5.265E9</v>
      </c>
      <c r="K925" s="1">
        <v>5.265E9</v>
      </c>
      <c r="L925" s="1">
        <v>-3.4E8</v>
      </c>
      <c r="M925" s="1">
        <v>1.091E9</v>
      </c>
      <c r="N925" s="1">
        <v>3.3536E10</v>
      </c>
      <c r="O925" s="1">
        <v>2.8271E10</v>
      </c>
      <c r="P925" s="1">
        <v>2.208E10</v>
      </c>
      <c r="Q925" s="1">
        <v>-7.42E8</v>
      </c>
      <c r="R925" s="1">
        <v>3.432E9</v>
      </c>
      <c r="S925" s="1">
        <v>3.432E9</v>
      </c>
    </row>
    <row r="926">
      <c r="A926" s="1">
        <v>924.0</v>
      </c>
      <c r="B926" s="3">
        <v>44377.0</v>
      </c>
      <c r="C926" s="1" t="s">
        <v>504</v>
      </c>
      <c r="D926" s="1" t="s">
        <v>505</v>
      </c>
      <c r="F926" s="1">
        <v>1.881E9</v>
      </c>
      <c r="G926" s="1">
        <v>1.43E9</v>
      </c>
      <c r="H926" s="1">
        <v>8.8E8</v>
      </c>
      <c r="I926" s="1">
        <v>2.805E9</v>
      </c>
      <c r="J926" s="1">
        <v>1.925E9</v>
      </c>
      <c r="K926" s="1">
        <v>1.925E9</v>
      </c>
      <c r="L926" s="1">
        <v>-7.9E7</v>
      </c>
      <c r="M926" s="1">
        <v>4.34E8</v>
      </c>
      <c r="N926" s="1">
        <v>8.808E9</v>
      </c>
      <c r="O926" s="1">
        <v>6.883E9</v>
      </c>
      <c r="P926" s="1">
        <v>6.003E9</v>
      </c>
      <c r="Q926" s="1">
        <v>-4.4E7</v>
      </c>
      <c r="R926" s="1">
        <v>1.447E9</v>
      </c>
      <c r="S926" s="1">
        <v>1.43E9</v>
      </c>
    </row>
    <row r="927">
      <c r="A927" s="1">
        <v>925.0</v>
      </c>
      <c r="B927" s="3">
        <v>44286.0</v>
      </c>
      <c r="C927" s="1" t="s">
        <v>504</v>
      </c>
      <c r="D927" s="1" t="s">
        <v>505</v>
      </c>
      <c r="F927" s="1">
        <v>1.861E9</v>
      </c>
      <c r="G927" s="1">
        <v>1.427E9</v>
      </c>
      <c r="H927" s="1">
        <v>9.09E8</v>
      </c>
      <c r="I927" s="1">
        <v>2.745E9</v>
      </c>
      <c r="J927" s="1">
        <v>1.836E9</v>
      </c>
      <c r="K927" s="1">
        <v>1.836E9</v>
      </c>
      <c r="L927" s="1">
        <v>-9.0E7</v>
      </c>
      <c r="M927" s="1">
        <v>4.13E8</v>
      </c>
      <c r="N927" s="1">
        <v>8.454E9</v>
      </c>
      <c r="O927" s="1">
        <v>6.618E9</v>
      </c>
      <c r="P927" s="1">
        <v>5.709E9</v>
      </c>
      <c r="Q927" s="1">
        <v>2.5E7</v>
      </c>
      <c r="R927" s="1">
        <v>1.448E9</v>
      </c>
      <c r="S927" s="1">
        <v>1.427E9</v>
      </c>
    </row>
    <row r="928">
      <c r="A928" s="1">
        <v>926.0</v>
      </c>
      <c r="B928" s="3">
        <v>44196.0</v>
      </c>
      <c r="C928" s="1" t="s">
        <v>504</v>
      </c>
      <c r="D928" s="1" t="s">
        <v>505</v>
      </c>
      <c r="F928" s="1">
        <v>1.71E9</v>
      </c>
      <c r="G928" s="1">
        <v>1.359E9</v>
      </c>
      <c r="H928" s="1">
        <v>1.041E9</v>
      </c>
      <c r="I928" s="1">
        <v>2.924E9</v>
      </c>
      <c r="J928" s="1">
        <v>1.883E9</v>
      </c>
      <c r="K928" s="1">
        <v>1.883E9</v>
      </c>
      <c r="L928" s="1">
        <v>-9.5E7</v>
      </c>
      <c r="M928" s="1">
        <v>3.31E8</v>
      </c>
      <c r="N928" s="1">
        <v>8.9E9</v>
      </c>
      <c r="O928" s="1">
        <v>7.017E9</v>
      </c>
      <c r="P928" s="1">
        <v>5.976E9</v>
      </c>
      <c r="Q928" s="1">
        <v>-1.73E8</v>
      </c>
      <c r="R928" s="1">
        <v>1.379E9</v>
      </c>
      <c r="S928" s="1">
        <v>1.359E9</v>
      </c>
    </row>
    <row r="929">
      <c r="A929" s="1">
        <v>927.0</v>
      </c>
      <c r="B929" s="3">
        <v>44104.0</v>
      </c>
      <c r="C929" s="1" t="s">
        <v>504</v>
      </c>
      <c r="D929" s="1" t="s">
        <v>505</v>
      </c>
      <c r="F929" s="1">
        <v>1.148E9</v>
      </c>
      <c r="G929" s="1">
        <v>7.58E8</v>
      </c>
      <c r="H929" s="1">
        <v>8.52E8</v>
      </c>
      <c r="I929" s="1">
        <v>2.414E9</v>
      </c>
      <c r="J929" s="1">
        <v>1.562E9</v>
      </c>
      <c r="K929" s="1">
        <v>1.562E9</v>
      </c>
      <c r="L929" s="1">
        <v>-1.01E8</v>
      </c>
      <c r="M929" s="1">
        <v>3.67E8</v>
      </c>
      <c r="N929" s="1">
        <v>7.797E9</v>
      </c>
      <c r="O929" s="1">
        <v>6.235E9</v>
      </c>
      <c r="P929" s="1">
        <v>5.383E9</v>
      </c>
      <c r="Q929" s="1">
        <v>-4.14E8</v>
      </c>
      <c r="R929" s="1">
        <v>7.81E8</v>
      </c>
      <c r="S929" s="1">
        <v>7.58E8</v>
      </c>
    </row>
    <row r="930">
      <c r="A930" s="1">
        <v>928.0</v>
      </c>
      <c r="B930" s="3">
        <v>44402.0</v>
      </c>
      <c r="C930" s="1" t="s">
        <v>506</v>
      </c>
      <c r="D930" s="1" t="s">
        <v>507</v>
      </c>
      <c r="F930" s="1">
        <v>2.04238E8</v>
      </c>
      <c r="G930" s="1">
        <v>1.76917E8</v>
      </c>
      <c r="H930" s="1">
        <v>1.98822E8</v>
      </c>
      <c r="I930" s="1">
        <v>4.38248E8</v>
      </c>
      <c r="J930" s="1">
        <v>2.39426E8</v>
      </c>
      <c r="K930" s="1">
        <v>2.39426E8</v>
      </c>
      <c r="L930" s="1">
        <v>-1.1703E7</v>
      </c>
      <c r="M930" s="1">
        <v>2.7164E7</v>
      </c>
      <c r="N930" s="1">
        <v>2.86367E9</v>
      </c>
      <c r="O930" s="1">
        <v>2.624244E9</v>
      </c>
      <c r="P930" s="1">
        <v>2.425422E9</v>
      </c>
      <c r="Q930" s="1">
        <v>-3.5188E7</v>
      </c>
      <c r="R930" s="1">
        <v>1.77074E8</v>
      </c>
      <c r="S930" s="1">
        <v>1.76917E8</v>
      </c>
    </row>
    <row r="931">
      <c r="A931" s="1">
        <v>929.0</v>
      </c>
      <c r="B931" s="3">
        <v>44311.0</v>
      </c>
      <c r="C931" s="1" t="s">
        <v>506</v>
      </c>
      <c r="D931" s="1" t="s">
        <v>507</v>
      </c>
      <c r="F931" s="1">
        <v>2.92621E8</v>
      </c>
      <c r="G931" s="1">
        <v>2.27901E8</v>
      </c>
      <c r="H931" s="1">
        <v>1.99966E8</v>
      </c>
      <c r="I931" s="1">
        <v>4.82307E8</v>
      </c>
      <c r="J931" s="1">
        <v>2.82341E8</v>
      </c>
      <c r="K931" s="1">
        <v>2.82341E8</v>
      </c>
      <c r="L931" s="1">
        <v>-7788000.0</v>
      </c>
      <c r="M931" s="1">
        <v>6.4699E7</v>
      </c>
      <c r="N931" s="1">
        <v>2.606621E9</v>
      </c>
      <c r="O931" s="1">
        <v>2.32428E9</v>
      </c>
      <c r="P931" s="1">
        <v>2.124314E9</v>
      </c>
      <c r="Q931" s="1">
        <v>1.028E7</v>
      </c>
      <c r="R931" s="1">
        <v>2.27922E8</v>
      </c>
      <c r="S931" s="1">
        <v>2.27901E8</v>
      </c>
    </row>
    <row r="932">
      <c r="A932" s="1">
        <v>930.0</v>
      </c>
      <c r="B932" s="3">
        <v>44220.0</v>
      </c>
      <c r="C932" s="1" t="s">
        <v>506</v>
      </c>
      <c r="D932" s="1" t="s">
        <v>507</v>
      </c>
      <c r="F932" s="1">
        <v>2.77082E8</v>
      </c>
      <c r="G932" s="1">
        <v>2.22283E8</v>
      </c>
      <c r="H932" s="1">
        <v>1.9638E8</v>
      </c>
      <c r="I932" s="1">
        <v>4.6517E8</v>
      </c>
      <c r="J932" s="1">
        <v>2.6879E8</v>
      </c>
      <c r="K932" s="1">
        <v>2.6879E8</v>
      </c>
      <c r="L932" s="1">
        <v>-8227000.0</v>
      </c>
      <c r="M932" s="1">
        <v>5.4687E7</v>
      </c>
      <c r="N932" s="1">
        <v>2.461147E9</v>
      </c>
      <c r="O932" s="1">
        <v>2.192357E9</v>
      </c>
      <c r="P932" s="1">
        <v>1.995977E9</v>
      </c>
      <c r="Q932" s="1">
        <v>8292000.0</v>
      </c>
      <c r="R932" s="1">
        <v>2.22395E8</v>
      </c>
      <c r="S932" s="1">
        <v>2.22283E8</v>
      </c>
    </row>
    <row r="933">
      <c r="A933" s="1">
        <v>931.0</v>
      </c>
      <c r="B933" s="3">
        <v>44129.0</v>
      </c>
      <c r="C933" s="1" t="s">
        <v>506</v>
      </c>
      <c r="D933" s="1" t="s">
        <v>507</v>
      </c>
      <c r="E933" s="1">
        <v>3.19E7</v>
      </c>
      <c r="F933" s="1">
        <v>2.78732E8</v>
      </c>
      <c r="G933" s="1">
        <v>2.34356E8</v>
      </c>
      <c r="H933" s="1">
        <v>1.58897E8</v>
      </c>
      <c r="I933" s="1">
        <v>5.37765E8</v>
      </c>
      <c r="J933" s="1">
        <v>3.46968E8</v>
      </c>
      <c r="K933" s="1">
        <v>3.46968E8</v>
      </c>
      <c r="L933" s="1">
        <v>-8271000.0</v>
      </c>
      <c r="M933" s="1">
        <v>4.4207E7</v>
      </c>
      <c r="N933" s="1">
        <v>2.420105E9</v>
      </c>
      <c r="O933" s="1">
        <v>2.073137E9</v>
      </c>
      <c r="P933" s="1">
        <v>1.88234E9</v>
      </c>
      <c r="Q933" s="1">
        <v>-6.8236E7</v>
      </c>
      <c r="R933" s="1">
        <v>2.34525E8</v>
      </c>
      <c r="S933" s="1">
        <v>2.34356E8</v>
      </c>
    </row>
    <row r="934">
      <c r="A934" s="1">
        <v>932.0</v>
      </c>
      <c r="B934" s="3">
        <v>44286.0</v>
      </c>
      <c r="C934" s="1" t="s">
        <v>508</v>
      </c>
      <c r="D934" s="1" t="s">
        <v>509</v>
      </c>
      <c r="F934" s="1">
        <v>-1.99E8</v>
      </c>
      <c r="G934" s="1">
        <v>-1.52E8</v>
      </c>
      <c r="H934" s="1">
        <v>2.4E7</v>
      </c>
      <c r="I934" s="1">
        <v>3.0E7</v>
      </c>
      <c r="J934" s="1">
        <v>-1.59E8</v>
      </c>
      <c r="K934" s="1">
        <v>-1.59E8</v>
      </c>
      <c r="L934" s="1">
        <v>-4.2E7</v>
      </c>
      <c r="M934" s="1">
        <v>-4.6E7</v>
      </c>
      <c r="N934" s="1">
        <v>4.08E8</v>
      </c>
      <c r="O934" s="1">
        <v>5.67E8</v>
      </c>
      <c r="P934" s="1">
        <v>3.78E8</v>
      </c>
      <c r="Q934" s="1">
        <v>-4.0E7</v>
      </c>
      <c r="R934" s="1">
        <v>-1.53E8</v>
      </c>
      <c r="S934" s="1">
        <v>-1.52E8</v>
      </c>
    </row>
    <row r="935">
      <c r="A935" s="1">
        <v>933.0</v>
      </c>
      <c r="B935" s="3">
        <v>44196.0</v>
      </c>
      <c r="C935" s="1" t="s">
        <v>508</v>
      </c>
      <c r="D935" s="1" t="s">
        <v>509</v>
      </c>
      <c r="F935" s="1">
        <v>-1.3E8</v>
      </c>
      <c r="G935" s="1">
        <v>-6.4E7</v>
      </c>
      <c r="H935" s="1">
        <v>2.1E7</v>
      </c>
      <c r="I935" s="1">
        <v>-6.6E7</v>
      </c>
      <c r="J935" s="1">
        <v>-2.54E8</v>
      </c>
      <c r="K935" s="1">
        <v>-2.54E8</v>
      </c>
      <c r="L935" s="1">
        <v>-5.1E7</v>
      </c>
      <c r="M935" s="1">
        <v>-6.4E7</v>
      </c>
      <c r="N935" s="1">
        <v>2.63E8</v>
      </c>
      <c r="O935" s="1">
        <v>5.17E8</v>
      </c>
      <c r="P935" s="1">
        <v>3.29E8</v>
      </c>
      <c r="Q935" s="1">
        <v>1.24E8</v>
      </c>
      <c r="R935" s="1">
        <v>-6.6E7</v>
      </c>
      <c r="S935" s="1">
        <v>-6.4E7</v>
      </c>
    </row>
    <row r="936">
      <c r="A936" s="1">
        <v>934.0</v>
      </c>
      <c r="B936" s="3">
        <v>44104.0</v>
      </c>
      <c r="C936" s="1" t="s">
        <v>508</v>
      </c>
      <c r="D936" s="1" t="s">
        <v>509</v>
      </c>
      <c r="F936" s="1">
        <v>-3.89E8</v>
      </c>
      <c r="G936" s="1">
        <v>-3.13E8</v>
      </c>
      <c r="H936" s="1">
        <v>1.8E7</v>
      </c>
      <c r="I936" s="1">
        <v>-9.6E7</v>
      </c>
      <c r="J936" s="1">
        <v>-2.8E8</v>
      </c>
      <c r="K936" s="1">
        <v>-2.8E8</v>
      </c>
      <c r="L936" s="1">
        <v>-6.6E7</v>
      </c>
      <c r="M936" s="1">
        <v>-7.3E7</v>
      </c>
      <c r="N936" s="1">
        <v>1.93E8</v>
      </c>
      <c r="O936" s="1">
        <v>4.73E8</v>
      </c>
      <c r="P936" s="1">
        <v>2.89E8</v>
      </c>
      <c r="Q936" s="1">
        <v>-1.09E8</v>
      </c>
      <c r="R936" s="1">
        <v>-3.16E8</v>
      </c>
      <c r="S936" s="1">
        <v>-3.13E8</v>
      </c>
    </row>
    <row r="937">
      <c r="A937" s="1">
        <v>935.0</v>
      </c>
      <c r="B937" s="3">
        <v>44012.0</v>
      </c>
      <c r="C937" s="1" t="s">
        <v>508</v>
      </c>
      <c r="D937" s="1" t="s">
        <v>509</v>
      </c>
      <c r="F937" s="1">
        <v>-4.02E8</v>
      </c>
      <c r="G937" s="1">
        <v>-3.52E8</v>
      </c>
      <c r="H937" s="1">
        <v>2.5E7</v>
      </c>
      <c r="I937" s="1">
        <v>-1.85E8</v>
      </c>
      <c r="J937" s="1">
        <v>-3.78E8</v>
      </c>
      <c r="K937" s="1">
        <v>-3.78E8</v>
      </c>
      <c r="L937" s="1">
        <v>-4.0E7</v>
      </c>
      <c r="M937" s="1">
        <v>-4.6E7</v>
      </c>
      <c r="N937" s="1">
        <v>7.8E7</v>
      </c>
      <c r="O937" s="1">
        <v>4.56E8</v>
      </c>
      <c r="P937" s="1">
        <v>2.63E8</v>
      </c>
      <c r="Q937" s="1">
        <v>-2.4E7</v>
      </c>
      <c r="R937" s="1">
        <v>-3.56E8</v>
      </c>
      <c r="S937" s="1">
        <v>-3.52E8</v>
      </c>
    </row>
    <row r="938">
      <c r="A938" s="1">
        <v>936.0</v>
      </c>
      <c r="B938" s="3">
        <v>44286.0</v>
      </c>
      <c r="C938" s="1" t="s">
        <v>510</v>
      </c>
      <c r="D938" s="1" t="s">
        <v>511</v>
      </c>
      <c r="G938" s="1">
        <v>0.0</v>
      </c>
      <c r="I938" s="1">
        <v>0.0</v>
      </c>
      <c r="J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</row>
    <row r="939">
      <c r="A939" s="1">
        <v>937.0</v>
      </c>
      <c r="B939" s="3">
        <v>44196.0</v>
      </c>
      <c r="C939" s="1" t="s">
        <v>510</v>
      </c>
      <c r="D939" s="1" t="s">
        <v>511</v>
      </c>
      <c r="E939" s="1">
        <v>4000000.0</v>
      </c>
      <c r="F939" s="1">
        <v>7.1E7</v>
      </c>
      <c r="G939" s="1">
        <v>1.06E8</v>
      </c>
      <c r="H939" s="1">
        <v>5.8E7</v>
      </c>
      <c r="I939" s="1">
        <v>4.07E8</v>
      </c>
      <c r="J939" s="1">
        <v>2.78E8</v>
      </c>
      <c r="K939" s="1">
        <v>2.78E8</v>
      </c>
      <c r="L939" s="1">
        <v>-1.56E8</v>
      </c>
      <c r="M939" s="1">
        <v>-3.5E7</v>
      </c>
      <c r="N939" s="1">
        <v>1.238E9</v>
      </c>
      <c r="O939" s="1">
        <v>9.6E8</v>
      </c>
      <c r="P939" s="1">
        <v>8.31E8</v>
      </c>
      <c r="Q939" s="1">
        <v>-2.07E8</v>
      </c>
      <c r="R939" s="1">
        <v>1.06E8</v>
      </c>
      <c r="S939" s="1">
        <v>1.06E8</v>
      </c>
    </row>
    <row r="940">
      <c r="A940" s="1">
        <v>938.0</v>
      </c>
      <c r="B940" s="3">
        <v>44104.0</v>
      </c>
      <c r="C940" s="1" t="s">
        <v>510</v>
      </c>
      <c r="D940" s="1" t="s">
        <v>511</v>
      </c>
      <c r="E940" s="1">
        <v>5000000.0</v>
      </c>
      <c r="F940" s="1">
        <v>-1.2E7</v>
      </c>
      <c r="G940" s="1">
        <v>3.6E7</v>
      </c>
      <c r="H940" s="1">
        <v>7.4E7</v>
      </c>
      <c r="I940" s="1">
        <v>2.41E8</v>
      </c>
      <c r="J940" s="1">
        <v>9.4E7</v>
      </c>
      <c r="K940" s="1">
        <v>9.4E7</v>
      </c>
      <c r="L940" s="1">
        <v>-7.7E7</v>
      </c>
      <c r="M940" s="1">
        <v>-4.8E7</v>
      </c>
      <c r="N940" s="1">
        <v>1.134E9</v>
      </c>
      <c r="O940" s="1">
        <v>1.04E9</v>
      </c>
      <c r="P940" s="1">
        <v>8.93E8</v>
      </c>
      <c r="Q940" s="1">
        <v>-1.06E8</v>
      </c>
      <c r="R940" s="1">
        <v>3.6E7</v>
      </c>
      <c r="S940" s="1">
        <v>3.5E7</v>
      </c>
    </row>
    <row r="941">
      <c r="A941" s="1">
        <v>939.0</v>
      </c>
      <c r="B941" s="3">
        <v>44012.0</v>
      </c>
      <c r="C941" s="1" t="s">
        <v>510</v>
      </c>
      <c r="D941" s="1" t="s">
        <v>511</v>
      </c>
      <c r="E941" s="1">
        <v>4000000.0</v>
      </c>
      <c r="F941" s="1">
        <v>-8.6E7</v>
      </c>
      <c r="G941" s="1">
        <v>-9.6E7</v>
      </c>
      <c r="H941" s="1">
        <v>7.9E7</v>
      </c>
      <c r="I941" s="1">
        <v>3.34E8</v>
      </c>
      <c r="J941" s="1">
        <v>1.78E8</v>
      </c>
      <c r="K941" s="1">
        <v>1.78E8</v>
      </c>
      <c r="L941" s="1">
        <v>-1.44E8</v>
      </c>
      <c r="M941" s="1">
        <v>-2000000.0</v>
      </c>
      <c r="N941" s="1">
        <v>1.253E9</v>
      </c>
      <c r="O941" s="1">
        <v>1.075E9</v>
      </c>
      <c r="P941" s="1">
        <v>9.19E8</v>
      </c>
      <c r="Q941" s="1">
        <v>-2.64E8</v>
      </c>
      <c r="R941" s="1">
        <v>-8.4E7</v>
      </c>
      <c r="S941" s="1">
        <v>-9.6E7</v>
      </c>
    </row>
    <row r="942">
      <c r="A942" s="1">
        <v>940.0</v>
      </c>
      <c r="B942" s="3">
        <v>44408.0</v>
      </c>
      <c r="C942" s="1" t="s">
        <v>512</v>
      </c>
      <c r="D942" s="1" t="s">
        <v>513</v>
      </c>
      <c r="E942" s="1">
        <v>4.77E8</v>
      </c>
      <c r="F942" s="1">
        <v>1.326E9</v>
      </c>
      <c r="G942" s="1">
        <v>1.108E9</v>
      </c>
      <c r="H942" s="1">
        <v>1.408E9</v>
      </c>
      <c r="I942" s="1">
        <v>3.388E9</v>
      </c>
      <c r="J942" s="1">
        <v>1.461E9</v>
      </c>
      <c r="K942" s="1">
        <v>1.461E9</v>
      </c>
      <c r="L942" s="1">
        <v>-5.5E7</v>
      </c>
      <c r="M942" s="1">
        <v>2.18E8</v>
      </c>
      <c r="N942" s="1">
        <v>1.5289E10</v>
      </c>
      <c r="O942" s="1">
        <v>1.3828E10</v>
      </c>
      <c r="P942" s="1">
        <v>1.1901E10</v>
      </c>
      <c r="Q942" s="1">
        <v>-1.35E8</v>
      </c>
      <c r="R942" s="1">
        <v>1.108E9</v>
      </c>
      <c r="S942" s="1">
        <v>1.108E9</v>
      </c>
    </row>
    <row r="943">
      <c r="A943" s="1">
        <v>941.0</v>
      </c>
      <c r="B943" s="3">
        <v>44316.0</v>
      </c>
      <c r="C943" s="1" t="s">
        <v>512</v>
      </c>
      <c r="D943" s="1" t="s">
        <v>513</v>
      </c>
      <c r="E943" s="1">
        <v>5.14E8</v>
      </c>
      <c r="F943" s="1">
        <v>1.336E9</v>
      </c>
      <c r="G943" s="1">
        <v>1.228E9</v>
      </c>
      <c r="H943" s="1">
        <v>1.441E9</v>
      </c>
      <c r="I943" s="1">
        <v>3.44E9</v>
      </c>
      <c r="J943" s="1">
        <v>1.453E9</v>
      </c>
      <c r="K943" s="1">
        <v>1.453E9</v>
      </c>
      <c r="L943" s="1">
        <v>-6.4E7</v>
      </c>
      <c r="M943" s="1">
        <v>1.08E8</v>
      </c>
      <c r="N943" s="1">
        <v>1.5877E10</v>
      </c>
      <c r="O943" s="1">
        <v>1.4424E10</v>
      </c>
      <c r="P943" s="1">
        <v>1.2437E10</v>
      </c>
      <c r="Q943" s="1">
        <v>-1.17E8</v>
      </c>
      <c r="R943" s="1">
        <v>1.228E9</v>
      </c>
      <c r="S943" s="1">
        <v>1.228E9</v>
      </c>
    </row>
    <row r="944">
      <c r="A944" s="1">
        <v>942.0</v>
      </c>
      <c r="B944" s="3">
        <v>44227.0</v>
      </c>
      <c r="C944" s="1" t="s">
        <v>512</v>
      </c>
      <c r="D944" s="1" t="s">
        <v>513</v>
      </c>
      <c r="E944" s="1">
        <v>4.71E8</v>
      </c>
      <c r="F944" s="1">
        <v>1.296E9</v>
      </c>
      <c r="G944" s="1">
        <v>1.068E9</v>
      </c>
      <c r="H944" s="1">
        <v>1.336E9</v>
      </c>
      <c r="I944" s="1">
        <v>3.324E9</v>
      </c>
      <c r="J944" s="1">
        <v>1.488E9</v>
      </c>
      <c r="K944" s="1">
        <v>1.488E9</v>
      </c>
      <c r="L944" s="1">
        <v>-6.3E7</v>
      </c>
      <c r="M944" s="1">
        <v>2.28E8</v>
      </c>
      <c r="N944" s="1">
        <v>1.5646E10</v>
      </c>
      <c r="O944" s="1">
        <v>1.4158E10</v>
      </c>
      <c r="P944" s="1">
        <v>1.2322E10</v>
      </c>
      <c r="Q944" s="1">
        <v>-1.92E8</v>
      </c>
      <c r="R944" s="1">
        <v>1.068E9</v>
      </c>
      <c r="S944" s="1">
        <v>1.068E9</v>
      </c>
    </row>
    <row r="945">
      <c r="A945" s="1">
        <v>943.0</v>
      </c>
      <c r="B945" s="3">
        <v>44135.0</v>
      </c>
      <c r="C945" s="1" t="s">
        <v>512</v>
      </c>
      <c r="D945" s="1" t="s">
        <v>513</v>
      </c>
      <c r="E945" s="1">
        <v>3.81E8</v>
      </c>
      <c r="F945" s="1">
        <v>7.76E8</v>
      </c>
      <c r="G945" s="1">
        <v>6.68E8</v>
      </c>
      <c r="H945" s="1">
        <v>1.263E9</v>
      </c>
      <c r="I945" s="1">
        <v>2.679E9</v>
      </c>
      <c r="J945" s="1">
        <v>1.006E9</v>
      </c>
      <c r="K945" s="1">
        <v>1.006E9</v>
      </c>
      <c r="L945" s="1">
        <v>-1.45E8</v>
      </c>
      <c r="M945" s="1">
        <v>1.08E8</v>
      </c>
      <c r="N945" s="1">
        <v>1.5258E10</v>
      </c>
      <c r="O945" s="1">
        <v>1.4252E10</v>
      </c>
      <c r="P945" s="1">
        <v>1.2579E10</v>
      </c>
      <c r="Q945" s="1">
        <v>-2.3E8</v>
      </c>
      <c r="R945" s="1">
        <v>6.68E8</v>
      </c>
      <c r="S945" s="1">
        <v>6.68E8</v>
      </c>
    </row>
    <row r="946">
      <c r="A946" s="1">
        <v>944.0</v>
      </c>
      <c r="B946" s="3">
        <v>44286.0</v>
      </c>
      <c r="C946" s="1" t="s">
        <v>514</v>
      </c>
      <c r="D946" s="1" t="s">
        <v>515</v>
      </c>
      <c r="F946" s="1">
        <v>1.061E9</v>
      </c>
      <c r="G946" s="1">
        <v>8.28E8</v>
      </c>
      <c r="H946" s="1">
        <v>2.007E9</v>
      </c>
      <c r="I946" s="1">
        <v>3.372E9</v>
      </c>
      <c r="J946" s="1">
        <v>1.223E9</v>
      </c>
      <c r="K946" s="1">
        <v>1.223E9</v>
      </c>
      <c r="L946" s="1">
        <v>-6.8E7</v>
      </c>
      <c r="M946" s="1">
        <v>2.33E8</v>
      </c>
      <c r="N946" s="1">
        <v>2.0668E10</v>
      </c>
      <c r="O946" s="1">
        <v>1.9445E10</v>
      </c>
      <c r="P946" s="1">
        <v>1.7296E10</v>
      </c>
      <c r="Q946" s="1">
        <v>-1.62E8</v>
      </c>
      <c r="R946" s="1">
        <v>8.28E8</v>
      </c>
      <c r="S946" s="1">
        <v>8.28E8</v>
      </c>
    </row>
    <row r="947">
      <c r="A947" s="1">
        <v>945.0</v>
      </c>
      <c r="B947" s="3">
        <v>44196.0</v>
      </c>
      <c r="C947" s="1" t="s">
        <v>514</v>
      </c>
      <c r="D947" s="1" t="s">
        <v>515</v>
      </c>
      <c r="F947" s="1">
        <v>-4.52E8</v>
      </c>
      <c r="G947" s="1">
        <v>-2.74E8</v>
      </c>
      <c r="H947" s="1">
        <v>3.037E9</v>
      </c>
      <c r="I947" s="1">
        <v>2.849E9</v>
      </c>
      <c r="J947" s="1">
        <v>-3.15E8</v>
      </c>
      <c r="K947" s="1">
        <v>-3.15E8</v>
      </c>
      <c r="L947" s="1">
        <v>-7.2E7</v>
      </c>
      <c r="M947" s="1">
        <v>-1.78E8</v>
      </c>
      <c r="N947" s="1">
        <v>1.9062E10</v>
      </c>
      <c r="O947" s="1">
        <v>1.9377E10</v>
      </c>
      <c r="P947" s="1">
        <v>1.6213E10</v>
      </c>
      <c r="Q947" s="1">
        <v>-1.37E8</v>
      </c>
      <c r="R947" s="1">
        <v>-2.74E8</v>
      </c>
      <c r="S947" s="1">
        <v>-2.74E8</v>
      </c>
    </row>
    <row r="948">
      <c r="A948" s="1">
        <v>946.0</v>
      </c>
      <c r="B948" s="3">
        <v>44104.0</v>
      </c>
      <c r="C948" s="1" t="s">
        <v>514</v>
      </c>
      <c r="D948" s="1" t="s">
        <v>515</v>
      </c>
      <c r="F948" s="1">
        <v>1.79E9</v>
      </c>
      <c r="G948" s="1">
        <v>1.34E9</v>
      </c>
      <c r="H948" s="1">
        <v>2.544E9</v>
      </c>
      <c r="I948" s="1">
        <v>4.464E9</v>
      </c>
      <c r="J948" s="1">
        <v>1.792E9</v>
      </c>
      <c r="K948" s="1">
        <v>1.792E9</v>
      </c>
      <c r="L948" s="1">
        <v>-7.5E7</v>
      </c>
      <c r="M948" s="1">
        <v>4.5E8</v>
      </c>
      <c r="N948" s="1">
        <v>2.0075E10</v>
      </c>
      <c r="O948" s="1">
        <v>1.8283E10</v>
      </c>
      <c r="P948" s="1">
        <v>1.5611E10</v>
      </c>
      <c r="Q948" s="1">
        <v>-2000000.0</v>
      </c>
      <c r="R948" s="1">
        <v>1.34E9</v>
      </c>
      <c r="S948" s="1">
        <v>1.34E9</v>
      </c>
    </row>
    <row r="949">
      <c r="A949" s="1">
        <v>947.0</v>
      </c>
      <c r="B949" s="3">
        <v>44012.0</v>
      </c>
      <c r="C949" s="1" t="s">
        <v>514</v>
      </c>
      <c r="D949" s="1" t="s">
        <v>515</v>
      </c>
      <c r="F949" s="1">
        <v>2.611E9</v>
      </c>
      <c r="G949" s="1">
        <v>1.828E9</v>
      </c>
      <c r="H949" s="1">
        <v>2.354E9</v>
      </c>
      <c r="I949" s="1">
        <v>4.908E9</v>
      </c>
      <c r="J949" s="1">
        <v>2.435E9</v>
      </c>
      <c r="K949" s="1">
        <v>2.435E9</v>
      </c>
      <c r="L949" s="1">
        <v>-7.6E7</v>
      </c>
      <c r="M949" s="1">
        <v>7.83E8</v>
      </c>
      <c r="N949" s="1">
        <v>1.9083E10</v>
      </c>
      <c r="O949" s="1">
        <v>1.6648E10</v>
      </c>
      <c r="P949" s="1">
        <v>1.4175E10</v>
      </c>
      <c r="Q949" s="1">
        <v>1.76E8</v>
      </c>
      <c r="R949" s="1">
        <v>1.828E9</v>
      </c>
      <c r="S949" s="1">
        <v>1.828E9</v>
      </c>
    </row>
    <row r="950">
      <c r="A950" s="1">
        <v>948.0</v>
      </c>
      <c r="B950" s="3">
        <v>44377.0</v>
      </c>
      <c r="C950" s="1" t="s">
        <v>516</v>
      </c>
      <c r="D950" s="1" t="s">
        <v>517</v>
      </c>
      <c r="F950" s="1">
        <v>-1000000.0</v>
      </c>
      <c r="G950" s="1">
        <v>-1.5E7</v>
      </c>
      <c r="H950" s="1">
        <v>7.32E8</v>
      </c>
      <c r="I950" s="1">
        <v>1.074E9</v>
      </c>
      <c r="J950" s="1">
        <v>0.0</v>
      </c>
      <c r="K950" s="1">
        <v>2.87E8</v>
      </c>
      <c r="M950" s="1">
        <v>1.4E7</v>
      </c>
      <c r="N950" s="1">
        <v>1.074E9</v>
      </c>
      <c r="O950" s="1">
        <v>7.87E8</v>
      </c>
      <c r="P950" s="1">
        <v>0.0</v>
      </c>
      <c r="Q950" s="1">
        <v>-2.88E8</v>
      </c>
      <c r="R950" s="1">
        <v>-1.5E7</v>
      </c>
      <c r="S950" s="1">
        <v>-5.8E7</v>
      </c>
    </row>
    <row r="951">
      <c r="A951" s="1">
        <v>949.0</v>
      </c>
      <c r="B951" s="3">
        <v>44286.0</v>
      </c>
      <c r="C951" s="1" t="s">
        <v>516</v>
      </c>
      <c r="D951" s="1" t="s">
        <v>517</v>
      </c>
      <c r="F951" s="1">
        <v>6.34E8</v>
      </c>
      <c r="G951" s="1">
        <v>5.32E8</v>
      </c>
      <c r="H951" s="1">
        <v>6.82E8</v>
      </c>
      <c r="I951" s="1">
        <v>1.42E9</v>
      </c>
      <c r="J951" s="1">
        <v>0.0</v>
      </c>
      <c r="K951" s="1">
        <v>6.73E8</v>
      </c>
      <c r="M951" s="1">
        <v>1.02E8</v>
      </c>
      <c r="N951" s="1">
        <v>1.42E9</v>
      </c>
      <c r="O951" s="1">
        <v>7.47E8</v>
      </c>
      <c r="P951" s="1">
        <v>0.0</v>
      </c>
      <c r="Q951" s="1">
        <v>-3.9E7</v>
      </c>
      <c r="R951" s="1">
        <v>5.32E8</v>
      </c>
      <c r="S951" s="1">
        <v>5.01E8</v>
      </c>
    </row>
    <row r="952">
      <c r="A952" s="1">
        <v>950.0</v>
      </c>
      <c r="B952" s="3">
        <v>44196.0</v>
      </c>
      <c r="C952" s="1" t="s">
        <v>516</v>
      </c>
      <c r="D952" s="1" t="s">
        <v>517</v>
      </c>
      <c r="F952" s="1">
        <v>3.75E8</v>
      </c>
      <c r="G952" s="1">
        <v>3.16E8</v>
      </c>
      <c r="H952" s="1">
        <v>6.59E8</v>
      </c>
      <c r="I952" s="1">
        <v>1.13E9</v>
      </c>
      <c r="J952" s="1">
        <v>0.0</v>
      </c>
      <c r="K952" s="1">
        <v>3.86E8</v>
      </c>
      <c r="M952" s="1">
        <v>5.9E7</v>
      </c>
      <c r="N952" s="1">
        <v>1.13E9</v>
      </c>
      <c r="O952" s="1">
        <v>7.44E8</v>
      </c>
      <c r="P952" s="1">
        <v>0.0</v>
      </c>
      <c r="Q952" s="1">
        <v>-1.1E7</v>
      </c>
      <c r="R952" s="1">
        <v>3.16E8</v>
      </c>
      <c r="S952" s="1">
        <v>2.81E8</v>
      </c>
    </row>
    <row r="953">
      <c r="A953" s="1">
        <v>951.0</v>
      </c>
      <c r="B953" s="3">
        <v>44104.0</v>
      </c>
      <c r="C953" s="1" t="s">
        <v>516</v>
      </c>
      <c r="D953" s="1" t="s">
        <v>517</v>
      </c>
      <c r="F953" s="1">
        <v>3.58E8</v>
      </c>
      <c r="G953" s="1">
        <v>3.03E8</v>
      </c>
      <c r="H953" s="1">
        <v>6.56E8</v>
      </c>
      <c r="I953" s="1">
        <v>1.069E9</v>
      </c>
      <c r="J953" s="1">
        <v>0.0</v>
      </c>
      <c r="K953" s="1">
        <v>3.74E8</v>
      </c>
      <c r="M953" s="1">
        <v>5.5E7</v>
      </c>
      <c r="N953" s="1">
        <v>1.069E9</v>
      </c>
      <c r="O953" s="1">
        <v>6.95E8</v>
      </c>
      <c r="P953" s="1">
        <v>0.0</v>
      </c>
      <c r="Q953" s="1">
        <v>-1.6E7</v>
      </c>
      <c r="R953" s="1">
        <v>3.03E8</v>
      </c>
      <c r="S953" s="1">
        <v>2.75E8</v>
      </c>
    </row>
    <row r="954">
      <c r="A954" s="1">
        <v>952.0</v>
      </c>
      <c r="B954" s="3">
        <v>44377.0</v>
      </c>
      <c r="C954" s="1" t="s">
        <v>518</v>
      </c>
      <c r="D954" s="1" t="s">
        <v>519</v>
      </c>
      <c r="F954" s="1">
        <v>1.61E8</v>
      </c>
      <c r="G954" s="1">
        <v>1.29E8</v>
      </c>
      <c r="H954" s="1">
        <v>1.6E8</v>
      </c>
      <c r="I954" s="1">
        <v>3.22E8</v>
      </c>
      <c r="J954" s="1">
        <v>1.62E8</v>
      </c>
      <c r="K954" s="1">
        <v>1.62E8</v>
      </c>
      <c r="L954" s="1">
        <v>-1.8E7</v>
      </c>
      <c r="M954" s="1">
        <v>3.2E7</v>
      </c>
      <c r="N954" s="1">
        <v>2.231E9</v>
      </c>
      <c r="O954" s="1">
        <v>2.069E9</v>
      </c>
      <c r="P954" s="1">
        <v>1.909E9</v>
      </c>
      <c r="Q954" s="1">
        <v>-1000000.0</v>
      </c>
      <c r="R954" s="1">
        <v>1.29E8</v>
      </c>
      <c r="S954" s="1">
        <v>1.29E8</v>
      </c>
    </row>
    <row r="955">
      <c r="A955" s="1">
        <v>953.0</v>
      </c>
      <c r="B955" s="3">
        <v>44286.0</v>
      </c>
      <c r="C955" s="1" t="s">
        <v>518</v>
      </c>
      <c r="D955" s="1" t="s">
        <v>519</v>
      </c>
      <c r="F955" s="1">
        <v>1.73E8</v>
      </c>
      <c r="G955" s="1">
        <v>1.48E8</v>
      </c>
      <c r="H955" s="1">
        <v>1.6E8</v>
      </c>
      <c r="I955" s="1">
        <v>3.42E8</v>
      </c>
      <c r="J955" s="1">
        <v>1.82E8</v>
      </c>
      <c r="K955" s="1">
        <v>1.82E8</v>
      </c>
      <c r="L955" s="1">
        <v>-2.1E7</v>
      </c>
      <c r="M955" s="1">
        <v>2.5E7</v>
      </c>
      <c r="N955" s="1">
        <v>2.278E9</v>
      </c>
      <c r="O955" s="1">
        <v>2.096E9</v>
      </c>
      <c r="P955" s="1">
        <v>1.936E9</v>
      </c>
      <c r="Q955" s="1">
        <v>-9000000.0</v>
      </c>
      <c r="R955" s="1">
        <v>1.48E8</v>
      </c>
      <c r="S955" s="1">
        <v>1.48E8</v>
      </c>
    </row>
    <row r="956">
      <c r="A956" s="1">
        <v>954.0</v>
      </c>
      <c r="B956" s="3">
        <v>44196.0</v>
      </c>
      <c r="C956" s="1" t="s">
        <v>518</v>
      </c>
      <c r="D956" s="1" t="s">
        <v>519</v>
      </c>
      <c r="F956" s="1">
        <v>3.03E8</v>
      </c>
      <c r="G956" s="1">
        <v>2.49E8</v>
      </c>
      <c r="H956" s="1">
        <v>2.26E8</v>
      </c>
      <c r="I956" s="1">
        <v>5.47E8</v>
      </c>
      <c r="J956" s="1">
        <v>3.22E8</v>
      </c>
      <c r="K956" s="1">
        <v>3.22E8</v>
      </c>
      <c r="L956" s="1">
        <v>-4.6E7</v>
      </c>
      <c r="M956" s="1">
        <v>5.4E7</v>
      </c>
      <c r="N956" s="1">
        <v>2.757E9</v>
      </c>
      <c r="O956" s="1">
        <v>2.435E9</v>
      </c>
      <c r="P956" s="1">
        <v>2.21E9</v>
      </c>
      <c r="Q956" s="1">
        <v>-1.9E7</v>
      </c>
      <c r="R956" s="1">
        <v>2.49E8</v>
      </c>
      <c r="S956" s="1">
        <v>2.49E8</v>
      </c>
    </row>
    <row r="957">
      <c r="A957" s="1">
        <v>955.0</v>
      </c>
      <c r="B957" s="3">
        <v>44104.0</v>
      </c>
      <c r="C957" s="1" t="s">
        <v>518</v>
      </c>
      <c r="D957" s="1" t="s">
        <v>519</v>
      </c>
      <c r="F957" s="1">
        <v>2.26E8</v>
      </c>
      <c r="G957" s="1">
        <v>2.22E8</v>
      </c>
      <c r="H957" s="1">
        <v>1.91E8</v>
      </c>
      <c r="I957" s="1">
        <v>4.36E8</v>
      </c>
      <c r="J957" s="1">
        <v>2.45E8</v>
      </c>
      <c r="K957" s="1">
        <v>2.45E8</v>
      </c>
      <c r="L957" s="1">
        <v>-2.7E7</v>
      </c>
      <c r="M957" s="1">
        <v>4000000.0</v>
      </c>
      <c r="N957" s="1">
        <v>2.314E9</v>
      </c>
      <c r="O957" s="1">
        <v>2.069E9</v>
      </c>
      <c r="P957" s="1">
        <v>1.878E9</v>
      </c>
      <c r="Q957" s="1">
        <v>-1.9E7</v>
      </c>
      <c r="R957" s="1">
        <v>2.22E8</v>
      </c>
      <c r="S957" s="1">
        <v>2.22E8</v>
      </c>
    </row>
    <row r="958">
      <c r="A958" s="1">
        <v>956.0</v>
      </c>
      <c r="B958" s="3">
        <v>44377.0</v>
      </c>
      <c r="C958" s="1" t="s">
        <v>520</v>
      </c>
      <c r="D958" s="1" t="s">
        <v>520</v>
      </c>
      <c r="E958" s="1">
        <v>1.657E9</v>
      </c>
      <c r="F958" s="1">
        <v>1.552E9</v>
      </c>
      <c r="G958" s="1">
        <v>1.325E9</v>
      </c>
      <c r="H958" s="1">
        <v>5.433E9</v>
      </c>
      <c r="I958" s="1">
        <v>9.062E9</v>
      </c>
      <c r="J958" s="1">
        <v>2.103E9</v>
      </c>
      <c r="K958" s="1">
        <v>2.103E9</v>
      </c>
      <c r="L958" s="1">
        <v>-2.81E8</v>
      </c>
      <c r="M958" s="1">
        <v>2.27E8</v>
      </c>
      <c r="N958" s="1">
        <v>1.8745E10</v>
      </c>
      <c r="O958" s="1">
        <v>1.6642E10</v>
      </c>
      <c r="P958" s="1">
        <v>9.683E9</v>
      </c>
      <c r="Q958" s="1">
        <v>-5.51E8</v>
      </c>
      <c r="R958" s="1">
        <v>1.325E9</v>
      </c>
      <c r="S958" s="1">
        <v>1.325E9</v>
      </c>
    </row>
    <row r="959">
      <c r="A959" s="1">
        <v>957.0</v>
      </c>
      <c r="B959" s="3">
        <v>44286.0</v>
      </c>
      <c r="C959" s="1" t="s">
        <v>520</v>
      </c>
      <c r="D959" s="1" t="s">
        <v>520</v>
      </c>
      <c r="E959" s="1">
        <v>1.63E9</v>
      </c>
      <c r="F959" s="1">
        <v>9.05E8</v>
      </c>
      <c r="G959" s="1">
        <v>9.55E8</v>
      </c>
      <c r="H959" s="1">
        <v>5.297E9</v>
      </c>
      <c r="I959" s="1">
        <v>8.207E9</v>
      </c>
      <c r="J959" s="1">
        <v>1.421E9</v>
      </c>
      <c r="K959" s="1">
        <v>1.421E9</v>
      </c>
      <c r="L959" s="1">
        <v>-2.8E8</v>
      </c>
      <c r="M959" s="1">
        <v>-5.1E7</v>
      </c>
      <c r="N959" s="1">
        <v>1.7729E10</v>
      </c>
      <c r="O959" s="1">
        <v>1.6308E10</v>
      </c>
      <c r="P959" s="1">
        <v>9.522E9</v>
      </c>
      <c r="Q959" s="1">
        <v>-5.16E8</v>
      </c>
      <c r="R959" s="1">
        <v>9.56E8</v>
      </c>
      <c r="S959" s="1">
        <v>9.55E8</v>
      </c>
    </row>
    <row r="960">
      <c r="A960" s="1">
        <v>958.0</v>
      </c>
      <c r="B960" s="3">
        <v>44196.0</v>
      </c>
      <c r="C960" s="1" t="s">
        <v>520</v>
      </c>
      <c r="D960" s="1" t="s">
        <v>520</v>
      </c>
      <c r="E960" s="1">
        <v>1.611E9</v>
      </c>
      <c r="F960" s="1">
        <v>1.289E9</v>
      </c>
      <c r="G960" s="1">
        <v>1.356E9</v>
      </c>
      <c r="H960" s="1">
        <v>5.45E9</v>
      </c>
      <c r="I960" s="1">
        <v>1.0523E10</v>
      </c>
      <c r="J960" s="1">
        <v>3.612E9</v>
      </c>
      <c r="K960" s="1">
        <v>3.612E9</v>
      </c>
      <c r="L960" s="1">
        <v>-3.17E8</v>
      </c>
      <c r="M960" s="1">
        <v>2.4E7</v>
      </c>
      <c r="N960" s="1">
        <v>2.0368E10</v>
      </c>
      <c r="O960" s="1">
        <v>1.6756E10</v>
      </c>
      <c r="P960" s="1">
        <v>9.845E9</v>
      </c>
      <c r="Q960" s="1">
        <v>-2.323E9</v>
      </c>
      <c r="R960" s="1">
        <v>1.265E9</v>
      </c>
      <c r="S960" s="1">
        <v>1.356E9</v>
      </c>
    </row>
    <row r="961">
      <c r="A961" s="1">
        <v>959.0</v>
      </c>
      <c r="B961" s="3">
        <v>44104.0</v>
      </c>
      <c r="C961" s="1" t="s">
        <v>520</v>
      </c>
      <c r="D961" s="1" t="s">
        <v>520</v>
      </c>
      <c r="E961" s="1">
        <v>1.515E9</v>
      </c>
      <c r="F961" s="1">
        <v>1.827E9</v>
      </c>
      <c r="G961" s="1">
        <v>1.698E9</v>
      </c>
      <c r="H961" s="1">
        <v>4.919E9</v>
      </c>
      <c r="I961" s="1">
        <v>8.431E9</v>
      </c>
      <c r="J961" s="1">
        <v>2.12E9</v>
      </c>
      <c r="K961" s="1">
        <v>2.12E9</v>
      </c>
      <c r="L961" s="1">
        <v>-3.23E8</v>
      </c>
      <c r="M961" s="1">
        <v>1.28E8</v>
      </c>
      <c r="N961" s="1">
        <v>1.7561E10</v>
      </c>
      <c r="O961" s="1">
        <v>1.5441E10</v>
      </c>
      <c r="P961" s="1">
        <v>9.13E9</v>
      </c>
      <c r="Q961" s="1">
        <v>-2.93E8</v>
      </c>
      <c r="R961" s="1">
        <v>1.699E9</v>
      </c>
      <c r="S961" s="1">
        <v>1.698E9</v>
      </c>
    </row>
    <row r="962">
      <c r="A962" s="1">
        <v>960.0</v>
      </c>
      <c r="B962" s="3">
        <v>44377.0</v>
      </c>
      <c r="C962" s="1" t="s">
        <v>521</v>
      </c>
      <c r="D962" s="1" t="s">
        <v>522</v>
      </c>
      <c r="F962" s="1">
        <v>1.29876E8</v>
      </c>
      <c r="G962" s="1">
        <v>1.02195E8</v>
      </c>
      <c r="H962" s="1">
        <v>1.4468E8</v>
      </c>
      <c r="I962" s="1">
        <v>3.06072E8</v>
      </c>
      <c r="J962" s="1">
        <v>1.61392E8</v>
      </c>
      <c r="K962" s="1">
        <v>1.61392E8</v>
      </c>
      <c r="L962" s="1">
        <v>-1.1205E7</v>
      </c>
      <c r="M962" s="1">
        <v>2.7697E7</v>
      </c>
      <c r="N962" s="1">
        <v>6.85947E8</v>
      </c>
      <c r="O962" s="1">
        <v>5.24555E8</v>
      </c>
      <c r="P962" s="1">
        <v>3.79875E8</v>
      </c>
      <c r="Q962" s="1">
        <v>-3.1516E7</v>
      </c>
      <c r="R962" s="1">
        <v>1.02179E8</v>
      </c>
      <c r="S962" s="1">
        <v>1.02195E8</v>
      </c>
    </row>
    <row r="963">
      <c r="A963" s="1">
        <v>961.0</v>
      </c>
      <c r="B963" s="3">
        <v>44286.0</v>
      </c>
      <c r="C963" s="1" t="s">
        <v>521</v>
      </c>
      <c r="D963" s="1" t="s">
        <v>522</v>
      </c>
      <c r="F963" s="1">
        <v>1.45619E8</v>
      </c>
      <c r="G963" s="1">
        <v>1.12708E8</v>
      </c>
      <c r="H963" s="1">
        <v>1.33796E8</v>
      </c>
      <c r="I963" s="1">
        <v>2.93287E8</v>
      </c>
      <c r="J963" s="1">
        <v>1.59491E8</v>
      </c>
      <c r="K963" s="1">
        <v>1.59491E8</v>
      </c>
      <c r="L963" s="1">
        <v>-1.0776E7</v>
      </c>
      <c r="M963" s="1">
        <v>3.2947E7</v>
      </c>
      <c r="N963" s="1">
        <v>6.52036E8</v>
      </c>
      <c r="O963" s="1">
        <v>4.92545E8</v>
      </c>
      <c r="P963" s="1">
        <v>3.58749E8</v>
      </c>
      <c r="Q963" s="1">
        <v>-1.3872E7</v>
      </c>
      <c r="R963" s="1">
        <v>1.12672E8</v>
      </c>
      <c r="S963" s="1">
        <v>1.12708E8</v>
      </c>
    </row>
    <row r="964">
      <c r="A964" s="1">
        <v>962.0</v>
      </c>
      <c r="B964" s="3">
        <v>44196.0</v>
      </c>
      <c r="C964" s="1" t="s">
        <v>521</v>
      </c>
      <c r="D964" s="1" t="s">
        <v>522</v>
      </c>
      <c r="F964" s="1">
        <v>1.29871E8</v>
      </c>
      <c r="G964" s="1">
        <v>1.01068E8</v>
      </c>
      <c r="H964" s="1">
        <v>1.23935E8</v>
      </c>
      <c r="I964" s="1">
        <v>2.69168E8</v>
      </c>
      <c r="J964" s="1">
        <v>1.45233E8</v>
      </c>
      <c r="K964" s="1">
        <v>1.45233E8</v>
      </c>
      <c r="L964" s="1">
        <v>-1.0788E7</v>
      </c>
      <c r="M964" s="1">
        <v>2.8803E7</v>
      </c>
      <c r="N964" s="1">
        <v>6.14822E8</v>
      </c>
      <c r="O964" s="1">
        <v>4.69589E8</v>
      </c>
      <c r="P964" s="1">
        <v>3.45654E8</v>
      </c>
      <c r="Q964" s="1">
        <v>-1.5362E7</v>
      </c>
      <c r="R964" s="1">
        <v>1.01068E8</v>
      </c>
      <c r="S964" s="1">
        <v>1.01068E8</v>
      </c>
    </row>
    <row r="965">
      <c r="A965" s="1">
        <v>963.0</v>
      </c>
      <c r="B965" s="3">
        <v>44104.0</v>
      </c>
      <c r="C965" s="1" t="s">
        <v>521</v>
      </c>
      <c r="D965" s="1" t="s">
        <v>522</v>
      </c>
      <c r="F965" s="1">
        <v>1.21275E8</v>
      </c>
      <c r="G965" s="1">
        <v>1.03848E8</v>
      </c>
      <c r="H965" s="1">
        <v>1.16858E8</v>
      </c>
      <c r="I965" s="1">
        <v>2.515E8</v>
      </c>
      <c r="J965" s="1">
        <v>1.34642E8</v>
      </c>
      <c r="K965" s="1">
        <v>1.34642E8</v>
      </c>
      <c r="L965" s="1">
        <v>-1.0642E7</v>
      </c>
      <c r="M965" s="1">
        <v>1.7427E7</v>
      </c>
      <c r="N965" s="1">
        <v>5.81113E8</v>
      </c>
      <c r="O965" s="1">
        <v>4.46471E8</v>
      </c>
      <c r="P965" s="1">
        <v>3.29613E8</v>
      </c>
      <c r="Q965" s="1">
        <v>-1.3367E7</v>
      </c>
      <c r="R965" s="1">
        <v>1.03848E8</v>
      </c>
      <c r="S965" s="1">
        <v>1.03848E8</v>
      </c>
    </row>
    <row r="966">
      <c r="A966" s="1">
        <v>964.0</v>
      </c>
      <c r="B966" s="3">
        <v>44377.0</v>
      </c>
      <c r="C966" s="1" t="s">
        <v>523</v>
      </c>
      <c r="D966" s="1" t="s">
        <v>524</v>
      </c>
      <c r="E966" s="1">
        <v>3.7697E7</v>
      </c>
      <c r="F966" s="1">
        <v>2.51731E8</v>
      </c>
      <c r="G966" s="1">
        <v>2.02582E8</v>
      </c>
      <c r="H966" s="1">
        <v>1.92358E8</v>
      </c>
      <c r="I966" s="1">
        <v>4.89308E8</v>
      </c>
      <c r="J966" s="1">
        <v>2.59253E8</v>
      </c>
      <c r="K966" s="1">
        <v>2.59253E8</v>
      </c>
      <c r="L966" s="1">
        <v>-7613000.0</v>
      </c>
      <c r="M966" s="1">
        <v>4.9125E7</v>
      </c>
      <c r="N966" s="1">
        <v>8.26142E8</v>
      </c>
      <c r="O966" s="1">
        <v>5.66889E8</v>
      </c>
      <c r="P966" s="1">
        <v>3.36834E8</v>
      </c>
      <c r="Q966" s="1">
        <v>-7522000.0</v>
      </c>
      <c r="R966" s="1">
        <v>2.02606E8</v>
      </c>
      <c r="S966" s="1">
        <v>2.02582E8</v>
      </c>
    </row>
    <row r="967">
      <c r="A967" s="1">
        <v>965.0</v>
      </c>
      <c r="B967" s="3">
        <v>44286.0</v>
      </c>
      <c r="C967" s="1" t="s">
        <v>523</v>
      </c>
      <c r="D967" s="1" t="s">
        <v>524</v>
      </c>
      <c r="E967" s="1">
        <v>3.7579E7</v>
      </c>
      <c r="F967" s="1">
        <v>2.4009E8</v>
      </c>
      <c r="G967" s="1">
        <v>2.04257E8</v>
      </c>
      <c r="H967" s="1">
        <v>1.85581E8</v>
      </c>
      <c r="I967" s="1">
        <v>4.70782E8</v>
      </c>
      <c r="J967" s="1">
        <v>2.47622E8</v>
      </c>
      <c r="K967" s="1">
        <v>2.47622E8</v>
      </c>
      <c r="L967" s="1">
        <v>-7584000.0</v>
      </c>
      <c r="M967" s="1">
        <v>3.5801E7</v>
      </c>
      <c r="N967" s="1">
        <v>7.77707E8</v>
      </c>
      <c r="O967" s="1">
        <v>5.30085E8</v>
      </c>
      <c r="P967" s="1">
        <v>3.06925E8</v>
      </c>
      <c r="Q967" s="1">
        <v>-7532000.0</v>
      </c>
      <c r="R967" s="1">
        <v>2.04289E8</v>
      </c>
      <c r="S967" s="1">
        <v>2.04257E8</v>
      </c>
    </row>
    <row r="968">
      <c r="A968" s="1">
        <v>966.0</v>
      </c>
      <c r="B968" s="3">
        <v>44196.0</v>
      </c>
      <c r="C968" s="1" t="s">
        <v>523</v>
      </c>
      <c r="D968" s="1" t="s">
        <v>524</v>
      </c>
      <c r="E968" s="1">
        <v>3.8777E7</v>
      </c>
      <c r="F968" s="1">
        <v>1.77436E8</v>
      </c>
      <c r="G968" s="1">
        <v>1.7479E8</v>
      </c>
      <c r="H968" s="1">
        <v>1.8563E8</v>
      </c>
      <c r="I968" s="1">
        <v>4.09502E8</v>
      </c>
      <c r="J968" s="1">
        <v>1.85095E8</v>
      </c>
      <c r="K968" s="1">
        <v>1.85095E8</v>
      </c>
      <c r="L968" s="1">
        <v>-7828000.0</v>
      </c>
      <c r="M968" s="1">
        <v>2478000.0</v>
      </c>
      <c r="N968" s="1">
        <v>7.20938E8</v>
      </c>
      <c r="O968" s="1">
        <v>5.35843E8</v>
      </c>
      <c r="P968" s="1">
        <v>3.11436E8</v>
      </c>
      <c r="Q968" s="1">
        <v>-7659000.0</v>
      </c>
      <c r="R968" s="1">
        <v>1.74958E8</v>
      </c>
      <c r="S968" s="1">
        <v>1.7479E8</v>
      </c>
    </row>
    <row r="969">
      <c r="A969" s="1">
        <v>967.0</v>
      </c>
      <c r="B969" s="3">
        <v>44104.0</v>
      </c>
      <c r="C969" s="1" t="s">
        <v>523</v>
      </c>
      <c r="D969" s="1" t="s">
        <v>524</v>
      </c>
      <c r="E969" s="1">
        <v>3.7517E7</v>
      </c>
      <c r="F969" s="1">
        <v>1.63954E8</v>
      </c>
      <c r="G969" s="1">
        <v>1.46219E8</v>
      </c>
      <c r="H969" s="1">
        <v>2.13233E8</v>
      </c>
      <c r="I969" s="1">
        <v>4.22606E8</v>
      </c>
      <c r="J969" s="1">
        <v>1.71856E8</v>
      </c>
      <c r="K969" s="1">
        <v>1.71856E8</v>
      </c>
      <c r="L969" s="1">
        <v>-8110000.0</v>
      </c>
      <c r="M969" s="1">
        <v>1.7633E7</v>
      </c>
      <c r="N969" s="1">
        <v>7.21789E8</v>
      </c>
      <c r="O969" s="1">
        <v>5.49933E8</v>
      </c>
      <c r="P969" s="1">
        <v>2.99183E8</v>
      </c>
      <c r="Q969" s="1">
        <v>-7902000.0</v>
      </c>
      <c r="R969" s="1">
        <v>1.46321E8</v>
      </c>
      <c r="S969" s="1">
        <v>1.46219E8</v>
      </c>
    </row>
    <row r="970">
      <c r="A970" s="1">
        <v>968.0</v>
      </c>
      <c r="B970" s="3">
        <v>44347.0</v>
      </c>
      <c r="C970" s="1" t="s">
        <v>525</v>
      </c>
      <c r="D970" s="1" t="s">
        <v>526</v>
      </c>
      <c r="F970" s="1">
        <v>2.165E8</v>
      </c>
      <c r="G970" s="1">
        <v>1.59E8</v>
      </c>
      <c r="H970" s="1">
        <v>2.833E8</v>
      </c>
      <c r="I970" s="1">
        <v>7.556E8</v>
      </c>
      <c r="J970" s="1">
        <v>3.166E8</v>
      </c>
      <c r="K970" s="1">
        <v>3.166E8</v>
      </c>
      <c r="L970" s="1">
        <v>-5.54E7</v>
      </c>
      <c r="M970" s="1">
        <v>5.76E7</v>
      </c>
      <c r="N970" s="1">
        <v>1.1814E9</v>
      </c>
      <c r="O970" s="1">
        <v>8.648E8</v>
      </c>
      <c r="P970" s="1">
        <v>4.258E8</v>
      </c>
      <c r="Q970" s="1">
        <v>-1.001E8</v>
      </c>
      <c r="R970" s="1">
        <v>1.589E8</v>
      </c>
      <c r="S970" s="1">
        <v>1.59E8</v>
      </c>
    </row>
    <row r="971">
      <c r="A971" s="1">
        <v>969.0</v>
      </c>
      <c r="B971" s="3">
        <v>44255.0</v>
      </c>
      <c r="C971" s="1" t="s">
        <v>525</v>
      </c>
      <c r="D971" s="1" t="s">
        <v>526</v>
      </c>
      <c r="F971" s="1">
        <v>1.79E8</v>
      </c>
      <c r="G971" s="1">
        <v>1.493E8</v>
      </c>
      <c r="H971" s="1">
        <v>3.022E8</v>
      </c>
      <c r="I971" s="1">
        <v>7.047E8</v>
      </c>
      <c r="J971" s="1">
        <v>2.475E8</v>
      </c>
      <c r="K971" s="1">
        <v>2.475E8</v>
      </c>
      <c r="L971" s="1">
        <v>-5.55E7</v>
      </c>
      <c r="M971" s="1">
        <v>3.03E7</v>
      </c>
      <c r="N971" s="1">
        <v>1.1199E9</v>
      </c>
      <c r="O971" s="1">
        <v>8.724E8</v>
      </c>
      <c r="P971" s="1">
        <v>4.152E8</v>
      </c>
      <c r="Q971" s="1">
        <v>-6.85E7</v>
      </c>
      <c r="R971" s="1">
        <v>1.487E8</v>
      </c>
      <c r="S971" s="1">
        <v>1.493E8</v>
      </c>
    </row>
    <row r="972">
      <c r="A972" s="1">
        <v>970.0</v>
      </c>
      <c r="B972" s="3">
        <v>44165.0</v>
      </c>
      <c r="C972" s="1" t="s">
        <v>525</v>
      </c>
      <c r="D972" s="1" t="s">
        <v>526</v>
      </c>
      <c r="F972" s="1">
        <v>1.153E8</v>
      </c>
      <c r="G972" s="1">
        <v>1.511E8</v>
      </c>
      <c r="H972" s="1">
        <v>2.962E8</v>
      </c>
      <c r="I972" s="1">
        <v>7.069E8</v>
      </c>
      <c r="J972" s="1">
        <v>2.604E8</v>
      </c>
      <c r="K972" s="1">
        <v>2.604E8</v>
      </c>
      <c r="L972" s="1">
        <v>-5.77E7</v>
      </c>
      <c r="M972" s="1">
        <v>-3.56E7</v>
      </c>
      <c r="N972" s="1">
        <v>1.1072E9</v>
      </c>
      <c r="O972" s="1">
        <v>8.468E8</v>
      </c>
      <c r="P972" s="1">
        <v>4.003E8</v>
      </c>
      <c r="Q972" s="1">
        <v>-1.451E8</v>
      </c>
      <c r="R972" s="1">
        <v>1.509E8</v>
      </c>
      <c r="S972" s="1">
        <v>1.511E8</v>
      </c>
    </row>
    <row r="973">
      <c r="A973" s="1">
        <v>971.0</v>
      </c>
      <c r="B973" s="3">
        <v>44074.0</v>
      </c>
      <c r="C973" s="1" t="s">
        <v>525</v>
      </c>
      <c r="D973" s="1" t="s">
        <v>526</v>
      </c>
      <c r="F973" s="1">
        <v>2.036E8</v>
      </c>
      <c r="G973" s="1">
        <v>1.629E8</v>
      </c>
      <c r="H973" s="1">
        <v>2.587E8</v>
      </c>
      <c r="I973" s="1">
        <v>6.876E8</v>
      </c>
      <c r="J973" s="1">
        <v>2.82E8</v>
      </c>
      <c r="K973" s="1">
        <v>2.82E8</v>
      </c>
      <c r="L973" s="1">
        <v>-5.77E7</v>
      </c>
      <c r="M973" s="1">
        <v>3.99E7</v>
      </c>
      <c r="N973" s="1">
        <v>1.0732E9</v>
      </c>
      <c r="O973" s="1">
        <v>7.912E8</v>
      </c>
      <c r="P973" s="1">
        <v>3.856E8</v>
      </c>
      <c r="Q973" s="1">
        <v>-7.84E7</v>
      </c>
      <c r="R973" s="1">
        <v>1.637E8</v>
      </c>
      <c r="S973" s="1">
        <v>1.629E8</v>
      </c>
    </row>
    <row r="974">
      <c r="A974" s="1">
        <v>972.0</v>
      </c>
      <c r="B974" s="3">
        <v>44286.0</v>
      </c>
      <c r="C974" s="1" t="s">
        <v>527</v>
      </c>
      <c r="D974" s="1" t="s">
        <v>528</v>
      </c>
      <c r="F974" s="1">
        <v>8.65E8</v>
      </c>
      <c r="G974" s="1">
        <v>6.71E8</v>
      </c>
      <c r="H974" s="1">
        <v>5.6E8</v>
      </c>
      <c r="I974" s="1">
        <v>1.505E9</v>
      </c>
      <c r="J974" s="1">
        <v>9.11E8</v>
      </c>
      <c r="K974" s="1">
        <v>9.11E8</v>
      </c>
      <c r="L974" s="1">
        <v>-5.2E7</v>
      </c>
      <c r="M974" s="1">
        <v>1.94E8</v>
      </c>
      <c r="N974" s="1">
        <v>3.544E9</v>
      </c>
      <c r="O974" s="1">
        <v>2.633E9</v>
      </c>
      <c r="P974" s="1">
        <v>2.039E9</v>
      </c>
      <c r="Q974" s="1">
        <v>-4.6E7</v>
      </c>
      <c r="R974" s="1">
        <v>6.71E8</v>
      </c>
      <c r="S974" s="1">
        <v>6.71E8</v>
      </c>
    </row>
    <row r="975">
      <c r="A975" s="1">
        <v>973.0</v>
      </c>
      <c r="B975" s="3">
        <v>44196.0</v>
      </c>
      <c r="C975" s="1" t="s">
        <v>527</v>
      </c>
      <c r="D975" s="1" t="s">
        <v>528</v>
      </c>
      <c r="F975" s="1">
        <v>8.24E8</v>
      </c>
      <c r="G975" s="1">
        <v>6.42E8</v>
      </c>
      <c r="H975" s="1">
        <v>5.53E8</v>
      </c>
      <c r="I975" s="1">
        <v>1.475E9</v>
      </c>
      <c r="J975" s="1">
        <v>8.87E8</v>
      </c>
      <c r="K975" s="1">
        <v>8.87E8</v>
      </c>
      <c r="L975" s="1">
        <v>-5.2E7</v>
      </c>
      <c r="M975" s="1">
        <v>1.82E8</v>
      </c>
      <c r="N975" s="1">
        <v>3.475E9</v>
      </c>
      <c r="O975" s="1">
        <v>2.588E9</v>
      </c>
      <c r="P975" s="1">
        <v>2.0E9</v>
      </c>
      <c r="Q975" s="1">
        <v>-6.3E7</v>
      </c>
      <c r="R975" s="1">
        <v>6.42E8</v>
      </c>
      <c r="S975" s="1">
        <v>6.42E8</v>
      </c>
    </row>
    <row r="976">
      <c r="A976" s="1">
        <v>974.0</v>
      </c>
      <c r="B976" s="3">
        <v>44104.0</v>
      </c>
      <c r="C976" s="1" t="s">
        <v>527</v>
      </c>
      <c r="D976" s="1" t="s">
        <v>528</v>
      </c>
      <c r="F976" s="1">
        <v>7.39E8</v>
      </c>
      <c r="G976" s="1">
        <v>5.82E8</v>
      </c>
      <c r="H976" s="1">
        <v>5.57E8</v>
      </c>
      <c r="I976" s="1">
        <v>1.397E9</v>
      </c>
      <c r="J976" s="1">
        <v>7.92E8</v>
      </c>
      <c r="K976" s="1">
        <v>7.92E8</v>
      </c>
      <c r="L976" s="1">
        <v>-5.2E7</v>
      </c>
      <c r="M976" s="1">
        <v>1.57E8</v>
      </c>
      <c r="N976" s="1">
        <v>3.307E9</v>
      </c>
      <c r="O976" s="1">
        <v>2.515E9</v>
      </c>
      <c r="P976" s="1">
        <v>1.91E9</v>
      </c>
      <c r="Q976" s="1">
        <v>-5.3E7</v>
      </c>
      <c r="R976" s="1">
        <v>5.82E8</v>
      </c>
      <c r="S976" s="1">
        <v>5.82E8</v>
      </c>
    </row>
    <row r="977">
      <c r="A977" s="1">
        <v>975.0</v>
      </c>
      <c r="B977" s="3">
        <v>44012.0</v>
      </c>
      <c r="C977" s="1" t="s">
        <v>527</v>
      </c>
      <c r="D977" s="1" t="s">
        <v>528</v>
      </c>
      <c r="F977" s="1">
        <v>4.06E8</v>
      </c>
      <c r="G977" s="1">
        <v>3.19E8</v>
      </c>
      <c r="H977" s="1">
        <v>4.83E8</v>
      </c>
      <c r="I977" s="1">
        <v>9.7E8</v>
      </c>
      <c r="J977" s="1">
        <v>4.52E8</v>
      </c>
      <c r="K977" s="1">
        <v>4.52E8</v>
      </c>
      <c r="L977" s="1">
        <v>-5.1E7</v>
      </c>
      <c r="M977" s="1">
        <v>8.7E7</v>
      </c>
      <c r="N977" s="1">
        <v>2.564E9</v>
      </c>
      <c r="O977" s="1">
        <v>2.112E9</v>
      </c>
      <c r="P977" s="1">
        <v>1.594E9</v>
      </c>
      <c r="Q977" s="1">
        <v>-4.6E7</v>
      </c>
      <c r="R977" s="1">
        <v>3.19E8</v>
      </c>
      <c r="S977" s="1">
        <v>3.19E8</v>
      </c>
    </row>
    <row r="978">
      <c r="A978" s="1">
        <v>976.0</v>
      </c>
      <c r="B978" s="3">
        <v>44290.0</v>
      </c>
      <c r="C978" s="1" t="s">
        <v>529</v>
      </c>
      <c r="D978" s="1" t="s">
        <v>530</v>
      </c>
      <c r="E978" s="1">
        <v>1.97E8</v>
      </c>
      <c r="F978" s="1">
        <v>1.69E8</v>
      </c>
      <c r="G978" s="1">
        <v>1.47E8</v>
      </c>
      <c r="H978" s="1">
        <v>3.74E8</v>
      </c>
      <c r="I978" s="1">
        <v>7.7E8</v>
      </c>
      <c r="J978" s="1">
        <v>1.93E8</v>
      </c>
      <c r="K978" s="1">
        <v>1.93E8</v>
      </c>
      <c r="L978" s="1">
        <v>-1.9E7</v>
      </c>
      <c r="M978" s="1">
        <v>2.2E7</v>
      </c>
      <c r="N978" s="1">
        <v>1.093E9</v>
      </c>
      <c r="O978" s="1">
        <v>9.0E8</v>
      </c>
      <c r="P978" s="1">
        <v>3.23E8</v>
      </c>
      <c r="Q978" s="1">
        <v>-2.4E7</v>
      </c>
      <c r="R978" s="1">
        <v>1.47E8</v>
      </c>
      <c r="S978" s="1">
        <v>1.47E8</v>
      </c>
    </row>
    <row r="979">
      <c r="A979" s="1">
        <v>977.0</v>
      </c>
      <c r="B979" s="3">
        <v>44199.0</v>
      </c>
      <c r="C979" s="1" t="s">
        <v>529</v>
      </c>
      <c r="D979" s="1" t="s">
        <v>530</v>
      </c>
      <c r="E979" s="1">
        <v>1.26E8</v>
      </c>
      <c r="F979" s="1">
        <v>2.99E8</v>
      </c>
      <c r="G979" s="1">
        <v>2.57E8</v>
      </c>
      <c r="H979" s="1">
        <v>3.73E8</v>
      </c>
      <c r="I979" s="1">
        <v>6.37E8</v>
      </c>
      <c r="J979" s="1">
        <v>1.31E8</v>
      </c>
      <c r="K979" s="1">
        <v>1.31E8</v>
      </c>
      <c r="L979" s="1">
        <v>-1.6E7</v>
      </c>
      <c r="M979" s="1">
        <v>4.2E7</v>
      </c>
      <c r="N979" s="1">
        <v>9.53E8</v>
      </c>
      <c r="O979" s="1">
        <v>8.22E8</v>
      </c>
      <c r="P979" s="1">
        <v>3.16E8</v>
      </c>
      <c r="Q979" s="1">
        <v>1.68E8</v>
      </c>
      <c r="R979" s="1">
        <v>2.57E8</v>
      </c>
      <c r="S979" s="1">
        <v>2.57E8</v>
      </c>
    </row>
    <row r="980">
      <c r="A980" s="1">
        <v>978.0</v>
      </c>
      <c r="B980" s="3">
        <v>44101.0</v>
      </c>
      <c r="C980" s="1" t="s">
        <v>529</v>
      </c>
      <c r="D980" s="1" t="s">
        <v>530</v>
      </c>
      <c r="E980" s="1">
        <v>1.72E8</v>
      </c>
      <c r="F980" s="1">
        <v>2.15E8</v>
      </c>
      <c r="G980" s="1">
        <v>1.79E8</v>
      </c>
      <c r="H980" s="1">
        <v>2.17E8</v>
      </c>
      <c r="I980" s="1">
        <v>5.33E8</v>
      </c>
      <c r="J980" s="1">
        <v>1.37E8</v>
      </c>
      <c r="K980" s="1">
        <v>1.37E8</v>
      </c>
      <c r="L980" s="1">
        <v>-1.1E7</v>
      </c>
      <c r="M980" s="1">
        <v>3.6E7</v>
      </c>
      <c r="N980" s="1">
        <v>7.94E8</v>
      </c>
      <c r="O980" s="1">
        <v>6.57E8</v>
      </c>
      <c r="P980" s="1">
        <v>2.61E8</v>
      </c>
      <c r="Q980" s="1">
        <v>7.8E7</v>
      </c>
      <c r="R980" s="1">
        <v>1.79E8</v>
      </c>
      <c r="S980" s="1">
        <v>1.79E8</v>
      </c>
    </row>
    <row r="981">
      <c r="A981" s="1">
        <v>979.0</v>
      </c>
      <c r="B981" s="3">
        <v>44010.0</v>
      </c>
      <c r="C981" s="1" t="s">
        <v>529</v>
      </c>
      <c r="D981" s="1" t="s">
        <v>530</v>
      </c>
      <c r="E981" s="1">
        <v>1.55E8</v>
      </c>
      <c r="F981" s="1">
        <v>1.65E8</v>
      </c>
      <c r="G981" s="1">
        <v>4.7E7</v>
      </c>
      <c r="H981" s="1">
        <v>1.77E8</v>
      </c>
      <c r="I981" s="1">
        <v>4.35E8</v>
      </c>
      <c r="J981" s="1">
        <v>9.6E7</v>
      </c>
      <c r="K981" s="1">
        <v>9.6E7</v>
      </c>
      <c r="L981" s="1">
        <v>-1.1E7</v>
      </c>
      <c r="M981" s="1">
        <v>1.18E8</v>
      </c>
      <c r="N981" s="1">
        <v>6.33E8</v>
      </c>
      <c r="O981" s="1">
        <v>5.37E8</v>
      </c>
      <c r="P981" s="1">
        <v>1.98E8</v>
      </c>
      <c r="Q981" s="1">
        <v>6.9E7</v>
      </c>
      <c r="R981" s="1">
        <v>4.7E7</v>
      </c>
      <c r="S981" s="1">
        <v>4.7E7</v>
      </c>
    </row>
    <row r="982">
      <c r="A982" s="1">
        <v>980.0</v>
      </c>
      <c r="B982" s="3">
        <v>44377.0</v>
      </c>
      <c r="C982" s="1" t="s">
        <v>531</v>
      </c>
      <c r="D982" s="1" t="s">
        <v>532</v>
      </c>
      <c r="F982" s="1">
        <v>1.71633E8</v>
      </c>
      <c r="G982" s="1">
        <v>1.49456E8</v>
      </c>
      <c r="H982" s="1">
        <v>1.68859E8</v>
      </c>
      <c r="I982" s="1">
        <v>3.14327E8</v>
      </c>
      <c r="J982" s="1">
        <v>1.45468E8</v>
      </c>
      <c r="K982" s="1">
        <v>1.45468E8</v>
      </c>
      <c r="L982" s="1">
        <v>-358000.0</v>
      </c>
      <c r="M982" s="1">
        <v>2.2177E7</v>
      </c>
      <c r="N982" s="1">
        <v>7.05709E8</v>
      </c>
      <c r="O982" s="1">
        <v>5.60241E8</v>
      </c>
      <c r="P982" s="1">
        <v>3.91382E8</v>
      </c>
      <c r="Q982" s="1">
        <v>2.6165E7</v>
      </c>
      <c r="R982" s="1">
        <v>1.49456E8</v>
      </c>
      <c r="S982" s="1">
        <v>1.49456E8</v>
      </c>
    </row>
    <row r="983">
      <c r="A983" s="1">
        <v>981.0</v>
      </c>
      <c r="B983" s="3">
        <v>44286.0</v>
      </c>
      <c r="C983" s="1" t="s">
        <v>531</v>
      </c>
      <c r="D983" s="1" t="s">
        <v>532</v>
      </c>
      <c r="F983" s="1">
        <v>6.9322E7</v>
      </c>
      <c r="G983" s="1">
        <v>5.3535E7</v>
      </c>
      <c r="H983" s="1">
        <v>1.54144E8</v>
      </c>
      <c r="I983" s="1">
        <v>2.58118E8</v>
      </c>
      <c r="J983" s="1">
        <v>1.03974E8</v>
      </c>
      <c r="K983" s="1">
        <v>1.03974E8</v>
      </c>
      <c r="L983" s="1">
        <v>-359000.0</v>
      </c>
      <c r="M983" s="1">
        <v>1.5787E7</v>
      </c>
      <c r="N983" s="1">
        <v>6.04718E8</v>
      </c>
      <c r="O983" s="1">
        <v>5.00744E8</v>
      </c>
      <c r="P983" s="1">
        <v>3.466E8</v>
      </c>
      <c r="Q983" s="1">
        <v>-3.4652E7</v>
      </c>
      <c r="R983" s="1">
        <v>5.3535E7</v>
      </c>
      <c r="S983" s="1">
        <v>5.3535E7</v>
      </c>
    </row>
    <row r="984">
      <c r="A984" s="1">
        <v>982.0</v>
      </c>
      <c r="B984" s="3">
        <v>44196.0</v>
      </c>
      <c r="C984" s="1" t="s">
        <v>531</v>
      </c>
      <c r="D984" s="1" t="s">
        <v>532</v>
      </c>
      <c r="F984" s="1">
        <v>1.68102E8</v>
      </c>
      <c r="G984" s="1">
        <v>1.4985E8</v>
      </c>
      <c r="H984" s="1">
        <v>1.67228E8</v>
      </c>
      <c r="I984" s="1">
        <v>3.34812E8</v>
      </c>
      <c r="J984" s="1">
        <v>1.67584E8</v>
      </c>
      <c r="K984" s="1">
        <v>1.67584E8</v>
      </c>
      <c r="L984" s="1">
        <v>-428000.0</v>
      </c>
      <c r="M984" s="1">
        <v>1.8252E7</v>
      </c>
      <c r="N984" s="1">
        <v>7.89509E8</v>
      </c>
      <c r="O984" s="1">
        <v>6.21925E8</v>
      </c>
      <c r="P984" s="1">
        <v>4.54697E8</v>
      </c>
      <c r="Q984" s="1">
        <v>518000.0</v>
      </c>
      <c r="R984" s="1">
        <v>1.4985E8</v>
      </c>
      <c r="S984" s="1">
        <v>1.4985E8</v>
      </c>
    </row>
    <row r="985">
      <c r="A985" s="1">
        <v>983.0</v>
      </c>
      <c r="B985" s="3">
        <v>44104.0</v>
      </c>
      <c r="C985" s="1" t="s">
        <v>531</v>
      </c>
      <c r="D985" s="1" t="s">
        <v>532</v>
      </c>
      <c r="F985" s="1">
        <v>-3508000.0</v>
      </c>
      <c r="G985" s="1">
        <v>-1.5203E7</v>
      </c>
      <c r="H985" s="1">
        <v>1.21025E8</v>
      </c>
      <c r="I985" s="1">
        <v>1.33223E8</v>
      </c>
      <c r="J985" s="1">
        <v>1.2198E7</v>
      </c>
      <c r="K985" s="1">
        <v>1.2198E7</v>
      </c>
      <c r="L985" s="1">
        <v>-544000.0</v>
      </c>
      <c r="M985" s="1">
        <v>1.1695E7</v>
      </c>
      <c r="N985" s="1">
        <v>6.20643E8</v>
      </c>
      <c r="O985" s="1">
        <v>6.08445E8</v>
      </c>
      <c r="P985" s="1">
        <v>4.8742E8</v>
      </c>
      <c r="Q985" s="1">
        <v>-1.5706E7</v>
      </c>
      <c r="R985" s="1">
        <v>-1.5203E7</v>
      </c>
      <c r="S985" s="1">
        <v>-1.5203E7</v>
      </c>
    </row>
    <row r="986">
      <c r="A986" s="1">
        <v>984.0</v>
      </c>
      <c r="B986" s="3">
        <v>44377.0</v>
      </c>
      <c r="C986" s="1" t="s">
        <v>533</v>
      </c>
      <c r="D986" s="1" t="s">
        <v>534</v>
      </c>
      <c r="F986" s="1">
        <v>1.508E8</v>
      </c>
      <c r="G986" s="1">
        <v>2.339E8</v>
      </c>
      <c r="H986" s="1">
        <v>2.663E8</v>
      </c>
      <c r="I986" s="1">
        <v>5.127E8</v>
      </c>
      <c r="J986" s="1">
        <v>1.665E8</v>
      </c>
      <c r="K986" s="1">
        <v>1.665E8</v>
      </c>
      <c r="L986" s="1">
        <v>-2.27E7</v>
      </c>
      <c r="M986" s="1">
        <v>1.25E7</v>
      </c>
      <c r="N986" s="1">
        <v>1.2791E9</v>
      </c>
      <c r="O986" s="1">
        <v>1.1126E9</v>
      </c>
      <c r="P986" s="1">
        <v>7.664E8</v>
      </c>
      <c r="Q986" s="1">
        <v>-1.57E7</v>
      </c>
      <c r="R986" s="1">
        <v>1.383E8</v>
      </c>
      <c r="S986" s="1">
        <v>2.339E8</v>
      </c>
    </row>
    <row r="987">
      <c r="A987" s="1">
        <v>985.0</v>
      </c>
      <c r="B987" s="3">
        <v>44286.0</v>
      </c>
      <c r="C987" s="1" t="s">
        <v>533</v>
      </c>
      <c r="D987" s="1" t="s">
        <v>534</v>
      </c>
      <c r="F987" s="1">
        <v>1.007E8</v>
      </c>
      <c r="G987" s="1">
        <v>-9.04E7</v>
      </c>
      <c r="H987" s="1">
        <v>2.515E8</v>
      </c>
      <c r="I987" s="1">
        <v>4.521E8</v>
      </c>
      <c r="J987" s="1">
        <v>1.147E8</v>
      </c>
      <c r="K987" s="1">
        <v>1.147E8</v>
      </c>
      <c r="L987" s="1">
        <v>-2.31E7</v>
      </c>
      <c r="M987" s="1">
        <v>1.06E7</v>
      </c>
      <c r="N987" s="1">
        <v>1.1295E9</v>
      </c>
      <c r="O987" s="1">
        <v>1.0148E9</v>
      </c>
      <c r="P987" s="1">
        <v>6.774E8</v>
      </c>
      <c r="Q987" s="1">
        <v>-1.4E7</v>
      </c>
      <c r="R987" s="1">
        <v>9.01E7</v>
      </c>
      <c r="S987" s="1">
        <v>-9.04E7</v>
      </c>
    </row>
    <row r="988">
      <c r="A988" s="1">
        <v>986.0</v>
      </c>
      <c r="B988" s="3">
        <v>44196.0</v>
      </c>
      <c r="C988" s="1" t="s">
        <v>533</v>
      </c>
      <c r="D988" s="1" t="s">
        <v>534</v>
      </c>
      <c r="F988" s="1">
        <v>1.089E8</v>
      </c>
      <c r="G988" s="1">
        <v>1.516E8</v>
      </c>
      <c r="H988" s="1">
        <v>2.452E8</v>
      </c>
      <c r="I988" s="1">
        <v>5.269E8</v>
      </c>
      <c r="J988" s="1">
        <v>1.67E8</v>
      </c>
      <c r="K988" s="1">
        <v>1.67E8</v>
      </c>
      <c r="L988" s="1">
        <v>-2.44E7</v>
      </c>
      <c r="M988" s="1">
        <v>-4.22E7</v>
      </c>
      <c r="N988" s="1">
        <v>1.5107E9</v>
      </c>
      <c r="O988" s="1">
        <v>1.3437E9</v>
      </c>
      <c r="P988" s="1">
        <v>9.838E8</v>
      </c>
      <c r="Q988" s="1">
        <v>-5.81E7</v>
      </c>
      <c r="R988" s="1">
        <v>1.511E8</v>
      </c>
      <c r="S988" s="1">
        <v>1.516E8</v>
      </c>
    </row>
    <row r="989">
      <c r="A989" s="1">
        <v>987.0</v>
      </c>
      <c r="B989" s="3">
        <v>44104.0</v>
      </c>
      <c r="C989" s="1" t="s">
        <v>533</v>
      </c>
      <c r="D989" s="1" t="s">
        <v>534</v>
      </c>
      <c r="F989" s="1">
        <v>4.81E7</v>
      </c>
      <c r="G989" s="1">
        <v>2.95E7</v>
      </c>
      <c r="H989" s="1">
        <v>2.442E8</v>
      </c>
      <c r="I989" s="1">
        <v>4.82E8</v>
      </c>
      <c r="J989" s="1">
        <v>1.23E8</v>
      </c>
      <c r="K989" s="1">
        <v>1.23E8</v>
      </c>
      <c r="L989" s="1">
        <v>-2.88E7</v>
      </c>
      <c r="M989" s="1">
        <v>1.82E7</v>
      </c>
      <c r="N989" s="1">
        <v>1.3352E9</v>
      </c>
      <c r="O989" s="1">
        <v>1.2122E9</v>
      </c>
      <c r="P989" s="1">
        <v>8.532E8</v>
      </c>
      <c r="Q989" s="1">
        <v>-7.49E7</v>
      </c>
      <c r="R989" s="1">
        <v>2.99E7</v>
      </c>
      <c r="S989" s="1">
        <v>2.95E7</v>
      </c>
    </row>
    <row r="990">
      <c r="A990" s="1">
        <v>988.0</v>
      </c>
      <c r="B990" s="3">
        <v>44373.0</v>
      </c>
      <c r="C990" s="1" t="s">
        <v>535</v>
      </c>
      <c r="D990" s="1" t="s">
        <v>536</v>
      </c>
      <c r="E990" s="1">
        <v>3.715E9</v>
      </c>
      <c r="F990" s="1">
        <v>5.745E9</v>
      </c>
      <c r="G990" s="1">
        <v>5.061E9</v>
      </c>
      <c r="H990" s="1">
        <v>1.599E9</v>
      </c>
      <c r="I990" s="1">
        <v>1.1206E10</v>
      </c>
      <c r="J990" s="1">
        <v>5.892E9</v>
      </c>
      <c r="K990" s="1">
        <v>5.892E9</v>
      </c>
      <c r="L990" s="1">
        <v>-1.29E8</v>
      </c>
      <c r="M990" s="1">
        <v>6.84E8</v>
      </c>
      <c r="N990" s="1">
        <v>1.9631E10</v>
      </c>
      <c r="O990" s="1">
        <v>1.3739E10</v>
      </c>
      <c r="P990" s="1">
        <v>8.425E9</v>
      </c>
      <c r="Q990" s="1">
        <v>-1.47E8</v>
      </c>
      <c r="R990" s="1">
        <v>5.061E9</v>
      </c>
      <c r="S990" s="1">
        <v>5.061E9</v>
      </c>
    </row>
    <row r="991">
      <c r="A991" s="1">
        <v>989.0</v>
      </c>
      <c r="B991" s="3">
        <v>44282.0</v>
      </c>
      <c r="C991" s="1" t="s">
        <v>535</v>
      </c>
      <c r="D991" s="1" t="s">
        <v>536</v>
      </c>
      <c r="E991" s="1">
        <v>3.623E9</v>
      </c>
      <c r="F991" s="1">
        <v>3.906E9</v>
      </c>
      <c r="G991" s="1">
        <v>3.361E9</v>
      </c>
      <c r="H991" s="1">
        <v>1.328E9</v>
      </c>
      <c r="I991" s="1">
        <v>1.0854E10</v>
      </c>
      <c r="J991" s="1">
        <v>5.903E9</v>
      </c>
      <c r="K991" s="1">
        <v>5.903E9</v>
      </c>
      <c r="L991" s="1">
        <v>-1.9E8</v>
      </c>
      <c r="M991" s="1">
        <v>5.45E8</v>
      </c>
      <c r="N991" s="1">
        <v>1.9673E10</v>
      </c>
      <c r="O991" s="1">
        <v>1.377E10</v>
      </c>
      <c r="P991" s="1">
        <v>8.819E9</v>
      </c>
      <c r="Q991" s="1">
        <v>-1.997E9</v>
      </c>
      <c r="R991" s="1">
        <v>3.361E9</v>
      </c>
      <c r="S991" s="1">
        <v>3.361E9</v>
      </c>
    </row>
    <row r="992">
      <c r="A992" s="1">
        <v>990.0</v>
      </c>
      <c r="B992" s="3">
        <v>44191.0</v>
      </c>
      <c r="C992" s="1" t="s">
        <v>535</v>
      </c>
      <c r="D992" s="1" t="s">
        <v>536</v>
      </c>
      <c r="E992" s="1">
        <v>3.655E9</v>
      </c>
      <c r="F992" s="1">
        <v>7.488E9</v>
      </c>
      <c r="G992" s="1">
        <v>5.857E9</v>
      </c>
      <c r="H992" s="1">
        <v>1.757E9</v>
      </c>
      <c r="I992" s="1">
        <v>1.1348E10</v>
      </c>
      <c r="J992" s="1">
        <v>5.936E9</v>
      </c>
      <c r="K992" s="1">
        <v>5.936E9</v>
      </c>
      <c r="L992" s="1">
        <v>-1.48E8</v>
      </c>
      <c r="M992" s="1">
        <v>1.631E9</v>
      </c>
      <c r="N992" s="1">
        <v>1.9978E10</v>
      </c>
      <c r="O992" s="1">
        <v>1.4042E10</v>
      </c>
      <c r="P992" s="1">
        <v>8.63E9</v>
      </c>
      <c r="Q992" s="1">
        <v>1.552E9</v>
      </c>
      <c r="R992" s="1">
        <v>5.857E9</v>
      </c>
      <c r="S992" s="1">
        <v>5.857E9</v>
      </c>
    </row>
    <row r="993">
      <c r="A993" s="1">
        <v>991.0</v>
      </c>
      <c r="B993" s="3">
        <v>44100.0</v>
      </c>
      <c r="C993" s="1" t="s">
        <v>535</v>
      </c>
      <c r="D993" s="1" t="s">
        <v>536</v>
      </c>
      <c r="E993" s="1">
        <v>3.272E9</v>
      </c>
      <c r="F993" s="1">
        <v>5.041E9</v>
      </c>
      <c r="G993" s="1">
        <v>4.276E9</v>
      </c>
      <c r="H993" s="1">
        <v>1.435E9</v>
      </c>
      <c r="I993" s="1">
        <v>9.741E9</v>
      </c>
      <c r="J993" s="1">
        <v>5.034E9</v>
      </c>
      <c r="K993" s="1">
        <v>5.034E9</v>
      </c>
      <c r="L993" s="1">
        <v>-1.6E8</v>
      </c>
      <c r="M993" s="1">
        <v>7.65E8</v>
      </c>
      <c r="N993" s="1">
        <v>1.8333E10</v>
      </c>
      <c r="O993" s="1">
        <v>1.3299E10</v>
      </c>
      <c r="P993" s="1">
        <v>8.592E9</v>
      </c>
      <c r="Q993" s="1">
        <v>7000000.0</v>
      </c>
      <c r="R993" s="1">
        <v>4.276E9</v>
      </c>
      <c r="S993" s="1">
        <v>4.276E9</v>
      </c>
    </row>
    <row r="994">
      <c r="A994" s="1">
        <v>992.0</v>
      </c>
      <c r="B994" s="3">
        <v>44377.0</v>
      </c>
      <c r="C994" s="1" t="s">
        <v>537</v>
      </c>
      <c r="D994" s="1" t="s">
        <v>538</v>
      </c>
      <c r="F994" s="1">
        <v>1.932E9</v>
      </c>
      <c r="G994" s="1">
        <v>1.252E9</v>
      </c>
      <c r="H994" s="1">
        <v>6.47E8</v>
      </c>
      <c r="I994" s="1">
        <v>1.707E9</v>
      </c>
      <c r="J994" s="1">
        <v>8.09E8</v>
      </c>
      <c r="K994" s="1">
        <v>8.09E8</v>
      </c>
      <c r="L994" s="1">
        <v>-1.06E8</v>
      </c>
      <c r="M994" s="1">
        <v>6.79E8</v>
      </c>
      <c r="N994" s="1">
        <v>1.707E9</v>
      </c>
      <c r="O994" s="1">
        <v>8.98E8</v>
      </c>
      <c r="P994" s="1">
        <v>0.0</v>
      </c>
      <c r="Q994" s="1">
        <v>1.123E9</v>
      </c>
      <c r="R994" s="1">
        <v>1.253E9</v>
      </c>
      <c r="S994" s="1">
        <v>1.252E9</v>
      </c>
    </row>
    <row r="995">
      <c r="A995" s="1">
        <v>993.0</v>
      </c>
      <c r="B995" s="3">
        <v>44286.0</v>
      </c>
      <c r="C995" s="1" t="s">
        <v>537</v>
      </c>
      <c r="D995" s="1" t="s">
        <v>538</v>
      </c>
      <c r="F995" s="1">
        <v>8.33E8</v>
      </c>
      <c r="G995" s="1">
        <v>6.46E8</v>
      </c>
      <c r="H995" s="1">
        <v>6.32E8</v>
      </c>
      <c r="I995" s="1">
        <v>1.797E9</v>
      </c>
      <c r="J995" s="1">
        <v>9.1E8</v>
      </c>
      <c r="K995" s="1">
        <v>9.1E8</v>
      </c>
      <c r="L995" s="1">
        <v>-1.07E8</v>
      </c>
      <c r="M995" s="1">
        <v>1.83E8</v>
      </c>
      <c r="N995" s="1">
        <v>1.797E9</v>
      </c>
      <c r="O995" s="1">
        <v>8.87E8</v>
      </c>
      <c r="P995" s="1">
        <v>0.0</v>
      </c>
      <c r="Q995" s="1">
        <v>-7.7E7</v>
      </c>
      <c r="R995" s="1">
        <v>6.5E8</v>
      </c>
      <c r="S995" s="1">
        <v>6.46E8</v>
      </c>
    </row>
    <row r="996">
      <c r="A996" s="1">
        <v>994.0</v>
      </c>
      <c r="B996" s="3">
        <v>44196.0</v>
      </c>
      <c r="C996" s="1" t="s">
        <v>537</v>
      </c>
      <c r="D996" s="1" t="s">
        <v>538</v>
      </c>
      <c r="F996" s="1">
        <v>6.74E8</v>
      </c>
      <c r="G996" s="1">
        <v>5.26E8</v>
      </c>
      <c r="H996" s="1">
        <v>6.25E8</v>
      </c>
      <c r="I996" s="1">
        <v>1.671E9</v>
      </c>
      <c r="J996" s="1">
        <v>8.0E8</v>
      </c>
      <c r="K996" s="1">
        <v>8.0E8</v>
      </c>
      <c r="L996" s="1">
        <v>-1.12E8</v>
      </c>
      <c r="M996" s="1">
        <v>1.46E8</v>
      </c>
      <c r="N996" s="1">
        <v>1.671E9</v>
      </c>
      <c r="O996" s="1">
        <v>8.71E8</v>
      </c>
      <c r="P996" s="1">
        <v>0.0</v>
      </c>
      <c r="Q996" s="1">
        <v>-1.26E8</v>
      </c>
      <c r="R996" s="1">
        <v>5.28E8</v>
      </c>
      <c r="S996" s="1">
        <v>5.26E8</v>
      </c>
    </row>
    <row r="997">
      <c r="A997" s="1">
        <v>995.0</v>
      </c>
      <c r="B997" s="3">
        <v>44104.0</v>
      </c>
      <c r="C997" s="1" t="s">
        <v>537</v>
      </c>
      <c r="D997" s="1" t="s">
        <v>538</v>
      </c>
      <c r="F997" s="1">
        <v>5.83E8</v>
      </c>
      <c r="G997" s="1">
        <v>3.9E8</v>
      </c>
      <c r="H997" s="1">
        <v>5.28E8</v>
      </c>
      <c r="I997" s="1">
        <v>1.411E9</v>
      </c>
      <c r="J997" s="1">
        <v>7.03E8</v>
      </c>
      <c r="K997" s="1">
        <v>7.03E8</v>
      </c>
      <c r="L997" s="1">
        <v>-8.9E7</v>
      </c>
      <c r="M997" s="1">
        <v>1.89E8</v>
      </c>
      <c r="N997" s="1">
        <v>1.411E9</v>
      </c>
      <c r="O997" s="1">
        <v>7.08E8</v>
      </c>
      <c r="P997" s="1">
        <v>0.0</v>
      </c>
      <c r="Q997" s="1">
        <v>-1.2E8</v>
      </c>
      <c r="R997" s="1">
        <v>3.94E8</v>
      </c>
      <c r="S997" s="1">
        <v>3.9E8</v>
      </c>
    </row>
    <row r="998">
      <c r="A998" s="1">
        <v>996.0</v>
      </c>
      <c r="B998" s="3">
        <v>44377.0</v>
      </c>
      <c r="C998" s="1" t="s">
        <v>539</v>
      </c>
      <c r="D998" s="1" t="s">
        <v>540</v>
      </c>
      <c r="E998" s="1">
        <v>1.64E8</v>
      </c>
      <c r="F998" s="1">
        <v>4.4E7</v>
      </c>
      <c r="G998" s="1">
        <v>2.8E7</v>
      </c>
      <c r="H998" s="1">
        <v>3.85E8</v>
      </c>
      <c r="I998" s="1">
        <v>1.105E9</v>
      </c>
      <c r="J998" s="1">
        <v>3.56E8</v>
      </c>
      <c r="K998" s="1">
        <v>3.56E8</v>
      </c>
      <c r="L998" s="1">
        <v>-7.7E7</v>
      </c>
      <c r="M998" s="1">
        <v>1.4E7</v>
      </c>
      <c r="N998" s="1">
        <v>3.089E9</v>
      </c>
      <c r="O998" s="1">
        <v>2.733E9</v>
      </c>
      <c r="P998" s="1">
        <v>1.984E9</v>
      </c>
      <c r="Q998" s="1">
        <v>-3.12E8</v>
      </c>
      <c r="R998" s="1">
        <v>3.0E7</v>
      </c>
      <c r="S998" s="1">
        <v>2.9E7</v>
      </c>
    </row>
    <row r="999">
      <c r="A999" s="1">
        <v>997.0</v>
      </c>
      <c r="B999" s="3">
        <v>44286.0</v>
      </c>
      <c r="C999" s="1" t="s">
        <v>539</v>
      </c>
      <c r="D999" s="1" t="s">
        <v>540</v>
      </c>
      <c r="E999" s="1">
        <v>1.43E8</v>
      </c>
      <c r="F999" s="1">
        <v>-5.4E7</v>
      </c>
      <c r="G999" s="1">
        <v>-4.2E7</v>
      </c>
      <c r="H999" s="1">
        <v>3.09E8</v>
      </c>
      <c r="I999" s="1">
        <v>9.36E8</v>
      </c>
      <c r="J999" s="1">
        <v>3.32E8</v>
      </c>
      <c r="K999" s="1">
        <v>3.32E8</v>
      </c>
      <c r="L999" s="1">
        <v>-6.5E7</v>
      </c>
      <c r="M999" s="1">
        <v>-1.4E7</v>
      </c>
      <c r="N999" s="1">
        <v>2.465E9</v>
      </c>
      <c r="O999" s="1">
        <v>2.133E9</v>
      </c>
      <c r="P999" s="1">
        <v>1.529E9</v>
      </c>
      <c r="Q999" s="1">
        <v>-3.86E8</v>
      </c>
      <c r="R999" s="1">
        <v>-4.0E7</v>
      </c>
      <c r="S999" s="1">
        <v>-4.3E7</v>
      </c>
    </row>
    <row r="1000">
      <c r="A1000" s="1">
        <v>998.0</v>
      </c>
      <c r="B1000" s="3">
        <v>44196.0</v>
      </c>
      <c r="C1000" s="1" t="s">
        <v>539</v>
      </c>
      <c r="D1000" s="1" t="s">
        <v>540</v>
      </c>
      <c r="E1000" s="1">
        <v>1.00038E8</v>
      </c>
      <c r="F1000" s="1">
        <v>7.9298E7</v>
      </c>
      <c r="G1000" s="1">
        <v>6.7589E7</v>
      </c>
      <c r="H1000" s="1">
        <v>2.14333E8</v>
      </c>
      <c r="I1000" s="1">
        <v>5.13819E8</v>
      </c>
      <c r="J1000" s="1">
        <v>1.49063E8</v>
      </c>
      <c r="K1000" s="1">
        <v>1.49063E8</v>
      </c>
      <c r="L1000" s="1">
        <v>-3.2756E7</v>
      </c>
      <c r="M1000" s="1">
        <v>1.2734E7</v>
      </c>
      <c r="N1000" s="1">
        <v>1.270073E9</v>
      </c>
      <c r="O1000" s="1">
        <v>1.12101E9</v>
      </c>
      <c r="P1000" s="1">
        <v>7.56254E8</v>
      </c>
      <c r="Q1000" s="1">
        <v>-6.9765E7</v>
      </c>
      <c r="R1000" s="1">
        <v>6.6564E7</v>
      </c>
      <c r="S1000" s="1">
        <v>6.3928E7</v>
      </c>
    </row>
    <row r="1001">
      <c r="A1001" s="1">
        <v>999.0</v>
      </c>
      <c r="B1001" s="3">
        <v>44104.0</v>
      </c>
      <c r="C1001" s="1" t="s">
        <v>539</v>
      </c>
      <c r="D1001" s="1" t="s">
        <v>540</v>
      </c>
      <c r="E1001" s="1">
        <v>8.9968E7</v>
      </c>
      <c r="F1001" s="1">
        <v>1.055E8</v>
      </c>
      <c r="G1001" s="1">
        <v>8.4828E7</v>
      </c>
      <c r="H1001" s="1">
        <v>1.8813E8</v>
      </c>
      <c r="I1001" s="1">
        <v>5.2453E8</v>
      </c>
      <c r="J1001" s="1">
        <v>1.98694E8</v>
      </c>
      <c r="K1001" s="1">
        <v>1.98694E8</v>
      </c>
      <c r="L1001" s="1">
        <v>-3.4844E7</v>
      </c>
      <c r="M1001" s="1">
        <v>1.9269E7</v>
      </c>
      <c r="N1001" s="1">
        <v>1.268076E9</v>
      </c>
      <c r="O1001" s="1">
        <v>1.069382E9</v>
      </c>
      <c r="P1001" s="1">
        <v>7.43546E8</v>
      </c>
      <c r="Q1001" s="1">
        <v>-9.3194E7</v>
      </c>
      <c r="R1001" s="1">
        <v>8.6231E7</v>
      </c>
      <c r="S1001" s="1">
        <v>8.5592E7</v>
      </c>
    </row>
    <row r="1002">
      <c r="A1002" s="1">
        <v>1000.0</v>
      </c>
      <c r="B1002" s="3">
        <v>44377.0</v>
      </c>
      <c r="C1002" s="1" t="s">
        <v>541</v>
      </c>
      <c r="D1002" s="1" t="s">
        <v>542</v>
      </c>
      <c r="F1002" s="1">
        <v>5.36E8</v>
      </c>
      <c r="G1002" s="1">
        <v>4.32E8</v>
      </c>
      <c r="H1002" s="1">
        <v>8.28E8</v>
      </c>
      <c r="I1002" s="1">
        <v>1.703E9</v>
      </c>
      <c r="J1002" s="1">
        <v>5.24E8</v>
      </c>
      <c r="K1002" s="1">
        <v>5.24E8</v>
      </c>
      <c r="L1002" s="1">
        <v>-1.17E8</v>
      </c>
      <c r="M1002" s="1">
        <v>1.02E8</v>
      </c>
      <c r="N1002" s="1">
        <v>5.616E9</v>
      </c>
      <c r="O1002" s="1">
        <v>5.092E9</v>
      </c>
      <c r="P1002" s="1">
        <v>3.913E9</v>
      </c>
      <c r="Q1002" s="1">
        <v>1.2E7</v>
      </c>
      <c r="R1002" s="1">
        <v>4.34E8</v>
      </c>
      <c r="S1002" s="1">
        <v>4.32E8</v>
      </c>
    </row>
    <row r="1003">
      <c r="A1003" s="1">
        <v>1001.0</v>
      </c>
      <c r="B1003" s="3">
        <v>44286.0</v>
      </c>
      <c r="C1003" s="1" t="s">
        <v>541</v>
      </c>
      <c r="D1003" s="1" t="s">
        <v>542</v>
      </c>
      <c r="F1003" s="1">
        <v>4.48E8</v>
      </c>
      <c r="G1003" s="1">
        <v>3.49E8</v>
      </c>
      <c r="H1003" s="1">
        <v>7.14E8</v>
      </c>
      <c r="I1003" s="1">
        <v>1.516E9</v>
      </c>
      <c r="J1003" s="1">
        <v>4.49E8</v>
      </c>
      <c r="K1003" s="1">
        <v>4.49E8</v>
      </c>
      <c r="L1003" s="1">
        <v>-1.24E8</v>
      </c>
      <c r="M1003" s="1">
        <v>9.9E7</v>
      </c>
      <c r="N1003" s="1">
        <v>5.363E9</v>
      </c>
      <c r="O1003" s="1">
        <v>4.914E9</v>
      </c>
      <c r="P1003" s="1">
        <v>3.847E9</v>
      </c>
      <c r="Q1003" s="1">
        <v>-1000000.0</v>
      </c>
      <c r="R1003" s="1">
        <v>3.49E8</v>
      </c>
      <c r="S1003" s="1">
        <v>3.49E8</v>
      </c>
    </row>
    <row r="1004">
      <c r="A1004" s="1">
        <v>1002.0</v>
      </c>
      <c r="B1004" s="3">
        <v>44196.0</v>
      </c>
      <c r="C1004" s="1" t="s">
        <v>541</v>
      </c>
      <c r="D1004" s="1" t="s">
        <v>542</v>
      </c>
      <c r="F1004" s="1">
        <v>1.87E8</v>
      </c>
      <c r="G1004" s="1">
        <v>1.53E8</v>
      </c>
      <c r="H1004" s="1">
        <v>8.02E8</v>
      </c>
      <c r="I1004" s="1">
        <v>1.58E9</v>
      </c>
      <c r="J1004" s="1">
        <v>4.04E8</v>
      </c>
      <c r="K1004" s="1">
        <v>4.04E8</v>
      </c>
      <c r="L1004" s="1">
        <v>-1.33E8</v>
      </c>
      <c r="M1004" s="1">
        <v>3.4E7</v>
      </c>
      <c r="N1004" s="1">
        <v>5.239E9</v>
      </c>
      <c r="O1004" s="1">
        <v>4.835E9</v>
      </c>
      <c r="P1004" s="1">
        <v>3.659E9</v>
      </c>
      <c r="Q1004" s="1">
        <v>-2.17E8</v>
      </c>
      <c r="R1004" s="1">
        <v>1.53E8</v>
      </c>
      <c r="S1004" s="1">
        <v>1.53E8</v>
      </c>
    </row>
    <row r="1005">
      <c r="A1005" s="1">
        <v>1003.0</v>
      </c>
      <c r="B1005" s="3">
        <v>44104.0</v>
      </c>
      <c r="C1005" s="1" t="s">
        <v>541</v>
      </c>
      <c r="D1005" s="1" t="s">
        <v>542</v>
      </c>
      <c r="F1005" s="1">
        <v>2.54E8</v>
      </c>
      <c r="G1005" s="1">
        <v>2.04E8</v>
      </c>
      <c r="H1005" s="1">
        <v>7.26E8</v>
      </c>
      <c r="I1005" s="1">
        <v>1.582E9</v>
      </c>
      <c r="J1005" s="1">
        <v>4.92E8</v>
      </c>
      <c r="K1005" s="1">
        <v>4.92E8</v>
      </c>
      <c r="L1005" s="1">
        <v>-1.48E8</v>
      </c>
      <c r="M1005" s="1">
        <v>5.0E7</v>
      </c>
      <c r="N1005" s="1">
        <v>5.123E9</v>
      </c>
      <c r="O1005" s="1">
        <v>4.631E9</v>
      </c>
      <c r="P1005" s="1">
        <v>3.541E9</v>
      </c>
      <c r="Q1005" s="1">
        <v>-2.38E8</v>
      </c>
      <c r="R1005" s="1">
        <v>2.04E8</v>
      </c>
      <c r="S1005" s="1">
        <v>2.04E8</v>
      </c>
    </row>
    <row r="1006">
      <c r="A1006" s="1">
        <v>1004.0</v>
      </c>
      <c r="B1006" s="3">
        <v>44377.0</v>
      </c>
      <c r="C1006" s="1" t="s">
        <v>543</v>
      </c>
      <c r="D1006" s="1" t="s">
        <v>544</v>
      </c>
      <c r="F1006" s="1">
        <v>3.545E8</v>
      </c>
      <c r="G1006" s="1">
        <v>2.633E8</v>
      </c>
      <c r="H1006" s="1">
        <v>2.94E7</v>
      </c>
      <c r="I1006" s="1">
        <v>4.85E8</v>
      </c>
      <c r="J1006" s="1">
        <v>3.855E8</v>
      </c>
      <c r="K1006" s="1">
        <v>3.855E8</v>
      </c>
      <c r="L1006" s="1">
        <v>-4.26E7</v>
      </c>
      <c r="M1006" s="1">
        <v>8.67E7</v>
      </c>
      <c r="N1006" s="1">
        <v>2.2696E9</v>
      </c>
      <c r="O1006" s="1">
        <v>1.8841E9</v>
      </c>
      <c r="P1006" s="1">
        <v>1.7846E9</v>
      </c>
      <c r="Q1006" s="1">
        <v>-3.1E7</v>
      </c>
      <c r="R1006" s="1">
        <v>2.678E8</v>
      </c>
      <c r="S1006" s="1">
        <v>2.633E8</v>
      </c>
    </row>
    <row r="1007">
      <c r="A1007" s="1">
        <v>1005.0</v>
      </c>
      <c r="B1007" s="3">
        <v>44286.0</v>
      </c>
      <c r="C1007" s="1" t="s">
        <v>543</v>
      </c>
      <c r="D1007" s="1" t="s">
        <v>544</v>
      </c>
      <c r="F1007" s="1">
        <v>1.162E8</v>
      </c>
      <c r="G1007" s="1">
        <v>9.17E7</v>
      </c>
      <c r="H1007" s="1">
        <v>2.82E7</v>
      </c>
      <c r="I1007" s="1">
        <v>3.431E8</v>
      </c>
      <c r="J1007" s="1">
        <v>2.457E8</v>
      </c>
      <c r="K1007" s="1">
        <v>2.457E8</v>
      </c>
      <c r="L1007" s="1">
        <v>-4.96E7</v>
      </c>
      <c r="M1007" s="1">
        <v>2.38E7</v>
      </c>
      <c r="N1007" s="1">
        <v>2.0277E9</v>
      </c>
      <c r="O1007" s="1">
        <v>1.782E9</v>
      </c>
      <c r="P1007" s="1">
        <v>1.6846E9</v>
      </c>
      <c r="Q1007" s="1">
        <v>-1.295E8</v>
      </c>
      <c r="R1007" s="1">
        <v>9.24E7</v>
      </c>
      <c r="S1007" s="1">
        <v>9.17E7</v>
      </c>
    </row>
    <row r="1008">
      <c r="A1008" s="1">
        <v>1006.0</v>
      </c>
      <c r="B1008" s="3">
        <v>44196.0</v>
      </c>
      <c r="C1008" s="1" t="s">
        <v>543</v>
      </c>
      <c r="D1008" s="1" t="s">
        <v>544</v>
      </c>
      <c r="F1008" s="1">
        <v>1.751E8</v>
      </c>
      <c r="G1008" s="1">
        <v>1.123E8</v>
      </c>
      <c r="H1008" s="1">
        <v>3.357E8</v>
      </c>
      <c r="I1008" s="1">
        <v>8.877E8</v>
      </c>
      <c r="J1008" s="1">
        <v>4.783E8</v>
      </c>
      <c r="K1008" s="1">
        <v>4.783E8</v>
      </c>
      <c r="L1008" s="1">
        <v>-4.68E7</v>
      </c>
      <c r="M1008" s="1">
        <v>5.81E7</v>
      </c>
      <c r="N1008" s="1">
        <v>2.2844E9</v>
      </c>
      <c r="O1008" s="1">
        <v>1.8061E9</v>
      </c>
      <c r="P1008" s="1">
        <v>1.3967E9</v>
      </c>
      <c r="Q1008" s="1">
        <v>-3.032E8</v>
      </c>
      <c r="R1008" s="1">
        <v>1.17E8</v>
      </c>
      <c r="S1008" s="1">
        <v>1.123E8</v>
      </c>
    </row>
    <row r="1009">
      <c r="A1009" s="1">
        <v>1007.0</v>
      </c>
      <c r="B1009" s="3">
        <v>44104.0</v>
      </c>
      <c r="C1009" s="1" t="s">
        <v>543</v>
      </c>
      <c r="D1009" s="1" t="s">
        <v>544</v>
      </c>
      <c r="F1009" s="1">
        <v>1.922E8</v>
      </c>
      <c r="G1009" s="1">
        <v>2.797E8</v>
      </c>
      <c r="H1009" s="1">
        <v>9900000.0</v>
      </c>
      <c r="I1009" s="1">
        <v>3.776E8</v>
      </c>
      <c r="J1009" s="1">
        <v>2.967E8</v>
      </c>
      <c r="K1009" s="1">
        <v>2.967E8</v>
      </c>
      <c r="L1009" s="1">
        <v>-5.08E7</v>
      </c>
      <c r="M1009" s="1">
        <v>-8.63E7</v>
      </c>
      <c r="N1009" s="1">
        <v>1.9546E9</v>
      </c>
      <c r="O1009" s="1">
        <v>1.6579E9</v>
      </c>
      <c r="P1009" s="1">
        <v>1.577E9</v>
      </c>
      <c r="Q1009" s="1">
        <v>-1.045E8</v>
      </c>
      <c r="R1009" s="1">
        <v>2.785E8</v>
      </c>
      <c r="S1009" s="1">
        <v>2.797E8</v>
      </c>
    </row>
    <row r="1010">
      <c r="A1010" s="1">
        <v>1008.0</v>
      </c>
      <c r="B1010" s="3">
        <v>44316.0</v>
      </c>
      <c r="C1010" s="1" t="s">
        <v>545</v>
      </c>
      <c r="D1010" s="1" t="s">
        <v>546</v>
      </c>
      <c r="E1010" s="1">
        <v>4.64E8</v>
      </c>
      <c r="F1010" s="1">
        <v>1.921E9</v>
      </c>
      <c r="G1010" s="1">
        <v>1.464E9</v>
      </c>
      <c r="H1010" s="1">
        <v>1.146E9</v>
      </c>
      <c r="I1010" s="1">
        <v>3.592E9</v>
      </c>
      <c r="J1010" s="1">
        <v>1.914E9</v>
      </c>
      <c r="K1010" s="1">
        <v>1.914E9</v>
      </c>
      <c r="L1010" s="1">
        <v>-7000000.0</v>
      </c>
      <c r="M1010" s="1">
        <v>4.57E8</v>
      </c>
      <c r="N1010" s="1">
        <v>4.173E9</v>
      </c>
      <c r="O1010" s="1">
        <v>2.259E9</v>
      </c>
      <c r="P1010" s="1">
        <v>5.81E8</v>
      </c>
      <c r="Q1010" s="1">
        <v>7000000.0</v>
      </c>
      <c r="R1010" s="1">
        <v>1.464E9</v>
      </c>
      <c r="S1010" s="1">
        <v>1.464E9</v>
      </c>
    </row>
    <row r="1011">
      <c r="A1011" s="1">
        <v>1009.0</v>
      </c>
      <c r="B1011" s="3">
        <v>44227.0</v>
      </c>
      <c r="C1011" s="1" t="s">
        <v>545</v>
      </c>
      <c r="D1011" s="1" t="s">
        <v>546</v>
      </c>
      <c r="E1011" s="1">
        <v>3.68E8</v>
      </c>
      <c r="F1011" s="1">
        <v>2.2E7</v>
      </c>
      <c r="G1011" s="1">
        <v>2.0E7</v>
      </c>
      <c r="H1011" s="1">
        <v>8.04E8</v>
      </c>
      <c r="I1011" s="1">
        <v>1.223E9</v>
      </c>
      <c r="J1011" s="1">
        <v>1000000.0</v>
      </c>
      <c r="K1011" s="1">
        <v>1000000.0</v>
      </c>
      <c r="L1011" s="1">
        <v>-7000000.0</v>
      </c>
      <c r="M1011" s="1">
        <v>2000000.0</v>
      </c>
      <c r="N1011" s="1">
        <v>1.576E9</v>
      </c>
      <c r="O1011" s="1">
        <v>1.575E9</v>
      </c>
      <c r="P1011" s="1">
        <v>3.53E8</v>
      </c>
      <c r="Q1011" s="1">
        <v>2.1E7</v>
      </c>
      <c r="R1011" s="1">
        <v>2.0E7</v>
      </c>
      <c r="S1011" s="1">
        <v>2.0E7</v>
      </c>
    </row>
    <row r="1012">
      <c r="A1012" s="1">
        <v>1010.0</v>
      </c>
      <c r="B1012" s="3">
        <v>44135.0</v>
      </c>
      <c r="C1012" s="1" t="s">
        <v>545</v>
      </c>
      <c r="D1012" s="1" t="s">
        <v>546</v>
      </c>
      <c r="E1012" s="1">
        <v>3.25E8</v>
      </c>
      <c r="F1012" s="1">
        <v>2.1E8</v>
      </c>
      <c r="G1012" s="1">
        <v>1.98E8</v>
      </c>
      <c r="H1012" s="1">
        <v>5.31E8</v>
      </c>
      <c r="I1012" s="1">
        <v>1.074E9</v>
      </c>
      <c r="J1012" s="1">
        <v>2.09E8</v>
      </c>
      <c r="K1012" s="1">
        <v>2.09E8</v>
      </c>
      <c r="L1012" s="1">
        <v>-8000000.0</v>
      </c>
      <c r="M1012" s="1">
        <v>1.2E7</v>
      </c>
      <c r="N1012" s="1">
        <v>1.323E9</v>
      </c>
      <c r="O1012" s="1">
        <v>1.114E9</v>
      </c>
      <c r="P1012" s="1">
        <v>2.49E8</v>
      </c>
      <c r="Q1012" s="1">
        <v>1000000.0</v>
      </c>
      <c r="R1012" s="1">
        <v>1.98E8</v>
      </c>
      <c r="S1012" s="1">
        <v>1.98E8</v>
      </c>
    </row>
    <row r="1013">
      <c r="A1013" s="1">
        <v>1011.0</v>
      </c>
      <c r="B1013" s="3">
        <v>44043.0</v>
      </c>
      <c r="C1013" s="1" t="s">
        <v>545</v>
      </c>
      <c r="D1013" s="1" t="s">
        <v>546</v>
      </c>
      <c r="E1013" s="1">
        <v>3.93E8</v>
      </c>
      <c r="F1013" s="1">
        <v>4.86E8</v>
      </c>
      <c r="G1013" s="1">
        <v>4.45E8</v>
      </c>
      <c r="H1013" s="1">
        <v>6.17E8</v>
      </c>
      <c r="I1013" s="1">
        <v>1.499E9</v>
      </c>
      <c r="J1013" s="1">
        <v>4.83E8</v>
      </c>
      <c r="K1013" s="1">
        <v>4.83E8</v>
      </c>
      <c r="L1013" s="1">
        <v>-7000000.0</v>
      </c>
      <c r="M1013" s="1">
        <v>4.1E7</v>
      </c>
      <c r="N1013" s="1">
        <v>1.816E9</v>
      </c>
      <c r="O1013" s="1">
        <v>1.333E9</v>
      </c>
      <c r="P1013" s="1">
        <v>3.17E8</v>
      </c>
      <c r="Q1013" s="1">
        <v>3000000.0</v>
      </c>
      <c r="R1013" s="1">
        <v>4.45E8</v>
      </c>
      <c r="S1013" s="1">
        <v>4.45E8</v>
      </c>
    </row>
    <row r="1014">
      <c r="A1014" s="1">
        <v>1012.0</v>
      </c>
      <c r="B1014" s="3">
        <v>44286.0</v>
      </c>
      <c r="C1014" s="1" t="s">
        <v>547</v>
      </c>
      <c r="D1014" s="1" t="s">
        <v>548</v>
      </c>
      <c r="E1014" s="1">
        <v>1.598E8</v>
      </c>
      <c r="F1014" s="1">
        <v>4.488E8</v>
      </c>
      <c r="G1014" s="1">
        <v>4.263E8</v>
      </c>
      <c r="H1014" s="1">
        <v>3.26E8</v>
      </c>
      <c r="I1014" s="1">
        <v>9.026E8</v>
      </c>
      <c r="J1014" s="1">
        <v>4.168E8</v>
      </c>
      <c r="K1014" s="1">
        <v>4.168E8</v>
      </c>
      <c r="M1014" s="1">
        <v>1.36E7</v>
      </c>
      <c r="N1014" s="1">
        <v>1.2921E9</v>
      </c>
      <c r="O1014" s="1">
        <v>8.753E8</v>
      </c>
      <c r="P1014" s="1">
        <v>3.895E8</v>
      </c>
      <c r="Q1014" s="1">
        <v>3.2E7</v>
      </c>
      <c r="R1014" s="1">
        <v>4.352E8</v>
      </c>
      <c r="S1014" s="1">
        <v>4.263E8</v>
      </c>
    </row>
    <row r="1015">
      <c r="A1015" s="1">
        <v>1013.0</v>
      </c>
      <c r="B1015" s="3">
        <v>44196.0</v>
      </c>
      <c r="C1015" s="1" t="s">
        <v>547</v>
      </c>
      <c r="D1015" s="1" t="s">
        <v>548</v>
      </c>
      <c r="E1015" s="1">
        <v>1.498E8</v>
      </c>
      <c r="F1015" s="1">
        <v>4.365E8</v>
      </c>
      <c r="G1015" s="1">
        <v>3.652E8</v>
      </c>
      <c r="H1015" s="1">
        <v>3.314E8</v>
      </c>
      <c r="I1015" s="1">
        <v>8.958E8</v>
      </c>
      <c r="J1015" s="1">
        <v>4.146E8</v>
      </c>
      <c r="K1015" s="1">
        <v>4.146E8</v>
      </c>
      <c r="M1015" s="1">
        <v>7.29E7</v>
      </c>
      <c r="N1015" s="1">
        <v>1.3291E9</v>
      </c>
      <c r="O1015" s="1">
        <v>9.145E8</v>
      </c>
      <c r="P1015" s="1">
        <v>4.333E8</v>
      </c>
      <c r="Q1015" s="1">
        <v>2.19E7</v>
      </c>
      <c r="R1015" s="1">
        <v>3.636E8</v>
      </c>
      <c r="S1015" s="1">
        <v>3.652E8</v>
      </c>
    </row>
    <row r="1016">
      <c r="A1016" s="1">
        <v>1014.0</v>
      </c>
      <c r="B1016" s="3">
        <v>44104.0</v>
      </c>
      <c r="C1016" s="1" t="s">
        <v>547</v>
      </c>
      <c r="D1016" s="1" t="s">
        <v>548</v>
      </c>
      <c r="E1016" s="1">
        <v>1.55E8</v>
      </c>
      <c r="F1016" s="1">
        <v>3.552E8</v>
      </c>
      <c r="G1016" s="1">
        <v>3.139E8</v>
      </c>
      <c r="H1016" s="1">
        <v>2.989E8</v>
      </c>
      <c r="I1016" s="1">
        <v>7.243E8</v>
      </c>
      <c r="J1016" s="1">
        <v>2.704E8</v>
      </c>
      <c r="K1016" s="1">
        <v>2.704E8</v>
      </c>
      <c r="M1016" s="1">
        <v>3.84E7</v>
      </c>
      <c r="N1016" s="1">
        <v>1.0777E9</v>
      </c>
      <c r="O1016" s="1">
        <v>8.073E8</v>
      </c>
      <c r="P1016" s="1">
        <v>3.534E8</v>
      </c>
      <c r="Q1016" s="1">
        <v>8.48E7</v>
      </c>
      <c r="R1016" s="1">
        <v>3.168E8</v>
      </c>
      <c r="S1016" s="1">
        <v>3.139E8</v>
      </c>
    </row>
    <row r="1017">
      <c r="A1017" s="1">
        <v>1015.0</v>
      </c>
      <c r="B1017" s="3">
        <v>44012.0</v>
      </c>
      <c r="C1017" s="1" t="s">
        <v>547</v>
      </c>
      <c r="D1017" s="1" t="s">
        <v>548</v>
      </c>
      <c r="E1017" s="1">
        <v>1.432E8</v>
      </c>
      <c r="F1017" s="1">
        <v>1.072E8</v>
      </c>
      <c r="G1017" s="1">
        <v>6.8E7</v>
      </c>
      <c r="H1017" s="1">
        <v>2.791E8</v>
      </c>
      <c r="I1017" s="1">
        <v>5.029E8</v>
      </c>
      <c r="J1017" s="1">
        <v>8.06E7</v>
      </c>
      <c r="K1017" s="1">
        <v>8.06E7</v>
      </c>
      <c r="M1017" s="1">
        <v>3.7E7</v>
      </c>
      <c r="N1017" s="1">
        <v>8.521E8</v>
      </c>
      <c r="O1017" s="1">
        <v>7.715E8</v>
      </c>
      <c r="P1017" s="1">
        <v>3.492E8</v>
      </c>
      <c r="Q1017" s="1">
        <v>2.66E7</v>
      </c>
      <c r="R1017" s="1">
        <v>7.02E7</v>
      </c>
      <c r="S1017" s="1">
        <v>6.8E7</v>
      </c>
    </row>
    <row r="1018">
      <c r="A1018" s="1">
        <v>1016.0</v>
      </c>
      <c r="B1018" s="3">
        <v>44377.0</v>
      </c>
      <c r="C1018" s="1" t="s">
        <v>549</v>
      </c>
      <c r="D1018" s="1" t="s">
        <v>550</v>
      </c>
      <c r="F1018" s="1">
        <v>6.493E8</v>
      </c>
      <c r="G1018" s="1">
        <v>4.275E8</v>
      </c>
      <c r="H1018" s="1">
        <v>1.278E8</v>
      </c>
      <c r="I1018" s="1">
        <v>5.632E8</v>
      </c>
      <c r="J1018" s="1">
        <v>4.194E8</v>
      </c>
      <c r="K1018" s="1">
        <v>4.194E8</v>
      </c>
      <c r="L1018" s="1">
        <v>-6.3E7</v>
      </c>
      <c r="M1018" s="1">
        <v>1.542E8</v>
      </c>
      <c r="N1018" s="1">
        <v>1.7214E9</v>
      </c>
      <c r="O1018" s="1">
        <v>1.302E9</v>
      </c>
      <c r="P1018" s="1">
        <v>1.1582E9</v>
      </c>
      <c r="Q1018" s="1">
        <v>2.299E8</v>
      </c>
      <c r="R1018" s="1">
        <v>4.951E8</v>
      </c>
      <c r="S1018" s="1">
        <v>3.683E8</v>
      </c>
    </row>
    <row r="1019">
      <c r="A1019" s="1">
        <v>1017.0</v>
      </c>
      <c r="B1019" s="3">
        <v>44286.0</v>
      </c>
      <c r="C1019" s="1" t="s">
        <v>549</v>
      </c>
      <c r="D1019" s="1" t="s">
        <v>550</v>
      </c>
      <c r="F1019" s="1">
        <v>4.781E8</v>
      </c>
      <c r="G1019" s="1">
        <v>3.27E8</v>
      </c>
      <c r="H1019" s="1">
        <v>1.124E8</v>
      </c>
      <c r="I1019" s="1">
        <v>5.206E8</v>
      </c>
      <c r="J1019" s="1">
        <v>3.923E8</v>
      </c>
      <c r="K1019" s="1">
        <v>3.923E8</v>
      </c>
      <c r="L1019" s="1">
        <v>-6.47E7</v>
      </c>
      <c r="M1019" s="1">
        <v>1.065E8</v>
      </c>
      <c r="N1019" s="1">
        <v>1.6597E9</v>
      </c>
      <c r="O1019" s="1">
        <v>1.2674E9</v>
      </c>
      <c r="P1019" s="1">
        <v>1.1391E9</v>
      </c>
      <c r="Q1019" s="1">
        <v>8.58E7</v>
      </c>
      <c r="R1019" s="1">
        <v>3.716E8</v>
      </c>
      <c r="S1019" s="1">
        <v>2.678E8</v>
      </c>
    </row>
    <row r="1020">
      <c r="A1020" s="1">
        <v>1018.0</v>
      </c>
      <c r="B1020" s="3">
        <v>44196.0</v>
      </c>
      <c r="C1020" s="1" t="s">
        <v>549</v>
      </c>
      <c r="D1020" s="1" t="s">
        <v>550</v>
      </c>
      <c r="F1020" s="1">
        <v>3.997E8</v>
      </c>
      <c r="G1020" s="1">
        <v>2.703E8</v>
      </c>
      <c r="H1020" s="1">
        <v>1.165E8</v>
      </c>
      <c r="I1020" s="1">
        <v>5.073E8</v>
      </c>
      <c r="J1020" s="1">
        <v>3.908E8</v>
      </c>
      <c r="K1020" s="1">
        <v>3.908E8</v>
      </c>
      <c r="L1020" s="1">
        <v>-6.77E7</v>
      </c>
      <c r="M1020" s="1">
        <v>6.89E7</v>
      </c>
      <c r="N1020" s="1">
        <v>1.6301E9</v>
      </c>
      <c r="O1020" s="1">
        <v>1.2393E9</v>
      </c>
      <c r="P1020" s="1">
        <v>1.1228E9</v>
      </c>
      <c r="Q1020" s="1">
        <v>8900000.0</v>
      </c>
      <c r="R1020" s="1">
        <v>3.308E8</v>
      </c>
      <c r="S1020" s="1">
        <v>2.111E8</v>
      </c>
    </row>
    <row r="1021">
      <c r="A1021" s="1">
        <v>1019.0</v>
      </c>
      <c r="B1021" s="3">
        <v>44104.0</v>
      </c>
      <c r="C1021" s="1" t="s">
        <v>549</v>
      </c>
      <c r="D1021" s="1" t="s">
        <v>550</v>
      </c>
      <c r="F1021" s="1">
        <v>3.866E8</v>
      </c>
      <c r="G1021" s="1">
        <v>2.509E8</v>
      </c>
      <c r="H1021" s="1">
        <v>1.053E8</v>
      </c>
      <c r="I1021" s="1">
        <v>4.473E8</v>
      </c>
      <c r="J1021" s="1">
        <v>3.42E8</v>
      </c>
      <c r="K1021" s="1">
        <v>3.42E8</v>
      </c>
      <c r="L1021" s="1">
        <v>-7.56E7</v>
      </c>
      <c r="M1021" s="1">
        <v>9.19E7</v>
      </c>
      <c r="N1021" s="1">
        <v>1.4976E9</v>
      </c>
      <c r="O1021" s="1">
        <v>1.1556E9</v>
      </c>
      <c r="P1021" s="1">
        <v>1.0503E9</v>
      </c>
      <c r="Q1021" s="1">
        <v>4.46E7</v>
      </c>
      <c r="R1021" s="1">
        <v>2.947E8</v>
      </c>
      <c r="S1021" s="1">
        <v>1.917E8</v>
      </c>
    </row>
    <row r="1022">
      <c r="A1022" s="1">
        <v>1020.0</v>
      </c>
      <c r="B1022" s="3">
        <v>44196.0</v>
      </c>
      <c r="C1022" s="1" t="s">
        <v>551</v>
      </c>
      <c r="D1022" s="1" t="s">
        <v>552</v>
      </c>
      <c r="E1022" s="1">
        <v>3.1766E7</v>
      </c>
      <c r="F1022" s="1">
        <v>6.5596E7</v>
      </c>
      <c r="G1022" s="1">
        <v>4.9339E7</v>
      </c>
      <c r="H1022" s="1">
        <v>4.4686E7</v>
      </c>
      <c r="I1022" s="1">
        <v>1.46879E8</v>
      </c>
      <c r="J1022" s="1">
        <v>7.0427E7</v>
      </c>
      <c r="K1022" s="1">
        <v>7.0427E7</v>
      </c>
      <c r="M1022" s="1">
        <v>1.592E7</v>
      </c>
      <c r="N1022" s="1">
        <v>3.3663E8</v>
      </c>
      <c r="O1022" s="1">
        <v>2.66203E8</v>
      </c>
      <c r="P1022" s="1">
        <v>1.89751E8</v>
      </c>
      <c r="Q1022" s="1">
        <v>-4831000.0</v>
      </c>
      <c r="R1022" s="1">
        <v>4.9676E7</v>
      </c>
      <c r="S1022" s="1">
        <v>4.9339E7</v>
      </c>
    </row>
    <row r="1023">
      <c r="A1023" s="1">
        <v>1021.0</v>
      </c>
      <c r="B1023" s="3">
        <v>44104.0</v>
      </c>
      <c r="C1023" s="1" t="s">
        <v>551</v>
      </c>
      <c r="D1023" s="1" t="s">
        <v>552</v>
      </c>
      <c r="E1023" s="1">
        <v>3.171E7</v>
      </c>
      <c r="F1023" s="1">
        <v>4.2522E7</v>
      </c>
      <c r="G1023" s="1">
        <v>3.5604E7</v>
      </c>
      <c r="H1023" s="1">
        <v>4.637E7</v>
      </c>
      <c r="I1023" s="1">
        <v>1.52792E8</v>
      </c>
      <c r="J1023" s="1">
        <v>7.4712E7</v>
      </c>
      <c r="K1023" s="1">
        <v>7.4712E7</v>
      </c>
      <c r="M1023" s="1">
        <v>6992000.0</v>
      </c>
      <c r="N1023" s="1">
        <v>3.18441E8</v>
      </c>
      <c r="O1023" s="1">
        <v>2.43729E8</v>
      </c>
      <c r="P1023" s="1">
        <v>1.65649E8</v>
      </c>
      <c r="Q1023" s="1">
        <v>-3.219E7</v>
      </c>
      <c r="R1023" s="1">
        <v>3.553E7</v>
      </c>
      <c r="S1023" s="1">
        <v>3.5604E7</v>
      </c>
    </row>
    <row r="1024">
      <c r="A1024" s="1">
        <v>1022.0</v>
      </c>
      <c r="B1024" s="3">
        <v>44012.0</v>
      </c>
      <c r="C1024" s="1" t="s">
        <v>551</v>
      </c>
      <c r="D1024" s="1" t="s">
        <v>552</v>
      </c>
      <c r="E1024" s="1">
        <v>3.1584E7</v>
      </c>
      <c r="F1024" s="1">
        <v>4.9514E7</v>
      </c>
      <c r="G1024" s="1">
        <v>3.8226E7</v>
      </c>
      <c r="H1024" s="1">
        <v>4.3725E7</v>
      </c>
      <c r="I1024" s="1">
        <v>1.36449E8</v>
      </c>
      <c r="J1024" s="1">
        <v>6.114E7</v>
      </c>
      <c r="K1024" s="1">
        <v>6.114E7</v>
      </c>
      <c r="M1024" s="1">
        <v>1.1148E7</v>
      </c>
      <c r="N1024" s="1">
        <v>2.96411E8</v>
      </c>
      <c r="O1024" s="1">
        <v>2.35271E8</v>
      </c>
      <c r="P1024" s="1">
        <v>1.59962E8</v>
      </c>
      <c r="Q1024" s="1">
        <v>-1.1626E7</v>
      </c>
      <c r="R1024" s="1">
        <v>3.8366E7</v>
      </c>
      <c r="S1024" s="1">
        <v>3.8226E7</v>
      </c>
    </row>
    <row r="1025">
      <c r="A1025" s="1">
        <v>1023.0</v>
      </c>
      <c r="B1025" s="3">
        <v>43921.0</v>
      </c>
      <c r="C1025" s="1" t="s">
        <v>551</v>
      </c>
      <c r="D1025" s="1" t="s">
        <v>552</v>
      </c>
      <c r="E1025" s="1">
        <v>3.1838E7</v>
      </c>
      <c r="F1025" s="1">
        <v>4.806E7</v>
      </c>
      <c r="G1025" s="1">
        <v>3.6403E7</v>
      </c>
      <c r="H1025" s="1">
        <v>4.5807E7</v>
      </c>
      <c r="I1025" s="1">
        <v>1.02876E8</v>
      </c>
      <c r="J1025" s="1">
        <v>2.5231E7</v>
      </c>
      <c r="K1025" s="1">
        <v>2.5231E7</v>
      </c>
      <c r="M1025" s="1">
        <v>1.1294E7</v>
      </c>
      <c r="N1025" s="1">
        <v>2.49242E8</v>
      </c>
      <c r="O1025" s="1">
        <v>2.24011E8</v>
      </c>
      <c r="P1025" s="1">
        <v>1.46366E8</v>
      </c>
      <c r="Q1025" s="1">
        <v>2.2829E7</v>
      </c>
      <c r="R1025" s="1">
        <v>3.6766E7</v>
      </c>
      <c r="S1025" s="1">
        <v>3.6403E7</v>
      </c>
    </row>
    <row r="1026">
      <c r="A1026" s="1">
        <v>1024.0</v>
      </c>
      <c r="B1026" s="3">
        <v>44377.0</v>
      </c>
      <c r="C1026" s="1" t="s">
        <v>553</v>
      </c>
      <c r="D1026" s="1" t="s">
        <v>554</v>
      </c>
      <c r="F1026" s="1">
        <v>2.23E8</v>
      </c>
      <c r="G1026" s="1">
        <v>1.75E8</v>
      </c>
      <c r="H1026" s="1">
        <v>4.82E8</v>
      </c>
      <c r="I1026" s="1">
        <v>1.115E9</v>
      </c>
      <c r="J1026" s="1">
        <v>2.9E8</v>
      </c>
      <c r="K1026" s="1">
        <v>2.9E8</v>
      </c>
      <c r="L1026" s="1">
        <v>-9.4E7</v>
      </c>
      <c r="M1026" s="1">
        <v>4.8E7</v>
      </c>
      <c r="N1026" s="1">
        <v>3.438E9</v>
      </c>
      <c r="O1026" s="1">
        <v>3.148E9</v>
      </c>
      <c r="P1026" s="1">
        <v>2.323E9</v>
      </c>
      <c r="Q1026" s="1">
        <v>-6.7E7</v>
      </c>
      <c r="R1026" s="1">
        <v>1.75E8</v>
      </c>
      <c r="S1026" s="1">
        <v>1.75E8</v>
      </c>
    </row>
    <row r="1027">
      <c r="A1027" s="1">
        <v>1025.0</v>
      </c>
      <c r="B1027" s="3">
        <v>44286.0</v>
      </c>
      <c r="C1027" s="1" t="s">
        <v>553</v>
      </c>
      <c r="D1027" s="1" t="s">
        <v>554</v>
      </c>
      <c r="F1027" s="1">
        <v>2.61E8</v>
      </c>
      <c r="G1027" s="1">
        <v>2.12E8</v>
      </c>
      <c r="H1027" s="1">
        <v>4.42E8</v>
      </c>
      <c r="I1027" s="1">
        <v>1.116E9</v>
      </c>
      <c r="J1027" s="1">
        <v>3.51E8</v>
      </c>
      <c r="K1027" s="1">
        <v>3.51E8</v>
      </c>
      <c r="L1027" s="1">
        <v>-9.9E7</v>
      </c>
      <c r="M1027" s="1">
        <v>4.4E7</v>
      </c>
      <c r="N1027" s="1">
        <v>3.409E9</v>
      </c>
      <c r="O1027" s="1">
        <v>3.058E9</v>
      </c>
      <c r="P1027" s="1">
        <v>2.293E9</v>
      </c>
      <c r="Q1027" s="1">
        <v>-9.0E7</v>
      </c>
      <c r="R1027" s="1">
        <v>2.17E8</v>
      </c>
      <c r="S1027" s="1">
        <v>2.12E8</v>
      </c>
    </row>
    <row r="1028">
      <c r="A1028" s="1">
        <v>1026.0</v>
      </c>
      <c r="B1028" s="3">
        <v>44196.0</v>
      </c>
      <c r="C1028" s="1" t="s">
        <v>553</v>
      </c>
      <c r="D1028" s="1" t="s">
        <v>554</v>
      </c>
      <c r="F1028" s="1">
        <v>1.93E8</v>
      </c>
      <c r="G1028" s="1">
        <v>1.19E8</v>
      </c>
      <c r="H1028" s="1">
        <v>4.64E8</v>
      </c>
      <c r="I1028" s="1">
        <v>1.126E9</v>
      </c>
      <c r="J1028" s="1">
        <v>3.18E8</v>
      </c>
      <c r="K1028" s="1">
        <v>3.18E8</v>
      </c>
      <c r="L1028" s="1">
        <v>-1.02E8</v>
      </c>
      <c r="M1028" s="1">
        <v>6.3E7</v>
      </c>
      <c r="N1028" s="1">
        <v>3.298E9</v>
      </c>
      <c r="O1028" s="1">
        <v>2.98E9</v>
      </c>
      <c r="P1028" s="1">
        <v>2.172E9</v>
      </c>
      <c r="Q1028" s="1">
        <v>-1.25E8</v>
      </c>
      <c r="R1028" s="1">
        <v>1.3E8</v>
      </c>
      <c r="S1028" s="1">
        <v>1.19E8</v>
      </c>
    </row>
    <row r="1029">
      <c r="A1029" s="1">
        <v>1027.0</v>
      </c>
      <c r="B1029" s="3">
        <v>44104.0</v>
      </c>
      <c r="C1029" s="1" t="s">
        <v>553</v>
      </c>
      <c r="D1029" s="1" t="s">
        <v>554</v>
      </c>
      <c r="F1029" s="1">
        <v>1.05E8</v>
      </c>
      <c r="G1029" s="1">
        <v>1.01E8</v>
      </c>
      <c r="H1029" s="1">
        <v>4.6E8</v>
      </c>
      <c r="I1029" s="1">
        <v>9.86E8</v>
      </c>
      <c r="J1029" s="1">
        <v>2.07E8</v>
      </c>
      <c r="K1029" s="1">
        <v>2.07E8</v>
      </c>
      <c r="L1029" s="1">
        <v>-1.0E8</v>
      </c>
      <c r="M1029" s="1">
        <v>-3000000.0</v>
      </c>
      <c r="N1029" s="1">
        <v>2.786E9</v>
      </c>
      <c r="O1029" s="1">
        <v>2.579E9</v>
      </c>
      <c r="P1029" s="1">
        <v>1.8E9</v>
      </c>
      <c r="Q1029" s="1">
        <v>-1.02E8</v>
      </c>
      <c r="R1029" s="1">
        <v>1.08E8</v>
      </c>
      <c r="S1029" s="1">
        <v>1.01E8</v>
      </c>
    </row>
    <row r="1030">
      <c r="A1030" s="1">
        <v>1028.0</v>
      </c>
      <c r="B1030" s="3">
        <v>44286.0</v>
      </c>
      <c r="C1030" s="1" t="s">
        <v>555</v>
      </c>
      <c r="D1030" s="1" t="s">
        <v>556</v>
      </c>
      <c r="F1030" s="1">
        <v>6.1271E7</v>
      </c>
      <c r="G1030" s="1">
        <v>4.5603E7</v>
      </c>
      <c r="H1030" s="1">
        <v>2.58723E8</v>
      </c>
      <c r="I1030" s="1">
        <v>6.30131E8</v>
      </c>
      <c r="J1030" s="1">
        <v>2.05766E8</v>
      </c>
      <c r="K1030" s="1">
        <v>2.05766E8</v>
      </c>
      <c r="L1030" s="1">
        <v>-1.06993E8</v>
      </c>
      <c r="M1030" s="1">
        <v>1.464E7</v>
      </c>
      <c r="N1030" s="1">
        <v>1.08204E9</v>
      </c>
      <c r="O1030" s="1">
        <v>8.76274E8</v>
      </c>
      <c r="P1030" s="1">
        <v>4.51909E8</v>
      </c>
      <c r="Q1030" s="1">
        <v>-1.44495E8</v>
      </c>
      <c r="R1030" s="1">
        <v>4.6631E7</v>
      </c>
      <c r="S1030" s="1">
        <v>4.5603E7</v>
      </c>
    </row>
    <row r="1031">
      <c r="A1031" s="1">
        <v>1029.0</v>
      </c>
      <c r="B1031" s="3">
        <v>44196.0</v>
      </c>
      <c r="C1031" s="1" t="s">
        <v>555</v>
      </c>
      <c r="D1031" s="1" t="s">
        <v>556</v>
      </c>
      <c r="F1031" s="1">
        <v>2.4306E8</v>
      </c>
      <c r="G1031" s="1">
        <v>2.4741E8</v>
      </c>
      <c r="H1031" s="1">
        <v>2.3644E8</v>
      </c>
      <c r="I1031" s="1">
        <v>6.1043E8</v>
      </c>
      <c r="J1031" s="1">
        <v>2.05607E8</v>
      </c>
      <c r="K1031" s="1">
        <v>2.05607E8</v>
      </c>
      <c r="L1031" s="1">
        <v>-1.06948E8</v>
      </c>
      <c r="M1031" s="1">
        <v>-3695000.0</v>
      </c>
      <c r="N1031" s="1">
        <v>1.059653E9</v>
      </c>
      <c r="O1031" s="1">
        <v>8.54046E8</v>
      </c>
      <c r="P1031" s="1">
        <v>4.49223E8</v>
      </c>
      <c r="Q1031" s="1">
        <v>3.7453E7</v>
      </c>
      <c r="R1031" s="1">
        <v>2.46755E8</v>
      </c>
      <c r="S1031" s="1">
        <v>2.4741E8</v>
      </c>
    </row>
    <row r="1032">
      <c r="A1032" s="1">
        <v>1030.0</v>
      </c>
      <c r="B1032" s="3">
        <v>44104.0</v>
      </c>
      <c r="C1032" s="1" t="s">
        <v>555</v>
      </c>
      <c r="D1032" s="1" t="s">
        <v>556</v>
      </c>
      <c r="F1032" s="1">
        <v>5.2496E7</v>
      </c>
      <c r="G1032" s="1">
        <v>3.8394E7</v>
      </c>
      <c r="H1032" s="1">
        <v>2.32095E8</v>
      </c>
      <c r="I1032" s="1">
        <v>6.02142E8</v>
      </c>
      <c r="J1032" s="1">
        <v>2.12795E8</v>
      </c>
      <c r="K1032" s="1">
        <v>2.12795E8</v>
      </c>
      <c r="L1032" s="1">
        <v>-1.06779E8</v>
      </c>
      <c r="M1032" s="1">
        <v>1.3934E7</v>
      </c>
      <c r="N1032" s="1">
        <v>1.036647E9</v>
      </c>
      <c r="O1032" s="1">
        <v>8.23852E8</v>
      </c>
      <c r="P1032" s="1">
        <v>4.34505E8</v>
      </c>
      <c r="Q1032" s="1">
        <v>-1.60299E8</v>
      </c>
      <c r="R1032" s="1">
        <v>3.8562E7</v>
      </c>
      <c r="S1032" s="1">
        <v>3.8394E7</v>
      </c>
    </row>
    <row r="1033">
      <c r="A1033" s="1">
        <v>1031.0</v>
      </c>
      <c r="B1033" s="3">
        <v>44012.0</v>
      </c>
      <c r="C1033" s="1" t="s">
        <v>555</v>
      </c>
      <c r="D1033" s="1" t="s">
        <v>556</v>
      </c>
      <c r="F1033" s="1">
        <v>2570000.0</v>
      </c>
      <c r="G1033" s="1">
        <v>-7086000.0</v>
      </c>
      <c r="H1033" s="1">
        <v>2.4031E8</v>
      </c>
      <c r="I1033" s="1">
        <v>5.83194E8</v>
      </c>
      <c r="J1033" s="1">
        <v>1.79034E8</v>
      </c>
      <c r="K1033" s="1">
        <v>1.79034E8</v>
      </c>
      <c r="L1033" s="1">
        <v>-1.06023E8</v>
      </c>
      <c r="M1033" s="1">
        <v>9683000.0</v>
      </c>
      <c r="N1033" s="1">
        <v>9.82239E8</v>
      </c>
      <c r="O1033" s="1">
        <v>8.03205E8</v>
      </c>
      <c r="P1033" s="1">
        <v>3.99045E8</v>
      </c>
      <c r="Q1033" s="1">
        <v>-1.76464E8</v>
      </c>
      <c r="R1033" s="1">
        <v>-7113000.0</v>
      </c>
      <c r="S1033" s="1">
        <v>-7086000.0</v>
      </c>
    </row>
    <row r="1034">
      <c r="A1034" s="1">
        <v>1032.0</v>
      </c>
      <c r="B1034" s="3">
        <v>44377.0</v>
      </c>
      <c r="C1034" s="1" t="s">
        <v>557</v>
      </c>
      <c r="D1034" s="1" t="s">
        <v>558</v>
      </c>
      <c r="F1034" s="1">
        <v>2.29487E8</v>
      </c>
      <c r="G1034" s="1">
        <v>1.72162E8</v>
      </c>
      <c r="H1034" s="1">
        <v>8.3013E7</v>
      </c>
      <c r="I1034" s="1">
        <v>4.78139E8</v>
      </c>
      <c r="J1034" s="1">
        <v>2.41546E8</v>
      </c>
      <c r="K1034" s="1">
        <v>2.41546E8</v>
      </c>
      <c r="L1034" s="1">
        <v>-1.2059E7</v>
      </c>
      <c r="M1034" s="1">
        <v>5.7325E7</v>
      </c>
      <c r="N1034" s="1">
        <v>2.90837E9</v>
      </c>
      <c r="O1034" s="1">
        <v>2.666824E9</v>
      </c>
      <c r="P1034" s="1">
        <v>2.430231E9</v>
      </c>
      <c r="Q1034" s="1">
        <v>-1.2059E7</v>
      </c>
      <c r="R1034" s="1">
        <v>1.72162E8</v>
      </c>
      <c r="S1034" s="1">
        <v>1.72162E8</v>
      </c>
    </row>
    <row r="1035">
      <c r="A1035" s="1">
        <v>1033.0</v>
      </c>
      <c r="B1035" s="3">
        <v>44286.0</v>
      </c>
      <c r="C1035" s="1" t="s">
        <v>557</v>
      </c>
      <c r="D1035" s="1" t="s">
        <v>558</v>
      </c>
      <c r="F1035" s="1">
        <v>1.95628E8</v>
      </c>
      <c r="G1035" s="1">
        <v>1.46606E8</v>
      </c>
      <c r="H1035" s="1">
        <v>8.2921E7</v>
      </c>
      <c r="I1035" s="1">
        <v>4.41932E8</v>
      </c>
      <c r="J1035" s="1">
        <v>2.07652E8</v>
      </c>
      <c r="K1035" s="1">
        <v>2.07652E8</v>
      </c>
      <c r="L1035" s="1">
        <v>-1.2024E7</v>
      </c>
      <c r="M1035" s="1">
        <v>4.9022E7</v>
      </c>
      <c r="N1035" s="1">
        <v>2.618149E9</v>
      </c>
      <c r="O1035" s="1">
        <v>2.410497E9</v>
      </c>
      <c r="P1035" s="1">
        <v>2.176217E9</v>
      </c>
      <c r="Q1035" s="1">
        <v>-1.2024E7</v>
      </c>
      <c r="R1035" s="1">
        <v>1.46606E8</v>
      </c>
      <c r="S1035" s="1">
        <v>1.46606E8</v>
      </c>
    </row>
    <row r="1036">
      <c r="A1036" s="1">
        <v>1034.0</v>
      </c>
      <c r="B1036" s="3">
        <v>44196.0</v>
      </c>
      <c r="C1036" s="1" t="s">
        <v>557</v>
      </c>
      <c r="D1036" s="1" t="s">
        <v>558</v>
      </c>
      <c r="F1036" s="1">
        <v>1.97347E8</v>
      </c>
      <c r="G1036" s="1">
        <v>1.54007E8</v>
      </c>
      <c r="H1036" s="1">
        <v>9.2439E7</v>
      </c>
      <c r="I1036" s="1">
        <v>4.40276E8</v>
      </c>
      <c r="J1036" s="1">
        <v>1.99492E8</v>
      </c>
      <c r="K1036" s="1">
        <v>1.99492E8</v>
      </c>
      <c r="L1036" s="1">
        <v>-1.0831E7</v>
      </c>
      <c r="M1036" s="1">
        <v>4.334E7</v>
      </c>
      <c r="N1036" s="1">
        <v>2.737652E9</v>
      </c>
      <c r="O1036" s="1">
        <v>2.53816E9</v>
      </c>
      <c r="P1036" s="1">
        <v>2.297376E9</v>
      </c>
      <c r="Q1036" s="1">
        <v>-2145000.0</v>
      </c>
      <c r="R1036" s="1">
        <v>1.54007E8</v>
      </c>
      <c r="S1036" s="1">
        <v>1.54007E8</v>
      </c>
    </row>
    <row r="1037">
      <c r="A1037" s="1">
        <v>1035.0</v>
      </c>
      <c r="B1037" s="3">
        <v>44104.0</v>
      </c>
      <c r="C1037" s="1" t="s">
        <v>557</v>
      </c>
      <c r="D1037" s="1" t="s">
        <v>558</v>
      </c>
      <c r="F1037" s="1">
        <v>1.63608E8</v>
      </c>
      <c r="G1037" s="1">
        <v>1.25496E8</v>
      </c>
      <c r="H1037" s="1">
        <v>7.7306E7</v>
      </c>
      <c r="I1037" s="1">
        <v>3.98897E8</v>
      </c>
      <c r="J1037" s="1">
        <v>1.75503E8</v>
      </c>
      <c r="K1037" s="1">
        <v>1.75503E8</v>
      </c>
      <c r="L1037" s="1">
        <v>-1.1895E7</v>
      </c>
      <c r="M1037" s="1">
        <v>3.8112E7</v>
      </c>
      <c r="N1037" s="1">
        <v>2.472523E9</v>
      </c>
      <c r="O1037" s="1">
        <v>2.29702E9</v>
      </c>
      <c r="P1037" s="1">
        <v>2.073626E9</v>
      </c>
      <c r="Q1037" s="1">
        <v>-1.1895E7</v>
      </c>
      <c r="R1037" s="1">
        <v>1.25496E8</v>
      </c>
      <c r="S1037" s="1">
        <v>1.25496E8</v>
      </c>
    </row>
    <row r="1038">
      <c r="A1038" s="1">
        <v>1036.0</v>
      </c>
      <c r="B1038" s="3">
        <v>44377.0</v>
      </c>
      <c r="C1038" s="1" t="s">
        <v>559</v>
      </c>
      <c r="D1038" s="1" t="s">
        <v>560</v>
      </c>
      <c r="E1038" s="1">
        <v>2.8814E7</v>
      </c>
      <c r="F1038" s="1">
        <v>9.5683E7</v>
      </c>
      <c r="G1038" s="1">
        <v>7.6862E7</v>
      </c>
      <c r="H1038" s="1">
        <v>5.0259E7</v>
      </c>
      <c r="I1038" s="1">
        <v>1.75369E8</v>
      </c>
      <c r="J1038" s="1">
        <v>9.6296E7</v>
      </c>
      <c r="K1038" s="1">
        <v>9.6296E7</v>
      </c>
      <c r="L1038" s="1">
        <v>-619000.0</v>
      </c>
      <c r="M1038" s="1">
        <v>1.8821E7</v>
      </c>
      <c r="N1038" s="1">
        <v>4.50287E8</v>
      </c>
      <c r="O1038" s="1">
        <v>3.53991E8</v>
      </c>
      <c r="P1038" s="1">
        <v>2.74918E8</v>
      </c>
      <c r="Q1038" s="1">
        <v>-613000.0</v>
      </c>
      <c r="R1038" s="1">
        <v>7.6862E7</v>
      </c>
      <c r="S1038" s="1">
        <v>7.6862E7</v>
      </c>
    </row>
    <row r="1039">
      <c r="A1039" s="1">
        <v>1037.0</v>
      </c>
      <c r="B1039" s="3">
        <v>44286.0</v>
      </c>
      <c r="C1039" s="1" t="s">
        <v>559</v>
      </c>
      <c r="D1039" s="1" t="s">
        <v>560</v>
      </c>
      <c r="E1039" s="1">
        <v>2.7395E7</v>
      </c>
      <c r="F1039" s="1">
        <v>9.0937E7</v>
      </c>
      <c r="G1039" s="1">
        <v>7.1409E7</v>
      </c>
      <c r="H1039" s="1">
        <v>4.7408E7</v>
      </c>
      <c r="I1039" s="1">
        <v>1.66006E8</v>
      </c>
      <c r="J1039" s="1">
        <v>9.1203E7</v>
      </c>
      <c r="K1039" s="1">
        <v>9.1203E7</v>
      </c>
      <c r="L1039" s="1">
        <v>-290000.0</v>
      </c>
      <c r="M1039" s="1">
        <v>1.9528E7</v>
      </c>
      <c r="N1039" s="1">
        <v>4.33776E8</v>
      </c>
      <c r="O1039" s="1">
        <v>3.42573E8</v>
      </c>
      <c r="P1039" s="1">
        <v>2.6777E8</v>
      </c>
      <c r="Q1039" s="1">
        <v>-266000.0</v>
      </c>
      <c r="R1039" s="1">
        <v>7.1409E7</v>
      </c>
      <c r="S1039" s="1">
        <v>7.1409E7</v>
      </c>
    </row>
    <row r="1040">
      <c r="A1040" s="1">
        <v>1038.0</v>
      </c>
      <c r="B1040" s="3">
        <v>44196.0</v>
      </c>
      <c r="C1040" s="1" t="s">
        <v>559</v>
      </c>
      <c r="D1040" s="1" t="s">
        <v>560</v>
      </c>
      <c r="E1040" s="1">
        <v>2.678E7</v>
      </c>
      <c r="F1040" s="1">
        <v>9.3567E7</v>
      </c>
      <c r="G1040" s="1">
        <v>7.1982E7</v>
      </c>
      <c r="H1040" s="1">
        <v>4.4167E7</v>
      </c>
      <c r="I1040" s="1">
        <v>1.64579E8</v>
      </c>
      <c r="J1040" s="1">
        <v>9.3632E7</v>
      </c>
      <c r="K1040" s="1">
        <v>9.3632E7</v>
      </c>
      <c r="L1040" s="1">
        <v>-117000.0</v>
      </c>
      <c r="M1040" s="1">
        <v>2.1585E7</v>
      </c>
      <c r="N1040" s="1">
        <v>4.22361E8</v>
      </c>
      <c r="O1040" s="1">
        <v>3.28729E8</v>
      </c>
      <c r="P1040" s="1">
        <v>2.57782E8</v>
      </c>
      <c r="Q1040" s="1">
        <v>-65000.0</v>
      </c>
      <c r="R1040" s="1">
        <v>7.1982E7</v>
      </c>
      <c r="S1040" s="1">
        <v>7.1982E7</v>
      </c>
    </row>
    <row r="1041">
      <c r="A1041" s="1">
        <v>1039.0</v>
      </c>
      <c r="B1041" s="3">
        <v>44104.0</v>
      </c>
      <c r="C1041" s="1" t="s">
        <v>559</v>
      </c>
      <c r="D1041" s="1" t="s">
        <v>560</v>
      </c>
      <c r="E1041" s="1">
        <v>2.6057E7</v>
      </c>
      <c r="F1041" s="1">
        <v>1.17539E8</v>
      </c>
      <c r="G1041" s="1">
        <v>9.1216E7</v>
      </c>
      <c r="H1041" s="1">
        <v>4.5226E7</v>
      </c>
      <c r="I1041" s="1">
        <v>1.88871E8</v>
      </c>
      <c r="J1041" s="1">
        <v>1.17588E8</v>
      </c>
      <c r="K1041" s="1">
        <v>1.17588E8</v>
      </c>
      <c r="L1041" s="1">
        <v>-117000.0</v>
      </c>
      <c r="M1041" s="1">
        <v>2.6323E7</v>
      </c>
      <c r="N1041" s="1">
        <v>4.518E8</v>
      </c>
      <c r="O1041" s="1">
        <v>3.34212E8</v>
      </c>
      <c r="P1041" s="1">
        <v>2.62929E8</v>
      </c>
      <c r="Q1041" s="1">
        <v>-49000.0</v>
      </c>
      <c r="R1041" s="1">
        <v>9.1216E7</v>
      </c>
      <c r="S1041" s="1">
        <v>9.1216E7</v>
      </c>
    </row>
    <row r="1042">
      <c r="A1042" s="1">
        <v>1040.0</v>
      </c>
      <c r="B1042" s="3">
        <v>44379.0</v>
      </c>
      <c r="C1042" s="1" t="s">
        <v>561</v>
      </c>
      <c r="D1042" s="1" t="s">
        <v>562</v>
      </c>
      <c r="F1042" s="1">
        <v>2.83394E8</v>
      </c>
      <c r="G1042" s="1">
        <v>1.65794E8</v>
      </c>
      <c r="H1042" s="1">
        <v>5.64711E8</v>
      </c>
      <c r="I1042" s="1">
        <v>8.16935E8</v>
      </c>
      <c r="J1042" s="1">
        <v>2.52224E8</v>
      </c>
      <c r="K1042" s="1">
        <v>2.52224E8</v>
      </c>
      <c r="L1042" s="1">
        <v>-2.0011E7</v>
      </c>
      <c r="M1042" s="1">
        <v>1.09186E8</v>
      </c>
      <c r="N1042" s="1">
        <v>3.576436E9</v>
      </c>
      <c r="O1042" s="1">
        <v>3.324212E9</v>
      </c>
      <c r="P1042" s="1">
        <v>2.759501E9</v>
      </c>
      <c r="Q1042" s="1">
        <v>3.117E7</v>
      </c>
      <c r="R1042" s="1">
        <v>1.74208E8</v>
      </c>
      <c r="S1042" s="1">
        <v>1.08487E8</v>
      </c>
    </row>
    <row r="1043">
      <c r="A1043" s="1">
        <v>1041.0</v>
      </c>
      <c r="B1043" s="3">
        <v>44288.0</v>
      </c>
      <c r="C1043" s="1" t="s">
        <v>561</v>
      </c>
      <c r="D1043" s="1" t="s">
        <v>562</v>
      </c>
      <c r="F1043" s="1">
        <v>-1.12281E8</v>
      </c>
      <c r="G1043" s="1">
        <v>1.1045E7</v>
      </c>
      <c r="H1043" s="1">
        <v>5.2075E8</v>
      </c>
      <c r="I1043" s="1">
        <v>7.67013E8</v>
      </c>
      <c r="J1043" s="1">
        <v>2.46263E8</v>
      </c>
      <c r="K1043" s="1">
        <v>2.46263E8</v>
      </c>
      <c r="L1043" s="1">
        <v>-1.5464E7</v>
      </c>
      <c r="M1043" s="1">
        <v>-2.0772E7</v>
      </c>
      <c r="N1043" s="1">
        <v>3.547873E9</v>
      </c>
      <c r="O1043" s="1">
        <v>3.30161E9</v>
      </c>
      <c r="P1043" s="1">
        <v>2.78086E9</v>
      </c>
      <c r="Q1043" s="1">
        <v>-3.58544E8</v>
      </c>
      <c r="R1043" s="1">
        <v>-9.1509E7</v>
      </c>
      <c r="S1043" s="1">
        <v>1.1045E7</v>
      </c>
    </row>
    <row r="1044">
      <c r="A1044" s="1">
        <v>1042.0</v>
      </c>
      <c r="B1044" s="3">
        <v>44197.0</v>
      </c>
      <c r="C1044" s="1" t="s">
        <v>561</v>
      </c>
      <c r="D1044" s="1" t="s">
        <v>562</v>
      </c>
      <c r="F1044" s="1">
        <v>3.54111E8</v>
      </c>
      <c r="G1044" s="1">
        <v>2.57048E8</v>
      </c>
      <c r="H1044" s="1">
        <v>3.86419E8</v>
      </c>
      <c r="I1044" s="1">
        <v>6.3206E8</v>
      </c>
      <c r="J1044" s="1">
        <v>2.45641E8</v>
      </c>
      <c r="K1044" s="1">
        <v>2.45641E8</v>
      </c>
      <c r="L1044" s="1">
        <v>-1.7313E7</v>
      </c>
      <c r="M1044" s="1">
        <v>8.7023E7</v>
      </c>
      <c r="N1044" s="1">
        <v>3.381836E9</v>
      </c>
      <c r="O1044" s="1">
        <v>3.136195E9</v>
      </c>
      <c r="P1044" s="1">
        <v>2.749776E9</v>
      </c>
      <c r="Q1044" s="1">
        <v>1.0847E8</v>
      </c>
      <c r="R1044" s="1">
        <v>2.67088E8</v>
      </c>
      <c r="S1044" s="1">
        <v>2.57048E8</v>
      </c>
    </row>
    <row r="1045">
      <c r="A1045" s="1">
        <v>1043.0</v>
      </c>
      <c r="B1045" s="3">
        <v>44106.0</v>
      </c>
      <c r="C1045" s="1" t="s">
        <v>561</v>
      </c>
      <c r="D1045" s="1" t="s">
        <v>562</v>
      </c>
      <c r="F1045" s="1">
        <v>6.0156E7</v>
      </c>
      <c r="G1045" s="1">
        <v>8.199E7</v>
      </c>
      <c r="H1045" s="1">
        <v>3.43176E8</v>
      </c>
      <c r="I1045" s="1">
        <v>6.67249E8</v>
      </c>
      <c r="J1045" s="1">
        <v>3.24073E8</v>
      </c>
      <c r="K1045" s="1">
        <v>3.24073E8</v>
      </c>
      <c r="L1045" s="1">
        <v>-1.4043E7</v>
      </c>
      <c r="M1045" s="1">
        <v>-1.9721E7</v>
      </c>
      <c r="N1045" s="1">
        <v>3.519689E9</v>
      </c>
      <c r="O1045" s="1">
        <v>3.195616E9</v>
      </c>
      <c r="P1045" s="1">
        <v>2.85244E9</v>
      </c>
      <c r="Q1045" s="1">
        <v>-2.63917E8</v>
      </c>
      <c r="R1045" s="1">
        <v>7.9877E7</v>
      </c>
      <c r="S1045" s="1">
        <v>8.2001E7</v>
      </c>
    </row>
    <row r="1046">
      <c r="A1046" s="1">
        <v>1044.0</v>
      </c>
      <c r="B1046" s="3">
        <v>44408.0</v>
      </c>
      <c r="C1046" s="1" t="s">
        <v>563</v>
      </c>
      <c r="D1046" s="1" t="s">
        <v>564</v>
      </c>
      <c r="F1046" s="1">
        <v>2.052E8</v>
      </c>
      <c r="G1046" s="1">
        <v>1.539E8</v>
      </c>
      <c r="H1046" s="1">
        <v>3.293E8</v>
      </c>
      <c r="I1046" s="1">
        <v>6.44E8</v>
      </c>
      <c r="J1046" s="1">
        <v>2.605E8</v>
      </c>
      <c r="K1046" s="1">
        <v>2.605E8</v>
      </c>
      <c r="L1046" s="1">
        <v>-4.31E7</v>
      </c>
      <c r="M1046" s="1">
        <v>5.13E7</v>
      </c>
      <c r="N1046" s="1">
        <v>1.858E9</v>
      </c>
      <c r="O1046" s="1">
        <v>1.5975E9</v>
      </c>
      <c r="P1046" s="1">
        <v>1.214E9</v>
      </c>
      <c r="Q1046" s="1">
        <v>-5.53E7</v>
      </c>
      <c r="R1046" s="1">
        <v>1.539E8</v>
      </c>
      <c r="S1046" s="1">
        <v>1.539E8</v>
      </c>
    </row>
    <row r="1047">
      <c r="A1047" s="1">
        <v>1045.0</v>
      </c>
      <c r="B1047" s="3">
        <v>44316.0</v>
      </c>
      <c r="C1047" s="1" t="s">
        <v>563</v>
      </c>
      <c r="D1047" s="1" t="s">
        <v>564</v>
      </c>
      <c r="F1047" s="1">
        <v>1.933E8</v>
      </c>
      <c r="G1047" s="1">
        <v>1.47E8</v>
      </c>
      <c r="H1047" s="1">
        <v>4.167E8</v>
      </c>
      <c r="I1047" s="1">
        <v>7.391E8</v>
      </c>
      <c r="J1047" s="1">
        <v>2.612E8</v>
      </c>
      <c r="K1047" s="1">
        <v>2.612E8</v>
      </c>
      <c r="L1047" s="1">
        <v>-4.24E7</v>
      </c>
      <c r="M1047" s="1">
        <v>4.63E7</v>
      </c>
      <c r="N1047" s="1">
        <v>1.9202E9</v>
      </c>
      <c r="O1047" s="1">
        <v>1.659E9</v>
      </c>
      <c r="P1047" s="1">
        <v>1.1811E9</v>
      </c>
      <c r="Q1047" s="1">
        <v>-6.79E7</v>
      </c>
      <c r="R1047" s="1">
        <v>1.47E8</v>
      </c>
      <c r="S1047" s="1">
        <v>1.47E8</v>
      </c>
    </row>
    <row r="1048">
      <c r="A1048" s="1">
        <v>1046.0</v>
      </c>
      <c r="B1048" s="3">
        <v>44227.0</v>
      </c>
      <c r="C1048" s="1" t="s">
        <v>563</v>
      </c>
      <c r="D1048" s="1" t="s">
        <v>564</v>
      </c>
      <c r="F1048" s="1">
        <v>3.615E8</v>
      </c>
      <c r="G1048" s="1">
        <v>2.615E8</v>
      </c>
      <c r="H1048" s="1">
        <v>3.744E8</v>
      </c>
      <c r="I1048" s="1">
        <v>8.094E8</v>
      </c>
      <c r="J1048" s="1">
        <v>3.78E8</v>
      </c>
      <c r="K1048" s="1">
        <v>3.78E8</v>
      </c>
      <c r="L1048" s="1">
        <v>-4.35E7</v>
      </c>
      <c r="M1048" s="1">
        <v>1.0E8</v>
      </c>
      <c r="N1048" s="1">
        <v>2.0767E9</v>
      </c>
      <c r="O1048" s="1">
        <v>1.6987E9</v>
      </c>
      <c r="P1048" s="1">
        <v>1.2673E9</v>
      </c>
      <c r="Q1048" s="1">
        <v>-1.65E7</v>
      </c>
      <c r="R1048" s="1">
        <v>2.615E8</v>
      </c>
      <c r="S1048" s="1">
        <v>2.615E8</v>
      </c>
    </row>
    <row r="1049">
      <c r="A1049" s="1">
        <v>1047.0</v>
      </c>
      <c r="B1049" s="3">
        <v>44135.0</v>
      </c>
      <c r="C1049" s="1" t="s">
        <v>563</v>
      </c>
      <c r="D1049" s="1" t="s">
        <v>564</v>
      </c>
      <c r="F1049" s="1">
        <v>3.035E8</v>
      </c>
      <c r="G1049" s="1">
        <v>2.308E8</v>
      </c>
      <c r="H1049" s="1">
        <v>3.88E8</v>
      </c>
      <c r="I1049" s="1">
        <v>8.182E8</v>
      </c>
      <c r="J1049" s="1">
        <v>3.756E8</v>
      </c>
      <c r="K1049" s="1">
        <v>3.756E8</v>
      </c>
      <c r="L1049" s="1">
        <v>-4.51E7</v>
      </c>
      <c r="M1049" s="1">
        <v>7.27E7</v>
      </c>
      <c r="N1049" s="1">
        <v>2.034E9</v>
      </c>
      <c r="O1049" s="1">
        <v>1.6584E9</v>
      </c>
      <c r="P1049" s="1">
        <v>1.2158E9</v>
      </c>
      <c r="Q1049" s="1">
        <v>-7.21E7</v>
      </c>
      <c r="R1049" s="1">
        <v>2.308E8</v>
      </c>
      <c r="S1049" s="1">
        <v>2.308E8</v>
      </c>
    </row>
    <row r="1050">
      <c r="A1050" s="1">
        <v>1048.0</v>
      </c>
      <c r="B1050" s="3">
        <v>44381.0</v>
      </c>
      <c r="C1050" s="1" t="s">
        <v>565</v>
      </c>
      <c r="D1050" s="1" t="s">
        <v>566</v>
      </c>
      <c r="E1050" s="1">
        <v>3.394E9</v>
      </c>
      <c r="F1050" s="1">
        <v>6.662E9</v>
      </c>
      <c r="G1050" s="1">
        <v>6.278E9</v>
      </c>
      <c r="H1050" s="1">
        <v>5.939E9</v>
      </c>
      <c r="I1050" s="1">
        <v>1.5745E10</v>
      </c>
      <c r="J1050" s="1">
        <v>6.412E9</v>
      </c>
      <c r="K1050" s="1">
        <v>6.412E9</v>
      </c>
      <c r="L1050" s="1">
        <v>-4.0E7</v>
      </c>
      <c r="M1050" s="1">
        <v>3.84E8</v>
      </c>
      <c r="N1050" s="1">
        <v>2.3312E10</v>
      </c>
      <c r="O1050" s="1">
        <v>1.69E10</v>
      </c>
      <c r="P1050" s="1">
        <v>7.567E9</v>
      </c>
      <c r="Q1050" s="1">
        <v>2.5E8</v>
      </c>
      <c r="R1050" s="1">
        <v>6.278E9</v>
      </c>
      <c r="S1050" s="1">
        <v>6.278E9</v>
      </c>
    </row>
    <row r="1051">
      <c r="A1051" s="1">
        <v>1049.0</v>
      </c>
      <c r="B1051" s="3">
        <v>44290.0</v>
      </c>
      <c r="C1051" s="1" t="s">
        <v>565</v>
      </c>
      <c r="D1051" s="1" t="s">
        <v>566</v>
      </c>
      <c r="E1051" s="1">
        <v>3.178E9</v>
      </c>
      <c r="F1051" s="1">
        <v>7.429E9</v>
      </c>
      <c r="G1051" s="1">
        <v>6.197E9</v>
      </c>
      <c r="H1051" s="1">
        <v>5.263E9</v>
      </c>
      <c r="I1051" s="1">
        <v>1.5285E10</v>
      </c>
      <c r="J1051" s="1">
        <v>6.844E9</v>
      </c>
      <c r="K1051" s="1">
        <v>6.844E9</v>
      </c>
      <c r="L1051" s="1">
        <v>-6.3E7</v>
      </c>
      <c r="M1051" s="1">
        <v>1.232E9</v>
      </c>
      <c r="N1051" s="1">
        <v>2.2321E10</v>
      </c>
      <c r="O1051" s="1">
        <v>1.5477E10</v>
      </c>
      <c r="P1051" s="1">
        <v>7.036E9</v>
      </c>
      <c r="Q1051" s="1">
        <v>5.85E8</v>
      </c>
      <c r="R1051" s="1">
        <v>6.197E9</v>
      </c>
      <c r="S1051" s="1">
        <v>6.197E9</v>
      </c>
    </row>
    <row r="1052">
      <c r="A1052" s="1">
        <v>1050.0</v>
      </c>
      <c r="B1052" s="3">
        <v>44199.0</v>
      </c>
      <c r="C1052" s="1" t="s">
        <v>565</v>
      </c>
      <c r="D1052" s="1" t="s">
        <v>566</v>
      </c>
      <c r="E1052" s="1">
        <v>4.032E9</v>
      </c>
      <c r="F1052" s="1">
        <v>1.647E9</v>
      </c>
      <c r="G1052" s="1">
        <v>1.738E9</v>
      </c>
      <c r="H1052" s="1">
        <v>6.714E9</v>
      </c>
      <c r="I1052" s="1">
        <v>1.4692E10</v>
      </c>
      <c r="J1052" s="1">
        <v>3.946E9</v>
      </c>
      <c r="K1052" s="1">
        <v>3.946E9</v>
      </c>
      <c r="L1052" s="1">
        <v>-8.7E7</v>
      </c>
      <c r="M1052" s="1">
        <v>-9.1E7</v>
      </c>
      <c r="N1052" s="1">
        <v>2.2475E10</v>
      </c>
      <c r="O1052" s="1">
        <v>1.8529E10</v>
      </c>
      <c r="P1052" s="1">
        <v>7.783E9</v>
      </c>
      <c r="Q1052" s="1">
        <v>-2.299E9</v>
      </c>
      <c r="R1052" s="1">
        <v>1.738E9</v>
      </c>
      <c r="S1052" s="1">
        <v>1.738E9</v>
      </c>
    </row>
    <row r="1053">
      <c r="A1053" s="1">
        <v>1051.0</v>
      </c>
      <c r="B1053" s="3">
        <v>44101.0</v>
      </c>
      <c r="C1053" s="1" t="s">
        <v>565</v>
      </c>
      <c r="D1053" s="1" t="s">
        <v>566</v>
      </c>
      <c r="E1053" s="1">
        <v>2.84E9</v>
      </c>
      <c r="F1053" s="1">
        <v>4.401E9</v>
      </c>
      <c r="G1053" s="1">
        <v>3.554E9</v>
      </c>
      <c r="H1053" s="1">
        <v>5.336E9</v>
      </c>
      <c r="I1053" s="1">
        <v>1.4142E10</v>
      </c>
      <c r="J1053" s="1">
        <v>5.966E9</v>
      </c>
      <c r="K1053" s="1">
        <v>5.966E9</v>
      </c>
      <c r="L1053" s="1">
        <v>-4.4E7</v>
      </c>
      <c r="M1053" s="1">
        <v>8.47E8</v>
      </c>
      <c r="N1053" s="1">
        <v>2.1082E10</v>
      </c>
      <c r="O1053" s="1">
        <v>1.5116E10</v>
      </c>
      <c r="P1053" s="1">
        <v>6.94E9</v>
      </c>
      <c r="Q1053" s="1">
        <v>-1.565E9</v>
      </c>
      <c r="R1053" s="1">
        <v>3.554E9</v>
      </c>
      <c r="S1053" s="1">
        <v>3.554E9</v>
      </c>
    </row>
    <row r="1054">
      <c r="A1054" s="1">
        <v>1052.0</v>
      </c>
      <c r="B1054" s="3">
        <v>44377.0</v>
      </c>
      <c r="C1054" s="1" t="s">
        <v>567</v>
      </c>
      <c r="D1054" s="1" t="s">
        <v>568</v>
      </c>
      <c r="F1054" s="1">
        <v>7.69E8</v>
      </c>
      <c r="G1054" s="1">
        <v>5.74E8</v>
      </c>
      <c r="H1054" s="1">
        <v>1.152E9</v>
      </c>
      <c r="I1054" s="1">
        <v>2.197E9</v>
      </c>
      <c r="J1054" s="1">
        <v>1.045E9</v>
      </c>
      <c r="K1054" s="1">
        <v>1.045E9</v>
      </c>
      <c r="L1054" s="1">
        <v>-5.5E7</v>
      </c>
      <c r="M1054" s="1">
        <v>1.08E8</v>
      </c>
      <c r="N1054" s="1">
        <v>6.341E9</v>
      </c>
      <c r="O1054" s="1">
        <v>5.296E9</v>
      </c>
      <c r="P1054" s="1">
        <v>4.144E9</v>
      </c>
      <c r="Q1054" s="1">
        <v>-2.76E8</v>
      </c>
      <c r="R1054" s="1">
        <v>6.61E8</v>
      </c>
      <c r="S1054" s="1">
        <v>5.74E8</v>
      </c>
    </row>
    <row r="1055">
      <c r="A1055" s="1">
        <v>1053.0</v>
      </c>
      <c r="B1055" s="3">
        <v>44286.0</v>
      </c>
      <c r="C1055" s="1" t="s">
        <v>567</v>
      </c>
      <c r="D1055" s="1" t="s">
        <v>568</v>
      </c>
      <c r="F1055" s="1">
        <v>6.06E8</v>
      </c>
      <c r="G1055" s="1">
        <v>3.43E8</v>
      </c>
      <c r="H1055" s="1">
        <v>1.274E9</v>
      </c>
      <c r="I1055" s="1">
        <v>1.943E9</v>
      </c>
      <c r="J1055" s="1">
        <v>6.69E8</v>
      </c>
      <c r="K1055" s="1">
        <v>6.69E8</v>
      </c>
      <c r="L1055" s="1">
        <v>-5.3E7</v>
      </c>
      <c r="M1055" s="1">
        <v>2.09E8</v>
      </c>
      <c r="N1055" s="1">
        <v>5.594E9</v>
      </c>
      <c r="O1055" s="1">
        <v>4.925E9</v>
      </c>
      <c r="P1055" s="1">
        <v>3.651E9</v>
      </c>
      <c r="Q1055" s="1">
        <v>-6.3E7</v>
      </c>
      <c r="R1055" s="1">
        <v>3.97E8</v>
      </c>
      <c r="S1055" s="1">
        <v>3.43E8</v>
      </c>
    </row>
    <row r="1056">
      <c r="A1056" s="1">
        <v>1054.0</v>
      </c>
      <c r="B1056" s="3">
        <v>44196.0</v>
      </c>
      <c r="C1056" s="1" t="s">
        <v>567</v>
      </c>
      <c r="D1056" s="1" t="s">
        <v>568</v>
      </c>
      <c r="F1056" s="1">
        <v>4.33E8</v>
      </c>
      <c r="G1056" s="1">
        <v>4.51E8</v>
      </c>
      <c r="H1056" s="1">
        <v>1.298E9</v>
      </c>
      <c r="I1056" s="1">
        <v>1.728E9</v>
      </c>
      <c r="J1056" s="1">
        <v>4.3E8</v>
      </c>
      <c r="K1056" s="1">
        <v>4.3E8</v>
      </c>
      <c r="L1056" s="1">
        <v>-5.9E7</v>
      </c>
      <c r="M1056" s="1">
        <v>6.1E7</v>
      </c>
      <c r="N1056" s="1">
        <v>5.341E9</v>
      </c>
      <c r="O1056" s="1">
        <v>4.911E9</v>
      </c>
      <c r="P1056" s="1">
        <v>3.613E9</v>
      </c>
      <c r="Q1056" s="1">
        <v>3000000.0</v>
      </c>
      <c r="R1056" s="1">
        <v>3.72E8</v>
      </c>
      <c r="S1056" s="1">
        <v>4.51E8</v>
      </c>
    </row>
    <row r="1057">
      <c r="A1057" s="1">
        <v>1055.0</v>
      </c>
      <c r="B1057" s="3">
        <v>44104.0</v>
      </c>
      <c r="C1057" s="1" t="s">
        <v>567</v>
      </c>
      <c r="D1057" s="1" t="s">
        <v>568</v>
      </c>
      <c r="E1057" s="1">
        <v>2.74E8</v>
      </c>
      <c r="F1057" s="1">
        <v>5.21E8</v>
      </c>
      <c r="G1057" s="1">
        <v>4.41E8</v>
      </c>
      <c r="H1057" s="1">
        <v>8.19E8</v>
      </c>
      <c r="I1057" s="1">
        <v>1.975E9</v>
      </c>
      <c r="J1057" s="1">
        <v>8.82E8</v>
      </c>
      <c r="K1057" s="1">
        <v>8.82E8</v>
      </c>
      <c r="L1057" s="1">
        <v>-5.8E7</v>
      </c>
      <c r="M1057" s="1">
        <v>3.1E7</v>
      </c>
      <c r="N1057" s="1">
        <v>5.954E9</v>
      </c>
      <c r="O1057" s="1">
        <v>5.072E9</v>
      </c>
      <c r="P1057" s="1">
        <v>3.979E9</v>
      </c>
      <c r="Q1057" s="1">
        <v>-3.61E8</v>
      </c>
      <c r="R1057" s="1">
        <v>4.9E8</v>
      </c>
      <c r="S1057" s="1">
        <v>4.41E8</v>
      </c>
    </row>
    <row r="1058">
      <c r="A1058" s="1">
        <v>1056.0</v>
      </c>
      <c r="B1058" s="3">
        <v>44377.0</v>
      </c>
      <c r="C1058" s="1" t="s">
        <v>569</v>
      </c>
      <c r="D1058" s="1" t="s">
        <v>570</v>
      </c>
      <c r="F1058" s="1">
        <v>1.5097E10</v>
      </c>
      <c r="G1058" s="1">
        <v>1.1948E10</v>
      </c>
      <c r="H1058" s="1">
        <v>1.6403E10</v>
      </c>
      <c r="I1058" s="1">
        <v>3.2764E10</v>
      </c>
      <c r="J1058" s="1">
        <v>0.0</v>
      </c>
      <c r="K1058" s="1">
        <v>1.5282E10</v>
      </c>
      <c r="M1058" s="1">
        <v>3.149E9</v>
      </c>
      <c r="N1058" s="1">
        <v>3.2764E10</v>
      </c>
      <c r="O1058" s="1">
        <v>1.7482E10</v>
      </c>
      <c r="P1058" s="1">
        <v>0.0</v>
      </c>
      <c r="Q1058" s="1">
        <v>-1.85E8</v>
      </c>
      <c r="R1058" s="1">
        <v>1.1948E10</v>
      </c>
      <c r="S1058" s="1">
        <v>1.1496E10</v>
      </c>
    </row>
    <row r="1059">
      <c r="A1059" s="1">
        <v>1057.0</v>
      </c>
      <c r="B1059" s="3">
        <v>44286.0</v>
      </c>
      <c r="C1059" s="1" t="s">
        <v>569</v>
      </c>
      <c r="D1059" s="1" t="s">
        <v>570</v>
      </c>
      <c r="F1059" s="1">
        <v>1.7697E10</v>
      </c>
      <c r="G1059" s="1">
        <v>1.43E10</v>
      </c>
      <c r="H1059" s="1">
        <v>1.7189E10</v>
      </c>
      <c r="I1059" s="1">
        <v>3.6422E10</v>
      </c>
      <c r="J1059" s="1">
        <v>0.0</v>
      </c>
      <c r="K1059" s="1">
        <v>1.7725E10</v>
      </c>
      <c r="M1059" s="1">
        <v>3.397E9</v>
      </c>
      <c r="N1059" s="1">
        <v>3.6422E10</v>
      </c>
      <c r="O1059" s="1">
        <v>1.8697E10</v>
      </c>
      <c r="P1059" s="1">
        <v>0.0</v>
      </c>
      <c r="Q1059" s="1">
        <v>-2.8E7</v>
      </c>
      <c r="R1059" s="1">
        <v>1.43E10</v>
      </c>
      <c r="S1059" s="1">
        <v>1.3851E10</v>
      </c>
    </row>
    <row r="1060">
      <c r="A1060" s="1">
        <v>1058.0</v>
      </c>
      <c r="B1060" s="3">
        <v>44196.0</v>
      </c>
      <c r="C1060" s="1" t="s">
        <v>569</v>
      </c>
      <c r="D1060" s="1" t="s">
        <v>570</v>
      </c>
      <c r="F1060" s="1">
        <v>1.5065E10</v>
      </c>
      <c r="G1060" s="1">
        <v>1.2136E10</v>
      </c>
      <c r="H1060" s="1">
        <v>1.4705E10</v>
      </c>
      <c r="I1060" s="1">
        <v>3.1113E10</v>
      </c>
      <c r="J1060" s="1">
        <v>0.0</v>
      </c>
      <c r="K1060" s="1">
        <v>1.5341E10</v>
      </c>
      <c r="M1060" s="1">
        <v>2.929E9</v>
      </c>
      <c r="N1060" s="1">
        <v>3.1113E10</v>
      </c>
      <c r="O1060" s="1">
        <v>1.5772E10</v>
      </c>
      <c r="P1060" s="1">
        <v>0.0</v>
      </c>
      <c r="Q1060" s="1">
        <v>-2.76E8</v>
      </c>
      <c r="R1060" s="1">
        <v>1.2136E10</v>
      </c>
      <c r="S1060" s="1">
        <v>1.1698E10</v>
      </c>
    </row>
    <row r="1061">
      <c r="A1061" s="1">
        <v>1059.0</v>
      </c>
      <c r="B1061" s="3">
        <v>44104.0</v>
      </c>
      <c r="C1061" s="1" t="s">
        <v>569</v>
      </c>
      <c r="D1061" s="1" t="s">
        <v>570</v>
      </c>
      <c r="F1061" s="1">
        <v>1.1661E10</v>
      </c>
      <c r="G1061" s="1">
        <v>9.443E9</v>
      </c>
      <c r="H1061" s="1">
        <v>1.4984E10</v>
      </c>
      <c r="I1061" s="1">
        <v>2.8536E10</v>
      </c>
      <c r="J1061" s="1">
        <v>0.0</v>
      </c>
      <c r="K1061" s="1">
        <v>1.2185E10</v>
      </c>
      <c r="M1061" s="1">
        <v>2.218E9</v>
      </c>
      <c r="N1061" s="1">
        <v>2.8536E10</v>
      </c>
      <c r="O1061" s="1">
        <v>1.6351E10</v>
      </c>
      <c r="P1061" s="1">
        <v>0.0</v>
      </c>
      <c r="Q1061" s="1">
        <v>-5.24E8</v>
      </c>
      <c r="R1061" s="1">
        <v>9.443E9</v>
      </c>
      <c r="S1061" s="1">
        <v>9.015E9</v>
      </c>
    </row>
    <row r="1062">
      <c r="A1062" s="1">
        <v>1060.0</v>
      </c>
      <c r="B1062" s="3">
        <v>44377.0</v>
      </c>
      <c r="C1062" s="1" t="s">
        <v>571</v>
      </c>
      <c r="D1062" s="1" t="s">
        <v>572</v>
      </c>
      <c r="E1062" s="1">
        <v>2.458E8</v>
      </c>
      <c r="F1062" s="1">
        <v>7.48E7</v>
      </c>
      <c r="G1062" s="1">
        <v>6.2E7</v>
      </c>
      <c r="H1062" s="1">
        <v>3.288E8</v>
      </c>
      <c r="I1062" s="1">
        <v>6.819E8</v>
      </c>
      <c r="J1062" s="1">
        <v>1.073E8</v>
      </c>
      <c r="K1062" s="1">
        <v>1.073E8</v>
      </c>
      <c r="L1062" s="1">
        <v>-1.26E7</v>
      </c>
      <c r="M1062" s="1">
        <v>1.28E7</v>
      </c>
      <c r="N1062" s="1">
        <v>1.1723E9</v>
      </c>
      <c r="O1062" s="1">
        <v>1.065E9</v>
      </c>
      <c r="P1062" s="1">
        <v>4.904E8</v>
      </c>
      <c r="Q1062" s="1">
        <v>-3.25E7</v>
      </c>
      <c r="R1062" s="1">
        <v>6.2E7</v>
      </c>
      <c r="S1062" s="1">
        <v>6.2E7</v>
      </c>
    </row>
    <row r="1063">
      <c r="A1063" s="1">
        <v>1061.0</v>
      </c>
      <c r="B1063" s="3">
        <v>44286.0</v>
      </c>
      <c r="C1063" s="1" t="s">
        <v>571</v>
      </c>
      <c r="D1063" s="1" t="s">
        <v>572</v>
      </c>
      <c r="E1063" s="1">
        <v>2.547E8</v>
      </c>
      <c r="F1063" s="1">
        <v>-3.78E7</v>
      </c>
      <c r="G1063" s="1">
        <v>-3.11E7</v>
      </c>
      <c r="H1063" s="1">
        <v>3.138E8</v>
      </c>
      <c r="I1063" s="1">
        <v>6.156E8</v>
      </c>
      <c r="J1063" s="1">
        <v>4.71E7</v>
      </c>
      <c r="K1063" s="1">
        <v>4.71E7</v>
      </c>
      <c r="L1063" s="1">
        <v>-1.37E7</v>
      </c>
      <c r="M1063" s="1">
        <v>-6700000.0</v>
      </c>
      <c r="N1063" s="1">
        <v>1.0744E9</v>
      </c>
      <c r="O1063" s="1">
        <v>1.0273E9</v>
      </c>
      <c r="P1063" s="1">
        <v>4.588E8</v>
      </c>
      <c r="Q1063" s="1">
        <v>-8.49E7</v>
      </c>
      <c r="R1063" s="1">
        <v>-3.11E7</v>
      </c>
      <c r="S1063" s="1">
        <v>-3.11E7</v>
      </c>
    </row>
    <row r="1064">
      <c r="A1064" s="1">
        <v>1062.0</v>
      </c>
      <c r="B1064" s="3">
        <v>44196.0</v>
      </c>
      <c r="C1064" s="1" t="s">
        <v>571</v>
      </c>
      <c r="D1064" s="1" t="s">
        <v>572</v>
      </c>
      <c r="E1064" s="1">
        <v>2.425E8</v>
      </c>
      <c r="F1064" s="1">
        <v>3.92E7</v>
      </c>
      <c r="G1064" s="1">
        <v>3.08E7</v>
      </c>
      <c r="H1064" s="1">
        <v>2.987E8</v>
      </c>
      <c r="I1064" s="1">
        <v>7.17E8</v>
      </c>
      <c r="J1064" s="1">
        <v>1.758E8</v>
      </c>
      <c r="K1064" s="1">
        <v>1.758E8</v>
      </c>
      <c r="L1064" s="1">
        <v>-1.85E7</v>
      </c>
      <c r="M1064" s="1">
        <v>8400000.0</v>
      </c>
      <c r="N1064" s="1">
        <v>1.2226E9</v>
      </c>
      <c r="O1064" s="1">
        <v>1.0468E9</v>
      </c>
      <c r="P1064" s="1">
        <v>5.056E8</v>
      </c>
      <c r="Q1064" s="1">
        <v>-1.366E8</v>
      </c>
      <c r="R1064" s="1">
        <v>3.08E7</v>
      </c>
      <c r="S1064" s="1">
        <v>3.08E7</v>
      </c>
    </row>
    <row r="1065">
      <c r="A1065" s="1">
        <v>1063.0</v>
      </c>
      <c r="B1065" s="3">
        <v>44104.0</v>
      </c>
      <c r="C1065" s="1" t="s">
        <v>571</v>
      </c>
      <c r="D1065" s="1" t="s">
        <v>572</v>
      </c>
      <c r="E1065" s="1">
        <v>2.424E8</v>
      </c>
      <c r="F1065" s="1">
        <v>1.116E8</v>
      </c>
      <c r="G1065" s="1">
        <v>1.454E8</v>
      </c>
      <c r="H1065" s="1">
        <v>2.891E8</v>
      </c>
      <c r="I1065" s="1">
        <v>6.578E8</v>
      </c>
      <c r="J1065" s="1">
        <v>1.263E8</v>
      </c>
      <c r="K1065" s="1">
        <v>1.263E8</v>
      </c>
      <c r="L1065" s="1">
        <v>-1.91E7</v>
      </c>
      <c r="M1065" s="1">
        <v>-3.38E7</v>
      </c>
      <c r="N1065" s="1">
        <v>1.1382E9</v>
      </c>
      <c r="O1065" s="1">
        <v>1.0119E9</v>
      </c>
      <c r="P1065" s="1">
        <v>4.804E8</v>
      </c>
      <c r="Q1065" s="1">
        <v>-1.47E7</v>
      </c>
      <c r="R1065" s="1">
        <v>1.454E8</v>
      </c>
      <c r="S1065" s="1">
        <v>1.454E8</v>
      </c>
    </row>
    <row r="1066">
      <c r="A1066" s="1">
        <v>1064.0</v>
      </c>
      <c r="B1066" s="3">
        <v>44377.0</v>
      </c>
      <c r="C1066" s="1" t="s">
        <v>573</v>
      </c>
      <c r="D1066" s="1" t="s">
        <v>574</v>
      </c>
      <c r="F1066" s="1">
        <v>-4.596E8</v>
      </c>
      <c r="G1066" s="1">
        <v>-3.785E8</v>
      </c>
      <c r="I1066" s="1">
        <v>3.803E8</v>
      </c>
      <c r="J1066" s="1">
        <v>2.891E8</v>
      </c>
      <c r="K1066" s="1">
        <v>2.891E8</v>
      </c>
      <c r="L1066" s="1">
        <v>-3.91E7</v>
      </c>
      <c r="M1066" s="1">
        <v>-8.16E7</v>
      </c>
      <c r="N1066" s="1">
        <v>7.495E8</v>
      </c>
      <c r="O1066" s="1">
        <v>4.604E8</v>
      </c>
      <c r="P1066" s="1">
        <v>3.692E8</v>
      </c>
      <c r="Q1066" s="1">
        <v>-7.487E8</v>
      </c>
      <c r="R1066" s="1">
        <v>-3.78E8</v>
      </c>
      <c r="S1066" s="1">
        <v>-3.786E8</v>
      </c>
    </row>
    <row r="1067">
      <c r="A1067" s="1">
        <v>1065.0</v>
      </c>
      <c r="B1067" s="3">
        <v>44286.0</v>
      </c>
      <c r="C1067" s="1" t="s">
        <v>573</v>
      </c>
      <c r="D1067" s="1" t="s">
        <v>574</v>
      </c>
      <c r="F1067" s="1">
        <v>2.119E8</v>
      </c>
      <c r="G1067" s="1">
        <v>1.53E8</v>
      </c>
      <c r="I1067" s="1">
        <v>3.688E8</v>
      </c>
      <c r="J1067" s="1">
        <v>2.723E8</v>
      </c>
      <c r="K1067" s="1">
        <v>2.723E8</v>
      </c>
      <c r="L1067" s="1">
        <v>-3.9E7</v>
      </c>
      <c r="M1067" s="1">
        <v>5.85E7</v>
      </c>
      <c r="N1067" s="1">
        <v>7.06E8</v>
      </c>
      <c r="O1067" s="1">
        <v>4.337E8</v>
      </c>
      <c r="P1067" s="1">
        <v>3.372E8</v>
      </c>
      <c r="Q1067" s="1">
        <v>-6.04E7</v>
      </c>
      <c r="R1067" s="1">
        <v>1.534E8</v>
      </c>
      <c r="S1067" s="1">
        <v>1.53E8</v>
      </c>
    </row>
    <row r="1068">
      <c r="A1068" s="1">
        <v>1066.0</v>
      </c>
      <c r="B1068" s="3">
        <v>44196.0</v>
      </c>
      <c r="C1068" s="1" t="s">
        <v>573</v>
      </c>
      <c r="D1068" s="1" t="s">
        <v>574</v>
      </c>
      <c r="F1068" s="1">
        <v>2.359E8</v>
      </c>
      <c r="G1068" s="1">
        <v>1.657E8</v>
      </c>
      <c r="I1068" s="1">
        <v>3.843E8</v>
      </c>
      <c r="J1068" s="1">
        <v>2.769E8</v>
      </c>
      <c r="K1068" s="1">
        <v>2.769E8</v>
      </c>
      <c r="L1068" s="1">
        <v>-3.91E7</v>
      </c>
      <c r="M1068" s="1">
        <v>6.96E7</v>
      </c>
      <c r="N1068" s="1">
        <v>6.934E8</v>
      </c>
      <c r="O1068" s="1">
        <v>4.165E8</v>
      </c>
      <c r="P1068" s="1">
        <v>3.091E8</v>
      </c>
      <c r="Q1068" s="1">
        <v>-4.1E7</v>
      </c>
      <c r="R1068" s="1">
        <v>1.663E8</v>
      </c>
      <c r="S1068" s="1">
        <v>1.657E8</v>
      </c>
    </row>
    <row r="1069">
      <c r="A1069" s="1">
        <v>1067.0</v>
      </c>
      <c r="B1069" s="3">
        <v>44104.0</v>
      </c>
      <c r="C1069" s="1" t="s">
        <v>573</v>
      </c>
      <c r="D1069" s="1" t="s">
        <v>574</v>
      </c>
      <c r="F1069" s="1">
        <v>2.387E8</v>
      </c>
      <c r="G1069" s="1">
        <v>1.898E8</v>
      </c>
      <c r="I1069" s="1">
        <v>3.632E8</v>
      </c>
      <c r="J1069" s="1">
        <v>2.74E8</v>
      </c>
      <c r="K1069" s="1">
        <v>2.74E8</v>
      </c>
      <c r="L1069" s="1">
        <v>-3.95E7</v>
      </c>
      <c r="M1069" s="1">
        <v>4.85E7</v>
      </c>
      <c r="N1069" s="1">
        <v>6.596E8</v>
      </c>
      <c r="O1069" s="1">
        <v>3.856E8</v>
      </c>
      <c r="P1069" s="1">
        <v>2.964E8</v>
      </c>
      <c r="Q1069" s="1">
        <v>-3.53E7</v>
      </c>
      <c r="R1069" s="1">
        <v>1.902E8</v>
      </c>
      <c r="S1069" s="1">
        <v>1.897E8</v>
      </c>
    </row>
    <row r="1070">
      <c r="A1070" s="1">
        <v>1068.0</v>
      </c>
      <c r="B1070" s="3">
        <v>44289.0</v>
      </c>
      <c r="C1070" s="1" t="s">
        <v>575</v>
      </c>
      <c r="D1070" s="1" t="s">
        <v>576</v>
      </c>
      <c r="F1070" s="1">
        <v>4.8E8</v>
      </c>
      <c r="G1070" s="1">
        <v>3.68E8</v>
      </c>
      <c r="H1070" s="1">
        <v>6.07E8</v>
      </c>
      <c r="I1070" s="1">
        <v>1.167E9</v>
      </c>
      <c r="J1070" s="1">
        <v>5.6E8</v>
      </c>
      <c r="K1070" s="1">
        <v>5.6E8</v>
      </c>
      <c r="L1070" s="1">
        <v>-5.9E7</v>
      </c>
      <c r="M1070" s="1">
        <v>1.09E8</v>
      </c>
      <c r="N1070" s="1">
        <v>3.584E9</v>
      </c>
      <c r="O1070" s="1">
        <v>3.024E9</v>
      </c>
      <c r="P1070" s="1">
        <v>2.417E9</v>
      </c>
      <c r="Q1070" s="1">
        <v>-8.0E7</v>
      </c>
      <c r="R1070" s="1">
        <v>3.71E8</v>
      </c>
      <c r="S1070" s="1">
        <v>3.68E8</v>
      </c>
    </row>
    <row r="1071">
      <c r="A1071" s="1">
        <v>1069.0</v>
      </c>
      <c r="B1071" s="3">
        <v>44198.0</v>
      </c>
      <c r="C1071" s="1" t="s">
        <v>575</v>
      </c>
      <c r="D1071" s="1" t="s">
        <v>576</v>
      </c>
      <c r="F1071" s="1">
        <v>2.63E8</v>
      </c>
      <c r="G1071" s="1">
        <v>2.05E8</v>
      </c>
      <c r="H1071" s="1">
        <v>7.49E8</v>
      </c>
      <c r="I1071" s="1">
        <v>1.188E9</v>
      </c>
      <c r="J1071" s="1">
        <v>4.39E8</v>
      </c>
      <c r="K1071" s="1">
        <v>4.39E8</v>
      </c>
      <c r="L1071" s="1">
        <v>-8.5E7</v>
      </c>
      <c r="M1071" s="1">
        <v>5.5E7</v>
      </c>
      <c r="N1071" s="1">
        <v>3.464E9</v>
      </c>
      <c r="O1071" s="1">
        <v>3.025E9</v>
      </c>
      <c r="P1071" s="1">
        <v>2.276E9</v>
      </c>
      <c r="Q1071" s="1">
        <v>-1.76E8</v>
      </c>
      <c r="R1071" s="1">
        <v>2.08E8</v>
      </c>
      <c r="S1071" s="1">
        <v>2.05E8</v>
      </c>
    </row>
    <row r="1072">
      <c r="A1072" s="1">
        <v>1070.0</v>
      </c>
      <c r="B1072" s="3">
        <v>44100.0</v>
      </c>
      <c r="C1072" s="1" t="s">
        <v>575</v>
      </c>
      <c r="D1072" s="1" t="s">
        <v>576</v>
      </c>
      <c r="F1072" s="1">
        <v>4.17E8</v>
      </c>
      <c r="G1072" s="1">
        <v>3.48E8</v>
      </c>
      <c r="H1072" s="1">
        <v>7.9E8</v>
      </c>
      <c r="I1072" s="1">
        <v>1.201E9</v>
      </c>
      <c r="J1072" s="1">
        <v>4.11E8</v>
      </c>
      <c r="K1072" s="1">
        <v>4.11E8</v>
      </c>
      <c r="L1072" s="1">
        <v>-6.3E7</v>
      </c>
      <c r="M1072" s="1">
        <v>6.5E7</v>
      </c>
      <c r="N1072" s="1">
        <v>3.429E9</v>
      </c>
      <c r="O1072" s="1">
        <v>3.018E9</v>
      </c>
      <c r="P1072" s="1">
        <v>2.228E9</v>
      </c>
      <c r="Q1072" s="1">
        <v>6000000.0</v>
      </c>
      <c r="R1072" s="1">
        <v>3.52E8</v>
      </c>
      <c r="S1072" s="1">
        <v>3.48E8</v>
      </c>
    </row>
    <row r="1073">
      <c r="A1073" s="1">
        <v>1071.0</v>
      </c>
      <c r="B1073" s="3">
        <v>44009.0</v>
      </c>
      <c r="C1073" s="1" t="s">
        <v>575</v>
      </c>
      <c r="D1073" s="1" t="s">
        <v>576</v>
      </c>
      <c r="F1073" s="1">
        <v>4.63E8</v>
      </c>
      <c r="G1073" s="1">
        <v>3.51E8</v>
      </c>
      <c r="H1073" s="1">
        <v>6.69E8</v>
      </c>
      <c r="I1073" s="1">
        <v>1.207E9</v>
      </c>
      <c r="J1073" s="1">
        <v>5.38E8</v>
      </c>
      <c r="K1073" s="1">
        <v>5.38E8</v>
      </c>
      <c r="L1073" s="1">
        <v>-6.9E7</v>
      </c>
      <c r="M1073" s="1">
        <v>1.09E8</v>
      </c>
      <c r="N1073" s="1">
        <v>3.465E9</v>
      </c>
      <c r="O1073" s="1">
        <v>2.927E9</v>
      </c>
      <c r="P1073" s="1">
        <v>2.258E9</v>
      </c>
      <c r="Q1073" s="1">
        <v>-7.5E7</v>
      </c>
      <c r="R1073" s="1">
        <v>3.54E8</v>
      </c>
      <c r="S1073" s="1">
        <v>3.51E8</v>
      </c>
    </row>
    <row r="1074">
      <c r="A1074" s="1">
        <v>1072.0</v>
      </c>
      <c r="B1074" s="3">
        <v>44377.0</v>
      </c>
      <c r="C1074" s="1" t="s">
        <v>577</v>
      </c>
      <c r="D1074" s="1" t="s">
        <v>578</v>
      </c>
      <c r="F1074" s="1">
        <v>9.13E8</v>
      </c>
      <c r="G1074" s="1">
        <v>7.29E8</v>
      </c>
      <c r="H1074" s="1">
        <v>9.07E8</v>
      </c>
      <c r="I1074" s="1">
        <v>1.989E9</v>
      </c>
      <c r="J1074" s="1">
        <v>0.0</v>
      </c>
      <c r="K1074" s="1">
        <v>9.27E8</v>
      </c>
      <c r="M1074" s="1">
        <v>1.89E8</v>
      </c>
      <c r="N1074" s="1">
        <v>1.989E9</v>
      </c>
      <c r="O1074" s="1">
        <v>1.062E9</v>
      </c>
      <c r="P1074" s="1">
        <v>0.0</v>
      </c>
      <c r="Q1074" s="1">
        <v>-1.4E7</v>
      </c>
      <c r="R1074" s="1">
        <v>7.24E8</v>
      </c>
      <c r="S1074" s="1">
        <v>7.03E8</v>
      </c>
    </row>
    <row r="1075">
      <c r="A1075" s="1">
        <v>1073.0</v>
      </c>
      <c r="B1075" s="3">
        <v>44286.0</v>
      </c>
      <c r="C1075" s="1" t="s">
        <v>577</v>
      </c>
      <c r="D1075" s="1" t="s">
        <v>578</v>
      </c>
      <c r="F1075" s="1">
        <v>7.65E8</v>
      </c>
      <c r="G1075" s="1">
        <v>6.22E8</v>
      </c>
      <c r="H1075" s="1">
        <v>9.08E8</v>
      </c>
      <c r="I1075" s="1">
        <v>1.836E9</v>
      </c>
      <c r="J1075" s="1">
        <v>0.0</v>
      </c>
      <c r="K1075" s="1">
        <v>7.8E8</v>
      </c>
      <c r="M1075" s="1">
        <v>1.47E8</v>
      </c>
      <c r="N1075" s="1">
        <v>1.836E9</v>
      </c>
      <c r="O1075" s="1">
        <v>1.056E9</v>
      </c>
      <c r="P1075" s="1">
        <v>0.0</v>
      </c>
      <c r="Q1075" s="1">
        <v>-1.6E7</v>
      </c>
      <c r="R1075" s="1">
        <v>6.18E8</v>
      </c>
      <c r="S1075" s="1">
        <v>5.95E8</v>
      </c>
    </row>
    <row r="1076">
      <c r="A1076" s="1">
        <v>1074.0</v>
      </c>
      <c r="B1076" s="3">
        <v>44196.0</v>
      </c>
      <c r="C1076" s="1" t="s">
        <v>577</v>
      </c>
      <c r="D1076" s="1" t="s">
        <v>578</v>
      </c>
      <c r="F1076" s="1">
        <v>6.89E8</v>
      </c>
      <c r="G1076" s="1">
        <v>5.82E8</v>
      </c>
      <c r="H1076" s="1">
        <v>9.13E8</v>
      </c>
      <c r="I1076" s="1">
        <v>1.817E9</v>
      </c>
      <c r="J1076" s="1">
        <v>0.0</v>
      </c>
      <c r="K1076" s="1">
        <v>7.43E8</v>
      </c>
      <c r="M1076" s="1">
        <v>1.14E8</v>
      </c>
      <c r="N1076" s="1">
        <v>1.817E9</v>
      </c>
      <c r="O1076" s="1">
        <v>1.074E9</v>
      </c>
      <c r="P1076" s="1">
        <v>0.0</v>
      </c>
      <c r="Q1076" s="1">
        <v>-5.4E7</v>
      </c>
      <c r="R1076" s="1">
        <v>5.75E8</v>
      </c>
      <c r="S1076" s="1">
        <v>5.56E8</v>
      </c>
    </row>
    <row r="1077">
      <c r="A1077" s="1">
        <v>1075.0</v>
      </c>
      <c r="B1077" s="3">
        <v>44104.0</v>
      </c>
      <c r="C1077" s="1" t="s">
        <v>577</v>
      </c>
      <c r="D1077" s="1" t="s">
        <v>578</v>
      </c>
      <c r="F1077" s="1">
        <v>4.84E8</v>
      </c>
      <c r="G1077" s="1">
        <v>4.28E8</v>
      </c>
      <c r="H1077" s="1">
        <v>8.52E8</v>
      </c>
      <c r="I1077" s="1">
        <v>1.521E9</v>
      </c>
      <c r="J1077" s="1">
        <v>0.0</v>
      </c>
      <c r="K1077" s="1">
        <v>5.04E8</v>
      </c>
      <c r="M1077" s="1">
        <v>6.0E7</v>
      </c>
      <c r="N1077" s="1">
        <v>1.521E9</v>
      </c>
      <c r="O1077" s="1">
        <v>1.017E9</v>
      </c>
      <c r="P1077" s="1">
        <v>0.0</v>
      </c>
      <c r="Q1077" s="1">
        <v>-2.0E7</v>
      </c>
      <c r="R1077" s="1">
        <v>4.24E8</v>
      </c>
      <c r="S1077" s="1">
        <v>4.01E8</v>
      </c>
    </row>
    <row r="1078">
      <c r="A1078" s="1">
        <v>1076.0</v>
      </c>
      <c r="B1078" s="3">
        <v>44316.0</v>
      </c>
      <c r="C1078" s="1" t="s">
        <v>579</v>
      </c>
      <c r="D1078" s="1" t="s">
        <v>580</v>
      </c>
      <c r="E1078" s="1">
        <v>2.09E8</v>
      </c>
      <c r="F1078" s="1">
        <v>2.08E8</v>
      </c>
      <c r="G1078" s="1">
        <v>1.86E8</v>
      </c>
      <c r="H1078" s="1">
        <v>3.08E8</v>
      </c>
      <c r="I1078" s="1">
        <v>7.37E8</v>
      </c>
      <c r="J1078" s="1">
        <v>2.24E8</v>
      </c>
      <c r="K1078" s="1">
        <v>2.24E8</v>
      </c>
      <c r="L1078" s="1">
        <v>-1.9E7</v>
      </c>
      <c r="M1078" s="1">
        <v>2.2E7</v>
      </c>
      <c r="N1078" s="1">
        <v>1.221E9</v>
      </c>
      <c r="O1078" s="1">
        <v>9.97E8</v>
      </c>
      <c r="P1078" s="1">
        <v>4.84E8</v>
      </c>
      <c r="Q1078" s="1">
        <v>-1.6E7</v>
      </c>
      <c r="R1078" s="1">
        <v>1.86E8</v>
      </c>
      <c r="S1078" s="1">
        <v>1.86E8</v>
      </c>
    </row>
    <row r="1079">
      <c r="A1079" s="1">
        <v>1077.0</v>
      </c>
      <c r="B1079" s="3">
        <v>44227.0</v>
      </c>
      <c r="C1079" s="1" t="s">
        <v>579</v>
      </c>
      <c r="D1079" s="1" t="s">
        <v>580</v>
      </c>
      <c r="E1079" s="1">
        <v>1.99E8</v>
      </c>
      <c r="F1079" s="1">
        <v>1.95E8</v>
      </c>
      <c r="G1079" s="1">
        <v>1.72E8</v>
      </c>
      <c r="H1079" s="1">
        <v>2.94E8</v>
      </c>
      <c r="I1079" s="1">
        <v>7.07E8</v>
      </c>
      <c r="J1079" s="1">
        <v>2.19E8</v>
      </c>
      <c r="K1079" s="1">
        <v>2.19E8</v>
      </c>
      <c r="L1079" s="1">
        <v>-2.0E7</v>
      </c>
      <c r="M1079" s="1">
        <v>2.3E7</v>
      </c>
      <c r="N1079" s="1">
        <v>1.18E9</v>
      </c>
      <c r="O1079" s="1">
        <v>9.61E8</v>
      </c>
      <c r="P1079" s="1">
        <v>4.73E8</v>
      </c>
      <c r="Q1079" s="1">
        <v>-2.4E7</v>
      </c>
      <c r="R1079" s="1">
        <v>1.72E8</v>
      </c>
      <c r="S1079" s="1">
        <v>1.72E8</v>
      </c>
    </row>
    <row r="1080">
      <c r="A1080" s="1">
        <v>1078.0</v>
      </c>
      <c r="B1080" s="3">
        <v>44135.0</v>
      </c>
      <c r="C1080" s="1" t="s">
        <v>579</v>
      </c>
      <c r="D1080" s="1" t="s">
        <v>580</v>
      </c>
      <c r="E1080" s="1">
        <v>1.93E8</v>
      </c>
      <c r="F1080" s="1">
        <v>2.66E8</v>
      </c>
      <c r="G1080" s="1">
        <v>2.17E8</v>
      </c>
      <c r="H1080" s="1">
        <v>2.87E8</v>
      </c>
      <c r="I1080" s="1">
        <v>7.56E8</v>
      </c>
      <c r="J1080" s="1">
        <v>2.78E8</v>
      </c>
      <c r="K1080" s="1">
        <v>2.78E8</v>
      </c>
      <c r="L1080" s="1">
        <v>-1.9E7</v>
      </c>
      <c r="M1080" s="1">
        <v>4.9E7</v>
      </c>
      <c r="N1080" s="1">
        <v>1.22E9</v>
      </c>
      <c r="O1080" s="1">
        <v>9.42E8</v>
      </c>
      <c r="P1080" s="1">
        <v>4.64E8</v>
      </c>
      <c r="Q1080" s="1">
        <v>-1.2E7</v>
      </c>
      <c r="R1080" s="1">
        <v>2.17E8</v>
      </c>
      <c r="S1080" s="1">
        <v>2.17E8</v>
      </c>
    </row>
    <row r="1081">
      <c r="A1081" s="1">
        <v>1079.0</v>
      </c>
      <c r="B1081" s="3">
        <v>44043.0</v>
      </c>
      <c r="C1081" s="1" t="s">
        <v>579</v>
      </c>
      <c r="D1081" s="1" t="s">
        <v>580</v>
      </c>
      <c r="E1081" s="1">
        <v>1.69E8</v>
      </c>
      <c r="F1081" s="1">
        <v>1.85E8</v>
      </c>
      <c r="G1081" s="1">
        <v>1.76E8</v>
      </c>
      <c r="H1081" s="1">
        <v>2.41E8</v>
      </c>
      <c r="I1081" s="1">
        <v>6.06E8</v>
      </c>
      <c r="J1081" s="1">
        <v>2.0E8</v>
      </c>
      <c r="K1081" s="1">
        <v>2.0E8</v>
      </c>
      <c r="L1081" s="1">
        <v>-2.0E7</v>
      </c>
      <c r="M1081" s="1">
        <v>9000000.0</v>
      </c>
      <c r="N1081" s="1">
        <v>1.011E9</v>
      </c>
      <c r="O1081" s="1">
        <v>8.11E8</v>
      </c>
      <c r="P1081" s="1">
        <v>4.05E8</v>
      </c>
      <c r="Q1081" s="1">
        <v>-1.5E7</v>
      </c>
      <c r="R1081" s="1">
        <v>1.76E8</v>
      </c>
      <c r="S1081" s="1">
        <v>1.76E8</v>
      </c>
    </row>
    <row r="1082">
      <c r="A1082" s="1">
        <v>1080.0</v>
      </c>
      <c r="B1082" s="3">
        <v>44286.0</v>
      </c>
      <c r="C1082" s="1" t="s">
        <v>581</v>
      </c>
      <c r="D1082" s="1" t="s">
        <v>582</v>
      </c>
      <c r="F1082" s="1">
        <v>7.41E8</v>
      </c>
      <c r="G1082" s="1">
        <v>5.84E8</v>
      </c>
      <c r="H1082" s="1">
        <v>8.06E8</v>
      </c>
      <c r="I1082" s="1">
        <v>1.614E9</v>
      </c>
      <c r="J1082" s="1">
        <v>8.13E8</v>
      </c>
      <c r="K1082" s="1">
        <v>8.13E8</v>
      </c>
      <c r="L1082" s="1">
        <v>-6.3E7</v>
      </c>
      <c r="M1082" s="1">
        <v>1.47E8</v>
      </c>
      <c r="N1082" s="1">
        <v>4.743E9</v>
      </c>
      <c r="O1082" s="1">
        <v>3.93E9</v>
      </c>
      <c r="P1082" s="1">
        <v>3.129E9</v>
      </c>
      <c r="Q1082" s="1">
        <v>-7.2E7</v>
      </c>
      <c r="R1082" s="1">
        <v>5.94E8</v>
      </c>
      <c r="S1082" s="1">
        <v>5.84E8</v>
      </c>
    </row>
    <row r="1083">
      <c r="A1083" s="1">
        <v>1081.0</v>
      </c>
      <c r="B1083" s="3">
        <v>44196.0</v>
      </c>
      <c r="C1083" s="1" t="s">
        <v>581</v>
      </c>
      <c r="D1083" s="1" t="s">
        <v>582</v>
      </c>
      <c r="F1083" s="1">
        <v>7.12E8</v>
      </c>
      <c r="G1083" s="1">
        <v>5.39E8</v>
      </c>
      <c r="H1083" s="1">
        <v>9.6E8</v>
      </c>
      <c r="I1083" s="1">
        <v>1.71E9</v>
      </c>
      <c r="J1083" s="1">
        <v>8.15E8</v>
      </c>
      <c r="K1083" s="1">
        <v>8.15E8</v>
      </c>
      <c r="L1083" s="1">
        <v>-6.4E7</v>
      </c>
      <c r="M1083" s="1">
        <v>1.66E8</v>
      </c>
      <c r="N1083" s="1">
        <v>4.836E9</v>
      </c>
      <c r="O1083" s="1">
        <v>4.021E9</v>
      </c>
      <c r="P1083" s="1">
        <v>3.126E9</v>
      </c>
      <c r="Q1083" s="1">
        <v>-1.03E8</v>
      </c>
      <c r="R1083" s="1">
        <v>5.46E8</v>
      </c>
      <c r="S1083" s="1">
        <v>5.39E8</v>
      </c>
    </row>
    <row r="1084">
      <c r="A1084" s="1">
        <v>1082.0</v>
      </c>
      <c r="B1084" s="3">
        <v>44104.0</v>
      </c>
      <c r="C1084" s="1" t="s">
        <v>581</v>
      </c>
      <c r="D1084" s="1" t="s">
        <v>582</v>
      </c>
      <c r="F1084" s="1">
        <v>5.97E8</v>
      </c>
      <c r="G1084" s="1">
        <v>4.72E8</v>
      </c>
      <c r="H1084" s="1">
        <v>8.85E8</v>
      </c>
      <c r="I1084" s="1">
        <v>1.697E9</v>
      </c>
      <c r="J1084" s="1">
        <v>7.83E8</v>
      </c>
      <c r="K1084" s="1">
        <v>7.83E8</v>
      </c>
      <c r="L1084" s="1">
        <v>-6.2E7</v>
      </c>
      <c r="M1084" s="1">
        <v>1.14E8</v>
      </c>
      <c r="N1084" s="1">
        <v>4.683E9</v>
      </c>
      <c r="O1084" s="1">
        <v>3.9E9</v>
      </c>
      <c r="P1084" s="1">
        <v>2.986E9</v>
      </c>
      <c r="Q1084" s="1">
        <v>-1.86E8</v>
      </c>
      <c r="R1084" s="1">
        <v>4.83E8</v>
      </c>
      <c r="S1084" s="1">
        <v>4.72E8</v>
      </c>
    </row>
    <row r="1085">
      <c r="A1085" s="1">
        <v>1083.0</v>
      </c>
      <c r="B1085" s="3">
        <v>44012.0</v>
      </c>
      <c r="C1085" s="1" t="s">
        <v>581</v>
      </c>
      <c r="D1085" s="1" t="s">
        <v>582</v>
      </c>
      <c r="F1085" s="1">
        <v>8.91E8</v>
      </c>
      <c r="G1085" s="1">
        <v>6.81E8</v>
      </c>
      <c r="H1085" s="1">
        <v>8.17E8</v>
      </c>
      <c r="I1085" s="1">
        <v>1.837E9</v>
      </c>
      <c r="J1085" s="1">
        <v>1.0E9</v>
      </c>
      <c r="K1085" s="1">
        <v>1.0E9</v>
      </c>
      <c r="L1085" s="1">
        <v>-6.5E7</v>
      </c>
      <c r="M1085" s="1">
        <v>1.99E8</v>
      </c>
      <c r="N1085" s="1">
        <v>4.612E9</v>
      </c>
      <c r="O1085" s="1">
        <v>3.612E9</v>
      </c>
      <c r="P1085" s="1">
        <v>2.775E9</v>
      </c>
      <c r="Q1085" s="1">
        <v>-1.09E8</v>
      </c>
      <c r="R1085" s="1">
        <v>6.92E8</v>
      </c>
      <c r="S1085" s="1">
        <v>6.81E8</v>
      </c>
    </row>
    <row r="1086">
      <c r="A1086" s="1">
        <v>1084.0</v>
      </c>
      <c r="B1086" s="3">
        <v>44377.0</v>
      </c>
      <c r="C1086" s="1" t="s">
        <v>583</v>
      </c>
      <c r="D1086" s="1" t="s">
        <v>584</v>
      </c>
      <c r="F1086" s="1">
        <v>1.18393E8</v>
      </c>
      <c r="G1086" s="1">
        <v>1.16697E8</v>
      </c>
      <c r="H1086" s="1">
        <v>2.4754E7</v>
      </c>
      <c r="I1086" s="1">
        <v>1.99532E8</v>
      </c>
      <c r="J1086" s="1">
        <v>1.02205E8</v>
      </c>
      <c r="K1086" s="1">
        <v>1.02205E8</v>
      </c>
      <c r="L1086" s="1">
        <v>-4.6812E7</v>
      </c>
      <c r="M1086" s="1">
        <v>1275000.0</v>
      </c>
      <c r="N1086" s="1">
        <v>2.89016E8</v>
      </c>
      <c r="O1086" s="1">
        <v>1.86811E8</v>
      </c>
      <c r="P1086" s="1">
        <v>8.9484E7</v>
      </c>
      <c r="Q1086" s="1">
        <v>1.6188E7</v>
      </c>
      <c r="R1086" s="1">
        <v>1.17118E8</v>
      </c>
      <c r="S1086" s="1">
        <v>1.09671E8</v>
      </c>
    </row>
    <row r="1087">
      <c r="A1087" s="1">
        <v>1085.0</v>
      </c>
      <c r="B1087" s="3">
        <v>44286.0</v>
      </c>
      <c r="C1087" s="1" t="s">
        <v>583</v>
      </c>
      <c r="D1087" s="1" t="s">
        <v>584</v>
      </c>
      <c r="F1087" s="1">
        <v>1.42733E8</v>
      </c>
      <c r="G1087" s="1">
        <v>1.37942E8</v>
      </c>
      <c r="H1087" s="1">
        <v>2.4478E7</v>
      </c>
      <c r="I1087" s="1">
        <v>1.93817E8</v>
      </c>
      <c r="J1087" s="1">
        <v>9.4463E7</v>
      </c>
      <c r="K1087" s="1">
        <v>9.4463E7</v>
      </c>
      <c r="L1087" s="1">
        <v>-4.7716E7</v>
      </c>
      <c r="M1087" s="1">
        <v>1308000.0</v>
      </c>
      <c r="N1087" s="1">
        <v>2.82308E8</v>
      </c>
      <c r="O1087" s="1">
        <v>1.87845E8</v>
      </c>
      <c r="P1087" s="1">
        <v>8.8491E7</v>
      </c>
      <c r="Q1087" s="1">
        <v>4.827E7</v>
      </c>
      <c r="R1087" s="1">
        <v>1.41425E8</v>
      </c>
      <c r="S1087" s="1">
        <v>1.30796E8</v>
      </c>
    </row>
    <row r="1088">
      <c r="A1088" s="1">
        <v>1086.0</v>
      </c>
      <c r="B1088" s="3">
        <v>44196.0</v>
      </c>
      <c r="C1088" s="1" t="s">
        <v>583</v>
      </c>
      <c r="D1088" s="1" t="s">
        <v>584</v>
      </c>
      <c r="F1088" s="1">
        <v>2.02295E8</v>
      </c>
      <c r="G1088" s="1">
        <v>2.01234E8</v>
      </c>
      <c r="H1088" s="1">
        <v>1.2201E7</v>
      </c>
      <c r="I1088" s="1">
        <v>1.77826E8</v>
      </c>
      <c r="J1088" s="1">
        <v>9.133E7</v>
      </c>
      <c r="K1088" s="1">
        <v>9.133E7</v>
      </c>
      <c r="L1088" s="1">
        <v>-4.5887E7</v>
      </c>
      <c r="M1088" s="1">
        <v>496000.0</v>
      </c>
      <c r="N1088" s="1">
        <v>2.69441E8</v>
      </c>
      <c r="O1088" s="1">
        <v>1.78111E8</v>
      </c>
      <c r="P1088" s="1">
        <v>9.1615E7</v>
      </c>
      <c r="Q1088" s="1">
        <v>1.10965E8</v>
      </c>
      <c r="R1088" s="1">
        <v>2.01799E8</v>
      </c>
      <c r="S1088" s="1">
        <v>1.95952E8</v>
      </c>
    </row>
    <row r="1089">
      <c r="A1089" s="1">
        <v>1087.0</v>
      </c>
      <c r="B1089" s="3">
        <v>44104.0</v>
      </c>
      <c r="C1089" s="1" t="s">
        <v>583</v>
      </c>
      <c r="D1089" s="1" t="s">
        <v>584</v>
      </c>
      <c r="F1089" s="1">
        <v>-3.7041E7</v>
      </c>
      <c r="G1089" s="1">
        <v>-3.8394E7</v>
      </c>
      <c r="H1089" s="1">
        <v>2.8795E7</v>
      </c>
      <c r="I1089" s="1">
        <v>1.73778E8</v>
      </c>
      <c r="J1089" s="1">
        <v>7.3279E7</v>
      </c>
      <c r="K1089" s="1">
        <v>7.3279E7</v>
      </c>
      <c r="L1089" s="1">
        <v>-4.6942E7</v>
      </c>
      <c r="M1089" s="1">
        <v>388000.0</v>
      </c>
      <c r="N1089" s="1">
        <v>2.59792E8</v>
      </c>
      <c r="O1089" s="1">
        <v>1.86513E8</v>
      </c>
      <c r="P1089" s="1">
        <v>8.6014E7</v>
      </c>
      <c r="Q1089" s="1">
        <v>-1.1032E8</v>
      </c>
      <c r="R1089" s="1">
        <v>-3.7429E7</v>
      </c>
      <c r="S1089" s="1">
        <v>-4.4999E7</v>
      </c>
    </row>
    <row r="1090">
      <c r="A1090" s="1">
        <v>1088.0</v>
      </c>
      <c r="B1090" s="3">
        <v>44286.0</v>
      </c>
      <c r="C1090" s="1" t="s">
        <v>585</v>
      </c>
      <c r="D1090" s="1" t="s">
        <v>586</v>
      </c>
      <c r="F1090" s="1">
        <v>1.776E9</v>
      </c>
      <c r="G1090" s="1">
        <v>1.409E9</v>
      </c>
      <c r="H1090" s="1">
        <v>1.56E8</v>
      </c>
      <c r="I1090" s="1">
        <v>2.688E9</v>
      </c>
      <c r="J1090" s="1">
        <v>1.882E9</v>
      </c>
      <c r="K1090" s="1">
        <v>1.882E9</v>
      </c>
      <c r="L1090" s="1">
        <v>-3.77E8</v>
      </c>
      <c r="M1090" s="1">
        <v>3.51E8</v>
      </c>
      <c r="N1090" s="1">
        <v>5.211E9</v>
      </c>
      <c r="O1090" s="1">
        <v>3.329E9</v>
      </c>
      <c r="P1090" s="1">
        <v>2.523E9</v>
      </c>
      <c r="Q1090" s="1">
        <v>-1.06E8</v>
      </c>
      <c r="R1090" s="1">
        <v>1.425E9</v>
      </c>
      <c r="S1090" s="1">
        <v>1.402E9</v>
      </c>
    </row>
    <row r="1091">
      <c r="A1091" s="1">
        <v>1089.0</v>
      </c>
      <c r="B1091" s="3">
        <v>44196.0</v>
      </c>
      <c r="C1091" s="1" t="s">
        <v>585</v>
      </c>
      <c r="D1091" s="1" t="s">
        <v>586</v>
      </c>
      <c r="F1091" s="1">
        <v>8.0E8</v>
      </c>
      <c r="G1091" s="1">
        <v>6.07E8</v>
      </c>
      <c r="H1091" s="1">
        <v>1.87E8</v>
      </c>
      <c r="I1091" s="1">
        <v>1.723E9</v>
      </c>
      <c r="J1091" s="1">
        <v>9.25E8</v>
      </c>
      <c r="K1091" s="1">
        <v>9.25E8</v>
      </c>
      <c r="L1091" s="1">
        <v>-3.81E8</v>
      </c>
      <c r="M1091" s="1">
        <v>1.77E8</v>
      </c>
      <c r="N1091" s="1">
        <v>3.115E9</v>
      </c>
      <c r="O1091" s="1">
        <v>2.19E9</v>
      </c>
      <c r="P1091" s="1">
        <v>1.392E9</v>
      </c>
      <c r="Q1091" s="1">
        <v>-1.25E8</v>
      </c>
      <c r="R1091" s="1">
        <v>6.23E8</v>
      </c>
      <c r="S1091" s="1">
        <v>6.03E8</v>
      </c>
    </row>
    <row r="1092">
      <c r="A1092" s="1">
        <v>1090.0</v>
      </c>
      <c r="B1092" s="3">
        <v>44104.0</v>
      </c>
      <c r="C1092" s="1" t="s">
        <v>585</v>
      </c>
      <c r="D1092" s="1" t="s">
        <v>586</v>
      </c>
      <c r="F1092" s="1">
        <v>6.12E8</v>
      </c>
      <c r="G1092" s="1">
        <v>4.55E8</v>
      </c>
      <c r="H1092" s="1">
        <v>1.53E8</v>
      </c>
      <c r="I1092" s="1">
        <v>1.621E9</v>
      </c>
      <c r="J1092" s="1">
        <v>8.3E8</v>
      </c>
      <c r="K1092" s="1">
        <v>8.3E8</v>
      </c>
      <c r="L1092" s="1">
        <v>-3.83E8</v>
      </c>
      <c r="M1092" s="1">
        <v>1.4E8</v>
      </c>
      <c r="N1092" s="1">
        <v>2.919E9</v>
      </c>
      <c r="O1092" s="1">
        <v>2.089E9</v>
      </c>
      <c r="P1092" s="1">
        <v>1.298E9</v>
      </c>
      <c r="Q1092" s="1">
        <v>-2.18E8</v>
      </c>
      <c r="R1092" s="1">
        <v>4.72E8</v>
      </c>
      <c r="S1092" s="1">
        <v>4.52E8</v>
      </c>
    </row>
    <row r="1093">
      <c r="A1093" s="1">
        <v>1091.0</v>
      </c>
      <c r="B1093" s="3">
        <v>44012.0</v>
      </c>
      <c r="C1093" s="1" t="s">
        <v>585</v>
      </c>
      <c r="D1093" s="1" t="s">
        <v>586</v>
      </c>
      <c r="F1093" s="1">
        <v>-5.2E8</v>
      </c>
      <c r="G1093" s="1">
        <v>-6.37E8</v>
      </c>
      <c r="H1093" s="1">
        <v>1.55E8</v>
      </c>
      <c r="I1093" s="1">
        <v>1.513E9</v>
      </c>
      <c r="J1093" s="1">
        <v>7.23E8</v>
      </c>
      <c r="K1093" s="1">
        <v>7.23E8</v>
      </c>
      <c r="L1093" s="1">
        <v>-3.95E8</v>
      </c>
      <c r="M1093" s="1">
        <v>1.04E8</v>
      </c>
      <c r="N1093" s="1">
        <v>2.56E9</v>
      </c>
      <c r="O1093" s="1">
        <v>1.837E9</v>
      </c>
      <c r="P1093" s="1">
        <v>1.047E9</v>
      </c>
      <c r="Q1093" s="1">
        <v>-1.243E9</v>
      </c>
      <c r="R1093" s="1">
        <v>-6.24E8</v>
      </c>
      <c r="S1093" s="1">
        <v>-6.4E8</v>
      </c>
    </row>
    <row r="1094">
      <c r="A1094" s="1">
        <v>1092.0</v>
      </c>
      <c r="B1094" s="3">
        <v>44377.0</v>
      </c>
      <c r="C1094" s="1" t="s">
        <v>587</v>
      </c>
      <c r="D1094" s="1" t="s">
        <v>588</v>
      </c>
      <c r="E1094" s="1">
        <v>2.41428E8</v>
      </c>
      <c r="F1094" s="1">
        <v>7.08843E8</v>
      </c>
      <c r="G1094" s="1">
        <v>6.32978E8</v>
      </c>
      <c r="H1094" s="1">
        <v>1.93861E8</v>
      </c>
      <c r="I1094" s="1">
        <v>1.15323E9</v>
      </c>
      <c r="J1094" s="1">
        <v>7.17941E8</v>
      </c>
      <c r="K1094" s="1">
        <v>7.17941E8</v>
      </c>
      <c r="L1094" s="1">
        <v>-3.997E7</v>
      </c>
      <c r="M1094" s="1">
        <v>7.5785E7</v>
      </c>
      <c r="N1094" s="1">
        <v>1.925471E9</v>
      </c>
      <c r="O1094" s="1">
        <v>1.20753E9</v>
      </c>
      <c r="P1094" s="1">
        <v>7.72241E8</v>
      </c>
      <c r="Q1094" s="1">
        <v>-9098000.0</v>
      </c>
      <c r="R1094" s="1">
        <v>6.33058E8</v>
      </c>
      <c r="S1094" s="1">
        <v>6.32978E8</v>
      </c>
    </row>
    <row r="1095">
      <c r="A1095" s="1">
        <v>1093.0</v>
      </c>
      <c r="B1095" s="3">
        <v>44286.0</v>
      </c>
      <c r="C1095" s="1" t="s">
        <v>587</v>
      </c>
      <c r="D1095" s="1" t="s">
        <v>588</v>
      </c>
      <c r="E1095" s="1">
        <v>2.38957E8</v>
      </c>
      <c r="F1095" s="1">
        <v>6.40403E8</v>
      </c>
      <c r="G1095" s="1">
        <v>5.67496E8</v>
      </c>
      <c r="H1095" s="1">
        <v>1.8304E8</v>
      </c>
      <c r="I1095" s="1">
        <v>1.094144E9</v>
      </c>
      <c r="J1095" s="1">
        <v>6.72147E8</v>
      </c>
      <c r="K1095" s="1">
        <v>6.72147E8</v>
      </c>
      <c r="L1095" s="1">
        <v>-3.9092E7</v>
      </c>
      <c r="M1095" s="1">
        <v>7.3233E7</v>
      </c>
      <c r="N1095" s="1">
        <v>1.803773E9</v>
      </c>
      <c r="O1095" s="1">
        <v>1.131626E9</v>
      </c>
      <c r="P1095" s="1">
        <v>7.09629E8</v>
      </c>
      <c r="Q1095" s="1">
        <v>-3.1744E7</v>
      </c>
      <c r="R1095" s="1">
        <v>5.6717E8</v>
      </c>
      <c r="S1095" s="1">
        <v>5.67496E8</v>
      </c>
    </row>
    <row r="1096">
      <c r="A1096" s="1">
        <v>1094.0</v>
      </c>
      <c r="B1096" s="3">
        <v>44196.0</v>
      </c>
      <c r="C1096" s="1" t="s">
        <v>587</v>
      </c>
      <c r="D1096" s="1" t="s">
        <v>588</v>
      </c>
      <c r="E1096" s="1">
        <v>2.29064E8</v>
      </c>
      <c r="F1096" s="1">
        <v>5.27402E8</v>
      </c>
      <c r="G1096" s="1">
        <v>4.57251E8</v>
      </c>
      <c r="H1096" s="1">
        <v>1.81909E8</v>
      </c>
      <c r="I1096" s="1">
        <v>9.81137E8</v>
      </c>
      <c r="J1096" s="1">
        <v>5.70164E8</v>
      </c>
      <c r="K1096" s="1">
        <v>5.70164E8</v>
      </c>
      <c r="L1096" s="1">
        <v>-3.888E7</v>
      </c>
      <c r="M1096" s="1">
        <v>7.0419E7</v>
      </c>
      <c r="N1096" s="1">
        <v>1.65087E9</v>
      </c>
      <c r="O1096" s="1">
        <v>1.080706E9</v>
      </c>
      <c r="P1096" s="1">
        <v>6.69733E8</v>
      </c>
      <c r="Q1096" s="1">
        <v>-4.2762E7</v>
      </c>
      <c r="R1096" s="1">
        <v>4.56983E8</v>
      </c>
      <c r="S1096" s="1">
        <v>4.57251E8</v>
      </c>
    </row>
    <row r="1097">
      <c r="A1097" s="1">
        <v>1095.0</v>
      </c>
      <c r="B1097" s="3">
        <v>44104.0</v>
      </c>
      <c r="C1097" s="1" t="s">
        <v>587</v>
      </c>
      <c r="D1097" s="1" t="s">
        <v>588</v>
      </c>
      <c r="E1097" s="1">
        <v>2.19038E8</v>
      </c>
      <c r="F1097" s="1">
        <v>4.83806E8</v>
      </c>
      <c r="G1097" s="1">
        <v>4.20567E8</v>
      </c>
      <c r="H1097" s="1">
        <v>1.72631E8</v>
      </c>
      <c r="I1097" s="1">
        <v>9.18058E8</v>
      </c>
      <c r="J1097" s="1">
        <v>5.26389E8</v>
      </c>
      <c r="K1097" s="1">
        <v>5.26389E8</v>
      </c>
      <c r="L1097" s="1">
        <v>-3.9386E7</v>
      </c>
      <c r="M1097" s="1">
        <v>6.3664E7</v>
      </c>
      <c r="N1097" s="1">
        <v>1.53862E9</v>
      </c>
      <c r="O1097" s="1">
        <v>1.012231E9</v>
      </c>
      <c r="P1097" s="1">
        <v>6.20562E8</v>
      </c>
      <c r="Q1097" s="1">
        <v>-4.2583E7</v>
      </c>
      <c r="R1097" s="1">
        <v>4.20142E8</v>
      </c>
      <c r="S1097" s="1">
        <v>4.20567E8</v>
      </c>
    </row>
    <row r="1098">
      <c r="A1098" s="1">
        <v>1096.0</v>
      </c>
      <c r="B1098" s="3">
        <v>44373.0</v>
      </c>
      <c r="C1098" s="1" t="s">
        <v>589</v>
      </c>
      <c r="D1098" s="1" t="s">
        <v>590</v>
      </c>
      <c r="F1098" s="1">
        <v>6.45E8</v>
      </c>
      <c r="G1098" s="1">
        <v>-2.7E7</v>
      </c>
      <c r="H1098" s="1">
        <v>8.66E8</v>
      </c>
      <c r="I1098" s="1">
        <v>2.292E9</v>
      </c>
      <c r="J1098" s="1">
        <v>1.426E9</v>
      </c>
      <c r="K1098" s="1">
        <v>1.426E9</v>
      </c>
      <c r="L1098" s="1">
        <v>-6.13E8</v>
      </c>
      <c r="M1098" s="1">
        <v>6.7E8</v>
      </c>
      <c r="N1098" s="1">
        <v>6.615E9</v>
      </c>
      <c r="O1098" s="1">
        <v>5.189E9</v>
      </c>
      <c r="P1098" s="1">
        <v>4.323E9</v>
      </c>
      <c r="Q1098" s="1">
        <v>-7.81E8</v>
      </c>
      <c r="R1098" s="1">
        <v>-2.5E7</v>
      </c>
      <c r="S1098" s="1">
        <v>-2.7E7</v>
      </c>
    </row>
    <row r="1099">
      <c r="A1099" s="1">
        <v>1097.0</v>
      </c>
      <c r="B1099" s="3">
        <v>44282.0</v>
      </c>
      <c r="C1099" s="1" t="s">
        <v>589</v>
      </c>
      <c r="D1099" s="1" t="s">
        <v>590</v>
      </c>
      <c r="F1099" s="1">
        <v>7.04E8</v>
      </c>
      <c r="G1099" s="1">
        <v>5.63E8</v>
      </c>
      <c r="H1099" s="1">
        <v>8.15E8</v>
      </c>
      <c r="I1099" s="1">
        <v>2.204E9</v>
      </c>
      <c r="J1099" s="1">
        <v>1.389E9</v>
      </c>
      <c r="K1099" s="1">
        <v>1.389E9</v>
      </c>
      <c r="L1099" s="1">
        <v>-4.15E8</v>
      </c>
      <c r="M1099" s="1">
        <v>1.36E8</v>
      </c>
      <c r="N1099" s="1">
        <v>6.394E9</v>
      </c>
      <c r="O1099" s="1">
        <v>5.005E9</v>
      </c>
      <c r="P1099" s="1">
        <v>4.19E9</v>
      </c>
      <c r="Q1099" s="1">
        <v>-6.85E8</v>
      </c>
      <c r="R1099" s="1">
        <v>5.68E8</v>
      </c>
      <c r="S1099" s="1">
        <v>5.63E8</v>
      </c>
    </row>
    <row r="1100">
      <c r="A1100" s="1">
        <v>1098.0</v>
      </c>
      <c r="B1100" s="3">
        <v>44191.0</v>
      </c>
      <c r="C1100" s="1" t="s">
        <v>589</v>
      </c>
      <c r="D1100" s="1" t="s">
        <v>590</v>
      </c>
      <c r="E1100" s="1">
        <v>1.19E8</v>
      </c>
      <c r="F1100" s="1">
        <v>1.286E9</v>
      </c>
      <c r="G1100" s="1">
        <v>1.032E9</v>
      </c>
      <c r="H1100" s="1">
        <v>6.22E8</v>
      </c>
      <c r="I1100" s="1">
        <v>2.521E9</v>
      </c>
      <c r="J1100" s="1">
        <v>1.78E9</v>
      </c>
      <c r="K1100" s="1">
        <v>1.78E9</v>
      </c>
      <c r="L1100" s="1">
        <v>-3.28E8</v>
      </c>
      <c r="M1100" s="1">
        <v>2.52E8</v>
      </c>
      <c r="N1100" s="1">
        <v>6.939E9</v>
      </c>
      <c r="O1100" s="1">
        <v>5.159E9</v>
      </c>
      <c r="P1100" s="1">
        <v>4.418E9</v>
      </c>
      <c r="Q1100" s="1">
        <v>-4.94E8</v>
      </c>
      <c r="R1100" s="1">
        <v>1.034E9</v>
      </c>
      <c r="S1100" s="1">
        <v>1.032E9</v>
      </c>
    </row>
    <row r="1101">
      <c r="A1101" s="1">
        <v>1099.0</v>
      </c>
      <c r="B1101" s="3">
        <v>44100.0</v>
      </c>
      <c r="C1101" s="1" t="s">
        <v>589</v>
      </c>
      <c r="D1101" s="1" t="s">
        <v>590</v>
      </c>
      <c r="E1101" s="1">
        <v>1.19E8</v>
      </c>
      <c r="F1101" s="1">
        <v>9.06E8</v>
      </c>
      <c r="G1101" s="1">
        <v>5.97E8</v>
      </c>
      <c r="H1101" s="1">
        <v>8.39E8</v>
      </c>
      <c r="I1101" s="1">
        <v>2.341E9</v>
      </c>
      <c r="J1101" s="1">
        <v>1.502E9</v>
      </c>
      <c r="K1101" s="1">
        <v>1.502E9</v>
      </c>
      <c r="L1101" s="1">
        <v>-3.14E8</v>
      </c>
      <c r="M1101" s="1">
        <v>3.08E8</v>
      </c>
      <c r="N1101" s="1">
        <v>6.441E9</v>
      </c>
      <c r="O1101" s="1">
        <v>4.939E9</v>
      </c>
      <c r="P1101" s="1">
        <v>4.1E9</v>
      </c>
      <c r="Q1101" s="1">
        <v>-5.96E8</v>
      </c>
      <c r="R1101" s="1">
        <v>5.98E8</v>
      </c>
      <c r="S1101" s="1">
        <v>5.97E8</v>
      </c>
    </row>
    <row r="1102">
      <c r="A1102" s="1">
        <v>1100.0</v>
      </c>
      <c r="B1102" s="3">
        <v>44330.0</v>
      </c>
      <c r="C1102" s="1" t="s">
        <v>591</v>
      </c>
      <c r="D1102" s="1" t="s">
        <v>592</v>
      </c>
      <c r="F1102" s="1">
        <v>1.79E8</v>
      </c>
      <c r="G1102" s="1">
        <v>1.4E8</v>
      </c>
      <c r="H1102" s="1">
        <v>7.58E9</v>
      </c>
      <c r="I1102" s="1">
        <v>9.351E9</v>
      </c>
      <c r="J1102" s="1">
        <v>9.1E8</v>
      </c>
      <c r="K1102" s="1">
        <v>9.1E8</v>
      </c>
      <c r="L1102" s="1">
        <v>-1.65E8</v>
      </c>
      <c r="M1102" s="1">
        <v>3.6E7</v>
      </c>
      <c r="N1102" s="1">
        <v>4.1298E10</v>
      </c>
      <c r="O1102" s="1">
        <v>4.0388E10</v>
      </c>
      <c r="P1102" s="1">
        <v>3.1947E10</v>
      </c>
      <c r="Q1102" s="1">
        <v>-7.31E8</v>
      </c>
      <c r="R1102" s="1">
        <v>1.43E8</v>
      </c>
      <c r="S1102" s="1">
        <v>1.39E8</v>
      </c>
    </row>
    <row r="1103">
      <c r="A1103" s="1">
        <v>1101.0</v>
      </c>
      <c r="B1103" s="3">
        <v>44226.0</v>
      </c>
      <c r="C1103" s="1" t="s">
        <v>591</v>
      </c>
      <c r="D1103" s="1" t="s">
        <v>592</v>
      </c>
      <c r="F1103" s="1">
        <v>-1.1E8</v>
      </c>
      <c r="G1103" s="1">
        <v>-7.7E7</v>
      </c>
      <c r="H1103" s="1">
        <v>7.256E9</v>
      </c>
      <c r="I1103" s="1">
        <v>7.934E9</v>
      </c>
      <c r="J1103" s="1">
        <v>4000000.0</v>
      </c>
      <c r="K1103" s="1">
        <v>4000000.0</v>
      </c>
      <c r="L1103" s="1">
        <v>-1.06E8</v>
      </c>
      <c r="M1103" s="1">
        <v>-3.4E7</v>
      </c>
      <c r="N1103" s="1">
        <v>3.0737E10</v>
      </c>
      <c r="O1103" s="1">
        <v>3.0733E10</v>
      </c>
      <c r="P1103" s="1">
        <v>2.2803E10</v>
      </c>
      <c r="Q1103" s="1">
        <v>-1.14E8</v>
      </c>
      <c r="R1103" s="1">
        <v>-7.6E7</v>
      </c>
      <c r="S1103" s="1">
        <v>-7.5E7</v>
      </c>
    </row>
    <row r="1104">
      <c r="A1104" s="1">
        <v>1102.0</v>
      </c>
      <c r="B1104" s="3">
        <v>44142.0</v>
      </c>
      <c r="C1104" s="1" t="s">
        <v>591</v>
      </c>
      <c r="D1104" s="1" t="s">
        <v>592</v>
      </c>
      <c r="F1104" s="1">
        <v>8.34E8</v>
      </c>
      <c r="G1104" s="1">
        <v>6.31E8</v>
      </c>
      <c r="H1104" s="1">
        <v>5.333E9</v>
      </c>
      <c r="I1104" s="1">
        <v>6.822E9</v>
      </c>
      <c r="J1104" s="1">
        <v>8.58E8</v>
      </c>
      <c r="K1104" s="1">
        <v>8.58E8</v>
      </c>
      <c r="L1104" s="1">
        <v>-1.29E8</v>
      </c>
      <c r="M1104" s="1">
        <v>2.02E8</v>
      </c>
      <c r="N1104" s="1">
        <v>2.9723E10</v>
      </c>
      <c r="O1104" s="1">
        <v>2.8865E10</v>
      </c>
      <c r="P1104" s="1">
        <v>2.2901E10</v>
      </c>
      <c r="Q1104" s="1">
        <v>-2.4E7</v>
      </c>
      <c r="R1104" s="1">
        <v>6.32E8</v>
      </c>
      <c r="S1104" s="1">
        <v>6.25E8</v>
      </c>
    </row>
    <row r="1105">
      <c r="A1105" s="1">
        <v>1103.0</v>
      </c>
      <c r="B1105" s="3">
        <v>44058.0</v>
      </c>
      <c r="C1105" s="1" t="s">
        <v>591</v>
      </c>
      <c r="D1105" s="1" t="s">
        <v>592</v>
      </c>
      <c r="F1105" s="1">
        <v>1.061E9</v>
      </c>
      <c r="G1105" s="1">
        <v>8.19E8</v>
      </c>
      <c r="H1105" s="1">
        <v>5.439E9</v>
      </c>
      <c r="I1105" s="1">
        <v>6.938E9</v>
      </c>
      <c r="J1105" s="1">
        <v>8.82E8</v>
      </c>
      <c r="K1105" s="1">
        <v>8.82E8</v>
      </c>
      <c r="L1105" s="1">
        <v>-1.35E8</v>
      </c>
      <c r="M1105" s="1">
        <v>2.41E8</v>
      </c>
      <c r="N1105" s="1">
        <v>3.0489E10</v>
      </c>
      <c r="O1105" s="1">
        <v>2.9607E10</v>
      </c>
      <c r="P1105" s="1">
        <v>2.3551E10</v>
      </c>
      <c r="Q1105" s="1">
        <v>1.79E8</v>
      </c>
      <c r="R1105" s="1">
        <v>8.2E8</v>
      </c>
      <c r="S1105" s="1">
        <v>8.09E8</v>
      </c>
    </row>
    <row r="1106">
      <c r="A1106" s="1">
        <v>1104.0</v>
      </c>
      <c r="B1106" s="3">
        <v>44379.0</v>
      </c>
      <c r="C1106" s="1" t="s">
        <v>593</v>
      </c>
      <c r="D1106" s="1" t="s">
        <v>594</v>
      </c>
      <c r="F1106" s="1">
        <v>5.82E8</v>
      </c>
      <c r="G1106" s="1">
        <v>4.13E8</v>
      </c>
      <c r="H1106" s="1">
        <v>7.57E8</v>
      </c>
      <c r="I1106" s="1">
        <v>1.417E9</v>
      </c>
      <c r="J1106" s="1">
        <v>6.6E8</v>
      </c>
      <c r="K1106" s="1">
        <v>6.6E8</v>
      </c>
      <c r="L1106" s="1">
        <v>-6.5E7</v>
      </c>
      <c r="M1106" s="1">
        <v>1.69E8</v>
      </c>
      <c r="N1106" s="1">
        <v>4.668E9</v>
      </c>
      <c r="O1106" s="1">
        <v>4.008E9</v>
      </c>
      <c r="P1106" s="1">
        <v>3.251E9</v>
      </c>
      <c r="Q1106" s="1">
        <v>-7.8E7</v>
      </c>
      <c r="R1106" s="1">
        <v>4.13E8</v>
      </c>
      <c r="S1106" s="1">
        <v>4.13E8</v>
      </c>
    </row>
    <row r="1107">
      <c r="A1107" s="1">
        <v>1105.0</v>
      </c>
      <c r="B1107" s="3">
        <v>44288.0</v>
      </c>
      <c r="C1107" s="1" t="s">
        <v>593</v>
      </c>
      <c r="D1107" s="1" t="s">
        <v>594</v>
      </c>
      <c r="F1107" s="1">
        <v>5.27E8</v>
      </c>
      <c r="G1107" s="1">
        <v>4.68E8</v>
      </c>
      <c r="H1107" s="1">
        <v>6.69E8</v>
      </c>
      <c r="I1107" s="1">
        <v>1.354E9</v>
      </c>
      <c r="J1107" s="1">
        <v>6.85E8</v>
      </c>
      <c r="K1107" s="1">
        <v>6.85E8</v>
      </c>
      <c r="L1107" s="1">
        <v>-6.9E7</v>
      </c>
      <c r="M1107" s="1">
        <v>6.0E7</v>
      </c>
      <c r="N1107" s="1">
        <v>4.567E9</v>
      </c>
      <c r="O1107" s="1">
        <v>3.882E9</v>
      </c>
      <c r="P1107" s="1">
        <v>3.213E9</v>
      </c>
      <c r="Q1107" s="1">
        <v>-1.58E8</v>
      </c>
      <c r="R1107" s="1">
        <v>4.67E8</v>
      </c>
      <c r="S1107" s="1">
        <v>4.68E8</v>
      </c>
    </row>
    <row r="1108">
      <c r="A1108" s="1">
        <v>1106.0</v>
      </c>
      <c r="B1108" s="3">
        <v>44197.0</v>
      </c>
      <c r="C1108" s="1" t="s">
        <v>593</v>
      </c>
      <c r="D1108" s="1" t="s">
        <v>594</v>
      </c>
      <c r="F1108" s="1">
        <v>2.47E8</v>
      </c>
      <c r="G1108" s="1">
        <v>1.93E8</v>
      </c>
      <c r="H1108" s="1">
        <v>7.13E8</v>
      </c>
      <c r="I1108" s="1">
        <v>1.399E9</v>
      </c>
      <c r="J1108" s="1">
        <v>6.86E8</v>
      </c>
      <c r="K1108" s="1">
        <v>6.86E8</v>
      </c>
      <c r="L1108" s="1">
        <v>-6.8E7</v>
      </c>
      <c r="M1108" s="1">
        <v>6.3E7</v>
      </c>
      <c r="N1108" s="1">
        <v>4.66E9</v>
      </c>
      <c r="O1108" s="1">
        <v>3.974E9</v>
      </c>
      <c r="P1108" s="1">
        <v>3.261E9</v>
      </c>
      <c r="Q1108" s="1">
        <v>-4.39E8</v>
      </c>
      <c r="R1108" s="1">
        <v>1.84E8</v>
      </c>
      <c r="S1108" s="1">
        <v>1.93E8</v>
      </c>
    </row>
    <row r="1109">
      <c r="A1109" s="1">
        <v>1107.0</v>
      </c>
      <c r="B1109" s="3">
        <v>44106.0</v>
      </c>
      <c r="C1109" s="1" t="s">
        <v>593</v>
      </c>
      <c r="D1109" s="1" t="s">
        <v>594</v>
      </c>
      <c r="F1109" s="1">
        <v>5.18E8</v>
      </c>
      <c r="G1109" s="1">
        <v>4.26E8</v>
      </c>
      <c r="H1109" s="1">
        <v>6.91E8</v>
      </c>
      <c r="I1109" s="1">
        <v>1.311E9</v>
      </c>
      <c r="J1109" s="1">
        <v>6.2E8</v>
      </c>
      <c r="K1109" s="1">
        <v>6.2E8</v>
      </c>
      <c r="L1109" s="1">
        <v>-6.6E7</v>
      </c>
      <c r="M1109" s="1">
        <v>8.7E7</v>
      </c>
      <c r="N1109" s="1">
        <v>4.463E9</v>
      </c>
      <c r="O1109" s="1">
        <v>3.843E9</v>
      </c>
      <c r="P1109" s="1">
        <v>3.152E9</v>
      </c>
      <c r="Q1109" s="1">
        <v>-1.02E8</v>
      </c>
      <c r="R1109" s="1">
        <v>4.31E8</v>
      </c>
      <c r="S1109" s="1">
        <v>4.26E8</v>
      </c>
    </row>
    <row r="1110">
      <c r="A1110" s="1">
        <v>1108.0</v>
      </c>
      <c r="B1110" s="3">
        <v>44286.0</v>
      </c>
      <c r="C1110" s="1" t="s">
        <v>595</v>
      </c>
      <c r="D1110" s="1" t="s">
        <v>596</v>
      </c>
      <c r="F1110" s="1">
        <v>1.0218E9</v>
      </c>
      <c r="G1110" s="1">
        <v>7.696E8</v>
      </c>
      <c r="H1110" s="1">
        <v>4.183E8</v>
      </c>
      <c r="I1110" s="1">
        <v>1.599E9</v>
      </c>
      <c r="J1110" s="1">
        <v>1.1178E9</v>
      </c>
      <c r="K1110" s="1">
        <v>1.1178E9</v>
      </c>
      <c r="L1110" s="1">
        <v>-4.85E7</v>
      </c>
      <c r="M1110" s="1">
        <v>2.517E8</v>
      </c>
      <c r="N1110" s="1">
        <v>4.1615E9</v>
      </c>
      <c r="O1110" s="1">
        <v>3.0437E9</v>
      </c>
      <c r="P1110" s="1">
        <v>2.5625E9</v>
      </c>
      <c r="Q1110" s="1">
        <v>-9.6E7</v>
      </c>
      <c r="R1110" s="1">
        <v>7.701E8</v>
      </c>
      <c r="S1110" s="1">
        <v>7.696E8</v>
      </c>
    </row>
    <row r="1111">
      <c r="A1111" s="1">
        <v>1109.0</v>
      </c>
      <c r="B1111" s="3">
        <v>44196.0</v>
      </c>
      <c r="C1111" s="1" t="s">
        <v>595</v>
      </c>
      <c r="D1111" s="1" t="s">
        <v>596</v>
      </c>
      <c r="F1111" s="1">
        <v>1.2427E9</v>
      </c>
      <c r="G1111" s="1">
        <v>9.383E8</v>
      </c>
      <c r="H1111" s="1">
        <v>4.955E8</v>
      </c>
      <c r="I1111" s="1">
        <v>1.9614E9</v>
      </c>
      <c r="J1111" s="1">
        <v>1.4026E9</v>
      </c>
      <c r="K1111" s="1">
        <v>1.4026E9</v>
      </c>
      <c r="L1111" s="1">
        <v>-4.83E7</v>
      </c>
      <c r="M1111" s="1">
        <v>3.041E8</v>
      </c>
      <c r="N1111" s="1">
        <v>4.4898E9</v>
      </c>
      <c r="O1111" s="1">
        <v>3.0872E9</v>
      </c>
      <c r="P1111" s="1">
        <v>2.5284E9</v>
      </c>
      <c r="Q1111" s="1">
        <v>-1.599E8</v>
      </c>
      <c r="R1111" s="1">
        <v>9.386E8</v>
      </c>
      <c r="S1111" s="1">
        <v>9.383E8</v>
      </c>
    </row>
    <row r="1112">
      <c r="A1112" s="1">
        <v>1110.0</v>
      </c>
      <c r="B1112" s="3">
        <v>44104.0</v>
      </c>
      <c r="C1112" s="1" t="s">
        <v>595</v>
      </c>
      <c r="D1112" s="1" t="s">
        <v>596</v>
      </c>
      <c r="F1112" s="1">
        <v>9.471E8</v>
      </c>
      <c r="G1112" s="1">
        <v>7.034E8</v>
      </c>
      <c r="H1112" s="1">
        <v>4.132E8</v>
      </c>
      <c r="I1112" s="1">
        <v>1.5594E9</v>
      </c>
      <c r="J1112" s="1">
        <v>1.084E9</v>
      </c>
      <c r="K1112" s="1">
        <v>1.084E9</v>
      </c>
      <c r="L1112" s="1">
        <v>-5.14E7</v>
      </c>
      <c r="M1112" s="1">
        <v>2.434E8</v>
      </c>
      <c r="N1112" s="1">
        <v>3.8961E9</v>
      </c>
      <c r="O1112" s="1">
        <v>2.8121E9</v>
      </c>
      <c r="P1112" s="1">
        <v>2.3367E9</v>
      </c>
      <c r="Q1112" s="1">
        <v>-1.369E8</v>
      </c>
      <c r="R1112" s="1">
        <v>7.037E8</v>
      </c>
      <c r="S1112" s="1">
        <v>7.034E8</v>
      </c>
    </row>
    <row r="1113">
      <c r="A1113" s="1">
        <v>1111.0</v>
      </c>
      <c r="B1113" s="3">
        <v>44012.0</v>
      </c>
      <c r="C1113" s="1" t="s">
        <v>595</v>
      </c>
      <c r="D1113" s="1" t="s">
        <v>596</v>
      </c>
      <c r="F1113" s="1">
        <v>2.97E8</v>
      </c>
      <c r="G1113" s="1">
        <v>2.316E8</v>
      </c>
      <c r="H1113" s="1">
        <v>3.837E8</v>
      </c>
      <c r="I1113" s="1">
        <v>7.605E8</v>
      </c>
      <c r="J1113" s="1">
        <v>3.167E8</v>
      </c>
      <c r="K1113" s="1">
        <v>3.167E8</v>
      </c>
      <c r="L1113" s="1">
        <v>-5.27E7</v>
      </c>
      <c r="M1113" s="1">
        <v>6.54E7</v>
      </c>
      <c r="N1113" s="1">
        <v>2.7688E9</v>
      </c>
      <c r="O1113" s="1">
        <v>2.4521E9</v>
      </c>
      <c r="P1113" s="1">
        <v>2.0083E9</v>
      </c>
      <c r="Q1113" s="1">
        <v>-1.97E7</v>
      </c>
      <c r="R1113" s="1">
        <v>2.316E8</v>
      </c>
      <c r="S1113" s="1">
        <v>2.316E8</v>
      </c>
    </row>
    <row r="1114">
      <c r="A1114" s="1">
        <v>1112.0</v>
      </c>
      <c r="B1114" s="3">
        <v>44374.0</v>
      </c>
      <c r="C1114" s="1" t="s">
        <v>597</v>
      </c>
      <c r="D1114" s="1" t="s">
        <v>598</v>
      </c>
      <c r="E1114" s="1">
        <v>3.81749E8</v>
      </c>
      <c r="F1114" s="1">
        <v>1.308761E9</v>
      </c>
      <c r="G1114" s="1">
        <v>1.144657E9</v>
      </c>
      <c r="H1114" s="1">
        <v>2.17525E8</v>
      </c>
      <c r="I1114" s="1">
        <v>1.915201E9</v>
      </c>
      <c r="J1114" s="1">
        <v>1.315927E9</v>
      </c>
      <c r="K1114" s="1">
        <v>1.315927E9</v>
      </c>
      <c r="L1114" s="1">
        <v>-5.1695E7</v>
      </c>
      <c r="M1114" s="1">
        <v>1.64104E8</v>
      </c>
      <c r="N1114" s="1">
        <v>4.145179E9</v>
      </c>
      <c r="O1114" s="1">
        <v>2.829252E9</v>
      </c>
      <c r="P1114" s="1">
        <v>2.229978E9</v>
      </c>
      <c r="Q1114" s="1">
        <v>-7166000.0</v>
      </c>
      <c r="R1114" s="1">
        <v>1.144657E9</v>
      </c>
      <c r="S1114" s="1">
        <v>1.144657E9</v>
      </c>
    </row>
    <row r="1115">
      <c r="A1115" s="1">
        <v>1113.0</v>
      </c>
      <c r="B1115" s="3">
        <v>44283.0</v>
      </c>
      <c r="C1115" s="1" t="s">
        <v>597</v>
      </c>
      <c r="D1115" s="1" t="s">
        <v>598</v>
      </c>
      <c r="E1115" s="1">
        <v>3.8112E8</v>
      </c>
      <c r="F1115" s="1">
        <v>1.159988E9</v>
      </c>
      <c r="G1115" s="1">
        <v>1.071121E9</v>
      </c>
      <c r="H1115" s="1">
        <v>2.03703E8</v>
      </c>
      <c r="I1115" s="1">
        <v>1.780131E9</v>
      </c>
      <c r="J1115" s="1">
        <v>1.195308E9</v>
      </c>
      <c r="K1115" s="1">
        <v>1.195308E9</v>
      </c>
      <c r="L1115" s="1">
        <v>-5.2236E7</v>
      </c>
      <c r="M1115" s="1">
        <v>8.8867E7</v>
      </c>
      <c r="N1115" s="1">
        <v>3.847654E9</v>
      </c>
      <c r="O1115" s="1">
        <v>2.652346E9</v>
      </c>
      <c r="P1115" s="1">
        <v>2.067523E9</v>
      </c>
      <c r="Q1115" s="1">
        <v>-3.532E7</v>
      </c>
      <c r="R1115" s="1">
        <v>1.071121E9</v>
      </c>
      <c r="S1115" s="1">
        <v>1.071121E9</v>
      </c>
    </row>
    <row r="1116">
      <c r="A1116" s="1">
        <v>1114.0</v>
      </c>
      <c r="B1116" s="3">
        <v>44192.0</v>
      </c>
      <c r="C1116" s="1" t="s">
        <v>597</v>
      </c>
      <c r="D1116" s="1" t="s">
        <v>598</v>
      </c>
      <c r="E1116" s="1">
        <v>3.75172E8</v>
      </c>
      <c r="F1116" s="1">
        <v>9.79783E8</v>
      </c>
      <c r="G1116" s="1">
        <v>8.69229E8</v>
      </c>
      <c r="H1116" s="1">
        <v>2.18899E8</v>
      </c>
      <c r="I1116" s="1">
        <v>1.603795E9</v>
      </c>
      <c r="J1116" s="1">
        <v>1.009724E9</v>
      </c>
      <c r="K1116" s="1">
        <v>1.009724E9</v>
      </c>
      <c r="L1116" s="1">
        <v>-5.2551E7</v>
      </c>
      <c r="M1116" s="1">
        <v>1.10554E8</v>
      </c>
      <c r="N1116" s="1">
        <v>3.456237E9</v>
      </c>
      <c r="O1116" s="1">
        <v>2.446513E9</v>
      </c>
      <c r="P1116" s="1">
        <v>1.852442E9</v>
      </c>
      <c r="Q1116" s="1">
        <v>-2.9941E7</v>
      </c>
      <c r="R1116" s="1">
        <v>8.69229E8</v>
      </c>
      <c r="S1116" s="1">
        <v>8.69229E8</v>
      </c>
    </row>
    <row r="1117">
      <c r="A1117" s="1">
        <v>1115.0</v>
      </c>
      <c r="B1117" s="3">
        <v>44101.0</v>
      </c>
      <c r="C1117" s="1" t="s">
        <v>597</v>
      </c>
      <c r="D1117" s="1" t="s">
        <v>598</v>
      </c>
      <c r="E1117" s="1">
        <v>3.55367E8</v>
      </c>
      <c r="F1117" s="1">
        <v>9.22272E8</v>
      </c>
      <c r="G1117" s="1">
        <v>8.23451E8</v>
      </c>
      <c r="H1117" s="1">
        <v>1.89748E8</v>
      </c>
      <c r="I1117" s="1">
        <v>1.506179E9</v>
      </c>
      <c r="J1117" s="1">
        <v>9.61064E8</v>
      </c>
      <c r="K1117" s="1">
        <v>9.61064E8</v>
      </c>
      <c r="L1117" s="1">
        <v>-5.2115E7</v>
      </c>
      <c r="M1117" s="1">
        <v>9.8821E7</v>
      </c>
      <c r="N1117" s="1">
        <v>3.17708E9</v>
      </c>
      <c r="O1117" s="1">
        <v>2.216016E9</v>
      </c>
      <c r="P1117" s="1">
        <v>1.670901E9</v>
      </c>
      <c r="Q1117" s="1">
        <v>-3.8792E7</v>
      </c>
      <c r="R1117" s="1">
        <v>8.23451E8</v>
      </c>
      <c r="S1117" s="1">
        <v>8.23451E8</v>
      </c>
    </row>
    <row r="1118">
      <c r="A1118" s="1">
        <v>1116.0</v>
      </c>
      <c r="B1118" s="3">
        <v>44346.0</v>
      </c>
      <c r="C1118" s="1" t="s">
        <v>599</v>
      </c>
      <c r="D1118" s="1" t="s">
        <v>600</v>
      </c>
      <c r="E1118" s="1">
        <v>1.29E7</v>
      </c>
      <c r="F1118" s="1">
        <v>7.98E7</v>
      </c>
      <c r="G1118" s="1">
        <v>6.55E7</v>
      </c>
      <c r="H1118" s="1">
        <v>8.55E7</v>
      </c>
      <c r="I1118" s="1">
        <v>1.98E8</v>
      </c>
      <c r="J1118" s="1">
        <v>9.96E7</v>
      </c>
      <c r="K1118" s="1">
        <v>9.96E7</v>
      </c>
      <c r="L1118" s="1">
        <v>-2.87E7</v>
      </c>
      <c r="M1118" s="1">
        <v>1.43E7</v>
      </c>
      <c r="N1118" s="1">
        <v>1.0075E9</v>
      </c>
      <c r="O1118" s="1">
        <v>9.079E8</v>
      </c>
      <c r="P1118" s="1">
        <v>8.095E8</v>
      </c>
      <c r="Q1118" s="1">
        <v>-1.98E7</v>
      </c>
      <c r="R1118" s="1">
        <v>6.55E7</v>
      </c>
      <c r="S1118" s="1">
        <v>6.55E7</v>
      </c>
    </row>
    <row r="1119">
      <c r="A1119" s="1">
        <v>1117.0</v>
      </c>
      <c r="B1119" s="3">
        <v>44255.0</v>
      </c>
      <c r="C1119" s="1" t="s">
        <v>599</v>
      </c>
      <c r="D1119" s="1" t="s">
        <v>600</v>
      </c>
      <c r="E1119" s="1">
        <v>1.29E7</v>
      </c>
      <c r="F1119" s="1">
        <v>8.24E7</v>
      </c>
      <c r="G1119" s="1">
        <v>6.61E7</v>
      </c>
      <c r="H1119" s="1">
        <v>9.51E7</v>
      </c>
      <c r="I1119" s="1">
        <v>1.967E8</v>
      </c>
      <c r="J1119" s="1">
        <v>1.016E8</v>
      </c>
      <c r="K1119" s="1">
        <v>1.016E8</v>
      </c>
      <c r="L1119" s="1">
        <v>-2.93E7</v>
      </c>
      <c r="M1119" s="1">
        <v>1.63E7</v>
      </c>
      <c r="N1119" s="1">
        <v>8.958E8</v>
      </c>
      <c r="O1119" s="1">
        <v>7.942E8</v>
      </c>
      <c r="P1119" s="1">
        <v>6.991E8</v>
      </c>
      <c r="Q1119" s="1">
        <v>-1.92E7</v>
      </c>
      <c r="R1119" s="1">
        <v>6.61E7</v>
      </c>
      <c r="S1119" s="1">
        <v>6.61E7</v>
      </c>
    </row>
    <row r="1120">
      <c r="A1120" s="1">
        <v>1118.0</v>
      </c>
      <c r="B1120" s="3">
        <v>44164.0</v>
      </c>
      <c r="C1120" s="1" t="s">
        <v>599</v>
      </c>
      <c r="D1120" s="1" t="s">
        <v>600</v>
      </c>
      <c r="E1120" s="1">
        <v>1.29E7</v>
      </c>
      <c r="F1120" s="1">
        <v>1.288E8</v>
      </c>
      <c r="G1120" s="1">
        <v>9.69E7</v>
      </c>
      <c r="H1120" s="1">
        <v>7.89E7</v>
      </c>
      <c r="I1120" s="1">
        <v>2.235E8</v>
      </c>
      <c r="J1120" s="1">
        <v>1.446E8</v>
      </c>
      <c r="K1120" s="1">
        <v>1.446E8</v>
      </c>
      <c r="L1120" s="1">
        <v>-3.0E7</v>
      </c>
      <c r="M1120" s="1">
        <v>3.19E7</v>
      </c>
      <c r="N1120" s="1">
        <v>8.961E8</v>
      </c>
      <c r="O1120" s="1">
        <v>7.515E8</v>
      </c>
      <c r="P1120" s="1">
        <v>6.726E8</v>
      </c>
      <c r="Q1120" s="1">
        <v>-1.58E7</v>
      </c>
      <c r="R1120" s="1">
        <v>9.69E7</v>
      </c>
      <c r="S1120" s="1">
        <v>9.69E7</v>
      </c>
    </row>
    <row r="1121">
      <c r="A1121" s="1">
        <v>1119.0</v>
      </c>
      <c r="B1121" s="3">
        <v>44073.0</v>
      </c>
      <c r="C1121" s="1" t="s">
        <v>599</v>
      </c>
      <c r="D1121" s="1" t="s">
        <v>600</v>
      </c>
      <c r="E1121" s="1">
        <v>1.29E7</v>
      </c>
      <c r="F1121" s="1">
        <v>1.173E8</v>
      </c>
      <c r="G1121" s="1">
        <v>8.93E7</v>
      </c>
      <c r="H1121" s="1">
        <v>7.41E7</v>
      </c>
      <c r="I1121" s="1">
        <v>2.298E8</v>
      </c>
      <c r="J1121" s="1">
        <v>1.557E8</v>
      </c>
      <c r="K1121" s="1">
        <v>1.557E8</v>
      </c>
      <c r="L1121" s="1">
        <v>-3.03E7</v>
      </c>
      <c r="M1121" s="1">
        <v>2.8E7</v>
      </c>
      <c r="N1121" s="1">
        <v>8.715E8</v>
      </c>
      <c r="O1121" s="1">
        <v>7.158E8</v>
      </c>
      <c r="P1121" s="1">
        <v>6.417E8</v>
      </c>
      <c r="Q1121" s="1">
        <v>-3.84E7</v>
      </c>
      <c r="R1121" s="1">
        <v>8.93E7</v>
      </c>
      <c r="S1121" s="1">
        <v>8.93E7</v>
      </c>
    </row>
    <row r="1122">
      <c r="A1122" s="1">
        <v>1120.0</v>
      </c>
      <c r="B1122" s="3">
        <v>44286.0</v>
      </c>
      <c r="C1122" s="1" t="s">
        <v>601</v>
      </c>
      <c r="D1122" s="1" t="s">
        <v>602</v>
      </c>
      <c r="F1122" s="1">
        <v>-2.66E8</v>
      </c>
      <c r="G1122" s="1">
        <v>-2.78E8</v>
      </c>
      <c r="H1122" s="1">
        <v>2.97E8</v>
      </c>
      <c r="I1122" s="1">
        <v>4.68E8</v>
      </c>
      <c r="J1122" s="1">
        <v>-9.3E7</v>
      </c>
      <c r="K1122" s="1">
        <v>-9.3E7</v>
      </c>
      <c r="L1122" s="1">
        <v>-1.54E8</v>
      </c>
      <c r="M1122" s="1">
        <v>1.4E7</v>
      </c>
      <c r="N1122" s="1">
        <v>1.196E9</v>
      </c>
      <c r="O1122" s="1">
        <v>1.289E9</v>
      </c>
      <c r="P1122" s="1">
        <v>7.28E8</v>
      </c>
      <c r="Q1122" s="1">
        <v>-1.73E8</v>
      </c>
      <c r="R1122" s="1">
        <v>-2.8E8</v>
      </c>
      <c r="S1122" s="1">
        <v>-2.78E8</v>
      </c>
    </row>
    <row r="1123">
      <c r="A1123" s="1">
        <v>1121.0</v>
      </c>
      <c r="B1123" s="3">
        <v>44196.0</v>
      </c>
      <c r="C1123" s="1" t="s">
        <v>601</v>
      </c>
      <c r="D1123" s="1" t="s">
        <v>602</v>
      </c>
      <c r="F1123" s="1">
        <v>-3.68E8</v>
      </c>
      <c r="G1123" s="1">
        <v>-2.99E8</v>
      </c>
      <c r="H1123" s="1">
        <v>2.86E8</v>
      </c>
      <c r="I1123" s="1">
        <v>1.258E9</v>
      </c>
      <c r="J1123" s="1">
        <v>-1.99E8</v>
      </c>
      <c r="K1123" s="1">
        <v>-1.99E8</v>
      </c>
      <c r="L1123" s="1">
        <v>-1.5E8</v>
      </c>
      <c r="M1123" s="1">
        <v>8000000.0</v>
      </c>
      <c r="N1123" s="1">
        <v>1.146E9</v>
      </c>
      <c r="O1123" s="1">
        <v>1.345E9</v>
      </c>
      <c r="P1123" s="1">
        <v>-1.12E8</v>
      </c>
      <c r="Q1123" s="1">
        <v>-1.69E8</v>
      </c>
      <c r="R1123" s="1">
        <v>-3.76E8</v>
      </c>
      <c r="S1123" s="1">
        <v>-2.99E8</v>
      </c>
    </row>
    <row r="1124">
      <c r="A1124" s="1">
        <v>1122.0</v>
      </c>
      <c r="B1124" s="3">
        <v>44104.0</v>
      </c>
      <c r="C1124" s="1" t="s">
        <v>601</v>
      </c>
      <c r="D1124" s="1" t="s">
        <v>602</v>
      </c>
      <c r="F1124" s="1">
        <v>-7.48E8</v>
      </c>
      <c r="G1124" s="1">
        <v>-5.65E8</v>
      </c>
      <c r="H1124" s="1">
        <v>3.13E8</v>
      </c>
      <c r="I1124" s="1">
        <v>8.3E7</v>
      </c>
      <c r="J1124" s="1">
        <v>-5.52E8</v>
      </c>
      <c r="K1124" s="1">
        <v>-5.52E8</v>
      </c>
      <c r="L1124" s="1">
        <v>-1.37E8</v>
      </c>
      <c r="M1124" s="1">
        <v>-1.7E7</v>
      </c>
      <c r="N1124" s="1">
        <v>5.86E8</v>
      </c>
      <c r="O1124" s="1">
        <v>1.138E9</v>
      </c>
      <c r="P1124" s="1">
        <v>5.03E8</v>
      </c>
      <c r="Q1124" s="1">
        <v>-1.96E8</v>
      </c>
      <c r="R1124" s="1">
        <v>-7.31E8</v>
      </c>
      <c r="S1124" s="1">
        <v>-5.65E8</v>
      </c>
    </row>
    <row r="1125">
      <c r="A1125" s="1">
        <v>1123.0</v>
      </c>
      <c r="B1125" s="3">
        <v>44012.0</v>
      </c>
      <c r="C1125" s="1" t="s">
        <v>601</v>
      </c>
      <c r="D1125" s="1" t="s">
        <v>602</v>
      </c>
      <c r="F1125" s="1">
        <v>-1.039E9</v>
      </c>
      <c r="G1125" s="1">
        <v>-8.2E8</v>
      </c>
      <c r="H1125" s="1">
        <v>3.37E8</v>
      </c>
      <c r="I1125" s="1">
        <v>-2.74E8</v>
      </c>
      <c r="J1125" s="1">
        <v>-9.17E8</v>
      </c>
      <c r="K1125" s="1">
        <v>-9.17E8</v>
      </c>
      <c r="L1125" s="1">
        <v>-1.18E8</v>
      </c>
      <c r="M1125" s="1">
        <v>-5.4E7</v>
      </c>
      <c r="N1125" s="1">
        <v>9.8E7</v>
      </c>
      <c r="O1125" s="1">
        <v>1.015E9</v>
      </c>
      <c r="P1125" s="1">
        <v>3.72E8</v>
      </c>
      <c r="Q1125" s="1">
        <v>-1.22E8</v>
      </c>
      <c r="R1125" s="1">
        <v>-9.85E8</v>
      </c>
      <c r="S1125" s="1">
        <v>-8.2E8</v>
      </c>
    </row>
    <row r="1126">
      <c r="A1126" s="1">
        <v>1124.0</v>
      </c>
      <c r="B1126" s="3">
        <v>44286.0</v>
      </c>
      <c r="C1126" s="1" t="s">
        <v>603</v>
      </c>
      <c r="D1126" s="1" t="s">
        <v>604</v>
      </c>
      <c r="F1126" s="1">
        <v>1.093E8</v>
      </c>
      <c r="G1126" s="1">
        <v>8.75E7</v>
      </c>
      <c r="H1126" s="1">
        <v>1.06E8</v>
      </c>
      <c r="I1126" s="1">
        <v>2.475E8</v>
      </c>
      <c r="J1126" s="1">
        <v>1.257E8</v>
      </c>
      <c r="K1126" s="1">
        <v>1.257E8</v>
      </c>
      <c r="L1126" s="1">
        <v>-1.93E7</v>
      </c>
      <c r="M1126" s="1">
        <v>2.18E7</v>
      </c>
      <c r="N1126" s="1">
        <v>1.1509E9</v>
      </c>
      <c r="O1126" s="1">
        <v>1.0252E9</v>
      </c>
      <c r="P1126" s="1">
        <v>9.034E8</v>
      </c>
      <c r="Q1126" s="1">
        <v>-1.64E7</v>
      </c>
      <c r="R1126" s="1">
        <v>8.75E7</v>
      </c>
      <c r="S1126" s="1">
        <v>8.75E7</v>
      </c>
    </row>
    <row r="1127">
      <c r="A1127" s="1">
        <v>1125.0</v>
      </c>
      <c r="B1127" s="3">
        <v>44196.0</v>
      </c>
      <c r="C1127" s="1" t="s">
        <v>603</v>
      </c>
      <c r="D1127" s="1" t="s">
        <v>604</v>
      </c>
      <c r="F1127" s="1">
        <v>1.309E8</v>
      </c>
      <c r="G1127" s="1">
        <v>1.032E8</v>
      </c>
      <c r="H1127" s="1">
        <v>1.032E8</v>
      </c>
      <c r="I1127" s="1">
        <v>2.581E8</v>
      </c>
      <c r="J1127" s="1">
        <v>1.386E8</v>
      </c>
      <c r="K1127" s="1">
        <v>1.386E8</v>
      </c>
      <c r="L1127" s="1">
        <v>-1.95E7</v>
      </c>
      <c r="M1127" s="1">
        <v>2.77E7</v>
      </c>
      <c r="N1127" s="1">
        <v>1.182E9</v>
      </c>
      <c r="O1127" s="1">
        <v>1.0434E9</v>
      </c>
      <c r="P1127" s="1">
        <v>9.239E8</v>
      </c>
      <c r="Q1127" s="1">
        <v>-7700000.0</v>
      </c>
      <c r="R1127" s="1">
        <v>1.032E8</v>
      </c>
      <c r="S1127" s="1">
        <v>1.032E8</v>
      </c>
    </row>
    <row r="1128">
      <c r="A1128" s="1">
        <v>1126.0</v>
      </c>
      <c r="B1128" s="3">
        <v>44104.0</v>
      </c>
      <c r="C1128" s="1" t="s">
        <v>603</v>
      </c>
      <c r="D1128" s="1" t="s">
        <v>604</v>
      </c>
      <c r="F1128" s="1">
        <v>1.269E8</v>
      </c>
      <c r="G1128" s="1">
        <v>1.048E8</v>
      </c>
      <c r="H1128" s="1">
        <v>1.053E8</v>
      </c>
      <c r="I1128" s="1">
        <v>2.674E8</v>
      </c>
      <c r="J1128" s="1">
        <v>1.459E8</v>
      </c>
      <c r="K1128" s="1">
        <v>1.459E8</v>
      </c>
      <c r="L1128" s="1">
        <v>-2.09E7</v>
      </c>
      <c r="M1128" s="1">
        <v>2.2E7</v>
      </c>
      <c r="N1128" s="1">
        <v>1.2076E9</v>
      </c>
      <c r="O1128" s="1">
        <v>1.0617E9</v>
      </c>
      <c r="P1128" s="1">
        <v>9.402E8</v>
      </c>
      <c r="Q1128" s="1">
        <v>-1.9E7</v>
      </c>
      <c r="R1128" s="1">
        <v>1.049E8</v>
      </c>
      <c r="S1128" s="1">
        <v>1.048E8</v>
      </c>
    </row>
    <row r="1129">
      <c r="A1129" s="1">
        <v>1127.0</v>
      </c>
      <c r="B1129" s="3">
        <v>44012.0</v>
      </c>
      <c r="C1129" s="1" t="s">
        <v>603</v>
      </c>
      <c r="D1129" s="1" t="s">
        <v>604</v>
      </c>
      <c r="F1129" s="1">
        <v>2400000.0</v>
      </c>
      <c r="G1129" s="1">
        <v>-6100000.0</v>
      </c>
      <c r="H1129" s="1">
        <v>9.71E7</v>
      </c>
      <c r="I1129" s="1">
        <v>1.463E8</v>
      </c>
      <c r="J1129" s="1">
        <v>3.29E7</v>
      </c>
      <c r="K1129" s="1">
        <v>3.29E7</v>
      </c>
      <c r="L1129" s="1">
        <v>-2.14E7</v>
      </c>
      <c r="M1129" s="1">
        <v>8500000.0</v>
      </c>
      <c r="N1129" s="1">
        <v>8.451E8</v>
      </c>
      <c r="O1129" s="1">
        <v>8.122E8</v>
      </c>
      <c r="P1129" s="1">
        <v>6.988E8</v>
      </c>
      <c r="Q1129" s="1">
        <v>-3.05E7</v>
      </c>
      <c r="R1129" s="1">
        <v>-6100000.0</v>
      </c>
      <c r="S1129" s="1">
        <v>-6100000.0</v>
      </c>
    </row>
    <row r="1130">
      <c r="A1130" s="1">
        <v>1128.0</v>
      </c>
      <c r="B1130" s="3">
        <v>44379.0</v>
      </c>
      <c r="C1130" s="1" t="s">
        <v>605</v>
      </c>
      <c r="D1130" s="1" t="s">
        <v>606</v>
      </c>
      <c r="F1130" s="1">
        <v>2.23E8</v>
      </c>
      <c r="G1130" s="1">
        <v>1.69E8</v>
      </c>
      <c r="H1130" s="1">
        <v>2.24E8</v>
      </c>
      <c r="I1130" s="1">
        <v>4.98E8</v>
      </c>
      <c r="J1130" s="1">
        <v>2.75E8</v>
      </c>
      <c r="K1130" s="1">
        <v>2.75E8</v>
      </c>
      <c r="L1130" s="1">
        <v>-4.6E7</v>
      </c>
      <c r="M1130" s="1">
        <v>5.3E7</v>
      </c>
      <c r="N1130" s="1">
        <v>3.448E9</v>
      </c>
      <c r="O1130" s="1">
        <v>3.173E9</v>
      </c>
      <c r="P1130" s="1">
        <v>2.95E9</v>
      </c>
      <c r="Q1130" s="1">
        <v>-5.2E7</v>
      </c>
      <c r="R1130" s="1">
        <v>1.7E8</v>
      </c>
      <c r="S1130" s="1">
        <v>1.69E8</v>
      </c>
    </row>
    <row r="1131">
      <c r="A1131" s="1">
        <v>1129.0</v>
      </c>
      <c r="B1131" s="3">
        <v>44288.0</v>
      </c>
      <c r="C1131" s="1" t="s">
        <v>605</v>
      </c>
      <c r="D1131" s="1" t="s">
        <v>606</v>
      </c>
      <c r="F1131" s="1">
        <v>2.62E8</v>
      </c>
      <c r="G1131" s="1">
        <v>2.05E8</v>
      </c>
      <c r="H1131" s="1">
        <v>1.59E8</v>
      </c>
      <c r="I1131" s="1">
        <v>4.67E8</v>
      </c>
      <c r="J1131" s="1">
        <v>3.08E8</v>
      </c>
      <c r="K1131" s="1">
        <v>3.08E8</v>
      </c>
      <c r="L1131" s="1">
        <v>-4.5E7</v>
      </c>
      <c r="M1131" s="1">
        <v>5.7E7</v>
      </c>
      <c r="N1131" s="1">
        <v>3.315E9</v>
      </c>
      <c r="O1131" s="1">
        <v>3.007E9</v>
      </c>
      <c r="P1131" s="1">
        <v>2.848E9</v>
      </c>
      <c r="Q1131" s="1">
        <v>-4.6E7</v>
      </c>
      <c r="R1131" s="1">
        <v>2.05E8</v>
      </c>
      <c r="S1131" s="1">
        <v>2.05E8</v>
      </c>
    </row>
    <row r="1132">
      <c r="A1132" s="1">
        <v>1130.0</v>
      </c>
      <c r="B1132" s="3">
        <v>44197.0</v>
      </c>
      <c r="C1132" s="1" t="s">
        <v>605</v>
      </c>
      <c r="D1132" s="1" t="s">
        <v>606</v>
      </c>
      <c r="F1132" s="1">
        <v>2.45E8</v>
      </c>
      <c r="G1132" s="1">
        <v>1.97E8</v>
      </c>
      <c r="H1132" s="1">
        <v>1.87E8</v>
      </c>
      <c r="I1132" s="1">
        <v>4.91E8</v>
      </c>
      <c r="J1132" s="1">
        <v>3.02E8</v>
      </c>
      <c r="K1132" s="1">
        <v>3.02E8</v>
      </c>
      <c r="L1132" s="1">
        <v>-4.9E7</v>
      </c>
      <c r="M1132" s="1">
        <v>4.8E7</v>
      </c>
      <c r="N1132" s="1">
        <v>3.252E9</v>
      </c>
      <c r="O1132" s="1">
        <v>2.95E9</v>
      </c>
      <c r="P1132" s="1">
        <v>2.761E9</v>
      </c>
      <c r="Q1132" s="1">
        <v>-5.7E7</v>
      </c>
      <c r="R1132" s="1">
        <v>1.97E8</v>
      </c>
      <c r="S1132" s="1">
        <v>1.97E8</v>
      </c>
    </row>
    <row r="1133">
      <c r="A1133" s="1">
        <v>1131.0</v>
      </c>
      <c r="B1133" s="3">
        <v>44106.0</v>
      </c>
      <c r="C1133" s="1" t="s">
        <v>605</v>
      </c>
      <c r="D1133" s="1" t="s">
        <v>606</v>
      </c>
      <c r="F1133" s="1">
        <v>2.14E8</v>
      </c>
      <c r="G1133" s="1">
        <v>1.63E8</v>
      </c>
      <c r="H1133" s="1">
        <v>2.0E8</v>
      </c>
      <c r="I1133" s="1">
        <v>4.68E8</v>
      </c>
      <c r="J1133" s="1">
        <v>2.66E8</v>
      </c>
      <c r="K1133" s="1">
        <v>2.66E8</v>
      </c>
      <c r="L1133" s="1">
        <v>-4.4E7</v>
      </c>
      <c r="M1133" s="1">
        <v>5.1E7</v>
      </c>
      <c r="N1133" s="1">
        <v>3.242E9</v>
      </c>
      <c r="O1133" s="1">
        <v>2.976E9</v>
      </c>
      <c r="P1133" s="1">
        <v>2.774E9</v>
      </c>
      <c r="Q1133" s="1">
        <v>-5.2E7</v>
      </c>
      <c r="R1133" s="1">
        <v>1.63E8</v>
      </c>
      <c r="S1133" s="1">
        <v>1.63E8</v>
      </c>
    </row>
    <row r="1134">
      <c r="A1134" s="1">
        <v>1132.0</v>
      </c>
      <c r="B1134" s="3">
        <v>44347.0</v>
      </c>
      <c r="C1134" s="1" t="s">
        <v>607</v>
      </c>
      <c r="D1134" s="1" t="s">
        <v>608</v>
      </c>
      <c r="F1134" s="1">
        <v>1.096885E9</v>
      </c>
      <c r="G1134" s="1">
        <v>8.31363E8</v>
      </c>
      <c r="H1134" s="1">
        <v>5.45881E8</v>
      </c>
      <c r="I1134" s="1">
        <v>1.703804E9</v>
      </c>
      <c r="J1134" s="1">
        <v>1.035991E9</v>
      </c>
      <c r="K1134" s="1">
        <v>1.035991E9</v>
      </c>
      <c r="M1134" s="1">
        <v>2.60113E8</v>
      </c>
      <c r="N1134" s="1">
        <v>6.430245E9</v>
      </c>
      <c r="O1134" s="1">
        <v>5.394254E9</v>
      </c>
      <c r="P1134" s="1">
        <v>4.726441E9</v>
      </c>
      <c r="Q1134" s="1">
        <v>6.0894E7</v>
      </c>
      <c r="R1134" s="1">
        <v>8.36772E8</v>
      </c>
      <c r="S1134" s="1">
        <v>8.20279E8</v>
      </c>
    </row>
    <row r="1135">
      <c r="A1135" s="1">
        <v>1133.0</v>
      </c>
      <c r="B1135" s="3">
        <v>44255.0</v>
      </c>
      <c r="C1135" s="1" t="s">
        <v>607</v>
      </c>
      <c r="D1135" s="1" t="s">
        <v>608</v>
      </c>
      <c r="F1135" s="1">
        <v>1.327014E9</v>
      </c>
      <c r="G1135" s="1">
        <v>1.001369E9</v>
      </c>
      <c r="H1135" s="1">
        <v>5.20767E8</v>
      </c>
      <c r="I1135" s="1">
        <v>1.384255E9</v>
      </c>
      <c r="J1135" s="1">
        <v>8.76463E8</v>
      </c>
      <c r="K1135" s="1">
        <v>8.76463E8</v>
      </c>
      <c r="M1135" s="1">
        <v>3.10105E8</v>
      </c>
      <c r="N1135" s="1">
        <v>5.325468E9</v>
      </c>
      <c r="O1135" s="1">
        <v>4.449005E9</v>
      </c>
      <c r="P1135" s="1">
        <v>3.941213E9</v>
      </c>
      <c r="Q1135" s="1">
        <v>4.50551E8</v>
      </c>
      <c r="R1135" s="1">
        <v>1.016909E9</v>
      </c>
      <c r="S1135" s="1">
        <v>9.89115E8</v>
      </c>
    </row>
    <row r="1136">
      <c r="A1136" s="1">
        <v>1134.0</v>
      </c>
      <c r="B1136" s="3">
        <v>44165.0</v>
      </c>
      <c r="C1136" s="1" t="s">
        <v>607</v>
      </c>
      <c r="D1136" s="1" t="s">
        <v>608</v>
      </c>
      <c r="F1136" s="1">
        <v>1.164646E9</v>
      </c>
      <c r="G1136" s="1">
        <v>8.8276E8</v>
      </c>
      <c r="H1136" s="1">
        <v>5.70522E8</v>
      </c>
      <c r="I1136" s="1">
        <v>1.717361E9</v>
      </c>
      <c r="J1136" s="1">
        <v>1.156899E9</v>
      </c>
      <c r="K1136" s="1">
        <v>1.156899E9</v>
      </c>
      <c r="L1136" s="1">
        <v>-2.2401E7</v>
      </c>
      <c r="M1136" s="1">
        <v>2.73737E8</v>
      </c>
      <c r="N1136" s="1">
        <v>6.82589E9</v>
      </c>
      <c r="O1136" s="1">
        <v>5.668991E9</v>
      </c>
      <c r="P1136" s="1">
        <v>5.108529E9</v>
      </c>
      <c r="Q1136" s="1">
        <v>7747000.0</v>
      </c>
      <c r="R1136" s="1">
        <v>8.90909E8</v>
      </c>
      <c r="S1136" s="1">
        <v>8.72818E8</v>
      </c>
    </row>
    <row r="1137">
      <c r="A1137" s="1">
        <v>1135.0</v>
      </c>
      <c r="B1137" s="3">
        <v>44074.0</v>
      </c>
      <c r="C1137" s="1" t="s">
        <v>607</v>
      </c>
      <c r="D1137" s="1" t="s">
        <v>608</v>
      </c>
      <c r="F1137" s="1">
        <v>8.59013E8</v>
      </c>
      <c r="G1137" s="1">
        <v>6.66418E8</v>
      </c>
      <c r="H1137" s="1">
        <v>5.2861E8</v>
      </c>
      <c r="I1137" s="1">
        <v>1.410208E9</v>
      </c>
      <c r="J1137" s="1">
        <v>8.69165E8</v>
      </c>
      <c r="K1137" s="1">
        <v>8.69165E8</v>
      </c>
      <c r="L1137" s="1">
        <v>-2.2401E7</v>
      </c>
      <c r="M1137" s="1">
        <v>1.8969E8</v>
      </c>
      <c r="N1137" s="1">
        <v>5.870254E9</v>
      </c>
      <c r="O1137" s="1">
        <v>5.001089E9</v>
      </c>
      <c r="P1137" s="1">
        <v>4.460046E9</v>
      </c>
      <c r="Q1137" s="1">
        <v>-1.0152E7</v>
      </c>
      <c r="R1137" s="1">
        <v>6.69323E8</v>
      </c>
      <c r="S1137" s="1">
        <v>6.5862E8</v>
      </c>
    </row>
    <row r="1138">
      <c r="A1138" s="1">
        <v>1136.0</v>
      </c>
      <c r="B1138" s="3">
        <v>44377.0</v>
      </c>
      <c r="C1138" s="1" t="s">
        <v>609</v>
      </c>
      <c r="D1138" s="1" t="s">
        <v>610</v>
      </c>
      <c r="F1138" s="1">
        <v>7.72E8</v>
      </c>
      <c r="G1138" s="1">
        <v>6.42E8</v>
      </c>
      <c r="I1138" s="1">
        <v>8.58E8</v>
      </c>
      <c r="J1138" s="1">
        <v>8.58E8</v>
      </c>
      <c r="K1138" s="1">
        <v>8.58E8</v>
      </c>
      <c r="L1138" s="1">
        <v>-6.5E7</v>
      </c>
      <c r="M1138" s="1">
        <v>1.3E8</v>
      </c>
      <c r="N1138" s="1">
        <v>4.851E9</v>
      </c>
      <c r="O1138" s="1">
        <v>3.993E9</v>
      </c>
      <c r="P1138" s="1">
        <v>3.993E9</v>
      </c>
      <c r="Q1138" s="1">
        <v>-8.6E7</v>
      </c>
      <c r="R1138" s="1">
        <v>6.42E8</v>
      </c>
      <c r="S1138" s="1">
        <v>6.42E8</v>
      </c>
    </row>
    <row r="1139">
      <c r="A1139" s="1">
        <v>1137.0</v>
      </c>
      <c r="B1139" s="3">
        <v>44286.0</v>
      </c>
      <c r="C1139" s="1" t="s">
        <v>609</v>
      </c>
      <c r="D1139" s="1" t="s">
        <v>610</v>
      </c>
      <c r="F1139" s="1">
        <v>2.62E8</v>
      </c>
      <c r="G1139" s="1">
        <v>2.25E8</v>
      </c>
      <c r="I1139" s="1">
        <v>3.4E8</v>
      </c>
      <c r="J1139" s="1">
        <v>3.4E8</v>
      </c>
      <c r="K1139" s="1">
        <v>3.4E8</v>
      </c>
      <c r="L1139" s="1">
        <v>-6.5E7</v>
      </c>
      <c r="M1139" s="1">
        <v>3.7E7</v>
      </c>
      <c r="N1139" s="1">
        <v>4.534E9</v>
      </c>
      <c r="O1139" s="1">
        <v>4.194E9</v>
      </c>
      <c r="P1139" s="1">
        <v>4.194E9</v>
      </c>
      <c r="Q1139" s="1">
        <v>-7.8E7</v>
      </c>
      <c r="R1139" s="1">
        <v>2.25E8</v>
      </c>
      <c r="S1139" s="1">
        <v>2.25E8</v>
      </c>
    </row>
    <row r="1140">
      <c r="A1140" s="1">
        <v>1138.0</v>
      </c>
      <c r="B1140" s="3">
        <v>44196.0</v>
      </c>
      <c r="C1140" s="1" t="s">
        <v>609</v>
      </c>
      <c r="D1140" s="1" t="s">
        <v>610</v>
      </c>
      <c r="F1140" s="1">
        <v>8.9E7</v>
      </c>
      <c r="G1140" s="1">
        <v>1.43E8</v>
      </c>
      <c r="H1140" s="1">
        <v>2.565E9</v>
      </c>
      <c r="I1140" s="1">
        <v>3.215E9</v>
      </c>
      <c r="J1140" s="1">
        <v>1.98E8</v>
      </c>
      <c r="K1140" s="1">
        <v>1.98E8</v>
      </c>
      <c r="L1140" s="1">
        <v>-6.6E7</v>
      </c>
      <c r="M1140" s="1">
        <v>-5.4E7</v>
      </c>
      <c r="N1140" s="1">
        <v>4.136E9</v>
      </c>
      <c r="O1140" s="1">
        <v>3.938E9</v>
      </c>
      <c r="P1140" s="1">
        <v>9.21E8</v>
      </c>
      <c r="Q1140" s="1">
        <v>-1.09E8</v>
      </c>
      <c r="R1140" s="1">
        <v>1.43E8</v>
      </c>
      <c r="S1140" s="1">
        <v>1.43E8</v>
      </c>
    </row>
    <row r="1141">
      <c r="A1141" s="1">
        <v>1139.0</v>
      </c>
      <c r="B1141" s="3">
        <v>44104.0</v>
      </c>
      <c r="C1141" s="1" t="s">
        <v>609</v>
      </c>
      <c r="D1141" s="1" t="s">
        <v>610</v>
      </c>
      <c r="F1141" s="1">
        <v>4.6E8</v>
      </c>
      <c r="G1141" s="1">
        <v>3.98E8</v>
      </c>
      <c r="H1141" s="1">
        <v>2.565E9</v>
      </c>
      <c r="I1141" s="1">
        <v>5.46E8</v>
      </c>
      <c r="J1141" s="1">
        <v>5.46E8</v>
      </c>
      <c r="K1141" s="1">
        <v>5.46E8</v>
      </c>
      <c r="L1141" s="1">
        <v>-6.6E7</v>
      </c>
      <c r="M1141" s="1">
        <v>6.2E7</v>
      </c>
      <c r="N1141" s="1">
        <v>5.361E9</v>
      </c>
      <c r="O1141" s="1">
        <v>4.815E9</v>
      </c>
      <c r="P1141" s="1">
        <v>4.815E9</v>
      </c>
      <c r="Q1141" s="1">
        <v>-8.6E7</v>
      </c>
      <c r="R1141" s="1">
        <v>3.98E8</v>
      </c>
      <c r="S1141" s="1">
        <v>3.98E8</v>
      </c>
    </row>
    <row r="1142">
      <c r="A1142" s="1">
        <v>1140.0</v>
      </c>
      <c r="B1142" s="3">
        <v>44377.0</v>
      </c>
      <c r="C1142" s="1" t="s">
        <v>611</v>
      </c>
      <c r="D1142" s="1" t="s">
        <v>612</v>
      </c>
      <c r="E1142" s="1">
        <v>3.4E7</v>
      </c>
      <c r="F1142" s="1">
        <v>1.21E9</v>
      </c>
      <c r="G1142" s="1">
        <v>8.41E8</v>
      </c>
      <c r="H1142" s="1">
        <v>7.73E8</v>
      </c>
      <c r="I1142" s="1">
        <v>3.39E9</v>
      </c>
      <c r="J1142" s="1">
        <v>1.392E9</v>
      </c>
      <c r="K1142" s="1">
        <v>1.392E9</v>
      </c>
      <c r="L1142" s="1">
        <v>-1.8E7</v>
      </c>
      <c r="M1142" s="1">
        <v>3.34E8</v>
      </c>
      <c r="N1142" s="1">
        <v>7.584E9</v>
      </c>
      <c r="O1142" s="1">
        <v>6.192E9</v>
      </c>
      <c r="P1142" s="1">
        <v>4.194E9</v>
      </c>
      <c r="Q1142" s="1">
        <v>-1.82E8</v>
      </c>
      <c r="R1142" s="1">
        <v>8.76E8</v>
      </c>
      <c r="S1142" s="1">
        <v>8.41E8</v>
      </c>
    </row>
    <row r="1143">
      <c r="A1143" s="1">
        <v>1141.0</v>
      </c>
      <c r="B1143" s="3">
        <v>44286.0</v>
      </c>
      <c r="C1143" s="1" t="s">
        <v>611</v>
      </c>
      <c r="D1143" s="1" t="s">
        <v>612</v>
      </c>
      <c r="E1143" s="1">
        <v>3.5E7</v>
      </c>
      <c r="F1143" s="1">
        <v>1.285E9</v>
      </c>
      <c r="G1143" s="1">
        <v>9.8E8</v>
      </c>
      <c r="H1143" s="1">
        <v>7.38E8</v>
      </c>
      <c r="I1143" s="1">
        <v>3.189E9</v>
      </c>
      <c r="J1143" s="1">
        <v>1.25E9</v>
      </c>
      <c r="K1143" s="1">
        <v>1.25E9</v>
      </c>
      <c r="L1143" s="1">
        <v>-1.8E7</v>
      </c>
      <c r="M1143" s="1">
        <v>2.68E8</v>
      </c>
      <c r="N1143" s="1">
        <v>7.243E9</v>
      </c>
      <c r="O1143" s="1">
        <v>5.993E9</v>
      </c>
      <c r="P1143" s="1">
        <v>4.054E9</v>
      </c>
      <c r="Q1143" s="1">
        <v>3.5E7</v>
      </c>
      <c r="R1143" s="1">
        <v>1.017E9</v>
      </c>
      <c r="S1143" s="1">
        <v>9.8E8</v>
      </c>
    </row>
    <row r="1144">
      <c r="A1144" s="1">
        <v>1142.0</v>
      </c>
      <c r="B1144" s="3">
        <v>44196.0</v>
      </c>
      <c r="C1144" s="1" t="s">
        <v>611</v>
      </c>
      <c r="D1144" s="1" t="s">
        <v>612</v>
      </c>
      <c r="E1144" s="1">
        <v>3.8E7</v>
      </c>
      <c r="F1144" s="1">
        <v>1.056E9</v>
      </c>
      <c r="G1144" s="1">
        <v>7.7E8</v>
      </c>
      <c r="H1144" s="1">
        <v>7.56E8</v>
      </c>
      <c r="I1144" s="1">
        <v>3.186E9</v>
      </c>
      <c r="J1144" s="1">
        <v>1.206E9</v>
      </c>
      <c r="K1144" s="1">
        <v>1.206E9</v>
      </c>
      <c r="L1144" s="1">
        <v>-1.56E8</v>
      </c>
      <c r="M1144" s="1">
        <v>2.53E8</v>
      </c>
      <c r="N1144" s="1">
        <v>7.272E9</v>
      </c>
      <c r="O1144" s="1">
        <v>6.066E9</v>
      </c>
      <c r="P1144" s="1">
        <v>4.086E9</v>
      </c>
      <c r="Q1144" s="1">
        <v>-1.5E8</v>
      </c>
      <c r="R1144" s="1">
        <v>8.03E8</v>
      </c>
      <c r="S1144" s="1">
        <v>7.7E8</v>
      </c>
    </row>
    <row r="1145">
      <c r="A1145" s="1">
        <v>1143.0</v>
      </c>
      <c r="B1145" s="3">
        <v>44104.0</v>
      </c>
      <c r="C1145" s="1" t="s">
        <v>611</v>
      </c>
      <c r="D1145" s="1" t="s">
        <v>612</v>
      </c>
      <c r="E1145" s="1">
        <v>3.6E7</v>
      </c>
      <c r="F1145" s="1">
        <v>9.95E8</v>
      </c>
      <c r="G1145" s="1">
        <v>7.0E8</v>
      </c>
      <c r="H1145" s="1">
        <v>7.29E8</v>
      </c>
      <c r="I1145" s="1">
        <v>3.02E9</v>
      </c>
      <c r="J1145" s="1">
        <v>1.055E9</v>
      </c>
      <c r="K1145" s="1">
        <v>1.055E9</v>
      </c>
      <c r="L1145" s="1">
        <v>-3.8E7</v>
      </c>
      <c r="M1145" s="1">
        <v>2.65E8</v>
      </c>
      <c r="N1145" s="1">
        <v>6.855E9</v>
      </c>
      <c r="O1145" s="1">
        <v>5.8E9</v>
      </c>
      <c r="P1145" s="1">
        <v>3.835E9</v>
      </c>
      <c r="Q1145" s="1">
        <v>-6.0E7</v>
      </c>
      <c r="R1145" s="1">
        <v>7.3E8</v>
      </c>
      <c r="S1145" s="1">
        <v>7.0E8</v>
      </c>
    </row>
    <row r="1146">
      <c r="A1146" s="1">
        <v>1144.0</v>
      </c>
      <c r="B1146" s="3">
        <v>44377.0</v>
      </c>
      <c r="C1146" s="1" t="s">
        <v>613</v>
      </c>
      <c r="D1146" s="1" t="s">
        <v>614</v>
      </c>
      <c r="F1146" s="1">
        <v>-2.08175E8</v>
      </c>
      <c r="G1146" s="1">
        <v>-1.95665E8</v>
      </c>
      <c r="H1146" s="1">
        <v>3.56492E8</v>
      </c>
      <c r="I1146" s="1">
        <v>3.32826E8</v>
      </c>
      <c r="J1146" s="1">
        <v>-1.27313E8</v>
      </c>
      <c r="K1146" s="1">
        <v>-1.27313E8</v>
      </c>
      <c r="L1146" s="1">
        <v>-6.8909E7</v>
      </c>
      <c r="M1146" s="1">
        <v>2285000.0</v>
      </c>
      <c r="N1146" s="1">
        <v>5.75946E8</v>
      </c>
      <c r="O1146" s="1">
        <v>7.03259E8</v>
      </c>
      <c r="P1146" s="1">
        <v>2.4312E8</v>
      </c>
      <c r="Q1146" s="1">
        <v>-8.0862E7</v>
      </c>
      <c r="R1146" s="1">
        <v>-2.1046E8</v>
      </c>
      <c r="S1146" s="1">
        <v>-1.94714E8</v>
      </c>
    </row>
    <row r="1147">
      <c r="A1147" s="1">
        <v>1145.0</v>
      </c>
      <c r="B1147" s="3">
        <v>44286.0</v>
      </c>
      <c r="C1147" s="1" t="s">
        <v>613</v>
      </c>
      <c r="D1147" s="1" t="s">
        <v>614</v>
      </c>
      <c r="F1147" s="1">
        <v>-3.16333E8</v>
      </c>
      <c r="G1147" s="1">
        <v>-3.07193E8</v>
      </c>
      <c r="H1147" s="1">
        <v>3.50801E8</v>
      </c>
      <c r="I1147" s="1">
        <v>1.56643E8</v>
      </c>
      <c r="J1147" s="1">
        <v>-3.03034E8</v>
      </c>
      <c r="K1147" s="1">
        <v>-3.03034E8</v>
      </c>
      <c r="L1147" s="1">
        <v>-7.083E7</v>
      </c>
      <c r="M1147" s="1">
        <v>6389000.0</v>
      </c>
      <c r="N1147" s="1">
        <v>2.90609E8</v>
      </c>
      <c r="O1147" s="1">
        <v>5.93643E8</v>
      </c>
      <c r="P1147" s="1">
        <v>1.33966E8</v>
      </c>
      <c r="Q1147" s="1">
        <v>-1.3299E7</v>
      </c>
      <c r="R1147" s="1">
        <v>-3.22722E8</v>
      </c>
      <c r="S1147" s="1">
        <v>-3.08109E8</v>
      </c>
    </row>
    <row r="1148">
      <c r="A1148" s="1">
        <v>1146.0</v>
      </c>
      <c r="B1148" s="3">
        <v>44196.0</v>
      </c>
      <c r="C1148" s="1" t="s">
        <v>613</v>
      </c>
      <c r="D1148" s="1" t="s">
        <v>614</v>
      </c>
      <c r="F1148" s="1">
        <v>-4.43284E8</v>
      </c>
      <c r="G1148" s="1">
        <v>-4.43332E8</v>
      </c>
      <c r="H1148" s="1">
        <v>3.26725E8</v>
      </c>
      <c r="I1148" s="1">
        <v>3.4109E7</v>
      </c>
      <c r="J1148" s="1">
        <v>-4.0449E8</v>
      </c>
      <c r="K1148" s="1">
        <v>-4.0449E8</v>
      </c>
      <c r="L1148" s="1">
        <v>-6.4051E7</v>
      </c>
      <c r="M1148" s="1">
        <v>2.0542E7</v>
      </c>
      <c r="N1148" s="1">
        <v>2.37383E8</v>
      </c>
      <c r="O1148" s="1">
        <v>6.41873E8</v>
      </c>
      <c r="P1148" s="1">
        <v>2.03274E8</v>
      </c>
      <c r="Q1148" s="1">
        <v>-3.8794E7</v>
      </c>
      <c r="R1148" s="1">
        <v>-4.63826E8</v>
      </c>
      <c r="S1148" s="1">
        <v>-4.36197E8</v>
      </c>
    </row>
    <row r="1149">
      <c r="A1149" s="1">
        <v>1147.0</v>
      </c>
      <c r="B1149" s="3">
        <v>44104.0</v>
      </c>
      <c r="C1149" s="1" t="s">
        <v>613</v>
      </c>
      <c r="D1149" s="1" t="s">
        <v>614</v>
      </c>
      <c r="F1149" s="1">
        <v>-5.59362E8</v>
      </c>
      <c r="G1149" s="1">
        <v>-5.28902E8</v>
      </c>
      <c r="H1149" s="1">
        <v>4.37564E8</v>
      </c>
      <c r="I1149" s="1">
        <v>5.3269E7</v>
      </c>
      <c r="J1149" s="1">
        <v>-5.04233E8</v>
      </c>
      <c r="K1149" s="1">
        <v>-5.04233E8</v>
      </c>
      <c r="L1149" s="1">
        <v>-6.6093E7</v>
      </c>
      <c r="M1149" s="1">
        <v>-1.6904E7</v>
      </c>
      <c r="N1149" s="1">
        <v>1.84018E8</v>
      </c>
      <c r="O1149" s="1">
        <v>6.88251E8</v>
      </c>
      <c r="P1149" s="1">
        <v>1.30749E8</v>
      </c>
      <c r="Q1149" s="1">
        <v>-5.5129E7</v>
      </c>
      <c r="R1149" s="1">
        <v>-5.42458E8</v>
      </c>
      <c r="S1149" s="1">
        <v>-5.21912E8</v>
      </c>
    </row>
    <row r="1150">
      <c r="A1150" s="1">
        <v>1148.0</v>
      </c>
      <c r="B1150" s="3">
        <v>44286.0</v>
      </c>
      <c r="C1150" s="1" t="s">
        <v>615</v>
      </c>
      <c r="D1150" s="1" t="s">
        <v>616</v>
      </c>
      <c r="F1150" s="1">
        <v>3.59301E8</v>
      </c>
      <c r="G1150" s="1">
        <v>2.65913E8</v>
      </c>
      <c r="H1150" s="1">
        <v>8.57921E8</v>
      </c>
      <c r="I1150" s="1">
        <v>1.293551E9</v>
      </c>
      <c r="J1150" s="1">
        <v>3.69829E8</v>
      </c>
      <c r="K1150" s="1">
        <v>3.69829E8</v>
      </c>
      <c r="L1150" s="1">
        <v>-2.4718E7</v>
      </c>
      <c r="M1150" s="1">
        <v>9.2969E7</v>
      </c>
      <c r="N1150" s="1">
        <v>3.170786E9</v>
      </c>
      <c r="O1150" s="1">
        <v>2.800957E9</v>
      </c>
      <c r="P1150" s="1">
        <v>1.877235E9</v>
      </c>
      <c r="Q1150" s="1">
        <v>-1.0528E7</v>
      </c>
      <c r="R1150" s="1">
        <v>2.66332E8</v>
      </c>
      <c r="S1150" s="1">
        <v>2.65913E8</v>
      </c>
    </row>
    <row r="1151">
      <c r="A1151" s="1">
        <v>1149.0</v>
      </c>
      <c r="B1151" s="3">
        <v>44196.0</v>
      </c>
      <c r="C1151" s="1" t="s">
        <v>615</v>
      </c>
      <c r="D1151" s="1" t="s">
        <v>616</v>
      </c>
      <c r="F1151" s="1">
        <v>2.49899E8</v>
      </c>
      <c r="G1151" s="1">
        <v>1.81012E8</v>
      </c>
      <c r="H1151" s="1">
        <v>8.15386E8</v>
      </c>
      <c r="I1151" s="1">
        <v>1.170496E9</v>
      </c>
      <c r="J1151" s="1">
        <v>2.82715E8</v>
      </c>
      <c r="K1151" s="1">
        <v>2.82715E8</v>
      </c>
      <c r="L1151" s="1">
        <v>-1.9012E7</v>
      </c>
      <c r="M1151" s="1">
        <v>6.8708E7</v>
      </c>
      <c r="N1151" s="1">
        <v>2.953888E9</v>
      </c>
      <c r="O1151" s="1">
        <v>2.671173E9</v>
      </c>
      <c r="P1151" s="1">
        <v>1.783392E9</v>
      </c>
      <c r="Q1151" s="1">
        <v>-3.2816E7</v>
      </c>
      <c r="R1151" s="1">
        <v>1.81191E8</v>
      </c>
      <c r="S1151" s="1">
        <v>1.81012E8</v>
      </c>
    </row>
    <row r="1152">
      <c r="A1152" s="1">
        <v>1150.0</v>
      </c>
      <c r="B1152" s="3">
        <v>44104.0</v>
      </c>
      <c r="C1152" s="1" t="s">
        <v>615</v>
      </c>
      <c r="D1152" s="1" t="s">
        <v>616</v>
      </c>
      <c r="F1152" s="1">
        <v>2.72441E8</v>
      </c>
      <c r="G1152" s="1">
        <v>1.93483E8</v>
      </c>
      <c r="H1152" s="1">
        <v>8.17958E8</v>
      </c>
      <c r="I1152" s="1">
        <v>1.199375E9</v>
      </c>
      <c r="J1152" s="1">
        <v>3.12762E8</v>
      </c>
      <c r="K1152" s="1">
        <v>3.12762E8</v>
      </c>
      <c r="L1152" s="1">
        <v>-2.7878E7</v>
      </c>
      <c r="M1152" s="1">
        <v>7.851E7</v>
      </c>
      <c r="N1152" s="1">
        <v>3.047684E9</v>
      </c>
      <c r="O1152" s="1">
        <v>2.734922E9</v>
      </c>
      <c r="P1152" s="1">
        <v>1.848309E9</v>
      </c>
      <c r="Q1152" s="1">
        <v>-4.0321E7</v>
      </c>
      <c r="R1152" s="1">
        <v>1.93931E8</v>
      </c>
      <c r="S1152" s="1">
        <v>1.93483E8</v>
      </c>
    </row>
    <row r="1153">
      <c r="A1153" s="1">
        <v>1151.0</v>
      </c>
      <c r="B1153" s="3">
        <v>44012.0</v>
      </c>
      <c r="C1153" s="1" t="s">
        <v>615</v>
      </c>
      <c r="D1153" s="1" t="s">
        <v>616</v>
      </c>
      <c r="F1153" s="1">
        <v>1.60362E8</v>
      </c>
      <c r="G1153" s="1">
        <v>1.18792E8</v>
      </c>
      <c r="H1153" s="1">
        <v>7.40093E8</v>
      </c>
      <c r="I1153" s="1">
        <v>1.016669E9</v>
      </c>
      <c r="J1153" s="1">
        <v>2.10829E8</v>
      </c>
      <c r="K1153" s="1">
        <v>2.10829E8</v>
      </c>
      <c r="L1153" s="1">
        <v>-2.8412E7</v>
      </c>
      <c r="M1153" s="1">
        <v>4.1869E7</v>
      </c>
      <c r="N1153" s="1">
        <v>2.626323E9</v>
      </c>
      <c r="O1153" s="1">
        <v>2.415494E9</v>
      </c>
      <c r="P1153" s="1">
        <v>1.609654E9</v>
      </c>
      <c r="Q1153" s="1">
        <v>-5.0467E7</v>
      </c>
      <c r="R1153" s="1">
        <v>1.18493E8</v>
      </c>
      <c r="S1153" s="1">
        <v>1.18792E8</v>
      </c>
    </row>
    <row r="1154">
      <c r="A1154" s="1">
        <v>1152.0</v>
      </c>
      <c r="B1154" s="3">
        <v>44374.0</v>
      </c>
      <c r="C1154" s="1" t="s">
        <v>617</v>
      </c>
      <c r="D1154" s="1" t="s">
        <v>618</v>
      </c>
      <c r="F1154" s="1">
        <v>2.17E9</v>
      </c>
      <c r="G1154" s="1">
        <v>1.815E9</v>
      </c>
      <c r="H1154" s="1">
        <v>-1.07E8</v>
      </c>
      <c r="I1154" s="1">
        <v>2.151E9</v>
      </c>
      <c r="J1154" s="1">
        <v>2.254E9</v>
      </c>
      <c r="K1154" s="1">
        <v>2.254E9</v>
      </c>
      <c r="L1154" s="1">
        <v>-1.42E8</v>
      </c>
      <c r="M1154" s="1">
        <v>3.55E8</v>
      </c>
      <c r="N1154" s="1">
        <v>1.7029E10</v>
      </c>
      <c r="O1154" s="1">
        <v>1.4775E10</v>
      </c>
      <c r="P1154" s="1">
        <v>1.4878E10</v>
      </c>
      <c r="Q1154" s="1">
        <v>-8.4E7</v>
      </c>
      <c r="R1154" s="1">
        <v>1.815E9</v>
      </c>
      <c r="S1154" s="1">
        <v>1.815E9</v>
      </c>
    </row>
    <row r="1155">
      <c r="A1155" s="1">
        <v>1153.0</v>
      </c>
      <c r="B1155" s="3">
        <v>44283.0</v>
      </c>
      <c r="C1155" s="1" t="s">
        <v>617</v>
      </c>
      <c r="D1155" s="1" t="s">
        <v>618</v>
      </c>
      <c r="F1155" s="1">
        <v>2.211E9</v>
      </c>
      <c r="G1155" s="1">
        <v>1.837E9</v>
      </c>
      <c r="H1155" s="1">
        <v>-1.06E8</v>
      </c>
      <c r="I1155" s="1">
        <v>2.222E9</v>
      </c>
      <c r="J1155" s="1">
        <v>2.329E9</v>
      </c>
      <c r="K1155" s="1">
        <v>2.329E9</v>
      </c>
      <c r="L1155" s="1">
        <v>-1.4E8</v>
      </c>
      <c r="M1155" s="1">
        <v>3.74E8</v>
      </c>
      <c r="N1155" s="1">
        <v>1.6258E10</v>
      </c>
      <c r="O1155" s="1">
        <v>1.3929E10</v>
      </c>
      <c r="P1155" s="1">
        <v>1.4036E10</v>
      </c>
      <c r="Q1155" s="1">
        <v>-1.18E8</v>
      </c>
      <c r="R1155" s="1">
        <v>1.837E9</v>
      </c>
      <c r="S1155" s="1">
        <v>1.837E9</v>
      </c>
    </row>
    <row r="1156">
      <c r="A1156" s="1">
        <v>1154.0</v>
      </c>
      <c r="B1156" s="3">
        <v>44196.0</v>
      </c>
      <c r="C1156" s="1" t="s">
        <v>617</v>
      </c>
      <c r="D1156" s="1" t="s">
        <v>618</v>
      </c>
      <c r="F1156" s="1">
        <v>2.187E9</v>
      </c>
      <c r="G1156" s="1">
        <v>1.792E9</v>
      </c>
      <c r="H1156" s="1">
        <v>-6.0E7</v>
      </c>
      <c r="I1156" s="1">
        <v>2.241E9</v>
      </c>
      <c r="J1156" s="1">
        <v>2.258E9</v>
      </c>
      <c r="K1156" s="1">
        <v>2.258E9</v>
      </c>
      <c r="L1156" s="1">
        <v>-1.49E8</v>
      </c>
      <c r="M1156" s="1">
        <v>3.95E8</v>
      </c>
      <c r="N1156" s="1">
        <v>1.7032E10</v>
      </c>
      <c r="O1156" s="1">
        <v>1.4774E10</v>
      </c>
      <c r="P1156" s="1">
        <v>1.4791E10</v>
      </c>
      <c r="Q1156" s="1">
        <v>-7.1E7</v>
      </c>
      <c r="R1156" s="1">
        <v>1.792E9</v>
      </c>
      <c r="S1156" s="1">
        <v>1.792E9</v>
      </c>
    </row>
    <row r="1157">
      <c r="A1157" s="1">
        <v>1155.0</v>
      </c>
      <c r="B1157" s="3">
        <v>44101.0</v>
      </c>
      <c r="C1157" s="1" t="s">
        <v>617</v>
      </c>
      <c r="D1157" s="1" t="s">
        <v>618</v>
      </c>
      <c r="F1157" s="1">
        <v>2.056E9</v>
      </c>
      <c r="G1157" s="1">
        <v>1.698E9</v>
      </c>
      <c r="H1157" s="1">
        <v>-5.9E7</v>
      </c>
      <c r="I1157" s="1">
        <v>2.136E9</v>
      </c>
      <c r="J1157" s="1">
        <v>2.201E9</v>
      </c>
      <c r="K1157" s="1">
        <v>2.201E9</v>
      </c>
      <c r="L1157" s="1">
        <v>-1.45E8</v>
      </c>
      <c r="M1157" s="1">
        <v>3.03E8</v>
      </c>
      <c r="N1157" s="1">
        <v>1.6495E10</v>
      </c>
      <c r="O1157" s="1">
        <v>1.4294E10</v>
      </c>
      <c r="P1157" s="1">
        <v>1.4359E10</v>
      </c>
      <c r="Q1157" s="1">
        <v>-1.45E8</v>
      </c>
      <c r="R1157" s="1">
        <v>1.753E9</v>
      </c>
      <c r="S1157" s="1">
        <v>1.698E9</v>
      </c>
    </row>
    <row r="1158">
      <c r="A1158" s="1">
        <v>1156.0</v>
      </c>
      <c r="B1158" s="3">
        <v>44377.0</v>
      </c>
      <c r="C1158" s="1" t="s">
        <v>619</v>
      </c>
      <c r="D1158" s="1" t="s">
        <v>620</v>
      </c>
      <c r="F1158" s="1">
        <v>1.012E9</v>
      </c>
      <c r="G1158" s="1">
        <v>7.54E8</v>
      </c>
      <c r="H1158" s="1">
        <v>6.56E8</v>
      </c>
      <c r="I1158" s="1">
        <v>1.768E9</v>
      </c>
      <c r="J1158" s="1">
        <v>1.112E9</v>
      </c>
      <c r="K1158" s="1">
        <v>1.112E9</v>
      </c>
      <c r="L1158" s="1">
        <v>-1.0E8</v>
      </c>
      <c r="M1158" s="1">
        <v>2.19E8</v>
      </c>
      <c r="N1158" s="1">
        <v>4.003E9</v>
      </c>
      <c r="O1158" s="1">
        <v>2.891E9</v>
      </c>
      <c r="P1158" s="1">
        <v>2.235E9</v>
      </c>
      <c r="Q1158" s="1">
        <v>-1.0E8</v>
      </c>
      <c r="R1158" s="1">
        <v>7.93E8</v>
      </c>
      <c r="S1158" s="1">
        <v>7.54E8</v>
      </c>
    </row>
    <row r="1159">
      <c r="A1159" s="1">
        <v>1157.0</v>
      </c>
      <c r="B1159" s="3">
        <v>44286.0</v>
      </c>
      <c r="C1159" s="1" t="s">
        <v>619</v>
      </c>
      <c r="D1159" s="1" t="s">
        <v>620</v>
      </c>
      <c r="F1159" s="1">
        <v>4.07E8</v>
      </c>
      <c r="G1159" s="1">
        <v>2.61E8</v>
      </c>
      <c r="H1159" s="1">
        <v>9.14E8</v>
      </c>
      <c r="I1159" s="1">
        <v>1.446E9</v>
      </c>
      <c r="J1159" s="1">
        <v>5.32E8</v>
      </c>
      <c r="K1159" s="1">
        <v>5.32E8</v>
      </c>
      <c r="L1159" s="1">
        <v>-1.25E8</v>
      </c>
      <c r="M1159" s="1">
        <v>1.14E8</v>
      </c>
      <c r="N1159" s="1">
        <v>3.622E9</v>
      </c>
      <c r="O1159" s="1">
        <v>3.09E9</v>
      </c>
      <c r="P1159" s="1">
        <v>2.176E9</v>
      </c>
      <c r="Q1159" s="1">
        <v>-1.25E8</v>
      </c>
      <c r="R1159" s="1">
        <v>2.93E8</v>
      </c>
      <c r="S1159" s="1">
        <v>2.61E8</v>
      </c>
    </row>
    <row r="1160">
      <c r="A1160" s="1">
        <v>1158.0</v>
      </c>
      <c r="B1160" s="3">
        <v>44196.0</v>
      </c>
      <c r="C1160" s="1" t="s">
        <v>619</v>
      </c>
      <c r="D1160" s="1" t="s">
        <v>620</v>
      </c>
      <c r="F1160" s="1">
        <v>5.48E8</v>
      </c>
      <c r="G1160" s="1">
        <v>3.97E8</v>
      </c>
      <c r="H1160" s="1">
        <v>8.93E8</v>
      </c>
      <c r="I1160" s="1">
        <v>1.524E9</v>
      </c>
      <c r="J1160" s="1">
        <v>6.31E8</v>
      </c>
      <c r="K1160" s="1">
        <v>6.31E8</v>
      </c>
      <c r="L1160" s="1">
        <v>-1.11E8</v>
      </c>
      <c r="M1160" s="1">
        <v>1.11E8</v>
      </c>
      <c r="N1160" s="1">
        <v>3.675E9</v>
      </c>
      <c r="O1160" s="1">
        <v>3.044E9</v>
      </c>
      <c r="P1160" s="1">
        <v>2.151E9</v>
      </c>
      <c r="Q1160" s="1">
        <v>-8.3E7</v>
      </c>
      <c r="R1160" s="1">
        <v>4.37E8</v>
      </c>
      <c r="S1160" s="1">
        <v>3.97E8</v>
      </c>
    </row>
    <row r="1161">
      <c r="A1161" s="1">
        <v>1159.0</v>
      </c>
      <c r="B1161" s="3">
        <v>44104.0</v>
      </c>
      <c r="C1161" s="1" t="s">
        <v>619</v>
      </c>
      <c r="D1161" s="1" t="s">
        <v>620</v>
      </c>
      <c r="F1161" s="1">
        <v>1.83E8</v>
      </c>
      <c r="G1161" s="1">
        <v>1.39E8</v>
      </c>
      <c r="H1161" s="1">
        <v>8.66E8</v>
      </c>
      <c r="I1161" s="1">
        <v>1.196E9</v>
      </c>
      <c r="J1161" s="1">
        <v>3.3E8</v>
      </c>
      <c r="K1161" s="1">
        <v>3.3E8</v>
      </c>
      <c r="L1161" s="1">
        <v>-1.37E8</v>
      </c>
      <c r="M1161" s="1">
        <v>2.1E7</v>
      </c>
      <c r="N1161" s="1">
        <v>3.465E9</v>
      </c>
      <c r="O1161" s="1">
        <v>3.135E9</v>
      </c>
      <c r="P1161" s="1">
        <v>2.269E9</v>
      </c>
      <c r="Q1161" s="1">
        <v>-1.47E8</v>
      </c>
      <c r="R1161" s="1">
        <v>1.62E8</v>
      </c>
      <c r="S1161" s="1">
        <v>1.39E8</v>
      </c>
    </row>
    <row r="1162">
      <c r="A1162" s="1">
        <v>1160.0</v>
      </c>
      <c r="B1162" s="3">
        <v>44407.0</v>
      </c>
      <c r="C1162" s="1" t="s">
        <v>621</v>
      </c>
      <c r="D1162" s="1" t="s">
        <v>622</v>
      </c>
      <c r="F1162" s="1">
        <v>3.994E9</v>
      </c>
      <c r="G1162" s="1">
        <v>3.018E9</v>
      </c>
      <c r="H1162" s="1">
        <v>4.666E9</v>
      </c>
      <c r="I1162" s="1">
        <v>9.312E9</v>
      </c>
      <c r="J1162" s="1">
        <v>4.237E9</v>
      </c>
      <c r="K1162" s="1">
        <v>4.237E9</v>
      </c>
      <c r="L1162" s="1">
        <v>-2.2E8</v>
      </c>
      <c r="M1162" s="1">
        <v>9.76E8</v>
      </c>
      <c r="N1162" s="1">
        <v>2.757E10</v>
      </c>
      <c r="O1162" s="1">
        <v>2.3333E10</v>
      </c>
      <c r="P1162" s="1">
        <v>1.8258E10</v>
      </c>
      <c r="Q1162" s="1">
        <v>-2.43E8</v>
      </c>
      <c r="R1162" s="1">
        <v>3.018E9</v>
      </c>
      <c r="S1162" s="1">
        <v>3.007E9</v>
      </c>
    </row>
    <row r="1163">
      <c r="A1163" s="1">
        <v>1161.0</v>
      </c>
      <c r="B1163" s="3">
        <v>44316.0</v>
      </c>
      <c r="C1163" s="1" t="s">
        <v>621</v>
      </c>
      <c r="D1163" s="1" t="s">
        <v>622</v>
      </c>
      <c r="F1163" s="1">
        <v>3.034E9</v>
      </c>
      <c r="G1163" s="1">
        <v>2.321E9</v>
      </c>
      <c r="H1163" s="1">
        <v>4.494E9</v>
      </c>
      <c r="I1163" s="1">
        <v>8.13E9</v>
      </c>
      <c r="J1163" s="1">
        <v>3.245E9</v>
      </c>
      <c r="K1163" s="1">
        <v>3.245E9</v>
      </c>
      <c r="L1163" s="1">
        <v>-2.14E8</v>
      </c>
      <c r="M1163" s="1">
        <v>7.13E8</v>
      </c>
      <c r="N1163" s="1">
        <v>2.4422E10</v>
      </c>
      <c r="O1163" s="1">
        <v>2.1177E10</v>
      </c>
      <c r="P1163" s="1">
        <v>1.6292E10</v>
      </c>
      <c r="Q1163" s="1">
        <v>-2.11E8</v>
      </c>
      <c r="R1163" s="1">
        <v>2.321E9</v>
      </c>
      <c r="S1163" s="1">
        <v>2.312E9</v>
      </c>
    </row>
    <row r="1164">
      <c r="A1164" s="1">
        <v>1162.0</v>
      </c>
      <c r="B1164" s="3">
        <v>44225.0</v>
      </c>
      <c r="C1164" s="1" t="s">
        <v>621</v>
      </c>
      <c r="D1164" s="1" t="s">
        <v>622</v>
      </c>
      <c r="F1164" s="1">
        <v>1.32E9</v>
      </c>
      <c r="G1164" s="1">
        <v>9.78E8</v>
      </c>
      <c r="H1164" s="1">
        <v>3.307E9</v>
      </c>
      <c r="I1164" s="1">
        <v>6.466E9</v>
      </c>
      <c r="J1164" s="1">
        <v>2.769E9</v>
      </c>
      <c r="K1164" s="1">
        <v>2.769E9</v>
      </c>
      <c r="L1164" s="1">
        <v>-2.1E8</v>
      </c>
      <c r="M1164" s="1">
        <v>3.42E8</v>
      </c>
      <c r="N1164" s="1">
        <v>2.0311E10</v>
      </c>
      <c r="O1164" s="1">
        <v>1.7542E10</v>
      </c>
      <c r="P1164" s="1">
        <v>1.3845E10</v>
      </c>
      <c r="Q1164" s="1">
        <v>-1.449E9</v>
      </c>
      <c r="R1164" s="1">
        <v>9.78E8</v>
      </c>
      <c r="S1164" s="1">
        <v>9.74E8</v>
      </c>
    </row>
    <row r="1165">
      <c r="A1165" s="1">
        <v>1163.0</v>
      </c>
      <c r="B1165" s="3">
        <v>44134.0</v>
      </c>
      <c r="C1165" s="1" t="s">
        <v>621</v>
      </c>
      <c r="D1165" s="1" t="s">
        <v>622</v>
      </c>
      <c r="F1165" s="1">
        <v>8.94E8</v>
      </c>
      <c r="G1165" s="1">
        <v>6.92E8</v>
      </c>
      <c r="H1165" s="1">
        <v>4.77E9</v>
      </c>
      <c r="I1165" s="1">
        <v>7.3E9</v>
      </c>
      <c r="J1165" s="1">
        <v>2.175E9</v>
      </c>
      <c r="K1165" s="1">
        <v>2.175E9</v>
      </c>
      <c r="L1165" s="1">
        <v>-2.27E8</v>
      </c>
      <c r="M1165" s="1">
        <v>2.02E8</v>
      </c>
      <c r="N1165" s="1">
        <v>2.2309E10</v>
      </c>
      <c r="O1165" s="1">
        <v>2.0134E10</v>
      </c>
      <c r="P1165" s="1">
        <v>1.5009E10</v>
      </c>
      <c r="Q1165" s="1">
        <v>-1.281E9</v>
      </c>
      <c r="R1165" s="1">
        <v>6.92E8</v>
      </c>
      <c r="S1165" s="1">
        <v>6.89E8</v>
      </c>
    </row>
    <row r="1166">
      <c r="A1166" s="1">
        <v>1164.0</v>
      </c>
      <c r="B1166" s="3">
        <v>44377.0</v>
      </c>
      <c r="C1166" s="1" t="s">
        <v>623</v>
      </c>
      <c r="D1166" s="1" t="s">
        <v>624</v>
      </c>
      <c r="F1166" s="1">
        <v>6.74E8</v>
      </c>
      <c r="G1166" s="1">
        <v>5.06E8</v>
      </c>
      <c r="H1166" s="1">
        <v>7.35E8</v>
      </c>
      <c r="I1166" s="1">
        <v>2.809E9</v>
      </c>
      <c r="J1166" s="1">
        <v>1.043E9</v>
      </c>
      <c r="K1166" s="1">
        <v>1.043E9</v>
      </c>
      <c r="L1166" s="1">
        <v>-3.84E8</v>
      </c>
      <c r="M1166" s="1">
        <v>1.68E8</v>
      </c>
      <c r="N1166" s="1">
        <v>4.924E9</v>
      </c>
      <c r="O1166" s="1">
        <v>3.881E9</v>
      </c>
      <c r="P1166" s="1">
        <v>2.115E9</v>
      </c>
      <c r="Q1166" s="1">
        <v>-3.69E8</v>
      </c>
      <c r="R1166" s="1">
        <v>5.06E8</v>
      </c>
      <c r="S1166" s="1">
        <v>5.06E8</v>
      </c>
    </row>
    <row r="1167">
      <c r="A1167" s="1">
        <v>1165.0</v>
      </c>
      <c r="B1167" s="3">
        <v>44286.0</v>
      </c>
      <c r="C1167" s="1" t="s">
        <v>623</v>
      </c>
      <c r="D1167" s="1" t="s">
        <v>624</v>
      </c>
      <c r="F1167" s="1">
        <v>6.32E8</v>
      </c>
      <c r="G1167" s="1">
        <v>4.75E8</v>
      </c>
      <c r="H1167" s="1">
        <v>7.32E8</v>
      </c>
      <c r="I1167" s="1">
        <v>2.893E9</v>
      </c>
      <c r="J1167" s="1">
        <v>1.011E9</v>
      </c>
      <c r="K1167" s="1">
        <v>1.011E9</v>
      </c>
      <c r="L1167" s="1">
        <v>-3.89E8</v>
      </c>
      <c r="M1167" s="1">
        <v>1.57E8</v>
      </c>
      <c r="N1167" s="1">
        <v>5.029E9</v>
      </c>
      <c r="O1167" s="1">
        <v>4.018E9</v>
      </c>
      <c r="P1167" s="1">
        <v>2.136E9</v>
      </c>
      <c r="Q1167" s="1">
        <v>-3.79E8</v>
      </c>
      <c r="R1167" s="1">
        <v>4.75E8</v>
      </c>
      <c r="S1167" s="1">
        <v>4.75E8</v>
      </c>
    </row>
    <row r="1168">
      <c r="A1168" s="1">
        <v>1166.0</v>
      </c>
      <c r="B1168" s="3">
        <v>44196.0</v>
      </c>
      <c r="C1168" s="1" t="s">
        <v>623</v>
      </c>
      <c r="D1168" s="1" t="s">
        <v>624</v>
      </c>
      <c r="F1168" s="1">
        <v>-2.208E9</v>
      </c>
      <c r="G1168" s="1">
        <v>-2.289E9</v>
      </c>
      <c r="H1168" s="1">
        <v>7.13E8</v>
      </c>
      <c r="I1168" s="1">
        <v>2.894E9</v>
      </c>
      <c r="J1168" s="1">
        <v>9.86E8</v>
      </c>
      <c r="K1168" s="1">
        <v>9.86E8</v>
      </c>
      <c r="L1168" s="1">
        <v>-3.96E8</v>
      </c>
      <c r="M1168" s="1">
        <v>8.1E7</v>
      </c>
      <c r="N1168" s="1">
        <v>5.125E9</v>
      </c>
      <c r="O1168" s="1">
        <v>4.139E9</v>
      </c>
      <c r="P1168" s="1">
        <v>2.231E9</v>
      </c>
      <c r="Q1168" s="1">
        <v>-3.194E9</v>
      </c>
      <c r="R1168" s="1">
        <v>-2.289E9</v>
      </c>
      <c r="S1168" s="1">
        <v>-2.289E9</v>
      </c>
    </row>
    <row r="1169">
      <c r="A1169" s="1">
        <v>1167.0</v>
      </c>
      <c r="B1169" s="3">
        <v>44104.0</v>
      </c>
      <c r="C1169" s="1" t="s">
        <v>623</v>
      </c>
      <c r="D1169" s="1" t="s">
        <v>624</v>
      </c>
      <c r="F1169" s="1">
        <v>4.8E8</v>
      </c>
      <c r="G1169" s="1">
        <v>3.66E8</v>
      </c>
      <c r="H1169" s="1">
        <v>8.52E8</v>
      </c>
      <c r="I1169" s="1">
        <v>2.931E9</v>
      </c>
      <c r="J1169" s="1">
        <v>8.86E8</v>
      </c>
      <c r="K1169" s="1">
        <v>8.86E8</v>
      </c>
      <c r="L1169" s="1">
        <v>-4.09E8</v>
      </c>
      <c r="M1169" s="1">
        <v>1.14E8</v>
      </c>
      <c r="N1169" s="1">
        <v>5.167E9</v>
      </c>
      <c r="O1169" s="1">
        <v>4.281E9</v>
      </c>
      <c r="P1169" s="1">
        <v>2.236E9</v>
      </c>
      <c r="Q1169" s="1">
        <v>-4.06E8</v>
      </c>
      <c r="R1169" s="1">
        <v>3.66E8</v>
      </c>
      <c r="S1169" s="1">
        <v>3.66E8</v>
      </c>
    </row>
    <row r="1170">
      <c r="A1170" s="1">
        <v>1168.0</v>
      </c>
      <c r="B1170" s="3">
        <v>44469.0</v>
      </c>
      <c r="C1170" s="1" t="s">
        <v>625</v>
      </c>
      <c r="D1170" s="1" t="s">
        <v>626</v>
      </c>
      <c r="E1170" s="1">
        <v>3.0E7</v>
      </c>
      <c r="F1170" s="1">
        <v>2.213E9</v>
      </c>
      <c r="G1170" s="1">
        <v>1.76E9</v>
      </c>
      <c r="H1170" s="1">
        <v>3.27E8</v>
      </c>
      <c r="I1170" s="1">
        <v>2.591E9</v>
      </c>
      <c r="J1170" s="1">
        <v>2.234E9</v>
      </c>
      <c r="K1170" s="1">
        <v>2.234E9</v>
      </c>
      <c r="L1170" s="1">
        <v>-1.28E8</v>
      </c>
      <c r="M1170" s="1">
        <v>4.52E8</v>
      </c>
      <c r="N1170" s="1">
        <v>1.27E10</v>
      </c>
      <c r="O1170" s="1">
        <v>1.0466E10</v>
      </c>
      <c r="P1170" s="1">
        <v>1.0109E10</v>
      </c>
      <c r="Q1170" s="1">
        <v>-2.1E7</v>
      </c>
      <c r="R1170" s="1">
        <v>1.761E9</v>
      </c>
      <c r="S1170" s="1">
        <v>1.756E9</v>
      </c>
    </row>
    <row r="1171">
      <c r="A1171" s="1">
        <v>1169.0</v>
      </c>
      <c r="B1171" s="3">
        <v>44377.0</v>
      </c>
      <c r="C1171" s="1" t="s">
        <v>625</v>
      </c>
      <c r="D1171" s="1" t="s">
        <v>626</v>
      </c>
      <c r="E1171" s="1">
        <v>3.2E7</v>
      </c>
      <c r="F1171" s="1">
        <v>2.562E9</v>
      </c>
      <c r="G1171" s="1">
        <v>2.058E9</v>
      </c>
      <c r="H1171" s="1">
        <v>3.4E8</v>
      </c>
      <c r="I1171" s="1">
        <v>2.885E9</v>
      </c>
      <c r="J1171" s="1">
        <v>2.513E9</v>
      </c>
      <c r="K1171" s="1">
        <v>2.513E9</v>
      </c>
      <c r="L1171" s="1">
        <v>-1.31E8</v>
      </c>
      <c r="M1171" s="1">
        <v>5.06E8</v>
      </c>
      <c r="N1171" s="1">
        <v>1.1561E10</v>
      </c>
      <c r="O1171" s="1">
        <v>9.048E9</v>
      </c>
      <c r="P1171" s="1">
        <v>8.676E9</v>
      </c>
      <c r="Q1171" s="1">
        <v>4.9E7</v>
      </c>
      <c r="R1171" s="1">
        <v>2.056E9</v>
      </c>
      <c r="S1171" s="1">
        <v>2.052E9</v>
      </c>
    </row>
    <row r="1172">
      <c r="A1172" s="1">
        <v>1170.0</v>
      </c>
      <c r="B1172" s="3">
        <v>44286.0</v>
      </c>
      <c r="C1172" s="1" t="s">
        <v>625</v>
      </c>
      <c r="D1172" s="1" t="s">
        <v>626</v>
      </c>
      <c r="E1172" s="1">
        <v>2.9E7</v>
      </c>
      <c r="F1172" s="1">
        <v>1.14E9</v>
      </c>
      <c r="G1172" s="1">
        <v>1.068E9</v>
      </c>
      <c r="H1172" s="1">
        <v>3.02E8</v>
      </c>
      <c r="I1172" s="1">
        <v>1.404E9</v>
      </c>
      <c r="J1172" s="1">
        <v>1.073E9</v>
      </c>
      <c r="K1172" s="1">
        <v>1.073E9</v>
      </c>
      <c r="L1172" s="1">
        <v>-1.12E8</v>
      </c>
      <c r="M1172" s="1">
        <v>7.0E7</v>
      </c>
      <c r="N1172" s="1">
        <v>9.082E9</v>
      </c>
      <c r="O1172" s="1">
        <v>8.009E9</v>
      </c>
      <c r="P1172" s="1">
        <v>7.678E9</v>
      </c>
      <c r="Q1172" s="1">
        <v>6.7E7</v>
      </c>
      <c r="R1172" s="1">
        <v>1.07E9</v>
      </c>
      <c r="S1172" s="1">
        <v>1.066E9</v>
      </c>
    </row>
    <row r="1173">
      <c r="A1173" s="1">
        <v>1171.0</v>
      </c>
      <c r="B1173" s="3">
        <v>44196.0</v>
      </c>
      <c r="C1173" s="1" t="s">
        <v>625</v>
      </c>
      <c r="D1173" s="1" t="s">
        <v>626</v>
      </c>
      <c r="E1173" s="1">
        <v>3.4E7</v>
      </c>
      <c r="F1173" s="1">
        <v>8.94E8</v>
      </c>
      <c r="G1173" s="1">
        <v>8.53E8</v>
      </c>
      <c r="H1173" s="1">
        <v>2.98E8</v>
      </c>
      <c r="I1173" s="1">
        <v>1.225E9</v>
      </c>
      <c r="J1173" s="1">
        <v>8.93E8</v>
      </c>
      <c r="K1173" s="1">
        <v>8.93E8</v>
      </c>
      <c r="L1173" s="1">
        <v>-1.9E8</v>
      </c>
      <c r="M1173" s="1">
        <v>3.9E7</v>
      </c>
      <c r="N1173" s="1">
        <v>7.937E9</v>
      </c>
      <c r="O1173" s="1">
        <v>7.044E9</v>
      </c>
      <c r="P1173" s="1">
        <v>6.712E9</v>
      </c>
      <c r="Q1173" s="1">
        <v>1000000.0</v>
      </c>
      <c r="R1173" s="1">
        <v>8.55E8</v>
      </c>
      <c r="S1173" s="1">
        <v>8.53E8</v>
      </c>
    </row>
    <row r="1174">
      <c r="A1174" s="1">
        <v>1172.0</v>
      </c>
      <c r="B1174" s="3">
        <v>44377.0</v>
      </c>
      <c r="C1174" s="1" t="s">
        <v>627</v>
      </c>
      <c r="D1174" s="1" t="s">
        <v>628</v>
      </c>
      <c r="F1174" s="1">
        <v>6.05628E8</v>
      </c>
      <c r="G1174" s="1">
        <v>4.58069E8</v>
      </c>
      <c r="H1174" s="1">
        <v>6.5665E8</v>
      </c>
      <c r="I1174" s="1">
        <v>1.470973E9</v>
      </c>
      <c r="J1174" s="1">
        <v>0.0</v>
      </c>
      <c r="K1174" s="1">
        <v>6.30134E8</v>
      </c>
      <c r="M1174" s="1">
        <v>1.47559E8</v>
      </c>
      <c r="N1174" s="1">
        <v>1.470973E9</v>
      </c>
      <c r="O1174" s="1">
        <v>8.40839E8</v>
      </c>
      <c r="P1174" s="1">
        <v>0.0</v>
      </c>
      <c r="Q1174" s="1">
        <v>-2.4506E7</v>
      </c>
      <c r="R1174" s="1">
        <v>4.58069E8</v>
      </c>
      <c r="S1174" s="1">
        <v>4.38756E8</v>
      </c>
    </row>
    <row r="1175">
      <c r="A1175" s="1">
        <v>1173.0</v>
      </c>
      <c r="B1175" s="3">
        <v>44286.0</v>
      </c>
      <c r="C1175" s="1" t="s">
        <v>627</v>
      </c>
      <c r="D1175" s="1" t="s">
        <v>628</v>
      </c>
      <c r="F1175" s="1">
        <v>5.92549E8</v>
      </c>
      <c r="G1175" s="1">
        <v>4.47249E8</v>
      </c>
      <c r="H1175" s="1">
        <v>7.13245E8</v>
      </c>
      <c r="I1175" s="1">
        <v>1.511993E9</v>
      </c>
      <c r="J1175" s="1">
        <v>0.0</v>
      </c>
      <c r="K1175" s="1">
        <v>6.09475E8</v>
      </c>
      <c r="M1175" s="1">
        <v>1.453E8</v>
      </c>
      <c r="N1175" s="1">
        <v>1.511993E9</v>
      </c>
      <c r="O1175" s="1">
        <v>9.02518E8</v>
      </c>
      <c r="P1175" s="1">
        <v>0.0</v>
      </c>
      <c r="Q1175" s="1">
        <v>-1.6926E7</v>
      </c>
      <c r="R1175" s="1">
        <v>4.47249E8</v>
      </c>
      <c r="S1175" s="1">
        <v>4.28091E8</v>
      </c>
    </row>
    <row r="1176">
      <c r="A1176" s="1">
        <v>1174.0</v>
      </c>
      <c r="B1176" s="3">
        <v>44196.0</v>
      </c>
      <c r="C1176" s="1" t="s">
        <v>627</v>
      </c>
      <c r="D1176" s="1" t="s">
        <v>628</v>
      </c>
      <c r="F1176" s="1">
        <v>6.20522E8</v>
      </c>
      <c r="G1176" s="1">
        <v>4.7114E8</v>
      </c>
      <c r="H1176" s="1">
        <v>6.54539E8</v>
      </c>
      <c r="I1176" s="1">
        <v>1.46553E9</v>
      </c>
      <c r="J1176" s="1">
        <v>0.0</v>
      </c>
      <c r="K1176" s="1">
        <v>6.38855E8</v>
      </c>
      <c r="M1176" s="1">
        <v>1.49382E8</v>
      </c>
      <c r="N1176" s="1">
        <v>1.46553E9</v>
      </c>
      <c r="O1176" s="1">
        <v>8.26675E8</v>
      </c>
      <c r="P1176" s="1">
        <v>0.0</v>
      </c>
      <c r="Q1176" s="1">
        <v>-1.8333E7</v>
      </c>
      <c r="R1176" s="1">
        <v>4.7114E8</v>
      </c>
      <c r="S1176" s="1">
        <v>4.51863E8</v>
      </c>
    </row>
    <row r="1177">
      <c r="A1177" s="1">
        <v>1175.0</v>
      </c>
      <c r="B1177" s="3">
        <v>44104.0</v>
      </c>
      <c r="C1177" s="1" t="s">
        <v>627</v>
      </c>
      <c r="D1177" s="1" t="s">
        <v>628</v>
      </c>
      <c r="F1177" s="1">
        <v>4.86882E8</v>
      </c>
      <c r="G1177" s="1">
        <v>3.72136E8</v>
      </c>
      <c r="H1177" s="1">
        <v>6.45914E8</v>
      </c>
      <c r="I1177" s="1">
        <v>1.313656E9</v>
      </c>
      <c r="J1177" s="1">
        <v>0.0</v>
      </c>
      <c r="K1177" s="1">
        <v>5.02917E8</v>
      </c>
      <c r="M1177" s="1">
        <v>1.14746E8</v>
      </c>
      <c r="N1177" s="1">
        <v>1.313656E9</v>
      </c>
      <c r="O1177" s="1">
        <v>8.10739E8</v>
      </c>
      <c r="P1177" s="1">
        <v>0.0</v>
      </c>
      <c r="Q1177" s="1">
        <v>-1.6035E7</v>
      </c>
      <c r="R1177" s="1">
        <v>3.72136E8</v>
      </c>
      <c r="S1177" s="1">
        <v>3.53399E8</v>
      </c>
    </row>
    <row r="1178">
      <c r="A1178" s="1">
        <v>1176.0</v>
      </c>
      <c r="B1178" s="3">
        <v>44377.0</v>
      </c>
      <c r="C1178" s="1" t="s">
        <v>629</v>
      </c>
      <c r="D1178" s="1" t="s">
        <v>630</v>
      </c>
      <c r="F1178" s="1">
        <v>2.6E7</v>
      </c>
      <c r="G1178" s="1">
        <v>1.6E7</v>
      </c>
      <c r="H1178" s="1">
        <v>6.9E7</v>
      </c>
      <c r="I1178" s="1">
        <v>9.66E8</v>
      </c>
      <c r="J1178" s="1">
        <v>5.4E7</v>
      </c>
      <c r="K1178" s="1">
        <v>5.4E7</v>
      </c>
      <c r="L1178" s="1">
        <v>-5.9E7</v>
      </c>
      <c r="M1178" s="1">
        <v>1.0E7</v>
      </c>
      <c r="N1178" s="1">
        <v>1.259E9</v>
      </c>
      <c r="O1178" s="1">
        <v>1.205E9</v>
      </c>
      <c r="P1178" s="1">
        <v>2.93E8</v>
      </c>
      <c r="Q1178" s="1">
        <v>-2.8E7</v>
      </c>
      <c r="R1178" s="1">
        <v>1.6E7</v>
      </c>
      <c r="S1178" s="1">
        <v>1.6E7</v>
      </c>
    </row>
    <row r="1179">
      <c r="A1179" s="1">
        <v>1177.0</v>
      </c>
      <c r="B1179" s="3">
        <v>44286.0</v>
      </c>
      <c r="C1179" s="1" t="s">
        <v>629</v>
      </c>
      <c r="D1179" s="1" t="s">
        <v>630</v>
      </c>
      <c r="F1179" s="1">
        <v>1.07E8</v>
      </c>
      <c r="G1179" s="1">
        <v>9.7E7</v>
      </c>
      <c r="H1179" s="1">
        <v>7.5E7</v>
      </c>
      <c r="I1179" s="1">
        <v>9.07E8</v>
      </c>
      <c r="J1179" s="1">
        <v>8.7E7</v>
      </c>
      <c r="K1179" s="1">
        <v>8.7E7</v>
      </c>
      <c r="L1179" s="1">
        <v>-1.3E7</v>
      </c>
      <c r="M1179" s="1">
        <v>1.0E7</v>
      </c>
      <c r="N1179" s="1">
        <v>1.18E9</v>
      </c>
      <c r="O1179" s="1">
        <v>1.093E9</v>
      </c>
      <c r="P1179" s="1">
        <v>2.73E8</v>
      </c>
      <c r="Q1179" s="1">
        <v>2.0E7</v>
      </c>
      <c r="R1179" s="1">
        <v>9.7E7</v>
      </c>
      <c r="S1179" s="1">
        <v>9.7E7</v>
      </c>
    </row>
    <row r="1180">
      <c r="A1180" s="1">
        <v>1178.0</v>
      </c>
      <c r="B1180" s="3">
        <v>44196.0</v>
      </c>
      <c r="C1180" s="1" t="s">
        <v>629</v>
      </c>
      <c r="D1180" s="1" t="s">
        <v>630</v>
      </c>
      <c r="F1180" s="1">
        <v>-3.41E8</v>
      </c>
      <c r="G1180" s="1">
        <v>-3.38E8</v>
      </c>
      <c r="H1180" s="1">
        <v>5.7E7</v>
      </c>
      <c r="I1180" s="1">
        <v>5.3E8</v>
      </c>
      <c r="J1180" s="1">
        <v>-2.15E8</v>
      </c>
      <c r="K1180" s="1">
        <v>-2.15E8</v>
      </c>
      <c r="L1180" s="1">
        <v>-7.2E7</v>
      </c>
      <c r="M1180" s="1">
        <v>-3000000.0</v>
      </c>
      <c r="N1180" s="1">
        <v>8.31E8</v>
      </c>
      <c r="O1180" s="1">
        <v>1.046E9</v>
      </c>
      <c r="P1180" s="1">
        <v>3.01E8</v>
      </c>
      <c r="Q1180" s="1">
        <v>-1.26E8</v>
      </c>
      <c r="R1180" s="1">
        <v>-3.38E8</v>
      </c>
      <c r="S1180" s="1">
        <v>-3.38E8</v>
      </c>
    </row>
    <row r="1181">
      <c r="A1181" s="1">
        <v>1179.0</v>
      </c>
      <c r="B1181" s="3">
        <v>44104.0</v>
      </c>
      <c r="C1181" s="1" t="s">
        <v>629</v>
      </c>
      <c r="D1181" s="1" t="s">
        <v>630</v>
      </c>
      <c r="F1181" s="1">
        <v>-3.1E8</v>
      </c>
      <c r="G1181" s="1">
        <v>-3.17E8</v>
      </c>
      <c r="H1181" s="1">
        <v>5.9E7</v>
      </c>
      <c r="I1181" s="1">
        <v>4.52E8</v>
      </c>
      <c r="J1181" s="1">
        <v>-2.39E8</v>
      </c>
      <c r="K1181" s="1">
        <v>-2.39E8</v>
      </c>
      <c r="L1181" s="1">
        <v>-6.2E7</v>
      </c>
      <c r="M1181" s="1">
        <v>7000000.0</v>
      </c>
      <c r="N1181" s="1">
        <v>7.64E8</v>
      </c>
      <c r="O1181" s="1">
        <v>1.003E9</v>
      </c>
      <c r="P1181" s="1">
        <v>3.12E8</v>
      </c>
      <c r="Q1181" s="1">
        <v>-7.1E7</v>
      </c>
      <c r="R1181" s="1">
        <v>-3.17E8</v>
      </c>
      <c r="S1181" s="1">
        <v>-3.17E8</v>
      </c>
    </row>
    <row r="1182">
      <c r="A1182" s="1">
        <v>1180.0</v>
      </c>
      <c r="B1182" s="3">
        <v>44377.0</v>
      </c>
      <c r="C1182" s="1" t="s">
        <v>631</v>
      </c>
      <c r="D1182" s="1" t="s">
        <v>632</v>
      </c>
      <c r="F1182" s="1">
        <v>5.93E8</v>
      </c>
      <c r="G1182" s="1">
        <v>8.512E9</v>
      </c>
      <c r="H1182" s="1">
        <v>6.81E8</v>
      </c>
      <c r="I1182" s="1">
        <v>2.557E9</v>
      </c>
      <c r="J1182" s="1">
        <v>8.16E8</v>
      </c>
      <c r="K1182" s="1">
        <v>8.16E8</v>
      </c>
      <c r="L1182" s="1">
        <v>-3.18E8</v>
      </c>
      <c r="M1182" s="1">
        <v>5000000.0</v>
      </c>
      <c r="N1182" s="1">
        <v>2.9734E10</v>
      </c>
      <c r="O1182" s="1">
        <v>2.8918E10</v>
      </c>
      <c r="P1182" s="1">
        <v>2.7177E10</v>
      </c>
      <c r="Q1182" s="1">
        <v>-2.23E8</v>
      </c>
      <c r="R1182" s="1">
        <v>5.88E8</v>
      </c>
      <c r="S1182" s="1">
        <v>8.512E9</v>
      </c>
    </row>
    <row r="1183">
      <c r="A1183" s="1">
        <v>1181.0</v>
      </c>
      <c r="B1183" s="3">
        <v>44286.0</v>
      </c>
      <c r="C1183" s="1" t="s">
        <v>631</v>
      </c>
      <c r="D1183" s="1" t="s">
        <v>632</v>
      </c>
      <c r="F1183" s="1">
        <v>-1.36E8</v>
      </c>
      <c r="G1183" s="1">
        <v>-2.42E8</v>
      </c>
      <c r="H1183" s="1">
        <v>5.75E8</v>
      </c>
      <c r="I1183" s="1">
        <v>1.704E9</v>
      </c>
      <c r="J1183" s="1">
        <v>1.23E8</v>
      </c>
      <c r="K1183" s="1">
        <v>1.23E8</v>
      </c>
      <c r="L1183" s="1">
        <v>-3.34E8</v>
      </c>
      <c r="M1183" s="1">
        <v>3.4E7</v>
      </c>
      <c r="N1183" s="1">
        <v>2.2788E10</v>
      </c>
      <c r="O1183" s="1">
        <v>2.2665E10</v>
      </c>
      <c r="P1183" s="1">
        <v>2.1084E10</v>
      </c>
      <c r="Q1183" s="1">
        <v>-2.59E8</v>
      </c>
      <c r="R1183" s="1">
        <v>-1.7E8</v>
      </c>
      <c r="S1183" s="1">
        <v>-2.42E8</v>
      </c>
    </row>
    <row r="1184">
      <c r="A1184" s="1">
        <v>1182.0</v>
      </c>
      <c r="B1184" s="3">
        <v>44196.0</v>
      </c>
      <c r="C1184" s="1" t="s">
        <v>631</v>
      </c>
      <c r="D1184" s="1" t="s">
        <v>632</v>
      </c>
      <c r="F1184" s="1">
        <v>5.7E7</v>
      </c>
      <c r="G1184" s="1">
        <v>2.85E8</v>
      </c>
      <c r="H1184" s="1">
        <v>6.39E8</v>
      </c>
      <c r="I1184" s="1">
        <v>1.989E9</v>
      </c>
      <c r="J1184" s="1">
        <v>3.8E8</v>
      </c>
      <c r="K1184" s="1">
        <v>3.8E8</v>
      </c>
      <c r="L1184" s="1">
        <v>-3.34E8</v>
      </c>
      <c r="M1184" s="1">
        <v>-1.93E8</v>
      </c>
      <c r="N1184" s="1">
        <v>1.802E10</v>
      </c>
      <c r="O1184" s="1">
        <v>1.764E10</v>
      </c>
      <c r="P1184" s="1">
        <v>1.6031E10</v>
      </c>
      <c r="Q1184" s="1">
        <v>-3.23E8</v>
      </c>
      <c r="R1184" s="1">
        <v>2.5E8</v>
      </c>
      <c r="S1184" s="1">
        <v>2.84E8</v>
      </c>
    </row>
    <row r="1185">
      <c r="A1185" s="1">
        <v>1183.0</v>
      </c>
      <c r="B1185" s="3">
        <v>44104.0</v>
      </c>
      <c r="C1185" s="1" t="s">
        <v>631</v>
      </c>
      <c r="D1185" s="1" t="s">
        <v>632</v>
      </c>
      <c r="F1185" s="1">
        <v>-1.416E9</v>
      </c>
      <c r="G1185" s="1">
        <v>-8.86E8</v>
      </c>
      <c r="H1185" s="1">
        <v>6.79E8</v>
      </c>
      <c r="I1185" s="1">
        <v>1.287E9</v>
      </c>
      <c r="J1185" s="1">
        <v>-4.0E8</v>
      </c>
      <c r="K1185" s="1">
        <v>-4.0E8</v>
      </c>
      <c r="L1185" s="1">
        <v>-3.44E8</v>
      </c>
      <c r="M1185" s="1">
        <v>-4.36E8</v>
      </c>
      <c r="N1185" s="1">
        <v>1.743E10</v>
      </c>
      <c r="O1185" s="1">
        <v>1.783E10</v>
      </c>
      <c r="P1185" s="1">
        <v>1.6143E10</v>
      </c>
      <c r="Q1185" s="1">
        <v>-1.016E9</v>
      </c>
      <c r="R1185" s="1">
        <v>-9.8E8</v>
      </c>
      <c r="S1185" s="1">
        <v>-8.86E8</v>
      </c>
    </row>
    <row r="1186">
      <c r="A1186" s="1">
        <v>1184.0</v>
      </c>
      <c r="B1186" s="3">
        <v>44377.0</v>
      </c>
      <c r="C1186" s="1" t="s">
        <v>633</v>
      </c>
      <c r="D1186" s="1" t="s">
        <v>634</v>
      </c>
      <c r="F1186" s="1">
        <v>8.6053E7</v>
      </c>
      <c r="G1186" s="1">
        <v>6.7288E7</v>
      </c>
      <c r="H1186" s="1">
        <v>2.4784E7</v>
      </c>
      <c r="I1186" s="1">
        <v>1.25058E8</v>
      </c>
      <c r="J1186" s="1">
        <v>8.7177E7</v>
      </c>
      <c r="K1186" s="1">
        <v>8.7177E7</v>
      </c>
      <c r="L1186" s="1">
        <v>-171000.0</v>
      </c>
      <c r="M1186" s="1">
        <v>1.8765E7</v>
      </c>
      <c r="N1186" s="1">
        <v>1.76334E8</v>
      </c>
      <c r="O1186" s="1">
        <v>8.9157E7</v>
      </c>
      <c r="P1186" s="1">
        <v>5.1276E7</v>
      </c>
      <c r="Q1186" s="1">
        <v>-1124000.0</v>
      </c>
      <c r="R1186" s="1">
        <v>6.7288E7</v>
      </c>
      <c r="S1186" s="1">
        <v>6.7288E7</v>
      </c>
    </row>
    <row r="1187">
      <c r="A1187" s="1">
        <v>1185.0</v>
      </c>
      <c r="B1187" s="3">
        <v>44286.0</v>
      </c>
      <c r="C1187" s="1" t="s">
        <v>633</v>
      </c>
      <c r="D1187" s="1" t="s">
        <v>634</v>
      </c>
      <c r="F1187" s="1">
        <v>1.01801E8</v>
      </c>
      <c r="G1187" s="1">
        <v>8.0457E7</v>
      </c>
      <c r="H1187" s="1">
        <v>2.2082E7</v>
      </c>
      <c r="I1187" s="1">
        <v>1.3734E8</v>
      </c>
      <c r="J1187" s="1">
        <v>1.03479E8</v>
      </c>
      <c r="K1187" s="1">
        <v>1.03479E8</v>
      </c>
      <c r="L1187" s="1">
        <v>-191000.0</v>
      </c>
      <c r="M1187" s="1">
        <v>2.1344E7</v>
      </c>
      <c r="N1187" s="1">
        <v>1.95464E8</v>
      </c>
      <c r="O1187" s="1">
        <v>9.1985E7</v>
      </c>
      <c r="P1187" s="1">
        <v>5.8124E7</v>
      </c>
      <c r="Q1187" s="1">
        <v>-1678000.0</v>
      </c>
      <c r="R1187" s="1">
        <v>8.0457E7</v>
      </c>
      <c r="S1187" s="1">
        <v>8.0457E7</v>
      </c>
    </row>
    <row r="1188">
      <c r="A1188" s="1">
        <v>1186.0</v>
      </c>
      <c r="B1188" s="3">
        <v>44196.0</v>
      </c>
      <c r="C1188" s="1" t="s">
        <v>633</v>
      </c>
      <c r="D1188" s="1" t="s">
        <v>634</v>
      </c>
      <c r="F1188" s="1">
        <v>9.0289E7</v>
      </c>
      <c r="G1188" s="1">
        <v>7.2931E7</v>
      </c>
      <c r="H1188" s="1">
        <v>2.2543E7</v>
      </c>
      <c r="I1188" s="1">
        <v>1.25952E8</v>
      </c>
      <c r="J1188" s="1">
        <v>9.2817E7</v>
      </c>
      <c r="K1188" s="1">
        <v>9.2817E7</v>
      </c>
      <c r="L1188" s="1">
        <v>-96000.0</v>
      </c>
      <c r="M1188" s="1">
        <v>1.7358E7</v>
      </c>
      <c r="N1188" s="1">
        <v>1.71346E8</v>
      </c>
      <c r="O1188" s="1">
        <v>7.8529E7</v>
      </c>
      <c r="P1188" s="1">
        <v>4.5394E7</v>
      </c>
      <c r="Q1188" s="1">
        <v>-2528000.0</v>
      </c>
      <c r="R1188" s="1">
        <v>7.2931E7</v>
      </c>
      <c r="S1188" s="1">
        <v>7.2931E7</v>
      </c>
    </row>
    <row r="1189">
      <c r="A1189" s="1">
        <v>1187.0</v>
      </c>
      <c r="B1189" s="3">
        <v>44104.0</v>
      </c>
      <c r="C1189" s="1" t="s">
        <v>633</v>
      </c>
      <c r="D1189" s="1" t="s">
        <v>634</v>
      </c>
      <c r="F1189" s="1">
        <v>8.7965E7</v>
      </c>
      <c r="G1189" s="1">
        <v>6.7776E7</v>
      </c>
      <c r="H1189" s="1">
        <v>2.1171E7</v>
      </c>
      <c r="I1189" s="1">
        <v>1.18006E8</v>
      </c>
      <c r="J1189" s="1">
        <v>8.7803E7</v>
      </c>
      <c r="K1189" s="1">
        <v>8.7803E7</v>
      </c>
      <c r="L1189" s="1">
        <v>-1046000.0</v>
      </c>
      <c r="M1189" s="1">
        <v>2.0189E7</v>
      </c>
      <c r="N1189" s="1">
        <v>1.64006E8</v>
      </c>
      <c r="O1189" s="1">
        <v>7.6203E7</v>
      </c>
      <c r="P1189" s="1">
        <v>4.6E7</v>
      </c>
      <c r="Q1189" s="1">
        <v>162000.0</v>
      </c>
      <c r="R1189" s="1">
        <v>6.7776E7</v>
      </c>
      <c r="S1189" s="1">
        <v>6.7776E7</v>
      </c>
    </row>
    <row r="1190">
      <c r="A1190" s="1">
        <v>1188.0</v>
      </c>
      <c r="B1190" s="3">
        <v>44286.0</v>
      </c>
      <c r="C1190" s="1" t="s">
        <v>635</v>
      </c>
      <c r="D1190" s="1" t="s">
        <v>636</v>
      </c>
      <c r="F1190" s="1">
        <v>-2.7E7</v>
      </c>
      <c r="G1190" s="1">
        <v>-1.1E7</v>
      </c>
      <c r="H1190" s="1">
        <v>2.11E8</v>
      </c>
      <c r="I1190" s="1">
        <v>4.01E8</v>
      </c>
      <c r="J1190" s="1">
        <v>8.5E7</v>
      </c>
      <c r="K1190" s="1">
        <v>8.5E7</v>
      </c>
      <c r="L1190" s="1">
        <v>-1.07E8</v>
      </c>
      <c r="M1190" s="1">
        <v>-1.6E7</v>
      </c>
      <c r="N1190" s="1">
        <v>5.36E8</v>
      </c>
      <c r="O1190" s="1">
        <v>4.51E8</v>
      </c>
      <c r="P1190" s="1">
        <v>1.35E8</v>
      </c>
      <c r="Q1190" s="1">
        <v>-1.12E8</v>
      </c>
      <c r="R1190" s="1">
        <v>-1.1E7</v>
      </c>
      <c r="S1190" s="1">
        <v>-1.1E7</v>
      </c>
    </row>
    <row r="1191">
      <c r="A1191" s="1">
        <v>1189.0</v>
      </c>
      <c r="B1191" s="3">
        <v>44196.0</v>
      </c>
      <c r="C1191" s="1" t="s">
        <v>635</v>
      </c>
      <c r="D1191" s="1" t="s">
        <v>636</v>
      </c>
      <c r="F1191" s="1">
        <v>-3.14E8</v>
      </c>
      <c r="G1191" s="1">
        <v>-1.64E8</v>
      </c>
      <c r="H1191" s="1">
        <v>4.59E8</v>
      </c>
      <c r="I1191" s="1">
        <v>3.58E8</v>
      </c>
      <c r="J1191" s="1">
        <v>1.45E8</v>
      </c>
      <c r="K1191" s="1">
        <v>1.45E8</v>
      </c>
      <c r="L1191" s="1">
        <v>-1.12E8</v>
      </c>
      <c r="M1191" s="1">
        <v>-1.5E8</v>
      </c>
      <c r="N1191" s="1">
        <v>5.08E8</v>
      </c>
      <c r="O1191" s="1">
        <v>3.63E8</v>
      </c>
      <c r="P1191" s="1">
        <v>1.5E8</v>
      </c>
      <c r="Q1191" s="1">
        <v>-4.59E8</v>
      </c>
      <c r="R1191" s="1">
        <v>-1.64E8</v>
      </c>
      <c r="S1191" s="1">
        <v>-1.64E8</v>
      </c>
    </row>
    <row r="1192">
      <c r="A1192" s="1">
        <v>1190.0</v>
      </c>
      <c r="B1192" s="3">
        <v>44104.0</v>
      </c>
      <c r="C1192" s="1" t="s">
        <v>635</v>
      </c>
      <c r="D1192" s="1" t="s">
        <v>636</v>
      </c>
      <c r="F1192" s="1">
        <v>1.27E8</v>
      </c>
      <c r="G1192" s="1">
        <v>1.0E8</v>
      </c>
      <c r="H1192" s="1">
        <v>1.31E8</v>
      </c>
      <c r="I1192" s="1">
        <v>3.31E8</v>
      </c>
      <c r="J1192" s="1">
        <v>2.53E8</v>
      </c>
      <c r="K1192" s="1">
        <v>2.53E8</v>
      </c>
      <c r="L1192" s="1">
        <v>-1.13E8</v>
      </c>
      <c r="M1192" s="1">
        <v>2.7E7</v>
      </c>
      <c r="N1192" s="1">
        <v>4.65E8</v>
      </c>
      <c r="O1192" s="1">
        <v>2.12E8</v>
      </c>
      <c r="P1192" s="1">
        <v>1.34E8</v>
      </c>
      <c r="Q1192" s="1">
        <v>-1.26E8</v>
      </c>
      <c r="R1192" s="1">
        <v>1.0E8</v>
      </c>
      <c r="S1192" s="1">
        <v>1.0E8</v>
      </c>
    </row>
    <row r="1193">
      <c r="A1193" s="1">
        <v>1191.0</v>
      </c>
      <c r="B1193" s="3">
        <v>44012.0</v>
      </c>
      <c r="C1193" s="1" t="s">
        <v>635</v>
      </c>
      <c r="D1193" s="1" t="s">
        <v>636</v>
      </c>
      <c r="F1193" s="1">
        <v>-2.98E8</v>
      </c>
      <c r="G1193" s="1">
        <v>-2.34E8</v>
      </c>
      <c r="H1193" s="1">
        <v>1.78E8</v>
      </c>
      <c r="I1193" s="1">
        <v>1.41E8</v>
      </c>
      <c r="J1193" s="1">
        <v>-1.33E8</v>
      </c>
      <c r="K1193" s="1">
        <v>-1.33E8</v>
      </c>
      <c r="L1193" s="1">
        <v>-1.27E8</v>
      </c>
      <c r="M1193" s="1">
        <v>-6.4E7</v>
      </c>
      <c r="N1193" s="1">
        <v>2.62E8</v>
      </c>
      <c r="O1193" s="1">
        <v>3.95E8</v>
      </c>
      <c r="P1193" s="1">
        <v>1.21E8</v>
      </c>
      <c r="Q1193" s="1">
        <v>-1.65E8</v>
      </c>
      <c r="R1193" s="1">
        <v>-2.34E8</v>
      </c>
      <c r="S1193" s="1">
        <v>-2.34E8</v>
      </c>
    </row>
    <row r="1194">
      <c r="A1194" s="1">
        <v>1192.0</v>
      </c>
      <c r="B1194" s="3">
        <v>44286.0</v>
      </c>
      <c r="C1194" s="1" t="s">
        <v>637</v>
      </c>
      <c r="D1194" s="1" t="s">
        <v>638</v>
      </c>
      <c r="F1194" s="1">
        <v>1.322E9</v>
      </c>
      <c r="G1194" s="1">
        <v>9.83E8</v>
      </c>
      <c r="I1194" s="1">
        <v>2.349E9</v>
      </c>
      <c r="J1194" s="1">
        <v>1.452E9</v>
      </c>
      <c r="K1194" s="1">
        <v>1.452E9</v>
      </c>
      <c r="L1194" s="1">
        <v>-1.18E8</v>
      </c>
      <c r="M1194" s="1">
        <v>3.24E8</v>
      </c>
      <c r="N1194" s="1">
        <v>5.083E9</v>
      </c>
      <c r="O1194" s="1">
        <v>3.631E9</v>
      </c>
      <c r="P1194" s="1">
        <v>2.734E9</v>
      </c>
      <c r="Q1194" s="1">
        <v>-1.3E8</v>
      </c>
      <c r="R1194" s="1">
        <v>9.98E8</v>
      </c>
      <c r="S1194" s="1">
        <v>9.83E8</v>
      </c>
    </row>
    <row r="1195">
      <c r="A1195" s="1">
        <v>1193.0</v>
      </c>
      <c r="B1195" s="3">
        <v>44196.0</v>
      </c>
      <c r="C1195" s="1" t="s">
        <v>637</v>
      </c>
      <c r="D1195" s="1" t="s">
        <v>638</v>
      </c>
      <c r="F1195" s="1">
        <v>5.4E8</v>
      </c>
      <c r="G1195" s="1">
        <v>3.74E8</v>
      </c>
      <c r="I1195" s="1">
        <v>1.865E9</v>
      </c>
      <c r="J1195" s="1">
        <v>7.6E8</v>
      </c>
      <c r="K1195" s="1">
        <v>7.6E8</v>
      </c>
      <c r="L1195" s="1">
        <v>-1.28E8</v>
      </c>
      <c r="M1195" s="1">
        <v>1.61E8</v>
      </c>
      <c r="N1195" s="1">
        <v>4.416E9</v>
      </c>
      <c r="O1195" s="1">
        <v>3.656E9</v>
      </c>
      <c r="P1195" s="1">
        <v>2.551E9</v>
      </c>
      <c r="Q1195" s="1">
        <v>-2.2E8</v>
      </c>
      <c r="R1195" s="1">
        <v>3.79E8</v>
      </c>
      <c r="S1195" s="1">
        <v>3.74E8</v>
      </c>
    </row>
    <row r="1196">
      <c r="A1196" s="1">
        <v>1194.0</v>
      </c>
      <c r="B1196" s="3">
        <v>44104.0</v>
      </c>
      <c r="C1196" s="1" t="s">
        <v>637</v>
      </c>
      <c r="D1196" s="1" t="s">
        <v>638</v>
      </c>
      <c r="F1196" s="1">
        <v>4.59E8</v>
      </c>
      <c r="G1196" s="1">
        <v>3.16E8</v>
      </c>
      <c r="I1196" s="1">
        <v>1.533E9</v>
      </c>
      <c r="J1196" s="1">
        <v>6.0E8</v>
      </c>
      <c r="K1196" s="1">
        <v>6.0E8</v>
      </c>
      <c r="L1196" s="1">
        <v>-1.28E8</v>
      </c>
      <c r="M1196" s="1">
        <v>1.39E8</v>
      </c>
      <c r="N1196" s="1">
        <v>3.968E9</v>
      </c>
      <c r="O1196" s="1">
        <v>3.368E9</v>
      </c>
      <c r="P1196" s="1">
        <v>2.435E9</v>
      </c>
      <c r="Q1196" s="1">
        <v>-1.41E8</v>
      </c>
      <c r="R1196" s="1">
        <v>3.2E8</v>
      </c>
      <c r="S1196" s="1">
        <v>3.16E8</v>
      </c>
    </row>
    <row r="1197">
      <c r="A1197" s="1">
        <v>1195.0</v>
      </c>
      <c r="B1197" s="3">
        <v>44012.0</v>
      </c>
      <c r="C1197" s="1" t="s">
        <v>637</v>
      </c>
      <c r="D1197" s="1" t="s">
        <v>638</v>
      </c>
      <c r="F1197" s="1">
        <v>7.87E8</v>
      </c>
      <c r="G1197" s="1">
        <v>5.72E8</v>
      </c>
      <c r="I1197" s="1">
        <v>1.823E9</v>
      </c>
      <c r="J1197" s="1">
        <v>9.48E8</v>
      </c>
      <c r="K1197" s="1">
        <v>9.48E8</v>
      </c>
      <c r="L1197" s="1">
        <v>-1.32E8</v>
      </c>
      <c r="M1197" s="1">
        <v>2.07E8</v>
      </c>
      <c r="N1197" s="1">
        <v>4.189E9</v>
      </c>
      <c r="O1197" s="1">
        <v>3.241E9</v>
      </c>
      <c r="P1197" s="1">
        <v>2.366E9</v>
      </c>
      <c r="Q1197" s="1">
        <v>-1.61E8</v>
      </c>
      <c r="R1197" s="1">
        <v>5.8E8</v>
      </c>
      <c r="S1197" s="1">
        <v>5.72E8</v>
      </c>
    </row>
    <row r="1198">
      <c r="A1198" s="1">
        <v>1196.0</v>
      </c>
      <c r="B1198" s="3">
        <v>44377.0</v>
      </c>
      <c r="C1198" s="1" t="s">
        <v>639</v>
      </c>
      <c r="D1198" s="1" t="s">
        <v>640</v>
      </c>
      <c r="F1198" s="1">
        <v>2.881E8</v>
      </c>
      <c r="G1198" s="1">
        <v>2.258E8</v>
      </c>
      <c r="H1198" s="1">
        <v>7.67E7</v>
      </c>
      <c r="I1198" s="1">
        <v>3.853E8</v>
      </c>
      <c r="J1198" s="1">
        <v>3.102E8</v>
      </c>
      <c r="K1198" s="1">
        <v>3.102E8</v>
      </c>
      <c r="L1198" s="1">
        <v>-2.81E7</v>
      </c>
      <c r="M1198" s="1">
        <v>6.23E7</v>
      </c>
      <c r="N1198" s="1">
        <v>1.2953E9</v>
      </c>
      <c r="O1198" s="1">
        <v>9.851E8</v>
      </c>
      <c r="P1198" s="1">
        <v>9.1E8</v>
      </c>
      <c r="Q1198" s="1">
        <v>-2.21E7</v>
      </c>
      <c r="R1198" s="1">
        <v>2.258E8</v>
      </c>
      <c r="S1198" s="1">
        <v>2.256E8</v>
      </c>
    </row>
    <row r="1199">
      <c r="A1199" s="1">
        <v>1197.0</v>
      </c>
      <c r="B1199" s="3">
        <v>44286.0</v>
      </c>
      <c r="C1199" s="1" t="s">
        <v>639</v>
      </c>
      <c r="D1199" s="1" t="s">
        <v>640</v>
      </c>
      <c r="F1199" s="1">
        <v>8.14E7</v>
      </c>
      <c r="G1199" s="1">
        <v>6.53E7</v>
      </c>
      <c r="H1199" s="1">
        <v>7.36E7</v>
      </c>
      <c r="I1199" s="1">
        <v>1.759E8</v>
      </c>
      <c r="J1199" s="1">
        <v>1.067E8</v>
      </c>
      <c r="K1199" s="1">
        <v>1.067E8</v>
      </c>
      <c r="L1199" s="1">
        <v>-2.74E7</v>
      </c>
      <c r="M1199" s="1">
        <v>1.59E7</v>
      </c>
      <c r="N1199" s="1">
        <v>9.219E8</v>
      </c>
      <c r="O1199" s="1">
        <v>8.152E8</v>
      </c>
      <c r="P1199" s="1">
        <v>7.46E8</v>
      </c>
      <c r="Q1199" s="1">
        <v>-2.53E7</v>
      </c>
      <c r="R1199" s="1">
        <v>6.55E7</v>
      </c>
      <c r="S1199" s="1">
        <v>6.53E7</v>
      </c>
    </row>
    <row r="1200">
      <c r="A1200" s="1">
        <v>1198.0</v>
      </c>
      <c r="B1200" s="3">
        <v>44196.0</v>
      </c>
      <c r="C1200" s="1" t="s">
        <v>639</v>
      </c>
      <c r="D1200" s="1" t="s">
        <v>640</v>
      </c>
      <c r="F1200" s="1">
        <v>2.083E8</v>
      </c>
      <c r="G1200" s="1">
        <v>1.83E8</v>
      </c>
      <c r="H1200" s="1">
        <v>8.63E7</v>
      </c>
      <c r="I1200" s="1">
        <v>3.262E8</v>
      </c>
      <c r="J1200" s="1">
        <v>2.393E8</v>
      </c>
      <c r="K1200" s="1">
        <v>2.393E8</v>
      </c>
      <c r="L1200" s="1">
        <v>-2.84E7</v>
      </c>
      <c r="M1200" s="1">
        <v>2.52E7</v>
      </c>
      <c r="N1200" s="1">
        <v>1.1109E9</v>
      </c>
      <c r="O1200" s="1">
        <v>8.716E8</v>
      </c>
      <c r="P1200" s="1">
        <v>7.847E8</v>
      </c>
      <c r="Q1200" s="1">
        <v>-3.1E7</v>
      </c>
      <c r="R1200" s="1">
        <v>1.831E8</v>
      </c>
      <c r="S1200" s="1">
        <v>1.829E8</v>
      </c>
    </row>
    <row r="1201">
      <c r="A1201" s="1">
        <v>1199.0</v>
      </c>
      <c r="B1201" s="3">
        <v>44104.0</v>
      </c>
      <c r="C1201" s="1" t="s">
        <v>639</v>
      </c>
      <c r="D1201" s="1" t="s">
        <v>640</v>
      </c>
      <c r="F1201" s="1">
        <v>3.759E8</v>
      </c>
      <c r="G1201" s="1">
        <v>2.944E8</v>
      </c>
      <c r="H1201" s="1">
        <v>6.82E7</v>
      </c>
      <c r="I1201" s="1">
        <v>4.046E8</v>
      </c>
      <c r="J1201" s="1">
        <v>3.34E8</v>
      </c>
      <c r="K1201" s="1">
        <v>3.34E8</v>
      </c>
      <c r="L1201" s="1">
        <v>-2.87E7</v>
      </c>
      <c r="M1201" s="1">
        <v>8.15E7</v>
      </c>
      <c r="N1201" s="1">
        <v>1.2407E9</v>
      </c>
      <c r="O1201" s="1">
        <v>9.067E8</v>
      </c>
      <c r="P1201" s="1">
        <v>8.361E8</v>
      </c>
      <c r="Q1201" s="1">
        <v>4.19E7</v>
      </c>
      <c r="R1201" s="1">
        <v>2.944E8</v>
      </c>
      <c r="S1201" s="1">
        <v>2.941E8</v>
      </c>
    </row>
    <row r="1202">
      <c r="A1202" s="1">
        <v>1200.0</v>
      </c>
      <c r="B1202" s="3">
        <v>44286.0</v>
      </c>
      <c r="C1202" s="1" t="s">
        <v>641</v>
      </c>
      <c r="D1202" s="1" t="s">
        <v>642</v>
      </c>
      <c r="F1202" s="1">
        <v>1.57E8</v>
      </c>
      <c r="G1202" s="1">
        <v>9.4E7</v>
      </c>
      <c r="H1202" s="1">
        <v>3.46E8</v>
      </c>
      <c r="I1202" s="1">
        <v>7.0E8</v>
      </c>
      <c r="J1202" s="1">
        <v>3.54E8</v>
      </c>
      <c r="K1202" s="1">
        <v>3.54E8</v>
      </c>
      <c r="L1202" s="1">
        <v>-2.02E8</v>
      </c>
      <c r="M1202" s="1">
        <v>4.3E7</v>
      </c>
      <c r="N1202" s="1">
        <v>1.97E9</v>
      </c>
      <c r="O1202" s="1">
        <v>1.616E9</v>
      </c>
      <c r="P1202" s="1">
        <v>1.27E9</v>
      </c>
      <c r="Q1202" s="1">
        <v>-2.08E8</v>
      </c>
      <c r="R1202" s="1">
        <v>1.14E8</v>
      </c>
      <c r="S1202" s="1">
        <v>8.8E7</v>
      </c>
    </row>
    <row r="1203">
      <c r="A1203" s="1">
        <v>1201.0</v>
      </c>
      <c r="B1203" s="3">
        <v>44196.0</v>
      </c>
      <c r="C1203" s="1" t="s">
        <v>641</v>
      </c>
      <c r="D1203" s="1" t="s">
        <v>642</v>
      </c>
      <c r="F1203" s="1">
        <v>2.75E8</v>
      </c>
      <c r="G1203" s="1">
        <v>1.95E8</v>
      </c>
      <c r="H1203" s="1">
        <v>3.53E8</v>
      </c>
      <c r="I1203" s="1">
        <v>6.62E8</v>
      </c>
      <c r="J1203" s="1">
        <v>3.09E8</v>
      </c>
      <c r="K1203" s="1">
        <v>3.09E8</v>
      </c>
      <c r="L1203" s="1">
        <v>-3.4E7</v>
      </c>
      <c r="M1203" s="1">
        <v>6.7E7</v>
      </c>
      <c r="N1203" s="1">
        <v>1.86E9</v>
      </c>
      <c r="O1203" s="1">
        <v>1.551E9</v>
      </c>
      <c r="P1203" s="1">
        <v>1.198E9</v>
      </c>
      <c r="Q1203" s="1">
        <v>-3.4E7</v>
      </c>
      <c r="R1203" s="1">
        <v>2.08E8</v>
      </c>
      <c r="S1203" s="1">
        <v>1.95E8</v>
      </c>
    </row>
    <row r="1204">
      <c r="A1204" s="1">
        <v>1202.0</v>
      </c>
      <c r="B1204" s="3">
        <v>44104.0</v>
      </c>
      <c r="C1204" s="1" t="s">
        <v>641</v>
      </c>
      <c r="D1204" s="1" t="s">
        <v>642</v>
      </c>
      <c r="F1204" s="1">
        <v>3.8E8</v>
      </c>
      <c r="G1204" s="1">
        <v>2.75E8</v>
      </c>
      <c r="H1204" s="1">
        <v>3.37E8</v>
      </c>
      <c r="I1204" s="1">
        <v>7.52E8</v>
      </c>
      <c r="J1204" s="1">
        <v>4.15E8</v>
      </c>
      <c r="K1204" s="1">
        <v>4.15E8</v>
      </c>
      <c r="L1204" s="1">
        <v>-4.0E7</v>
      </c>
      <c r="M1204" s="1">
        <v>8.7E7</v>
      </c>
      <c r="N1204" s="1">
        <v>1.983E9</v>
      </c>
      <c r="O1204" s="1">
        <v>1.568E9</v>
      </c>
      <c r="P1204" s="1">
        <v>1.231E9</v>
      </c>
      <c r="Q1204" s="1">
        <v>-3.5E7</v>
      </c>
      <c r="R1204" s="1">
        <v>2.93E8</v>
      </c>
      <c r="S1204" s="1">
        <v>2.74E8</v>
      </c>
    </row>
    <row r="1205">
      <c r="A1205" s="1">
        <v>1203.0</v>
      </c>
      <c r="B1205" s="3">
        <v>44012.0</v>
      </c>
      <c r="C1205" s="1" t="s">
        <v>641</v>
      </c>
      <c r="D1205" s="1" t="s">
        <v>642</v>
      </c>
      <c r="F1205" s="1">
        <v>3.02E8</v>
      </c>
      <c r="G1205" s="1">
        <v>2.24E8</v>
      </c>
      <c r="H1205" s="1">
        <v>2.97E8</v>
      </c>
      <c r="I1205" s="1">
        <v>6.28E8</v>
      </c>
      <c r="J1205" s="1">
        <v>3.31E8</v>
      </c>
      <c r="K1205" s="1">
        <v>3.31E8</v>
      </c>
      <c r="L1205" s="1">
        <v>-3.5E7</v>
      </c>
      <c r="M1205" s="1">
        <v>8.2E7</v>
      </c>
      <c r="N1205" s="1">
        <v>1.764E9</v>
      </c>
      <c r="O1205" s="1">
        <v>1.433E9</v>
      </c>
      <c r="P1205" s="1">
        <v>1.136E9</v>
      </c>
      <c r="Q1205" s="1">
        <v>-2.9E7</v>
      </c>
      <c r="R1205" s="1">
        <v>2.2E8</v>
      </c>
      <c r="S1205" s="1">
        <v>2.22E8</v>
      </c>
    </row>
    <row r="1206">
      <c r="A1206" s="1">
        <v>1204.0</v>
      </c>
      <c r="B1206" s="3">
        <v>44377.0</v>
      </c>
      <c r="C1206" s="1" t="s">
        <v>643</v>
      </c>
      <c r="D1206" s="1" t="s">
        <v>644</v>
      </c>
      <c r="F1206" s="1">
        <v>2.478E9</v>
      </c>
      <c r="G1206" s="1">
        <v>2.066E9</v>
      </c>
      <c r="H1206" s="1">
        <v>1.934E9</v>
      </c>
      <c r="I1206" s="1">
        <v>4.528E9</v>
      </c>
      <c r="J1206" s="1">
        <v>2.408E9</v>
      </c>
      <c r="K1206" s="1">
        <v>2.408E9</v>
      </c>
      <c r="L1206" s="1">
        <v>-1.06E8</v>
      </c>
      <c r="M1206" s="1">
        <v>4.12E8</v>
      </c>
      <c r="N1206" s="1">
        <v>4.528E9</v>
      </c>
      <c r="O1206" s="1">
        <v>2.12E9</v>
      </c>
      <c r="P1206" s="1">
        <v>0.0</v>
      </c>
      <c r="Q1206" s="1">
        <v>7.0E7</v>
      </c>
      <c r="R1206" s="1">
        <v>2.066E9</v>
      </c>
      <c r="S1206" s="1">
        <v>2.066E9</v>
      </c>
    </row>
    <row r="1207">
      <c r="A1207" s="1">
        <v>1205.0</v>
      </c>
      <c r="B1207" s="3">
        <v>44286.0</v>
      </c>
      <c r="C1207" s="1" t="s">
        <v>643</v>
      </c>
      <c r="D1207" s="1" t="s">
        <v>644</v>
      </c>
      <c r="F1207" s="1">
        <v>2.19E9</v>
      </c>
      <c r="G1207" s="1">
        <v>1.828E9</v>
      </c>
      <c r="H1207" s="1">
        <v>1.795E9</v>
      </c>
      <c r="I1207" s="1">
        <v>4.155E9</v>
      </c>
      <c r="J1207" s="1">
        <v>2.197E9</v>
      </c>
      <c r="K1207" s="1">
        <v>2.197E9</v>
      </c>
      <c r="L1207" s="1">
        <v>-1.07E8</v>
      </c>
      <c r="M1207" s="1">
        <v>3.62E8</v>
      </c>
      <c r="N1207" s="1">
        <v>4.155E9</v>
      </c>
      <c r="O1207" s="1">
        <v>1.958E9</v>
      </c>
      <c r="P1207" s="1">
        <v>0.0</v>
      </c>
      <c r="Q1207" s="1">
        <v>-7000000.0</v>
      </c>
      <c r="R1207" s="1">
        <v>1.828E9</v>
      </c>
      <c r="S1207" s="1">
        <v>1.828E9</v>
      </c>
    </row>
    <row r="1208">
      <c r="A1208" s="1">
        <v>1206.0</v>
      </c>
      <c r="B1208" s="3">
        <v>44196.0</v>
      </c>
      <c r="C1208" s="1" t="s">
        <v>643</v>
      </c>
      <c r="D1208" s="1" t="s">
        <v>644</v>
      </c>
      <c r="F1208" s="1">
        <v>2.168E9</v>
      </c>
      <c r="G1208" s="1">
        <v>1.785E9</v>
      </c>
      <c r="H1208" s="1">
        <v>1.859E9</v>
      </c>
      <c r="I1208" s="1">
        <v>4.12E9</v>
      </c>
      <c r="J1208" s="1">
        <v>2.111E9</v>
      </c>
      <c r="K1208" s="1">
        <v>2.111E9</v>
      </c>
      <c r="L1208" s="1">
        <v>-1.08E8</v>
      </c>
      <c r="M1208" s="1">
        <v>3.83E8</v>
      </c>
      <c r="N1208" s="1">
        <v>4.12E9</v>
      </c>
      <c r="O1208" s="1">
        <v>2.009E9</v>
      </c>
      <c r="P1208" s="1">
        <v>0.0</v>
      </c>
      <c r="Q1208" s="1">
        <v>5.7E7</v>
      </c>
      <c r="R1208" s="1">
        <v>1.785E9</v>
      </c>
      <c r="S1208" s="1">
        <v>1.785E9</v>
      </c>
    </row>
    <row r="1209">
      <c r="A1209" s="1">
        <v>1207.0</v>
      </c>
      <c r="B1209" s="3">
        <v>44104.0</v>
      </c>
      <c r="C1209" s="1" t="s">
        <v>643</v>
      </c>
      <c r="D1209" s="1" t="s">
        <v>644</v>
      </c>
      <c r="F1209" s="1">
        <v>1.915E9</v>
      </c>
      <c r="G1209" s="1">
        <v>1.513E9</v>
      </c>
      <c r="H1209" s="1">
        <v>1.591E9</v>
      </c>
      <c r="I1209" s="1">
        <v>3.837E9</v>
      </c>
      <c r="J1209" s="1">
        <v>2.105E9</v>
      </c>
      <c r="K1209" s="1">
        <v>2.105E9</v>
      </c>
      <c r="L1209" s="1">
        <v>-1.05E8</v>
      </c>
      <c r="M1209" s="1">
        <v>4.02E8</v>
      </c>
      <c r="N1209" s="1">
        <v>3.837E9</v>
      </c>
      <c r="O1209" s="1">
        <v>1.732E9</v>
      </c>
      <c r="P1209" s="1">
        <v>0.0</v>
      </c>
      <c r="Q1209" s="1">
        <v>-1.9E8</v>
      </c>
      <c r="R1209" s="1">
        <v>1.513E9</v>
      </c>
      <c r="S1209" s="1">
        <v>1.513E9</v>
      </c>
    </row>
    <row r="1210">
      <c r="A1210" s="1">
        <v>1208.0</v>
      </c>
      <c r="B1210" s="3">
        <v>44377.0</v>
      </c>
      <c r="C1210" s="1" t="s">
        <v>645</v>
      </c>
      <c r="D1210" s="1" t="s">
        <v>646</v>
      </c>
      <c r="E1210" s="1">
        <v>5.2133E7</v>
      </c>
      <c r="F1210" s="1">
        <v>1.7734E8</v>
      </c>
      <c r="G1210" s="1">
        <v>1.40895E8</v>
      </c>
      <c r="H1210" s="1">
        <v>2.38811E8</v>
      </c>
      <c r="I1210" s="1">
        <v>5.14661E8</v>
      </c>
      <c r="J1210" s="1">
        <v>2.13414E8</v>
      </c>
      <c r="K1210" s="1">
        <v>2.13414E8</v>
      </c>
      <c r="L1210" s="1">
        <v>-3.2219E7</v>
      </c>
      <c r="M1210" s="1">
        <v>3.732E7</v>
      </c>
      <c r="N1210" s="1">
        <v>7.0776E8</v>
      </c>
      <c r="O1210" s="1">
        <v>4.94346E8</v>
      </c>
      <c r="P1210" s="1">
        <v>1.93099E8</v>
      </c>
      <c r="Q1210" s="1">
        <v>-3.6074E7</v>
      </c>
      <c r="R1210" s="1">
        <v>1.4002E8</v>
      </c>
      <c r="S1210" s="1">
        <v>1.40895E8</v>
      </c>
    </row>
    <row r="1211">
      <c r="A1211" s="1">
        <v>1209.0</v>
      </c>
      <c r="B1211" s="3">
        <v>44286.0</v>
      </c>
      <c r="C1211" s="1" t="s">
        <v>645</v>
      </c>
      <c r="D1211" s="1" t="s">
        <v>646</v>
      </c>
      <c r="E1211" s="1">
        <v>5.5576E7</v>
      </c>
      <c r="F1211" s="1">
        <v>1.56101E8</v>
      </c>
      <c r="G1211" s="1">
        <v>1.7425E8</v>
      </c>
      <c r="H1211" s="1">
        <v>2.28653E8</v>
      </c>
      <c r="I1211" s="1">
        <v>4.88157E8</v>
      </c>
      <c r="J1211" s="1">
        <v>1.93258E8</v>
      </c>
      <c r="K1211" s="1">
        <v>1.93258E8</v>
      </c>
      <c r="L1211" s="1">
        <v>-3.1838E7</v>
      </c>
      <c r="M1211" s="1">
        <v>-1.7747E7</v>
      </c>
      <c r="N1211" s="1">
        <v>6.67612E8</v>
      </c>
      <c r="O1211" s="1">
        <v>4.74354E8</v>
      </c>
      <c r="P1211" s="1">
        <v>1.79455E8</v>
      </c>
      <c r="Q1211" s="1">
        <v>-3.7157E7</v>
      </c>
      <c r="R1211" s="1">
        <v>1.73848E8</v>
      </c>
      <c r="S1211" s="1">
        <v>1.7425E8</v>
      </c>
    </row>
    <row r="1212">
      <c r="A1212" s="1">
        <v>1210.0</v>
      </c>
      <c r="B1212" s="3">
        <v>44196.0</v>
      </c>
      <c r="C1212" s="1" t="s">
        <v>645</v>
      </c>
      <c r="D1212" s="1" t="s">
        <v>646</v>
      </c>
      <c r="E1212" s="1">
        <v>4.4832E7</v>
      </c>
      <c r="F1212" s="1">
        <v>1.65796E8</v>
      </c>
      <c r="G1212" s="1">
        <v>1.40579E8</v>
      </c>
      <c r="H1212" s="1">
        <v>2.13007E8</v>
      </c>
      <c r="I1212" s="1">
        <v>4.81671E8</v>
      </c>
      <c r="J1212" s="1">
        <v>2.12582E8</v>
      </c>
      <c r="K1212" s="1">
        <v>2.12582E8</v>
      </c>
      <c r="L1212" s="1">
        <v>-4.3306E7</v>
      </c>
      <c r="M1212" s="1">
        <v>2.5617E7</v>
      </c>
      <c r="N1212" s="1">
        <v>6.51407E8</v>
      </c>
      <c r="O1212" s="1">
        <v>4.38825E8</v>
      </c>
      <c r="P1212" s="1">
        <v>1.69736E8</v>
      </c>
      <c r="Q1212" s="1">
        <v>-4.6786E7</v>
      </c>
      <c r="R1212" s="1">
        <v>1.40179E8</v>
      </c>
      <c r="S1212" s="1">
        <v>1.40579E8</v>
      </c>
    </row>
    <row r="1213">
      <c r="A1213" s="1">
        <v>1211.0</v>
      </c>
      <c r="B1213" s="3">
        <v>44104.0</v>
      </c>
      <c r="C1213" s="1" t="s">
        <v>645</v>
      </c>
      <c r="D1213" s="1" t="s">
        <v>646</v>
      </c>
      <c r="E1213" s="1">
        <v>3.928E7</v>
      </c>
      <c r="F1213" s="1">
        <v>1.55055E8</v>
      </c>
      <c r="G1213" s="1">
        <v>1.32581E8</v>
      </c>
      <c r="H1213" s="1">
        <v>2.1882E8</v>
      </c>
      <c r="I1213" s="1">
        <v>4.69947E8</v>
      </c>
      <c r="J1213" s="1">
        <v>2.00167E8</v>
      </c>
      <c r="K1213" s="1">
        <v>2.00167E8</v>
      </c>
      <c r="L1213" s="1">
        <v>-4.3189E7</v>
      </c>
      <c r="M1213" s="1">
        <v>2.3568E7</v>
      </c>
      <c r="N1213" s="1">
        <v>6.3977E8</v>
      </c>
      <c r="O1213" s="1">
        <v>4.39603E8</v>
      </c>
      <c r="P1213" s="1">
        <v>1.69823E8</v>
      </c>
      <c r="Q1213" s="1">
        <v>-4.5112E7</v>
      </c>
      <c r="R1213" s="1">
        <v>1.31487E8</v>
      </c>
      <c r="S1213" s="1">
        <v>1.32581E8</v>
      </c>
    </row>
    <row r="1214">
      <c r="A1214" s="1">
        <v>1212.0</v>
      </c>
      <c r="B1214" s="3">
        <v>44439.0</v>
      </c>
      <c r="C1214" s="1" t="s">
        <v>647</v>
      </c>
      <c r="D1214" s="1" t="s">
        <v>648</v>
      </c>
      <c r="F1214" s="1">
        <v>2.439E8</v>
      </c>
      <c r="G1214" s="1">
        <v>2.124E8</v>
      </c>
      <c r="H1214" s="1">
        <v>3.258E8</v>
      </c>
      <c r="I1214" s="1">
        <v>5.996E8</v>
      </c>
      <c r="J1214" s="1">
        <v>2.738E8</v>
      </c>
      <c r="K1214" s="1">
        <v>2.738E8</v>
      </c>
      <c r="L1214" s="1">
        <v>-3.39E7</v>
      </c>
      <c r="M1214" s="1">
        <v>3.15E7</v>
      </c>
      <c r="N1214" s="1">
        <v>1.5494E9</v>
      </c>
      <c r="O1214" s="1">
        <v>1.2756E9</v>
      </c>
      <c r="P1214" s="1">
        <v>9.498E8</v>
      </c>
      <c r="Q1214" s="1">
        <v>-2.99E7</v>
      </c>
      <c r="R1214" s="1">
        <v>2.124E8</v>
      </c>
      <c r="S1214" s="1">
        <v>2.124E8</v>
      </c>
    </row>
    <row r="1215">
      <c r="A1215" s="1">
        <v>1213.0</v>
      </c>
      <c r="B1215" s="3">
        <v>44347.0</v>
      </c>
      <c r="C1215" s="1" t="s">
        <v>647</v>
      </c>
      <c r="D1215" s="1" t="s">
        <v>648</v>
      </c>
      <c r="F1215" s="1">
        <v>2.291E8</v>
      </c>
      <c r="G1215" s="1">
        <v>1.837E8</v>
      </c>
      <c r="H1215" s="1">
        <v>3.552E8</v>
      </c>
      <c r="I1215" s="1">
        <v>6.146E8</v>
      </c>
      <c r="J1215" s="1">
        <v>2.594E8</v>
      </c>
      <c r="K1215" s="1">
        <v>2.594E8</v>
      </c>
      <c r="L1215" s="1">
        <v>-3.56E7</v>
      </c>
      <c r="M1215" s="1">
        <v>4.54E7</v>
      </c>
      <c r="N1215" s="1">
        <v>1.5567E9</v>
      </c>
      <c r="O1215" s="1">
        <v>1.2973E9</v>
      </c>
      <c r="P1215" s="1">
        <v>9.421E8</v>
      </c>
      <c r="Q1215" s="1">
        <v>-3.03E7</v>
      </c>
      <c r="R1215" s="1">
        <v>1.837E8</v>
      </c>
      <c r="S1215" s="1">
        <v>1.837E8</v>
      </c>
    </row>
    <row r="1216">
      <c r="A1216" s="1">
        <v>1214.0</v>
      </c>
      <c r="B1216" s="3">
        <v>44255.0</v>
      </c>
      <c r="C1216" s="1" t="s">
        <v>647</v>
      </c>
      <c r="D1216" s="1" t="s">
        <v>648</v>
      </c>
      <c r="F1216" s="1">
        <v>2.204E8</v>
      </c>
      <c r="G1216" s="1">
        <v>1.618E8</v>
      </c>
      <c r="H1216" s="1">
        <v>3.195E8</v>
      </c>
      <c r="I1216" s="1">
        <v>5.838E8</v>
      </c>
      <c r="J1216" s="1">
        <v>2.643E8</v>
      </c>
      <c r="K1216" s="1">
        <v>2.643E8</v>
      </c>
      <c r="L1216" s="1">
        <v>-3.38E7</v>
      </c>
      <c r="M1216" s="1">
        <v>5.86E7</v>
      </c>
      <c r="N1216" s="1">
        <v>1.4815E9</v>
      </c>
      <c r="O1216" s="1">
        <v>1.2172E9</v>
      </c>
      <c r="P1216" s="1">
        <v>8.977E8</v>
      </c>
      <c r="Q1216" s="1">
        <v>-4.39E7</v>
      </c>
      <c r="R1216" s="1">
        <v>1.618E8</v>
      </c>
      <c r="S1216" s="1">
        <v>1.618E8</v>
      </c>
    </row>
    <row r="1217">
      <c r="A1217" s="1">
        <v>1215.0</v>
      </c>
      <c r="B1217" s="3">
        <v>44165.0</v>
      </c>
      <c r="C1217" s="1" t="s">
        <v>647</v>
      </c>
      <c r="D1217" s="1" t="s">
        <v>648</v>
      </c>
      <c r="E1217" s="1">
        <v>6.86E7</v>
      </c>
      <c r="F1217" s="1">
        <v>2.582E8</v>
      </c>
      <c r="G1217" s="1">
        <v>2.007E8</v>
      </c>
      <c r="H1217" s="1">
        <v>2.99E8</v>
      </c>
      <c r="I1217" s="1">
        <v>6.607E8</v>
      </c>
      <c r="J1217" s="1">
        <v>2.931E8</v>
      </c>
      <c r="K1217" s="1">
        <v>2.931E8</v>
      </c>
      <c r="L1217" s="1">
        <v>-3.24E7</v>
      </c>
      <c r="M1217" s="1">
        <v>5.75E7</v>
      </c>
      <c r="N1217" s="1">
        <v>1.5579E9</v>
      </c>
      <c r="O1217" s="1">
        <v>1.2648E9</v>
      </c>
      <c r="P1217" s="1">
        <v>8.972E8</v>
      </c>
      <c r="Q1217" s="1">
        <v>-3.49E7</v>
      </c>
      <c r="R1217" s="1">
        <v>2.007E8</v>
      </c>
      <c r="S1217" s="1">
        <v>2.007E8</v>
      </c>
    </row>
    <row r="1218">
      <c r="A1218" s="1">
        <v>1216.0</v>
      </c>
      <c r="B1218" s="3">
        <v>44377.0</v>
      </c>
      <c r="C1218" s="1" t="s">
        <v>649</v>
      </c>
      <c r="D1218" s="1" t="s">
        <v>650</v>
      </c>
      <c r="F1218" s="1">
        <v>2.376E9</v>
      </c>
      <c r="G1218" s="1">
        <v>2.2193E9</v>
      </c>
      <c r="H1218" s="1">
        <v>5.724E8</v>
      </c>
      <c r="I1218" s="1">
        <v>3.2195E9</v>
      </c>
      <c r="J1218" s="1">
        <v>2.564E9</v>
      </c>
      <c r="K1218" s="1">
        <v>2.564E9</v>
      </c>
      <c r="L1218" s="1">
        <v>-2.965E8</v>
      </c>
      <c r="M1218" s="1">
        <v>1.567E8</v>
      </c>
      <c r="N1218" s="1">
        <v>5.8879E9</v>
      </c>
      <c r="O1218" s="1">
        <v>3.3239E9</v>
      </c>
      <c r="P1218" s="1">
        <v>2.6684E9</v>
      </c>
      <c r="Q1218" s="1">
        <v>-1.88E8</v>
      </c>
      <c r="R1218" s="1">
        <v>2.2193E9</v>
      </c>
      <c r="S1218" s="1">
        <v>2.2193E9</v>
      </c>
    </row>
    <row r="1219">
      <c r="A1219" s="1">
        <v>1217.0</v>
      </c>
      <c r="B1219" s="3">
        <v>44286.0</v>
      </c>
      <c r="C1219" s="1" t="s">
        <v>649</v>
      </c>
      <c r="D1219" s="1" t="s">
        <v>650</v>
      </c>
      <c r="F1219" s="1">
        <v>1.9527E9</v>
      </c>
      <c r="G1219" s="1">
        <v>1.5372E9</v>
      </c>
      <c r="H1219" s="1">
        <v>4.904E8</v>
      </c>
      <c r="I1219" s="1">
        <v>2.6683E9</v>
      </c>
      <c r="J1219" s="1">
        <v>2.1085E9</v>
      </c>
      <c r="K1219" s="1">
        <v>2.1085E9</v>
      </c>
      <c r="L1219" s="1">
        <v>-3.0E8</v>
      </c>
      <c r="M1219" s="1">
        <v>4.155E8</v>
      </c>
      <c r="N1219" s="1">
        <v>5.1246E9</v>
      </c>
      <c r="O1219" s="1">
        <v>3.0161E9</v>
      </c>
      <c r="P1219" s="1">
        <v>2.4563E9</v>
      </c>
      <c r="Q1219" s="1">
        <v>-1.558E8</v>
      </c>
      <c r="R1219" s="1">
        <v>1.5372E9</v>
      </c>
      <c r="S1219" s="1">
        <v>1.5372E9</v>
      </c>
    </row>
    <row r="1220">
      <c r="A1220" s="1">
        <v>1218.0</v>
      </c>
      <c r="B1220" s="3">
        <v>44196.0</v>
      </c>
      <c r="C1220" s="1" t="s">
        <v>649</v>
      </c>
      <c r="D1220" s="1" t="s">
        <v>650</v>
      </c>
      <c r="F1220" s="1">
        <v>1.83E9</v>
      </c>
      <c r="G1220" s="1">
        <v>1.3772E9</v>
      </c>
      <c r="H1220" s="1">
        <v>6.98E8</v>
      </c>
      <c r="I1220" s="1">
        <v>2.7802E9</v>
      </c>
      <c r="J1220" s="1">
        <v>2.016E9</v>
      </c>
      <c r="K1220" s="1">
        <v>2.016E9</v>
      </c>
      <c r="L1220" s="1">
        <v>-3.089E8</v>
      </c>
      <c r="M1220" s="1">
        <v>4.528E8</v>
      </c>
      <c r="N1220" s="1">
        <v>5.3138E9</v>
      </c>
      <c r="O1220" s="1">
        <v>3.2978E9</v>
      </c>
      <c r="P1220" s="1">
        <v>2.5336E9</v>
      </c>
      <c r="Q1220" s="1">
        <v>-1.86E8</v>
      </c>
      <c r="R1220" s="1">
        <v>1.3772E9</v>
      </c>
      <c r="S1220" s="1">
        <v>1.3772E9</v>
      </c>
    </row>
    <row r="1221">
      <c r="A1221" s="1">
        <v>1219.0</v>
      </c>
      <c r="B1221" s="3">
        <v>44104.0</v>
      </c>
      <c r="C1221" s="1" t="s">
        <v>649</v>
      </c>
      <c r="D1221" s="1" t="s">
        <v>650</v>
      </c>
      <c r="F1221" s="1">
        <v>2.2171E9</v>
      </c>
      <c r="G1221" s="1">
        <v>1.7626E9</v>
      </c>
      <c r="H1221" s="1">
        <v>4.547E8</v>
      </c>
      <c r="I1221" s="1">
        <v>2.9047E9</v>
      </c>
      <c r="J1221" s="1">
        <v>2.4012E9</v>
      </c>
      <c r="K1221" s="1">
        <v>2.4012E9</v>
      </c>
      <c r="L1221" s="1">
        <v>-3.101E8</v>
      </c>
      <c r="M1221" s="1">
        <v>4.545E8</v>
      </c>
      <c r="N1221" s="1">
        <v>5.4181E9</v>
      </c>
      <c r="O1221" s="1">
        <v>3.0169E9</v>
      </c>
      <c r="P1221" s="1">
        <v>2.5134E9</v>
      </c>
      <c r="Q1221" s="1">
        <v>-1.841E8</v>
      </c>
      <c r="R1221" s="1">
        <v>1.7626E9</v>
      </c>
      <c r="S1221" s="1">
        <v>1.7626E9</v>
      </c>
    </row>
    <row r="1222">
      <c r="A1222" s="1">
        <v>1220.0</v>
      </c>
      <c r="B1222" s="3">
        <v>44286.0</v>
      </c>
      <c r="C1222" s="1" t="s">
        <v>651</v>
      </c>
      <c r="D1222" s="1" t="s">
        <v>652</v>
      </c>
      <c r="F1222" s="1">
        <v>1.029E9</v>
      </c>
      <c r="G1222" s="1">
        <v>6.66E8</v>
      </c>
      <c r="H1222" s="1">
        <v>2.224E9</v>
      </c>
      <c r="I1222" s="1">
        <v>3.116E9</v>
      </c>
      <c r="J1222" s="1">
        <v>8.92E8</v>
      </c>
      <c r="K1222" s="1">
        <v>8.92E8</v>
      </c>
      <c r="L1222" s="1">
        <v>-5.2E7</v>
      </c>
      <c r="M1222" s="1">
        <v>3.16E8</v>
      </c>
      <c r="N1222" s="1">
        <v>5.9142E10</v>
      </c>
      <c r="O1222" s="1">
        <v>5.825E10</v>
      </c>
      <c r="P1222" s="1">
        <v>5.6026E10</v>
      </c>
      <c r="Q1222" s="1">
        <v>1.37E8</v>
      </c>
      <c r="R1222" s="1">
        <v>7.13E8</v>
      </c>
      <c r="S1222" s="1">
        <v>6.66E8</v>
      </c>
    </row>
    <row r="1223">
      <c r="A1223" s="1">
        <v>1221.0</v>
      </c>
      <c r="B1223" s="3">
        <v>44196.0</v>
      </c>
      <c r="C1223" s="1" t="s">
        <v>651</v>
      </c>
      <c r="D1223" s="1" t="s">
        <v>652</v>
      </c>
      <c r="F1223" s="1">
        <v>-7.363E9</v>
      </c>
      <c r="G1223" s="1">
        <v>-6.226E9</v>
      </c>
      <c r="H1223" s="1">
        <v>2.291E9</v>
      </c>
      <c r="I1223" s="1">
        <v>3.151E9</v>
      </c>
      <c r="J1223" s="1">
        <v>8.6E8</v>
      </c>
      <c r="K1223" s="1">
        <v>8.6E8</v>
      </c>
      <c r="L1223" s="1">
        <v>-5.5E7</v>
      </c>
      <c r="M1223" s="1">
        <v>-1.189E9</v>
      </c>
      <c r="N1223" s="1">
        <v>6.2599E10</v>
      </c>
      <c r="O1223" s="1">
        <v>6.1739E10</v>
      </c>
      <c r="P1223" s="1">
        <v>5.9448E10</v>
      </c>
      <c r="Q1223" s="1">
        <v>-8.223E9</v>
      </c>
      <c r="R1223" s="1">
        <v>-6.174E9</v>
      </c>
      <c r="S1223" s="1">
        <v>-6.226E9</v>
      </c>
    </row>
    <row r="1224">
      <c r="A1224" s="1">
        <v>1222.0</v>
      </c>
      <c r="B1224" s="3">
        <v>44104.0</v>
      </c>
      <c r="C1224" s="1" t="s">
        <v>651</v>
      </c>
      <c r="D1224" s="1" t="s">
        <v>652</v>
      </c>
      <c r="F1224" s="1">
        <v>6.55E8</v>
      </c>
      <c r="G1224" s="1">
        <v>5.77E8</v>
      </c>
      <c r="H1224" s="1">
        <v>2.237E9</v>
      </c>
      <c r="I1224" s="1">
        <v>3.0E9</v>
      </c>
      <c r="J1224" s="1">
        <v>7.63E8</v>
      </c>
      <c r="K1224" s="1">
        <v>7.63E8</v>
      </c>
      <c r="L1224" s="1">
        <v>-5.0E7</v>
      </c>
      <c r="M1224" s="1">
        <v>2.8E7</v>
      </c>
      <c r="N1224" s="1">
        <v>6.0808E10</v>
      </c>
      <c r="O1224" s="1">
        <v>6.0045E10</v>
      </c>
      <c r="P1224" s="1">
        <v>5.7808E10</v>
      </c>
      <c r="Q1224" s="1">
        <v>-1.08E8</v>
      </c>
      <c r="R1224" s="1">
        <v>6.27E8</v>
      </c>
      <c r="S1224" s="1">
        <v>5.77E8</v>
      </c>
    </row>
    <row r="1225">
      <c r="A1225" s="1">
        <v>1223.0</v>
      </c>
      <c r="B1225" s="3">
        <v>44012.0</v>
      </c>
      <c r="C1225" s="1" t="s">
        <v>651</v>
      </c>
      <c r="D1225" s="1" t="s">
        <v>652</v>
      </c>
      <c r="F1225" s="1">
        <v>6.45E8</v>
      </c>
      <c r="G1225" s="1">
        <v>4.44E8</v>
      </c>
      <c r="H1225" s="1">
        <v>2.097E9</v>
      </c>
      <c r="I1225" s="1">
        <v>2.7E9</v>
      </c>
      <c r="J1225" s="1">
        <v>6.03E8</v>
      </c>
      <c r="K1225" s="1">
        <v>6.03E8</v>
      </c>
      <c r="L1225" s="1">
        <v>-6.0E7</v>
      </c>
      <c r="M1225" s="1">
        <v>1.5E8</v>
      </c>
      <c r="N1225" s="1">
        <v>5.5679E10</v>
      </c>
      <c r="O1225" s="1">
        <v>5.5076E10</v>
      </c>
      <c r="P1225" s="1">
        <v>5.2979E10</v>
      </c>
      <c r="Q1225" s="1">
        <v>4.2E7</v>
      </c>
      <c r="R1225" s="1">
        <v>4.95E8</v>
      </c>
      <c r="S1225" s="1">
        <v>4.44E8</v>
      </c>
    </row>
    <row r="1226">
      <c r="A1226" s="1">
        <v>1224.0</v>
      </c>
      <c r="B1226" s="3">
        <v>44407.0</v>
      </c>
      <c r="C1226" s="1" t="s">
        <v>653</v>
      </c>
      <c r="D1226" s="1" t="s">
        <v>654</v>
      </c>
      <c r="E1226" s="1">
        <v>7.5E8</v>
      </c>
      <c r="F1226" s="1">
        <v>8.33E8</v>
      </c>
      <c r="G1226" s="1">
        <v>7.63E8</v>
      </c>
      <c r="H1226" s="1">
        <v>2.491E9</v>
      </c>
      <c r="I1226" s="1">
        <v>5.422E9</v>
      </c>
      <c r="J1226" s="1">
        <v>1.665E9</v>
      </c>
      <c r="K1226" s="1">
        <v>1.665E9</v>
      </c>
      <c r="L1226" s="1">
        <v>-1.37E8</v>
      </c>
      <c r="M1226" s="1">
        <v>6.4E7</v>
      </c>
      <c r="N1226" s="1">
        <v>7.987E9</v>
      </c>
      <c r="O1226" s="1">
        <v>6.322E9</v>
      </c>
      <c r="P1226" s="1">
        <v>2.565E9</v>
      </c>
      <c r="Q1226" s="1">
        <v>-8.32E8</v>
      </c>
      <c r="R1226" s="1">
        <v>7.69E8</v>
      </c>
      <c r="S1226" s="1">
        <v>7.63E8</v>
      </c>
    </row>
    <row r="1227">
      <c r="A1227" s="1">
        <v>1225.0</v>
      </c>
      <c r="B1227" s="3">
        <v>44316.0</v>
      </c>
      <c r="C1227" s="1" t="s">
        <v>653</v>
      </c>
      <c r="D1227" s="1" t="s">
        <v>654</v>
      </c>
      <c r="E1227" s="1">
        <v>6.32E8</v>
      </c>
      <c r="F1227" s="1">
        <v>1.566E9</v>
      </c>
      <c r="G1227" s="1">
        <v>1.36E9</v>
      </c>
      <c r="H1227" s="1">
        <v>2.51E9</v>
      </c>
      <c r="I1227" s="1">
        <v>5.568E9</v>
      </c>
      <c r="J1227" s="1">
        <v>1.98E9</v>
      </c>
      <c r="K1227" s="1">
        <v>1.98E9</v>
      </c>
      <c r="L1227" s="1">
        <v>-1.42E8</v>
      </c>
      <c r="M1227" s="1">
        <v>2.0E8</v>
      </c>
      <c r="N1227" s="1">
        <v>8.188E9</v>
      </c>
      <c r="O1227" s="1">
        <v>6.208E9</v>
      </c>
      <c r="P1227" s="1">
        <v>2.62E9</v>
      </c>
      <c r="Q1227" s="1">
        <v>-4.14E8</v>
      </c>
      <c r="R1227" s="1">
        <v>1.366E9</v>
      </c>
      <c r="S1227" s="1">
        <v>1.36E9</v>
      </c>
    </row>
    <row r="1228">
      <c r="A1228" s="1">
        <v>1226.0</v>
      </c>
      <c r="B1228" s="3">
        <v>44225.0</v>
      </c>
      <c r="C1228" s="1" t="s">
        <v>653</v>
      </c>
      <c r="D1228" s="1" t="s">
        <v>654</v>
      </c>
      <c r="E1228" s="1">
        <v>6.01E8</v>
      </c>
      <c r="F1228" s="1">
        <v>1.22E9</v>
      </c>
      <c r="G1228" s="1">
        <v>1.27E9</v>
      </c>
      <c r="H1228" s="1">
        <v>2.481E9</v>
      </c>
      <c r="I1228" s="1">
        <v>5.19E9</v>
      </c>
      <c r="J1228" s="1">
        <v>1.652E9</v>
      </c>
      <c r="K1228" s="1">
        <v>1.652E9</v>
      </c>
      <c r="L1228" s="1">
        <v>-1.43E8</v>
      </c>
      <c r="M1228" s="1">
        <v>-5.9E7</v>
      </c>
      <c r="N1228" s="1">
        <v>7.775E9</v>
      </c>
      <c r="O1228" s="1">
        <v>6.123E9</v>
      </c>
      <c r="P1228" s="1">
        <v>2.585E9</v>
      </c>
      <c r="Q1228" s="1">
        <v>-4.32E8</v>
      </c>
      <c r="R1228" s="1">
        <v>1.279E9</v>
      </c>
      <c r="S1228" s="1">
        <v>1.27E9</v>
      </c>
    </row>
    <row r="1229">
      <c r="A1229" s="1">
        <v>1227.0</v>
      </c>
      <c r="B1229" s="3">
        <v>44134.0</v>
      </c>
      <c r="C1229" s="1" t="s">
        <v>653</v>
      </c>
      <c r="D1229" s="1" t="s">
        <v>654</v>
      </c>
      <c r="E1229" s="1">
        <v>6.39E8</v>
      </c>
      <c r="F1229" s="1">
        <v>5.25E8</v>
      </c>
      <c r="G1229" s="1">
        <v>4.89E8</v>
      </c>
      <c r="H1229" s="1">
        <v>2.612E9</v>
      </c>
      <c r="I1229" s="1">
        <v>4.974E9</v>
      </c>
      <c r="J1229" s="1">
        <v>1.134E9</v>
      </c>
      <c r="K1229" s="1">
        <v>1.134E9</v>
      </c>
      <c r="L1229" s="1">
        <v>-4.7E8</v>
      </c>
      <c r="M1229" s="1">
        <v>3.1E7</v>
      </c>
      <c r="N1229" s="1">
        <v>7.647E9</v>
      </c>
      <c r="O1229" s="1">
        <v>6.513E9</v>
      </c>
      <c r="P1229" s="1">
        <v>2.673E9</v>
      </c>
      <c r="Q1229" s="1">
        <v>-6.09E8</v>
      </c>
      <c r="R1229" s="1">
        <v>4.94E8</v>
      </c>
      <c r="S1229" s="1">
        <v>4.89E8</v>
      </c>
    </row>
    <row r="1230">
      <c r="A1230" s="1">
        <v>1228.0</v>
      </c>
      <c r="B1230" s="3">
        <v>44377.0</v>
      </c>
      <c r="C1230" s="1" t="s">
        <v>655</v>
      </c>
      <c r="D1230" s="1" t="s">
        <v>656</v>
      </c>
      <c r="E1230" s="1">
        <v>2.611E9</v>
      </c>
      <c r="F1230" s="1">
        <v>1.717E9</v>
      </c>
      <c r="G1230" s="1">
        <v>1.545E9</v>
      </c>
      <c r="H1230" s="1">
        <v>2.144E9</v>
      </c>
      <c r="I1230" s="1">
        <v>8.373E9</v>
      </c>
      <c r="J1230" s="1">
        <v>3.618E9</v>
      </c>
      <c r="K1230" s="1">
        <v>3.618E9</v>
      </c>
      <c r="L1230" s="1">
        <v>-2.02E8</v>
      </c>
      <c r="M1230" s="1">
        <v>5.03E8</v>
      </c>
      <c r="N1230" s="1">
        <v>1.1402E10</v>
      </c>
      <c r="O1230" s="1">
        <v>7.784E9</v>
      </c>
      <c r="P1230" s="1">
        <v>3.029E9</v>
      </c>
      <c r="Q1230" s="1">
        <v>-1.901E9</v>
      </c>
      <c r="R1230" s="1">
        <v>1.214E9</v>
      </c>
      <c r="S1230" s="1">
        <v>1.545E9</v>
      </c>
    </row>
    <row r="1231">
      <c r="A1231" s="1">
        <v>1229.0</v>
      </c>
      <c r="B1231" s="3">
        <v>44286.0</v>
      </c>
      <c r="C1231" s="1" t="s">
        <v>655</v>
      </c>
      <c r="D1231" s="1" t="s">
        <v>656</v>
      </c>
      <c r="E1231" s="1">
        <v>2.458E9</v>
      </c>
      <c r="F1231" s="1">
        <v>3.462E9</v>
      </c>
      <c r="G1231" s="1">
        <v>3.179E9</v>
      </c>
      <c r="H1231" s="1">
        <v>2.333E9</v>
      </c>
      <c r="I1231" s="1">
        <v>8.625E9</v>
      </c>
      <c r="J1231" s="1">
        <v>3.834E9</v>
      </c>
      <c r="K1231" s="1">
        <v>3.834E9</v>
      </c>
      <c r="L1231" s="1">
        <v>-2.0E8</v>
      </c>
      <c r="M1231" s="1">
        <v>2.76E8</v>
      </c>
      <c r="N1231" s="1">
        <v>1.208E10</v>
      </c>
      <c r="O1231" s="1">
        <v>8.246E9</v>
      </c>
      <c r="P1231" s="1">
        <v>3.455E9</v>
      </c>
      <c r="Q1231" s="1">
        <v>-3.72E8</v>
      </c>
      <c r="R1231" s="1">
        <v>3.186E9</v>
      </c>
      <c r="S1231" s="1">
        <v>3.179E9</v>
      </c>
    </row>
    <row r="1232">
      <c r="A1232" s="1">
        <v>1230.0</v>
      </c>
      <c r="B1232" s="3">
        <v>44196.0</v>
      </c>
      <c r="C1232" s="1" t="s">
        <v>655</v>
      </c>
      <c r="D1232" s="1" t="s">
        <v>656</v>
      </c>
      <c r="E1232" s="1">
        <v>2.617E9</v>
      </c>
      <c r="F1232" s="1">
        <v>-1.993E9</v>
      </c>
      <c r="G1232" s="1">
        <v>-2.094E9</v>
      </c>
      <c r="H1232" s="1">
        <v>2.993E9</v>
      </c>
      <c r="I1232" s="1">
        <v>8.914E9</v>
      </c>
      <c r="J1232" s="1">
        <v>3.304E9</v>
      </c>
      <c r="K1232" s="1">
        <v>3.304E9</v>
      </c>
      <c r="L1232" s="1">
        <v>-2.07E8</v>
      </c>
      <c r="M1232" s="1">
        <v>9.8E7</v>
      </c>
      <c r="N1232" s="1">
        <v>1.2515E10</v>
      </c>
      <c r="O1232" s="1">
        <v>9.211E9</v>
      </c>
      <c r="P1232" s="1">
        <v>3.601E9</v>
      </c>
      <c r="Q1232" s="1">
        <v>-5.297E9</v>
      </c>
      <c r="R1232" s="1">
        <v>-2.091E9</v>
      </c>
      <c r="S1232" s="1">
        <v>-2.094E9</v>
      </c>
    </row>
    <row r="1233">
      <c r="A1233" s="1">
        <v>1231.0</v>
      </c>
      <c r="B1233" s="3">
        <v>44104.0</v>
      </c>
      <c r="C1233" s="1" t="s">
        <v>655</v>
      </c>
      <c r="D1233" s="1" t="s">
        <v>656</v>
      </c>
      <c r="E1233" s="1">
        <v>2.539E9</v>
      </c>
      <c r="F1233" s="1">
        <v>3.428E9</v>
      </c>
      <c r="G1233" s="1">
        <v>2.941E9</v>
      </c>
      <c r="H1233" s="1">
        <v>2.109E9</v>
      </c>
      <c r="I1233" s="1">
        <v>9.108E9</v>
      </c>
      <c r="J1233" s="1">
        <v>4.46E9</v>
      </c>
      <c r="K1233" s="1">
        <v>4.46E9</v>
      </c>
      <c r="L1233" s="1">
        <v>-2.03E8</v>
      </c>
      <c r="M1233" s="1">
        <v>4.83E8</v>
      </c>
      <c r="N1233" s="1">
        <v>1.2551E10</v>
      </c>
      <c r="O1233" s="1">
        <v>8.091E9</v>
      </c>
      <c r="P1233" s="1">
        <v>3.443E9</v>
      </c>
      <c r="Q1233" s="1">
        <v>-1.032E9</v>
      </c>
      <c r="R1233" s="1">
        <v>2.945E9</v>
      </c>
      <c r="S1233" s="1">
        <v>2.941E9</v>
      </c>
    </row>
    <row r="1234">
      <c r="A1234" s="1">
        <v>1232.0</v>
      </c>
      <c r="B1234" s="3">
        <v>44377.0</v>
      </c>
      <c r="C1234" s="1" t="s">
        <v>657</v>
      </c>
      <c r="D1234" s="1" t="s">
        <v>658</v>
      </c>
      <c r="F1234" s="1">
        <v>4.487E9</v>
      </c>
      <c r="G1234" s="1">
        <v>3.407E9</v>
      </c>
      <c r="I1234" s="1">
        <v>7.368E9</v>
      </c>
      <c r="J1234" s="1">
        <v>4.714E9</v>
      </c>
      <c r="K1234" s="1">
        <v>4.714E9</v>
      </c>
      <c r="L1234" s="1">
        <v>-2.28E8</v>
      </c>
      <c r="M1234" s="1">
        <v>1.075E9</v>
      </c>
      <c r="N1234" s="1">
        <v>1.8524E10</v>
      </c>
      <c r="O1234" s="1">
        <v>1.381E10</v>
      </c>
      <c r="P1234" s="1">
        <v>1.1156E10</v>
      </c>
      <c r="Q1234" s="1">
        <v>-2.27E8</v>
      </c>
      <c r="R1234" s="1">
        <v>3.412E9</v>
      </c>
      <c r="S1234" s="1">
        <v>3.366E9</v>
      </c>
    </row>
    <row r="1235">
      <c r="A1235" s="1">
        <v>1233.0</v>
      </c>
      <c r="B1235" s="3">
        <v>44286.0</v>
      </c>
      <c r="C1235" s="1" t="s">
        <v>657</v>
      </c>
      <c r="D1235" s="1" t="s">
        <v>658</v>
      </c>
      <c r="F1235" s="1">
        <v>2.91E8</v>
      </c>
      <c r="G1235" s="1">
        <v>3.58E8</v>
      </c>
      <c r="I1235" s="1">
        <v>3.441E9</v>
      </c>
      <c r="J1235" s="1">
        <v>5.19E8</v>
      </c>
      <c r="K1235" s="1">
        <v>5.19E8</v>
      </c>
      <c r="L1235" s="1">
        <v>-2.28E8</v>
      </c>
      <c r="M1235" s="1">
        <v>-7.2E7</v>
      </c>
      <c r="N1235" s="1">
        <v>1.5562E10</v>
      </c>
      <c r="O1235" s="1">
        <v>1.5043E10</v>
      </c>
      <c r="P1235" s="1">
        <v>1.2121E10</v>
      </c>
      <c r="Q1235" s="1">
        <v>-2.28E8</v>
      </c>
      <c r="R1235" s="1">
        <v>3.63E8</v>
      </c>
      <c r="S1235" s="1">
        <v>2.9E8</v>
      </c>
    </row>
    <row r="1236">
      <c r="A1236" s="1">
        <v>1234.0</v>
      </c>
      <c r="B1236" s="3">
        <v>44196.0</v>
      </c>
      <c r="C1236" s="1" t="s">
        <v>657</v>
      </c>
      <c r="D1236" s="1" t="s">
        <v>658</v>
      </c>
      <c r="F1236" s="1">
        <v>1.64E8</v>
      </c>
      <c r="G1236" s="1">
        <v>1.58E8</v>
      </c>
      <c r="I1236" s="1">
        <v>3.588E9</v>
      </c>
      <c r="J1236" s="1">
        <v>3.93E8</v>
      </c>
      <c r="K1236" s="1">
        <v>3.93E8</v>
      </c>
      <c r="L1236" s="1">
        <v>-2.3E8</v>
      </c>
      <c r="M1236" s="1">
        <v>6000000.0</v>
      </c>
      <c r="N1236" s="1">
        <v>1.9418E10</v>
      </c>
      <c r="O1236" s="1">
        <v>1.9025E10</v>
      </c>
      <c r="P1236" s="1">
        <v>1.583E10</v>
      </c>
      <c r="Q1236" s="1">
        <v>-2.29E8</v>
      </c>
      <c r="R1236" s="1">
        <v>1.58E8</v>
      </c>
      <c r="S1236" s="1">
        <v>1.24E8</v>
      </c>
    </row>
    <row r="1237">
      <c r="A1237" s="1">
        <v>1235.0</v>
      </c>
      <c r="B1237" s="3">
        <v>44104.0</v>
      </c>
      <c r="C1237" s="1" t="s">
        <v>657</v>
      </c>
      <c r="D1237" s="1" t="s">
        <v>658</v>
      </c>
      <c r="F1237" s="1">
        <v>9.23E8</v>
      </c>
      <c r="G1237" s="1">
        <v>7.06E8</v>
      </c>
      <c r="I1237" s="1">
        <v>4.393E9</v>
      </c>
      <c r="J1237" s="1">
        <v>1.152E9</v>
      </c>
      <c r="K1237" s="1">
        <v>1.152E9</v>
      </c>
      <c r="L1237" s="1">
        <v>-2.29E8</v>
      </c>
      <c r="M1237" s="1">
        <v>2.14E8</v>
      </c>
      <c r="N1237" s="1">
        <v>1.6015E10</v>
      </c>
      <c r="O1237" s="1">
        <v>1.4863E10</v>
      </c>
      <c r="P1237" s="1">
        <v>1.1622E10</v>
      </c>
      <c r="Q1237" s="1">
        <v>-2.29E8</v>
      </c>
      <c r="R1237" s="1">
        <v>7.09E8</v>
      </c>
      <c r="S1237" s="1">
        <v>6.33E8</v>
      </c>
    </row>
    <row r="1238">
      <c r="A1238" s="1">
        <v>1236.0</v>
      </c>
      <c r="B1238" s="3">
        <v>44286.0</v>
      </c>
      <c r="C1238" s="1" t="s">
        <v>659</v>
      </c>
      <c r="D1238" s="1" t="s">
        <v>660</v>
      </c>
      <c r="E1238" s="1">
        <v>3.9272E7</v>
      </c>
      <c r="F1238" s="1">
        <v>1.85414E8</v>
      </c>
      <c r="G1238" s="1">
        <v>1.49663E8</v>
      </c>
      <c r="H1238" s="1">
        <v>2.19215E8</v>
      </c>
      <c r="I1238" s="1">
        <v>4.71696E8</v>
      </c>
      <c r="J1238" s="1">
        <v>1.99325E8</v>
      </c>
      <c r="K1238" s="1">
        <v>1.99325E8</v>
      </c>
      <c r="L1238" s="1">
        <v>-9471000.0</v>
      </c>
      <c r="M1238" s="1">
        <v>3.5751E7</v>
      </c>
      <c r="N1238" s="1">
        <v>8.0439E8</v>
      </c>
      <c r="O1238" s="1">
        <v>6.05065E8</v>
      </c>
      <c r="P1238" s="1">
        <v>3.32694E8</v>
      </c>
      <c r="Q1238" s="1">
        <v>-1.3911E7</v>
      </c>
      <c r="R1238" s="1">
        <v>1.49663E8</v>
      </c>
      <c r="S1238" s="1">
        <v>1.49663E8</v>
      </c>
    </row>
    <row r="1239">
      <c r="A1239" s="1">
        <v>1237.0</v>
      </c>
      <c r="B1239" s="3">
        <v>44196.0</v>
      </c>
      <c r="C1239" s="1" t="s">
        <v>659</v>
      </c>
      <c r="D1239" s="1" t="s">
        <v>660</v>
      </c>
      <c r="E1239" s="1">
        <v>3.9866E7</v>
      </c>
      <c r="F1239" s="1">
        <v>2.6918E8</v>
      </c>
      <c r="G1239" s="1">
        <v>2.16295E8</v>
      </c>
      <c r="H1239" s="1">
        <v>2.23208E8</v>
      </c>
      <c r="I1239" s="1">
        <v>5.59044E8</v>
      </c>
      <c r="J1239" s="1">
        <v>2.81313E8</v>
      </c>
      <c r="K1239" s="1">
        <v>2.81313E8</v>
      </c>
      <c r="L1239" s="1">
        <v>-9505000.0</v>
      </c>
      <c r="M1239" s="1">
        <v>5.2885E7</v>
      </c>
      <c r="N1239" s="1">
        <v>9.37985E8</v>
      </c>
      <c r="O1239" s="1">
        <v>6.56672E8</v>
      </c>
      <c r="P1239" s="1">
        <v>3.78941E8</v>
      </c>
      <c r="Q1239" s="1">
        <v>-1.2133E7</v>
      </c>
      <c r="R1239" s="1">
        <v>2.16295E8</v>
      </c>
      <c r="S1239" s="1">
        <v>2.16295E8</v>
      </c>
    </row>
    <row r="1240">
      <c r="A1240" s="1">
        <v>1238.0</v>
      </c>
      <c r="B1240" s="3">
        <v>44104.0</v>
      </c>
      <c r="C1240" s="1" t="s">
        <v>659</v>
      </c>
      <c r="D1240" s="1" t="s">
        <v>660</v>
      </c>
      <c r="E1240" s="1">
        <v>3.4656E7</v>
      </c>
      <c r="F1240" s="1">
        <v>2.05809E8</v>
      </c>
      <c r="G1240" s="1">
        <v>1.61767E8</v>
      </c>
      <c r="H1240" s="1">
        <v>2.01873E8</v>
      </c>
      <c r="I1240" s="1">
        <v>4.69608E8</v>
      </c>
      <c r="J1240" s="1">
        <v>2.18958E8</v>
      </c>
      <c r="K1240" s="1">
        <v>2.18958E8</v>
      </c>
      <c r="L1240" s="1">
        <v>-9310000.0</v>
      </c>
      <c r="M1240" s="1">
        <v>4.4042E7</v>
      </c>
      <c r="N1240" s="1">
        <v>8.07357E8</v>
      </c>
      <c r="O1240" s="1">
        <v>5.88399E8</v>
      </c>
      <c r="P1240" s="1">
        <v>3.37749E8</v>
      </c>
      <c r="Q1240" s="1">
        <v>-1.3149E7</v>
      </c>
      <c r="R1240" s="1">
        <v>1.61767E8</v>
      </c>
      <c r="S1240" s="1">
        <v>1.61767E8</v>
      </c>
    </row>
    <row r="1241">
      <c r="A1241" s="1">
        <v>1239.0</v>
      </c>
      <c r="B1241" s="3">
        <v>44012.0</v>
      </c>
      <c r="C1241" s="1" t="s">
        <v>659</v>
      </c>
      <c r="D1241" s="1" t="s">
        <v>660</v>
      </c>
      <c r="E1241" s="1">
        <v>3.1193E7</v>
      </c>
      <c r="F1241" s="1">
        <v>1.55255E8</v>
      </c>
      <c r="G1241" s="1">
        <v>1.26562E8</v>
      </c>
      <c r="H1241" s="1">
        <v>1.87182E8</v>
      </c>
      <c r="I1241" s="1">
        <v>3.9797E8</v>
      </c>
      <c r="J1241" s="1">
        <v>1.65706E8</v>
      </c>
      <c r="K1241" s="1">
        <v>1.65706E8</v>
      </c>
      <c r="L1241" s="1">
        <v>-9582000.0</v>
      </c>
      <c r="M1241" s="1">
        <v>2.8693E7</v>
      </c>
      <c r="N1241" s="1">
        <v>6.90673E8</v>
      </c>
      <c r="O1241" s="1">
        <v>5.24967E8</v>
      </c>
      <c r="P1241" s="1">
        <v>2.92703E8</v>
      </c>
      <c r="Q1241" s="1">
        <v>-1.0451E7</v>
      </c>
      <c r="R1241" s="1">
        <v>1.26562E8</v>
      </c>
      <c r="S1241" s="1">
        <v>1.26562E8</v>
      </c>
    </row>
    <row r="1242">
      <c r="A1242" s="1">
        <v>1240.0</v>
      </c>
      <c r="B1242" s="3">
        <v>44377.0</v>
      </c>
      <c r="C1242" s="1" t="s">
        <v>661</v>
      </c>
      <c r="D1242" s="1" t="s">
        <v>662</v>
      </c>
      <c r="F1242" s="1">
        <v>1.2513E8</v>
      </c>
      <c r="G1242" s="1">
        <v>1.04753E8</v>
      </c>
      <c r="H1242" s="1">
        <v>6.87079E8</v>
      </c>
      <c r="I1242" s="1">
        <v>1.12231E9</v>
      </c>
      <c r="J1242" s="1">
        <v>1.51516E8</v>
      </c>
      <c r="K1242" s="1">
        <v>1.51516E8</v>
      </c>
      <c r="L1242" s="1">
        <v>-2.08772E8</v>
      </c>
      <c r="M1242" s="1">
        <v>3.4826E7</v>
      </c>
      <c r="N1242" s="1">
        <v>2.192829E9</v>
      </c>
      <c r="O1242" s="1">
        <v>2.041313E9</v>
      </c>
      <c r="P1242" s="1">
        <v>1.070519E9</v>
      </c>
      <c r="Q1242" s="1">
        <v>-2.6386E7</v>
      </c>
      <c r="R1242" s="1">
        <v>9.0304E7</v>
      </c>
      <c r="S1242" s="1">
        <v>6.7742E7</v>
      </c>
    </row>
    <row r="1243">
      <c r="A1243" s="1">
        <v>1241.0</v>
      </c>
      <c r="B1243" s="3">
        <v>44286.0</v>
      </c>
      <c r="C1243" s="1" t="s">
        <v>661</v>
      </c>
      <c r="D1243" s="1" t="s">
        <v>662</v>
      </c>
      <c r="F1243" s="1">
        <v>-4.30636E8</v>
      </c>
      <c r="G1243" s="1">
        <v>-3.31829E8</v>
      </c>
      <c r="H1243" s="1">
        <v>6.24444E8</v>
      </c>
      <c r="I1243" s="1">
        <v>7.1996E8</v>
      </c>
      <c r="J1243" s="1">
        <v>-1.9504E8</v>
      </c>
      <c r="K1243" s="1">
        <v>-1.9504E8</v>
      </c>
      <c r="L1243" s="1">
        <v>-1.60295E8</v>
      </c>
      <c r="M1243" s="1">
        <v>-9.4698E7</v>
      </c>
      <c r="N1243" s="1">
        <v>1.589686E9</v>
      </c>
      <c r="O1243" s="1">
        <v>1.784726E9</v>
      </c>
      <c r="P1243" s="1">
        <v>8.69726E8</v>
      </c>
      <c r="Q1243" s="1">
        <v>-2.35596E8</v>
      </c>
      <c r="R1243" s="1">
        <v>-3.35938E8</v>
      </c>
      <c r="S1243" s="1">
        <v>-3.41257E8</v>
      </c>
    </row>
    <row r="1244">
      <c r="A1244" s="1">
        <v>1242.0</v>
      </c>
      <c r="B1244" s="3">
        <v>44196.0</v>
      </c>
      <c r="C1244" s="1" t="s">
        <v>661</v>
      </c>
      <c r="D1244" s="1" t="s">
        <v>662</v>
      </c>
      <c r="F1244" s="1">
        <v>-5.62872E8</v>
      </c>
      <c r="G1244" s="1">
        <v>-4.47605E8</v>
      </c>
      <c r="H1244" s="1">
        <v>6.18495E8</v>
      </c>
      <c r="I1244" s="1">
        <v>5.82876E8</v>
      </c>
      <c r="J1244" s="1">
        <v>-3.34349E8</v>
      </c>
      <c r="K1244" s="1">
        <v>-3.34349E8</v>
      </c>
      <c r="L1244" s="1">
        <v>-1.85679E8</v>
      </c>
      <c r="M1244" s="1">
        <v>-1.06904E8</v>
      </c>
      <c r="N1244" s="1">
        <v>1.395287E9</v>
      </c>
      <c r="O1244" s="1">
        <v>1.729636E9</v>
      </c>
      <c r="P1244" s="1">
        <v>8.12411E8</v>
      </c>
      <c r="Q1244" s="1">
        <v>-2.28523E8</v>
      </c>
      <c r="R1244" s="1">
        <v>-4.55968E8</v>
      </c>
      <c r="S1244" s="1">
        <v>-4.54113E8</v>
      </c>
    </row>
    <row r="1245">
      <c r="A1245" s="1">
        <v>1243.0</v>
      </c>
      <c r="B1245" s="3">
        <v>44104.0</v>
      </c>
      <c r="C1245" s="1" t="s">
        <v>661</v>
      </c>
      <c r="D1245" s="1" t="s">
        <v>662</v>
      </c>
      <c r="F1245" s="1">
        <v>-6.78705E8</v>
      </c>
      <c r="G1245" s="1">
        <v>-5.34731E8</v>
      </c>
      <c r="H1245" s="1">
        <v>6.1373E8</v>
      </c>
      <c r="I1245" s="1">
        <v>3.96403E8</v>
      </c>
      <c r="J1245" s="1">
        <v>-5.11701E8</v>
      </c>
      <c r="K1245" s="1">
        <v>-5.11701E8</v>
      </c>
      <c r="L1245" s="1">
        <v>-1.73808E8</v>
      </c>
      <c r="M1245" s="1">
        <v>-7.6734E7</v>
      </c>
      <c r="N1245" s="1">
        <v>1.093603E9</v>
      </c>
      <c r="O1245" s="1">
        <v>1.605304E9</v>
      </c>
      <c r="P1245" s="1">
        <v>6.972E8</v>
      </c>
      <c r="Q1245" s="1">
        <v>-1.67004E8</v>
      </c>
      <c r="R1245" s="1">
        <v>-6.01971E8</v>
      </c>
      <c r="S1245" s="1">
        <v>-5.32954E8</v>
      </c>
    </row>
    <row r="1246">
      <c r="A1246" s="1">
        <v>1244.0</v>
      </c>
      <c r="B1246" s="3">
        <v>44377.0</v>
      </c>
      <c r="C1246" s="1" t="s">
        <v>663</v>
      </c>
      <c r="D1246" s="1" t="s">
        <v>664</v>
      </c>
      <c r="E1246" s="1">
        <v>2.384E8</v>
      </c>
      <c r="F1246" s="1">
        <v>2.97E8</v>
      </c>
      <c r="G1246" s="1">
        <v>2.528E8</v>
      </c>
      <c r="H1246" s="1">
        <v>1.737E8</v>
      </c>
      <c r="I1246" s="1">
        <v>1.0076E9</v>
      </c>
      <c r="J1246" s="1">
        <v>3.799E8</v>
      </c>
      <c r="K1246" s="1">
        <v>3.799E8</v>
      </c>
      <c r="L1246" s="1">
        <v>-7.23E7</v>
      </c>
      <c r="M1246" s="1">
        <v>4.42E7</v>
      </c>
      <c r="N1246" s="1">
        <v>1.5694E9</v>
      </c>
      <c r="O1246" s="1">
        <v>1.1895E9</v>
      </c>
      <c r="P1246" s="1">
        <v>5.618E8</v>
      </c>
      <c r="Q1246" s="1">
        <v>-8.29E7</v>
      </c>
      <c r="R1246" s="1">
        <v>2.528E8</v>
      </c>
      <c r="S1246" s="1">
        <v>2.528E8</v>
      </c>
    </row>
    <row r="1247">
      <c r="A1247" s="1">
        <v>1245.0</v>
      </c>
      <c r="B1247" s="3">
        <v>44286.0</v>
      </c>
      <c r="C1247" s="1" t="s">
        <v>663</v>
      </c>
      <c r="D1247" s="1" t="s">
        <v>664</v>
      </c>
      <c r="E1247" s="1">
        <v>2.285E8</v>
      </c>
      <c r="F1247" s="1">
        <v>1.444E8</v>
      </c>
      <c r="G1247" s="1">
        <v>1.16E8</v>
      </c>
      <c r="H1247" s="1">
        <v>1.642E8</v>
      </c>
      <c r="I1247" s="1">
        <v>9.268E8</v>
      </c>
      <c r="J1247" s="1">
        <v>3.017E8</v>
      </c>
      <c r="K1247" s="1">
        <v>3.017E8</v>
      </c>
      <c r="L1247" s="1">
        <v>-7.8E7</v>
      </c>
      <c r="M1247" s="1">
        <v>2.84E7</v>
      </c>
      <c r="N1247" s="1">
        <v>1.4671E9</v>
      </c>
      <c r="O1247" s="1">
        <v>1.1654E9</v>
      </c>
      <c r="P1247" s="1">
        <v>5.403E8</v>
      </c>
      <c r="Q1247" s="1">
        <v>-1.573E8</v>
      </c>
      <c r="R1247" s="1">
        <v>1.16E8</v>
      </c>
      <c r="S1247" s="1">
        <v>1.16E8</v>
      </c>
    </row>
    <row r="1248">
      <c r="A1248" s="1">
        <v>1246.0</v>
      </c>
      <c r="B1248" s="3">
        <v>44196.0</v>
      </c>
      <c r="C1248" s="1" t="s">
        <v>663</v>
      </c>
      <c r="D1248" s="1" t="s">
        <v>664</v>
      </c>
      <c r="E1248" s="1">
        <v>2.101E8</v>
      </c>
      <c r="F1248" s="1">
        <v>1.68E7</v>
      </c>
      <c r="G1248" s="1">
        <v>3.62E7</v>
      </c>
      <c r="H1248" s="1">
        <v>1.545E8</v>
      </c>
      <c r="I1248" s="1">
        <v>8.458E8</v>
      </c>
      <c r="J1248" s="1">
        <v>2.496E8</v>
      </c>
      <c r="K1248" s="1">
        <v>2.496E8</v>
      </c>
      <c r="L1248" s="1">
        <v>-8.65E7</v>
      </c>
      <c r="M1248" s="1">
        <v>-1.94E7</v>
      </c>
      <c r="N1248" s="1">
        <v>1.3521E9</v>
      </c>
      <c r="O1248" s="1">
        <v>1.1025E9</v>
      </c>
      <c r="P1248" s="1">
        <v>5.063E8</v>
      </c>
      <c r="Q1248" s="1">
        <v>-2.328E8</v>
      </c>
      <c r="R1248" s="1">
        <v>3.62E7</v>
      </c>
      <c r="S1248" s="1">
        <v>3.62E7</v>
      </c>
    </row>
    <row r="1249">
      <c r="A1249" s="1">
        <v>1247.0</v>
      </c>
      <c r="B1249" s="3">
        <v>44104.0</v>
      </c>
      <c r="C1249" s="1" t="s">
        <v>663</v>
      </c>
      <c r="D1249" s="1" t="s">
        <v>664</v>
      </c>
      <c r="E1249" s="1">
        <v>1.998E8</v>
      </c>
      <c r="F1249" s="1">
        <v>8.88E7</v>
      </c>
      <c r="G1249" s="1">
        <v>7.36E7</v>
      </c>
      <c r="H1249" s="1">
        <v>1.45E8</v>
      </c>
      <c r="I1249" s="1">
        <v>8.079E8</v>
      </c>
      <c r="J1249" s="1">
        <v>2.302E8</v>
      </c>
      <c r="K1249" s="1">
        <v>2.302E8</v>
      </c>
      <c r="L1249" s="1">
        <v>-9.33E7</v>
      </c>
      <c r="M1249" s="1">
        <v>1.52E7</v>
      </c>
      <c r="N1249" s="1">
        <v>1.3095E9</v>
      </c>
      <c r="O1249" s="1">
        <v>1.0793E9</v>
      </c>
      <c r="P1249" s="1">
        <v>5.016E8</v>
      </c>
      <c r="Q1249" s="1">
        <v>-1.414E8</v>
      </c>
      <c r="R1249" s="1">
        <v>7.36E7</v>
      </c>
      <c r="S1249" s="1">
        <v>7.36E7</v>
      </c>
    </row>
    <row r="1250">
      <c r="A1250" s="1">
        <v>1248.0</v>
      </c>
      <c r="B1250" s="3">
        <v>44259.0</v>
      </c>
      <c r="C1250" s="1" t="s">
        <v>665</v>
      </c>
      <c r="D1250" s="1" t="s">
        <v>666</v>
      </c>
      <c r="E1250" s="1">
        <v>6.41E8</v>
      </c>
      <c r="F1250" s="1">
        <v>6.51E8</v>
      </c>
      <c r="G1250" s="1">
        <v>6.03E8</v>
      </c>
      <c r="H1250" s="1">
        <v>2.14E8</v>
      </c>
      <c r="I1250" s="1">
        <v>1.649E9</v>
      </c>
      <c r="J1250" s="1">
        <v>6.63E8</v>
      </c>
      <c r="K1250" s="1">
        <v>6.63E8</v>
      </c>
      <c r="L1250" s="1">
        <v>-4.2E7</v>
      </c>
      <c r="M1250" s="1">
        <v>4.8E7</v>
      </c>
      <c r="N1250" s="1">
        <v>6.236E9</v>
      </c>
      <c r="O1250" s="1">
        <v>5.573E9</v>
      </c>
      <c r="P1250" s="1">
        <v>4.587E9</v>
      </c>
      <c r="Q1250" s="1">
        <v>-1.2E7</v>
      </c>
      <c r="R1250" s="1">
        <v>6.03E8</v>
      </c>
      <c r="S1250" s="1">
        <v>6.03E8</v>
      </c>
    </row>
    <row r="1251">
      <c r="A1251" s="1">
        <v>1249.0</v>
      </c>
      <c r="B1251" s="3">
        <v>44168.0</v>
      </c>
      <c r="C1251" s="1" t="s">
        <v>665</v>
      </c>
      <c r="D1251" s="1" t="s">
        <v>666</v>
      </c>
      <c r="E1251" s="1">
        <v>6.47E8</v>
      </c>
      <c r="F1251" s="1">
        <v>8.54E8</v>
      </c>
      <c r="G1251" s="1">
        <v>8.03E8</v>
      </c>
      <c r="H1251" s="1">
        <v>2.14E8</v>
      </c>
      <c r="I1251" s="1">
        <v>1.736E9</v>
      </c>
      <c r="J1251" s="1">
        <v>8.66E8</v>
      </c>
      <c r="K1251" s="1">
        <v>8.66E8</v>
      </c>
      <c r="L1251" s="1">
        <v>-4.8E7</v>
      </c>
      <c r="M1251" s="1">
        <v>5.1E7</v>
      </c>
      <c r="N1251" s="1">
        <v>5.773E9</v>
      </c>
      <c r="O1251" s="1">
        <v>4.907E9</v>
      </c>
      <c r="P1251" s="1">
        <v>4.037E9</v>
      </c>
      <c r="Q1251" s="1">
        <v>-1.2E7</v>
      </c>
      <c r="R1251" s="1">
        <v>8.03E8</v>
      </c>
      <c r="S1251" s="1">
        <v>8.03E8</v>
      </c>
    </row>
    <row r="1252">
      <c r="A1252" s="1">
        <v>1250.0</v>
      </c>
      <c r="B1252" s="3">
        <v>44077.0</v>
      </c>
      <c r="C1252" s="1" t="s">
        <v>665</v>
      </c>
      <c r="D1252" s="1" t="s">
        <v>666</v>
      </c>
      <c r="E1252" s="1">
        <v>6.3E8</v>
      </c>
      <c r="F1252" s="1">
        <v>1.126E9</v>
      </c>
      <c r="G1252" s="1">
        <v>9.88E8</v>
      </c>
      <c r="H1252" s="1">
        <v>2.31E8</v>
      </c>
      <c r="I1252" s="1">
        <v>2.068E9</v>
      </c>
      <c r="J1252" s="1">
        <v>1.204E9</v>
      </c>
      <c r="K1252" s="1">
        <v>1.204E9</v>
      </c>
      <c r="L1252" s="1">
        <v>-5.0E7</v>
      </c>
      <c r="M1252" s="1">
        <v>1.36E8</v>
      </c>
      <c r="N1252" s="1">
        <v>6.056E9</v>
      </c>
      <c r="O1252" s="1">
        <v>4.852E9</v>
      </c>
      <c r="P1252" s="1">
        <v>3.988E9</v>
      </c>
      <c r="Q1252" s="1">
        <v>-7.8E7</v>
      </c>
      <c r="R1252" s="1">
        <v>9.9E8</v>
      </c>
      <c r="S1252" s="1">
        <v>9.88E8</v>
      </c>
    </row>
    <row r="1253">
      <c r="A1253" s="1">
        <v>1251.0</v>
      </c>
      <c r="B1253" s="3">
        <v>43979.0</v>
      </c>
      <c r="C1253" s="1" t="s">
        <v>665</v>
      </c>
      <c r="D1253" s="1" t="s">
        <v>666</v>
      </c>
      <c r="E1253" s="1">
        <v>6.49E8</v>
      </c>
      <c r="F1253" s="1">
        <v>8.73E8</v>
      </c>
      <c r="G1253" s="1">
        <v>8.03E8</v>
      </c>
      <c r="H1253" s="1">
        <v>2.16E8</v>
      </c>
      <c r="I1253" s="1">
        <v>1.763E9</v>
      </c>
      <c r="J1253" s="1">
        <v>8.92E8</v>
      </c>
      <c r="K1253" s="1">
        <v>8.92E8</v>
      </c>
      <c r="L1253" s="1">
        <v>-5.1E7</v>
      </c>
      <c r="M1253" s="1">
        <v>6.8E7</v>
      </c>
      <c r="N1253" s="1">
        <v>5.438E9</v>
      </c>
      <c r="O1253" s="1">
        <v>4.546E9</v>
      </c>
      <c r="P1253" s="1">
        <v>3.675E9</v>
      </c>
      <c r="Q1253" s="1">
        <v>-1.9E7</v>
      </c>
      <c r="R1253" s="1">
        <v>8.05E8</v>
      </c>
      <c r="S1253" s="1">
        <v>8.03E8</v>
      </c>
    </row>
    <row r="1254">
      <c r="A1254" s="1">
        <v>1252.0</v>
      </c>
      <c r="B1254" s="3">
        <v>44377.0</v>
      </c>
      <c r="C1254" s="1" t="s">
        <v>667</v>
      </c>
      <c r="D1254" s="1" t="s">
        <v>668</v>
      </c>
      <c r="E1254" s="1">
        <v>5.687E9</v>
      </c>
      <c r="F1254" s="1">
        <v>1.9405E10</v>
      </c>
      <c r="G1254" s="1">
        <v>1.6458E10</v>
      </c>
      <c r="H1254" s="1">
        <v>7.379E9</v>
      </c>
      <c r="I1254" s="1">
        <v>3.2161E10</v>
      </c>
      <c r="J1254" s="1">
        <v>1.9095E10</v>
      </c>
      <c r="K1254" s="1">
        <v>1.9095E10</v>
      </c>
      <c r="L1254" s="1">
        <v>-5.49E8</v>
      </c>
      <c r="M1254" s="1">
        <v>2.947E9</v>
      </c>
      <c r="N1254" s="1">
        <v>4.6152E10</v>
      </c>
      <c r="O1254" s="1">
        <v>2.7057E10</v>
      </c>
      <c r="P1254" s="1">
        <v>1.3991E10</v>
      </c>
      <c r="Q1254" s="1">
        <v>3.1E8</v>
      </c>
      <c r="R1254" s="1">
        <v>1.6458E10</v>
      </c>
      <c r="S1254" s="1">
        <v>1.6458E10</v>
      </c>
    </row>
    <row r="1255">
      <c r="A1255" s="1">
        <v>1253.0</v>
      </c>
      <c r="B1255" s="3">
        <v>44286.0</v>
      </c>
      <c r="C1255" s="1" t="s">
        <v>667</v>
      </c>
      <c r="D1255" s="1" t="s">
        <v>668</v>
      </c>
      <c r="E1255" s="1">
        <v>5.204E9</v>
      </c>
      <c r="F1255" s="1">
        <v>1.7236E10</v>
      </c>
      <c r="G1255" s="1">
        <v>1.5457E10</v>
      </c>
      <c r="H1255" s="1">
        <v>6.409E9</v>
      </c>
      <c r="I1255" s="1">
        <v>2.8661E10</v>
      </c>
      <c r="J1255" s="1">
        <v>1.7048E10</v>
      </c>
      <c r="K1255" s="1">
        <v>1.7048E10</v>
      </c>
      <c r="L1255" s="1">
        <v>-6.28E8</v>
      </c>
      <c r="M1255" s="1">
        <v>1.779E9</v>
      </c>
      <c r="N1255" s="1">
        <v>4.1706E10</v>
      </c>
      <c r="O1255" s="1">
        <v>2.4658E10</v>
      </c>
      <c r="P1255" s="1">
        <v>1.3045E10</v>
      </c>
      <c r="Q1255" s="1">
        <v>1.88E8</v>
      </c>
      <c r="R1255" s="1">
        <v>1.5457E10</v>
      </c>
      <c r="S1255" s="1">
        <v>1.5457E10</v>
      </c>
    </row>
    <row r="1256">
      <c r="A1256" s="1">
        <v>1254.0</v>
      </c>
      <c r="B1256" s="3">
        <v>44196.0</v>
      </c>
      <c r="C1256" s="1" t="s">
        <v>667</v>
      </c>
      <c r="D1256" s="1" t="s">
        <v>668</v>
      </c>
      <c r="E1256" s="1">
        <v>4.899E9</v>
      </c>
      <c r="F1256" s="1">
        <v>1.8337E10</v>
      </c>
      <c r="G1256" s="1">
        <v>1.5463E10</v>
      </c>
      <c r="H1256" s="1">
        <v>6.086E9</v>
      </c>
      <c r="I1256" s="1">
        <v>2.8882E10</v>
      </c>
      <c r="J1256" s="1">
        <v>1.7897E10</v>
      </c>
      <c r="K1256" s="1">
        <v>1.7897E10</v>
      </c>
      <c r="L1256" s="1">
        <v>-5.68E8</v>
      </c>
      <c r="M1256" s="1">
        <v>2.874E9</v>
      </c>
      <c r="N1256" s="1">
        <v>4.3076E10</v>
      </c>
      <c r="O1256" s="1">
        <v>2.5179E10</v>
      </c>
      <c r="P1256" s="1">
        <v>1.4194E10</v>
      </c>
      <c r="Q1256" s="1">
        <v>4.4E8</v>
      </c>
      <c r="R1256" s="1">
        <v>1.5463E10</v>
      </c>
      <c r="S1256" s="1">
        <v>1.5463E10</v>
      </c>
    </row>
    <row r="1257">
      <c r="A1257" s="1">
        <v>1255.0</v>
      </c>
      <c r="B1257" s="3">
        <v>44104.0</v>
      </c>
      <c r="C1257" s="1" t="s">
        <v>667</v>
      </c>
      <c r="D1257" s="1" t="s">
        <v>668</v>
      </c>
      <c r="E1257" s="1">
        <v>4.926E9</v>
      </c>
      <c r="F1257" s="1">
        <v>1.6124E10</v>
      </c>
      <c r="G1257" s="1">
        <v>1.3893E10</v>
      </c>
      <c r="H1257" s="1">
        <v>5.35E9</v>
      </c>
      <c r="I1257" s="1">
        <v>2.6152E10</v>
      </c>
      <c r="J1257" s="1">
        <v>1.5876E10</v>
      </c>
      <c r="K1257" s="1">
        <v>1.5876E10</v>
      </c>
      <c r="L1257" s="1">
        <v>-5.85E8</v>
      </c>
      <c r="M1257" s="1">
        <v>2.231E9</v>
      </c>
      <c r="N1257" s="1">
        <v>3.7154E10</v>
      </c>
      <c r="O1257" s="1">
        <v>2.1278E10</v>
      </c>
      <c r="P1257" s="1">
        <v>1.1002E10</v>
      </c>
      <c r="Q1257" s="1">
        <v>2.48E8</v>
      </c>
      <c r="R1257" s="1">
        <v>1.3893E10</v>
      </c>
      <c r="S1257" s="1">
        <v>1.3893E10</v>
      </c>
    </row>
    <row r="1258">
      <c r="A1258" s="1">
        <v>1256.0</v>
      </c>
      <c r="B1258" s="3">
        <v>44377.0</v>
      </c>
      <c r="C1258" s="1" t="s">
        <v>669</v>
      </c>
      <c r="D1258" s="1" t="s">
        <v>670</v>
      </c>
      <c r="F1258" s="1">
        <v>2.2592E8</v>
      </c>
      <c r="G1258" s="1">
        <v>2.16478E8</v>
      </c>
      <c r="H1258" s="1">
        <v>1.3114E7</v>
      </c>
      <c r="I1258" s="1">
        <v>2.54414E8</v>
      </c>
      <c r="J1258" s="1">
        <v>1.09476E8</v>
      </c>
      <c r="K1258" s="1">
        <v>1.09476E8</v>
      </c>
      <c r="L1258" s="1">
        <v>-3.8867E7</v>
      </c>
      <c r="M1258" s="1">
        <v>2045000.0</v>
      </c>
      <c r="N1258" s="1">
        <v>4.36927E8</v>
      </c>
      <c r="O1258" s="1">
        <v>3.27451E8</v>
      </c>
      <c r="P1258" s="1">
        <v>1.82513E8</v>
      </c>
      <c r="Q1258" s="1">
        <v>1.16444E8</v>
      </c>
      <c r="R1258" s="1">
        <v>2.23875E8</v>
      </c>
      <c r="S1258" s="1">
        <v>2.15322E8</v>
      </c>
    </row>
    <row r="1259">
      <c r="A1259" s="1">
        <v>1257.0</v>
      </c>
      <c r="B1259" s="3">
        <v>44286.0</v>
      </c>
      <c r="C1259" s="1" t="s">
        <v>669</v>
      </c>
      <c r="D1259" s="1" t="s">
        <v>670</v>
      </c>
      <c r="F1259" s="1">
        <v>4.9863E7</v>
      </c>
      <c r="G1259" s="1">
        <v>4.7193E7</v>
      </c>
      <c r="H1259" s="1">
        <v>1.2979E7</v>
      </c>
      <c r="I1259" s="1">
        <v>2.49598E8</v>
      </c>
      <c r="J1259" s="1">
        <v>1.05116E8</v>
      </c>
      <c r="K1259" s="1">
        <v>1.05116E8</v>
      </c>
      <c r="L1259" s="1">
        <v>-3.9672E7</v>
      </c>
      <c r="M1259" s="1">
        <v>999000.0</v>
      </c>
      <c r="N1259" s="1">
        <v>4.25005E8</v>
      </c>
      <c r="O1259" s="1">
        <v>3.19889E8</v>
      </c>
      <c r="P1259" s="1">
        <v>1.75407E8</v>
      </c>
      <c r="Q1259" s="1">
        <v>-5.5253E7</v>
      </c>
      <c r="R1259" s="1">
        <v>4.8864E7</v>
      </c>
      <c r="S1259" s="1">
        <v>4.6217E7</v>
      </c>
    </row>
    <row r="1260">
      <c r="A1260" s="1">
        <v>1258.0</v>
      </c>
      <c r="B1260" s="3">
        <v>44196.0</v>
      </c>
      <c r="C1260" s="1" t="s">
        <v>669</v>
      </c>
      <c r="D1260" s="1" t="s">
        <v>670</v>
      </c>
      <c r="F1260" s="1">
        <v>8.7094E7</v>
      </c>
      <c r="G1260" s="1">
        <v>8.3342E7</v>
      </c>
      <c r="H1260" s="1">
        <v>1.1677E7</v>
      </c>
      <c r="I1260" s="1">
        <v>2.50411E8</v>
      </c>
      <c r="J1260" s="1">
        <v>1.09149E8</v>
      </c>
      <c r="K1260" s="1">
        <v>1.09149E8</v>
      </c>
      <c r="L1260" s="1">
        <v>-4.0952E7</v>
      </c>
      <c r="M1260" s="1">
        <v>795000.0</v>
      </c>
      <c r="N1260" s="1">
        <v>4.23661E8</v>
      </c>
      <c r="O1260" s="1">
        <v>3.14512E8</v>
      </c>
      <c r="P1260" s="1">
        <v>1.7325E8</v>
      </c>
      <c r="Q1260" s="1">
        <v>-2.2055E7</v>
      </c>
      <c r="R1260" s="1">
        <v>8.6299E7</v>
      </c>
      <c r="S1260" s="1">
        <v>8.2311E7</v>
      </c>
    </row>
    <row r="1261">
      <c r="A1261" s="1">
        <v>1259.0</v>
      </c>
      <c r="B1261" s="3">
        <v>44104.0</v>
      </c>
      <c r="C1261" s="1" t="s">
        <v>669</v>
      </c>
      <c r="D1261" s="1" t="s">
        <v>670</v>
      </c>
      <c r="F1261" s="1">
        <v>6.2701E7</v>
      </c>
      <c r="G1261" s="1">
        <v>5.991E7</v>
      </c>
      <c r="H1261" s="1">
        <v>1.136E7</v>
      </c>
      <c r="I1261" s="1">
        <v>2.40694E8</v>
      </c>
      <c r="J1261" s="1">
        <v>1.01655E8</v>
      </c>
      <c r="K1261" s="1">
        <v>1.01655E8</v>
      </c>
      <c r="L1261" s="1">
        <v>-4.101E7</v>
      </c>
      <c r="M1261" s="1">
        <v>665000.0</v>
      </c>
      <c r="N1261" s="1">
        <v>4.23199E8</v>
      </c>
      <c r="O1261" s="1">
        <v>3.21544E8</v>
      </c>
      <c r="P1261" s="1">
        <v>1.82505E8</v>
      </c>
      <c r="Q1261" s="1">
        <v>-3.8954E7</v>
      </c>
      <c r="R1261" s="1">
        <v>6.2036E7</v>
      </c>
      <c r="S1261" s="1">
        <v>5.891E7</v>
      </c>
    </row>
    <row r="1262">
      <c r="A1262" s="1">
        <v>1260.0</v>
      </c>
      <c r="B1262" s="3">
        <v>44377.0</v>
      </c>
      <c r="C1262" s="1" t="s">
        <v>671</v>
      </c>
      <c r="D1262" s="1" t="s">
        <v>672</v>
      </c>
      <c r="F1262" s="1">
        <v>3.063E9</v>
      </c>
      <c r="G1262" s="1">
        <v>2.78E9</v>
      </c>
      <c r="H1262" s="1">
        <v>1.21E8</v>
      </c>
      <c r="I1262" s="1">
        <v>3.183E9</v>
      </c>
      <c r="J1262" s="1">
        <v>3.062E9</v>
      </c>
      <c r="K1262" s="1">
        <v>3.062E9</v>
      </c>
      <c r="L1262" s="1">
        <v>-5000000.0</v>
      </c>
      <c r="M1262" s="1">
        <v>2.83E8</v>
      </c>
      <c r="N1262" s="1">
        <v>4.354E9</v>
      </c>
      <c r="O1262" s="1">
        <v>1.292E9</v>
      </c>
      <c r="P1262" s="1">
        <v>1.171E9</v>
      </c>
      <c r="Q1262" s="1">
        <v>1000000.0</v>
      </c>
      <c r="R1262" s="1">
        <v>2.78E9</v>
      </c>
      <c r="S1262" s="1">
        <v>2.78E9</v>
      </c>
    </row>
    <row r="1263">
      <c r="A1263" s="1">
        <v>1261.0</v>
      </c>
      <c r="B1263" s="3">
        <v>44286.0</v>
      </c>
      <c r="C1263" s="1" t="s">
        <v>671</v>
      </c>
      <c r="D1263" s="1" t="s">
        <v>672</v>
      </c>
      <c r="F1263" s="1">
        <v>1.26E9</v>
      </c>
      <c r="G1263" s="1">
        <v>1.221E9</v>
      </c>
      <c r="H1263" s="1">
        <v>7.7E7</v>
      </c>
      <c r="I1263" s="1">
        <v>1.343E9</v>
      </c>
      <c r="J1263" s="1">
        <v>1.266E9</v>
      </c>
      <c r="K1263" s="1">
        <v>1.266E9</v>
      </c>
      <c r="L1263" s="1">
        <v>-3000000.0</v>
      </c>
      <c r="M1263" s="1">
        <v>3.9E7</v>
      </c>
      <c r="N1263" s="1">
        <v>1.937E9</v>
      </c>
      <c r="O1263" s="1">
        <v>6.71E8</v>
      </c>
      <c r="P1263" s="1">
        <v>5.94E8</v>
      </c>
      <c r="Q1263" s="1">
        <v>-6000000.0</v>
      </c>
      <c r="R1263" s="1">
        <v>1.221E9</v>
      </c>
      <c r="S1263" s="1">
        <v>1.221E9</v>
      </c>
    </row>
    <row r="1264">
      <c r="A1264" s="1">
        <v>1262.0</v>
      </c>
      <c r="B1264" s="3">
        <v>44196.0</v>
      </c>
      <c r="C1264" s="1" t="s">
        <v>671</v>
      </c>
      <c r="D1264" s="1" t="s">
        <v>672</v>
      </c>
      <c r="F1264" s="1">
        <v>-2.71012E8</v>
      </c>
      <c r="G1264" s="1">
        <v>-2.72485E8</v>
      </c>
      <c r="H1264" s="1">
        <v>7.899E7</v>
      </c>
      <c r="I1264" s="1">
        <v>-1.96048E8</v>
      </c>
      <c r="J1264" s="1">
        <v>-2.75038E8</v>
      </c>
      <c r="K1264" s="1">
        <v>-2.75038E8</v>
      </c>
      <c r="L1264" s="1">
        <v>-3508000.0</v>
      </c>
      <c r="M1264" s="1">
        <v>1473000.0</v>
      </c>
      <c r="N1264" s="1">
        <v>5.70745E8</v>
      </c>
      <c r="O1264" s="1">
        <v>8.45783E8</v>
      </c>
      <c r="P1264" s="1">
        <v>7.66793E8</v>
      </c>
      <c r="Q1264" s="1">
        <v>4026000.0</v>
      </c>
      <c r="R1264" s="1">
        <v>-2.72485E8</v>
      </c>
      <c r="S1264" s="1">
        <v>-2.72485E8</v>
      </c>
    </row>
    <row r="1265">
      <c r="A1265" s="1">
        <v>1263.0</v>
      </c>
      <c r="B1265" s="3">
        <v>44104.0</v>
      </c>
      <c r="C1265" s="1" t="s">
        <v>671</v>
      </c>
      <c r="D1265" s="1" t="s">
        <v>672</v>
      </c>
      <c r="F1265" s="1">
        <v>-2.32772E8</v>
      </c>
      <c r="G1265" s="1">
        <v>-2.33636E8</v>
      </c>
      <c r="H1265" s="1">
        <v>4.8541E7</v>
      </c>
      <c r="I1265" s="1">
        <v>-1.86576E8</v>
      </c>
      <c r="J1265" s="1">
        <v>-2.35117E8</v>
      </c>
      <c r="K1265" s="1">
        <v>-2.35117E8</v>
      </c>
      <c r="L1265" s="1">
        <v>-2834000.0</v>
      </c>
      <c r="M1265" s="1">
        <v>864000.0</v>
      </c>
      <c r="N1265" s="1">
        <v>1.5791E8</v>
      </c>
      <c r="O1265" s="1">
        <v>3.93027E8</v>
      </c>
      <c r="P1265" s="1">
        <v>3.44486E8</v>
      </c>
      <c r="Q1265" s="1">
        <v>2345000.0</v>
      </c>
      <c r="R1265" s="1">
        <v>-2.33636E8</v>
      </c>
      <c r="S1265" s="1">
        <v>-2.33636E8</v>
      </c>
    </row>
    <row r="1266">
      <c r="A1266" s="1">
        <v>1264.0</v>
      </c>
      <c r="B1266" s="3">
        <v>44380.0</v>
      </c>
      <c r="C1266" s="1" t="s">
        <v>673</v>
      </c>
      <c r="D1266" s="1" t="s">
        <v>674</v>
      </c>
      <c r="F1266" s="1">
        <v>4.00698E8</v>
      </c>
      <c r="G1266" s="1">
        <v>3.36285E8</v>
      </c>
      <c r="H1266" s="1">
        <v>4.96302E8</v>
      </c>
      <c r="I1266" s="1">
        <v>9.07506E8</v>
      </c>
      <c r="J1266" s="1">
        <v>4.11204E8</v>
      </c>
      <c r="K1266" s="1">
        <v>4.11204E8</v>
      </c>
      <c r="L1266" s="1">
        <v>-1.4894E7</v>
      </c>
      <c r="M1266" s="1">
        <v>6.4245E7</v>
      </c>
      <c r="N1266" s="1">
        <v>2.953833E9</v>
      </c>
      <c r="O1266" s="1">
        <v>2.542629E9</v>
      </c>
      <c r="P1266" s="1">
        <v>2.046327E9</v>
      </c>
      <c r="Q1266" s="1">
        <v>-1.0506E7</v>
      </c>
      <c r="R1266" s="1">
        <v>3.36453E8</v>
      </c>
      <c r="S1266" s="1">
        <v>3.36285E8</v>
      </c>
    </row>
    <row r="1267">
      <c r="A1267" s="1">
        <v>1265.0</v>
      </c>
      <c r="B1267" s="3">
        <v>44289.0</v>
      </c>
      <c r="C1267" s="1" t="s">
        <v>673</v>
      </c>
      <c r="D1267" s="1" t="s">
        <v>674</v>
      </c>
      <c r="F1267" s="1">
        <v>3.04501E8</v>
      </c>
      <c r="G1267" s="1">
        <v>2.36807E8</v>
      </c>
      <c r="H1267" s="1">
        <v>4.73252E8</v>
      </c>
      <c r="I1267" s="1">
        <v>8.01951E8</v>
      </c>
      <c r="J1267" s="1">
        <v>3.28699E8</v>
      </c>
      <c r="K1267" s="1">
        <v>3.28699E8</v>
      </c>
      <c r="L1267" s="1">
        <v>-1.5241E7</v>
      </c>
      <c r="M1267" s="1">
        <v>6.769E7</v>
      </c>
      <c r="N1267" s="1">
        <v>2.669026E9</v>
      </c>
      <c r="O1267" s="1">
        <v>2.340327E9</v>
      </c>
      <c r="P1267" s="1">
        <v>1.867075E9</v>
      </c>
      <c r="Q1267" s="1">
        <v>-2.4198E7</v>
      </c>
      <c r="R1267" s="1">
        <v>2.36811E8</v>
      </c>
      <c r="S1267" s="1">
        <v>2.36807E8</v>
      </c>
    </row>
    <row r="1268">
      <c r="A1268" s="1">
        <v>1266.0</v>
      </c>
      <c r="B1268" s="3">
        <v>44196.0</v>
      </c>
      <c r="C1268" s="1" t="s">
        <v>673</v>
      </c>
      <c r="D1268" s="1" t="s">
        <v>674</v>
      </c>
      <c r="F1268" s="1">
        <v>2.73577E8</v>
      </c>
      <c r="G1268" s="1">
        <v>2.48221E8</v>
      </c>
      <c r="H1268" s="1">
        <v>4.52079E8</v>
      </c>
      <c r="I1268" s="1">
        <v>7.60931E8</v>
      </c>
      <c r="J1268" s="1">
        <v>3.08852E8</v>
      </c>
      <c r="K1268" s="1">
        <v>3.08852E8</v>
      </c>
      <c r="L1268" s="1">
        <v>-1.5898E7</v>
      </c>
      <c r="M1268" s="1">
        <v>2.518E7</v>
      </c>
      <c r="N1268" s="1">
        <v>2.641764E9</v>
      </c>
      <c r="O1268" s="1">
        <v>2.332912E9</v>
      </c>
      <c r="P1268" s="1">
        <v>1.880833E9</v>
      </c>
      <c r="Q1268" s="1">
        <v>-3.5275E7</v>
      </c>
      <c r="R1268" s="1">
        <v>2.48397E8</v>
      </c>
      <c r="S1268" s="1">
        <v>2.48221E8</v>
      </c>
    </row>
    <row r="1269">
      <c r="A1269" s="1">
        <v>1267.0</v>
      </c>
      <c r="B1269" s="3">
        <v>44100.0</v>
      </c>
      <c r="C1269" s="1" t="s">
        <v>673</v>
      </c>
      <c r="D1269" s="1" t="s">
        <v>674</v>
      </c>
      <c r="F1269" s="1">
        <v>2.48616E8</v>
      </c>
      <c r="G1269" s="1">
        <v>2.05117E8</v>
      </c>
      <c r="H1269" s="1">
        <v>4.34691E8</v>
      </c>
      <c r="I1269" s="1">
        <v>7.23909E8</v>
      </c>
      <c r="J1269" s="1">
        <v>2.89218E8</v>
      </c>
      <c r="K1269" s="1">
        <v>2.89218E8</v>
      </c>
      <c r="L1269" s="1">
        <v>-1.4854E7</v>
      </c>
      <c r="M1269" s="1">
        <v>4.3163E7</v>
      </c>
      <c r="N1269" s="1">
        <v>2.57487E9</v>
      </c>
      <c r="O1269" s="1">
        <v>2.285652E9</v>
      </c>
      <c r="P1269" s="1">
        <v>1.850961E9</v>
      </c>
      <c r="Q1269" s="1">
        <v>-4.0602E7</v>
      </c>
      <c r="R1269" s="1">
        <v>2.05453E8</v>
      </c>
      <c r="S1269" s="1">
        <v>2.05117E8</v>
      </c>
    </row>
    <row r="1270">
      <c r="A1270" s="1">
        <v>1268.0</v>
      </c>
      <c r="B1270" s="3">
        <v>44377.0</v>
      </c>
      <c r="C1270" s="1" t="s">
        <v>675</v>
      </c>
      <c r="D1270" s="1" t="s">
        <v>676</v>
      </c>
      <c r="F1270" s="1">
        <v>5.226E8</v>
      </c>
      <c r="G1270" s="1">
        <v>3.886E8</v>
      </c>
      <c r="H1270" s="1">
        <v>6.687E8</v>
      </c>
      <c r="I1270" s="1">
        <v>1.2715E9</v>
      </c>
      <c r="J1270" s="1">
        <v>6.028E8</v>
      </c>
      <c r="K1270" s="1">
        <v>6.028E8</v>
      </c>
      <c r="L1270" s="1">
        <v>-7.07E7</v>
      </c>
      <c r="M1270" s="1">
        <v>1.323E8</v>
      </c>
      <c r="N1270" s="1">
        <v>2.9394E9</v>
      </c>
      <c r="O1270" s="1">
        <v>2.3366E9</v>
      </c>
      <c r="P1270" s="1">
        <v>1.6679E9</v>
      </c>
      <c r="Q1270" s="1">
        <v>-8.02E7</v>
      </c>
      <c r="R1270" s="1">
        <v>3.903E8</v>
      </c>
      <c r="S1270" s="1">
        <v>3.886E8</v>
      </c>
    </row>
    <row r="1271">
      <c r="A1271" s="1">
        <v>1269.0</v>
      </c>
      <c r="B1271" s="3">
        <v>44286.0</v>
      </c>
      <c r="C1271" s="1" t="s">
        <v>675</v>
      </c>
      <c r="D1271" s="1" t="s">
        <v>676</v>
      </c>
      <c r="F1271" s="1">
        <v>1.263E8</v>
      </c>
      <c r="G1271" s="1">
        <v>8.41E7</v>
      </c>
      <c r="H1271" s="1">
        <v>5.299E8</v>
      </c>
      <c r="I1271" s="1">
        <v>7.31E8</v>
      </c>
      <c r="J1271" s="1">
        <v>2.011E8</v>
      </c>
      <c r="K1271" s="1">
        <v>2.011E8</v>
      </c>
      <c r="L1271" s="1">
        <v>-6.82E7</v>
      </c>
      <c r="M1271" s="1">
        <v>4.43E7</v>
      </c>
      <c r="N1271" s="1">
        <v>1.8984E9</v>
      </c>
      <c r="O1271" s="1">
        <v>1.6973E9</v>
      </c>
      <c r="P1271" s="1">
        <v>1.1674E9</v>
      </c>
      <c r="Q1271" s="1">
        <v>-7.48E7</v>
      </c>
      <c r="R1271" s="1">
        <v>8.2E7</v>
      </c>
      <c r="S1271" s="1">
        <v>8.41E7</v>
      </c>
    </row>
    <row r="1272">
      <c r="A1272" s="1">
        <v>1270.0</v>
      </c>
      <c r="B1272" s="3">
        <v>44196.0</v>
      </c>
      <c r="C1272" s="1" t="s">
        <v>675</v>
      </c>
      <c r="D1272" s="1" t="s">
        <v>676</v>
      </c>
      <c r="F1272" s="1">
        <v>-1.3373E9</v>
      </c>
      <c r="G1272" s="1">
        <v>-1.3698E9</v>
      </c>
      <c r="H1272" s="1">
        <v>6.407E8</v>
      </c>
      <c r="I1272" s="1">
        <v>8.952E8</v>
      </c>
      <c r="J1272" s="1">
        <v>2.545E8</v>
      </c>
      <c r="K1272" s="1">
        <v>2.545E8</v>
      </c>
      <c r="L1272" s="1">
        <v>-5.68E7</v>
      </c>
      <c r="M1272" s="1">
        <v>3.66E7</v>
      </c>
      <c r="N1272" s="1">
        <v>2.2943E9</v>
      </c>
      <c r="O1272" s="1">
        <v>2.0398E9</v>
      </c>
      <c r="P1272" s="1">
        <v>1.3991E9</v>
      </c>
      <c r="Q1272" s="1">
        <v>-1.5918E9</v>
      </c>
      <c r="R1272" s="1">
        <v>-1.3739E9</v>
      </c>
      <c r="S1272" s="1">
        <v>-1.3698E9</v>
      </c>
    </row>
    <row r="1273">
      <c r="A1273" s="1">
        <v>1271.0</v>
      </c>
      <c r="B1273" s="3">
        <v>44104.0</v>
      </c>
      <c r="C1273" s="1" t="s">
        <v>675</v>
      </c>
      <c r="D1273" s="1" t="s">
        <v>676</v>
      </c>
      <c r="F1273" s="1">
        <v>4.504E8</v>
      </c>
      <c r="G1273" s="1">
        <v>3.428E8</v>
      </c>
      <c r="H1273" s="1">
        <v>6.269E8</v>
      </c>
      <c r="I1273" s="1">
        <v>1.2025E9</v>
      </c>
      <c r="J1273" s="1">
        <v>5.756E8</v>
      </c>
      <c r="K1273" s="1">
        <v>5.756E8</v>
      </c>
      <c r="L1273" s="1">
        <v>-7.07E7</v>
      </c>
      <c r="M1273" s="1">
        <v>1.04E8</v>
      </c>
      <c r="N1273" s="1">
        <v>2.7535E9</v>
      </c>
      <c r="O1273" s="1">
        <v>2.1779E9</v>
      </c>
      <c r="P1273" s="1">
        <v>1.551E9</v>
      </c>
      <c r="Q1273" s="1">
        <v>-1.252E8</v>
      </c>
      <c r="R1273" s="1">
        <v>3.464E8</v>
      </c>
      <c r="S1273" s="1">
        <v>3.428E8</v>
      </c>
    </row>
    <row r="1274">
      <c r="A1274" s="1">
        <v>1272.0</v>
      </c>
      <c r="B1274" s="3">
        <v>44377.0</v>
      </c>
      <c r="C1274" s="1" t="s">
        <v>677</v>
      </c>
      <c r="D1274" s="1" t="s">
        <v>678</v>
      </c>
      <c r="F1274" s="1">
        <v>1.477E9</v>
      </c>
      <c r="G1274" s="1">
        <v>1.078E9</v>
      </c>
      <c r="H1274" s="1">
        <v>1.525E9</v>
      </c>
      <c r="I1274" s="1">
        <v>2.631E9</v>
      </c>
      <c r="J1274" s="1">
        <v>1.074E9</v>
      </c>
      <c r="K1274" s="1">
        <v>1.074E9</v>
      </c>
      <c r="L1274" s="1">
        <v>-8.7E7</v>
      </c>
      <c r="M1274" s="1">
        <v>3.98E8</v>
      </c>
      <c r="N1274" s="1">
        <v>6.642E9</v>
      </c>
      <c r="O1274" s="1">
        <v>5.568E9</v>
      </c>
      <c r="P1274" s="1">
        <v>4.011E9</v>
      </c>
      <c r="Q1274" s="1">
        <v>4.03E8</v>
      </c>
      <c r="R1274" s="1">
        <v>1.079E9</v>
      </c>
      <c r="S1274" s="1">
        <v>1.078E9</v>
      </c>
    </row>
    <row r="1275">
      <c r="A1275" s="1">
        <v>1273.0</v>
      </c>
      <c r="B1275" s="3">
        <v>44286.0</v>
      </c>
      <c r="C1275" s="1" t="s">
        <v>677</v>
      </c>
      <c r="D1275" s="1" t="s">
        <v>678</v>
      </c>
      <c r="F1275" s="1">
        <v>1.18E9</v>
      </c>
      <c r="G1275" s="1">
        <v>9.61E8</v>
      </c>
      <c r="H1275" s="1">
        <v>1.515E9</v>
      </c>
      <c r="I1275" s="1">
        <v>2.966E9</v>
      </c>
      <c r="J1275" s="1">
        <v>1.413E9</v>
      </c>
      <c r="K1275" s="1">
        <v>1.413E9</v>
      </c>
      <c r="L1275" s="1">
        <v>-9.5E7</v>
      </c>
      <c r="M1275" s="1">
        <v>2.12E8</v>
      </c>
      <c r="N1275" s="1">
        <v>7.238E9</v>
      </c>
      <c r="O1275" s="1">
        <v>5.825E9</v>
      </c>
      <c r="P1275" s="1">
        <v>4.272E9</v>
      </c>
      <c r="Q1275" s="1">
        <v>-2.33E8</v>
      </c>
      <c r="R1275" s="1">
        <v>9.68E8</v>
      </c>
      <c r="S1275" s="1">
        <v>9.61E8</v>
      </c>
    </row>
    <row r="1276">
      <c r="A1276" s="1">
        <v>1274.0</v>
      </c>
      <c r="B1276" s="3">
        <v>44196.0</v>
      </c>
      <c r="C1276" s="1" t="s">
        <v>677</v>
      </c>
      <c r="D1276" s="1" t="s">
        <v>678</v>
      </c>
      <c r="F1276" s="1">
        <v>1.503E9</v>
      </c>
      <c r="G1276" s="1">
        <v>1.156E9</v>
      </c>
      <c r="H1276" s="1">
        <v>1.599E9</v>
      </c>
      <c r="I1276" s="1">
        <v>2.872E9</v>
      </c>
      <c r="J1276" s="1">
        <v>1.222E9</v>
      </c>
      <c r="K1276" s="1">
        <v>1.222E9</v>
      </c>
      <c r="L1276" s="1">
        <v>-9.0E7</v>
      </c>
      <c r="M1276" s="1">
        <v>3.44E8</v>
      </c>
      <c r="N1276" s="1">
        <v>7.298E9</v>
      </c>
      <c r="O1276" s="1">
        <v>6.076E9</v>
      </c>
      <c r="P1276" s="1">
        <v>4.426E9</v>
      </c>
      <c r="Q1276" s="1">
        <v>2.81E8</v>
      </c>
      <c r="R1276" s="1">
        <v>1.159E9</v>
      </c>
      <c r="S1276" s="1">
        <v>1.156E9</v>
      </c>
    </row>
    <row r="1277">
      <c r="A1277" s="1">
        <v>1275.0</v>
      </c>
      <c r="B1277" s="3">
        <v>44104.0</v>
      </c>
      <c r="C1277" s="1" t="s">
        <v>677</v>
      </c>
      <c r="D1277" s="1" t="s">
        <v>678</v>
      </c>
      <c r="F1277" s="1">
        <v>1.513E9</v>
      </c>
      <c r="G1277" s="1">
        <v>1.119E9</v>
      </c>
      <c r="H1277" s="1">
        <v>1.446E9</v>
      </c>
      <c r="I1277" s="1">
        <v>2.792E9</v>
      </c>
      <c r="J1277" s="1">
        <v>1.296E9</v>
      </c>
      <c r="K1277" s="1">
        <v>1.296E9</v>
      </c>
      <c r="L1277" s="1">
        <v>-1.04E8</v>
      </c>
      <c r="M1277" s="1">
        <v>3.91E8</v>
      </c>
      <c r="N1277" s="1">
        <v>6.665E9</v>
      </c>
      <c r="O1277" s="1">
        <v>5.369E9</v>
      </c>
      <c r="P1277" s="1">
        <v>3.873E9</v>
      </c>
      <c r="Q1277" s="1">
        <v>2.17E8</v>
      </c>
      <c r="R1277" s="1">
        <v>1.122E9</v>
      </c>
      <c r="S1277" s="1">
        <v>1.119E9</v>
      </c>
    </row>
    <row r="1278">
      <c r="A1278" s="1">
        <v>1276.0</v>
      </c>
      <c r="B1278" s="3">
        <v>44377.0</v>
      </c>
      <c r="C1278" s="1" t="s">
        <v>679</v>
      </c>
      <c r="D1278" s="1" t="s">
        <v>680</v>
      </c>
      <c r="E1278" s="1">
        <v>4.4753E7</v>
      </c>
      <c r="F1278" s="1">
        <v>6.3659E7</v>
      </c>
      <c r="G1278" s="1">
        <v>5.5169E7</v>
      </c>
      <c r="H1278" s="1">
        <v>5.7238E7</v>
      </c>
      <c r="I1278" s="1">
        <v>1.64215E8</v>
      </c>
      <c r="J1278" s="1">
        <v>6.2224E7</v>
      </c>
      <c r="K1278" s="1">
        <v>6.2224E7</v>
      </c>
      <c r="M1278" s="1">
        <v>8490000.0</v>
      </c>
      <c r="N1278" s="1">
        <v>2.93317E8</v>
      </c>
      <c r="O1278" s="1">
        <v>2.31093E8</v>
      </c>
      <c r="P1278" s="1">
        <v>1.29102E8</v>
      </c>
      <c r="Q1278" s="1">
        <v>1435000.0</v>
      </c>
      <c r="R1278" s="1">
        <v>5.5169E7</v>
      </c>
      <c r="S1278" s="1">
        <v>5.5169E7</v>
      </c>
    </row>
    <row r="1279">
      <c r="A1279" s="1">
        <v>1277.0</v>
      </c>
      <c r="B1279" s="3">
        <v>44286.0</v>
      </c>
      <c r="C1279" s="1" t="s">
        <v>679</v>
      </c>
      <c r="D1279" s="1" t="s">
        <v>680</v>
      </c>
      <c r="E1279" s="1">
        <v>4.1892E7</v>
      </c>
      <c r="F1279" s="1">
        <v>4.8673E7</v>
      </c>
      <c r="G1279" s="1">
        <v>4.5413E7</v>
      </c>
      <c r="H1279" s="1">
        <v>5.1453E7</v>
      </c>
      <c r="I1279" s="1">
        <v>1.41059E8</v>
      </c>
      <c r="J1279" s="1">
        <v>4.7714E7</v>
      </c>
      <c r="K1279" s="1">
        <v>4.7714E7</v>
      </c>
      <c r="M1279" s="1">
        <v>3260000.0</v>
      </c>
      <c r="N1279" s="1">
        <v>2.54455E8</v>
      </c>
      <c r="O1279" s="1">
        <v>2.06741E8</v>
      </c>
      <c r="P1279" s="1">
        <v>1.13396E8</v>
      </c>
      <c r="Q1279" s="1">
        <v>959000.0</v>
      </c>
      <c r="R1279" s="1">
        <v>4.5413E7</v>
      </c>
      <c r="S1279" s="1">
        <v>4.5413E7</v>
      </c>
    </row>
    <row r="1280">
      <c r="A1280" s="1">
        <v>1278.0</v>
      </c>
      <c r="B1280" s="3">
        <v>44196.0</v>
      </c>
      <c r="C1280" s="1" t="s">
        <v>679</v>
      </c>
      <c r="D1280" s="1" t="s">
        <v>680</v>
      </c>
      <c r="E1280" s="1">
        <v>4.2252E7</v>
      </c>
      <c r="F1280" s="1">
        <v>4.4442E7</v>
      </c>
      <c r="G1280" s="1">
        <v>4.2887E7</v>
      </c>
      <c r="H1280" s="1">
        <v>4.512E7</v>
      </c>
      <c r="I1280" s="1">
        <v>1.28874E8</v>
      </c>
      <c r="J1280" s="1">
        <v>4.1502E7</v>
      </c>
      <c r="K1280" s="1">
        <v>4.1502E7</v>
      </c>
      <c r="M1280" s="1">
        <v>1555000.0</v>
      </c>
      <c r="N1280" s="1">
        <v>2.33043E8</v>
      </c>
      <c r="O1280" s="1">
        <v>1.91541E8</v>
      </c>
      <c r="P1280" s="1">
        <v>1.04169E8</v>
      </c>
      <c r="Q1280" s="1">
        <v>2940000.0</v>
      </c>
      <c r="R1280" s="1">
        <v>4.2887E7</v>
      </c>
      <c r="S1280" s="1">
        <v>4.2887E7</v>
      </c>
    </row>
    <row r="1281">
      <c r="A1281" s="1">
        <v>1279.0</v>
      </c>
      <c r="B1281" s="3">
        <v>44104.0</v>
      </c>
      <c r="C1281" s="1" t="s">
        <v>679</v>
      </c>
      <c r="D1281" s="1" t="s">
        <v>680</v>
      </c>
      <c r="E1281" s="1">
        <v>3.7717E7</v>
      </c>
      <c r="F1281" s="1">
        <v>6.2473E7</v>
      </c>
      <c r="G1281" s="1">
        <v>5.5566E7</v>
      </c>
      <c r="H1281" s="1">
        <v>4.3503E7</v>
      </c>
      <c r="I1281" s="1">
        <v>1.4304E8</v>
      </c>
      <c r="J1281" s="1">
        <v>6.182E7</v>
      </c>
      <c r="K1281" s="1">
        <v>6.182E7</v>
      </c>
      <c r="M1281" s="1">
        <v>6907000.0</v>
      </c>
      <c r="N1281" s="1">
        <v>2.59422E8</v>
      </c>
      <c r="O1281" s="1">
        <v>1.97602E8</v>
      </c>
      <c r="P1281" s="1">
        <v>1.16382E8</v>
      </c>
      <c r="Q1281" s="1">
        <v>653000.0</v>
      </c>
      <c r="R1281" s="1">
        <v>5.5566E7</v>
      </c>
      <c r="S1281" s="1">
        <v>5.5566E7</v>
      </c>
    </row>
    <row r="1282">
      <c r="A1282" s="1">
        <v>1280.0</v>
      </c>
      <c r="B1282" s="3">
        <v>44377.0</v>
      </c>
      <c r="C1282" s="1" t="s">
        <v>681</v>
      </c>
      <c r="D1282" s="1" t="s">
        <v>682</v>
      </c>
      <c r="F1282" s="1">
        <v>5.26847E8</v>
      </c>
      <c r="G1282" s="1">
        <v>4.03762E8</v>
      </c>
      <c r="H1282" s="1">
        <v>3.10741E8</v>
      </c>
      <c r="I1282" s="1">
        <v>8.36838E8</v>
      </c>
      <c r="J1282" s="1">
        <v>5.25975E8</v>
      </c>
      <c r="K1282" s="1">
        <v>5.25975E8</v>
      </c>
      <c r="L1282" s="1">
        <v>-5000.0</v>
      </c>
      <c r="M1282" s="1">
        <v>1.23085E8</v>
      </c>
      <c r="N1282" s="1">
        <v>1.461934E9</v>
      </c>
      <c r="O1282" s="1">
        <v>9.35959E8</v>
      </c>
      <c r="P1282" s="1">
        <v>6.25096E8</v>
      </c>
      <c r="Q1282" s="1">
        <v>872000.0</v>
      </c>
      <c r="R1282" s="1">
        <v>4.03762E8</v>
      </c>
      <c r="S1282" s="1">
        <v>4.03762E8</v>
      </c>
    </row>
    <row r="1283">
      <c r="A1283" s="1">
        <v>1281.0</v>
      </c>
      <c r="B1283" s="3">
        <v>44286.0</v>
      </c>
      <c r="C1283" s="1" t="s">
        <v>681</v>
      </c>
      <c r="D1283" s="1" t="s">
        <v>682</v>
      </c>
      <c r="F1283" s="1">
        <v>4.13387E8</v>
      </c>
      <c r="G1283" s="1">
        <v>3.15194E8</v>
      </c>
      <c r="H1283" s="1">
        <v>3.00655E8</v>
      </c>
      <c r="I1283" s="1">
        <v>7.14935E8</v>
      </c>
      <c r="J1283" s="1">
        <v>4.14146E8</v>
      </c>
      <c r="K1283" s="1">
        <v>4.14146E8</v>
      </c>
      <c r="L1283" s="1">
        <v>-4000.0</v>
      </c>
      <c r="M1283" s="1">
        <v>9.8193E7</v>
      </c>
      <c r="N1283" s="1">
        <v>1.243816E9</v>
      </c>
      <c r="O1283" s="1">
        <v>8.2967E8</v>
      </c>
      <c r="P1283" s="1">
        <v>5.28881E8</v>
      </c>
      <c r="Q1283" s="1">
        <v>-759000.0</v>
      </c>
      <c r="R1283" s="1">
        <v>3.15194E8</v>
      </c>
      <c r="S1283" s="1">
        <v>3.15194E8</v>
      </c>
    </row>
    <row r="1284">
      <c r="A1284" s="1">
        <v>1282.0</v>
      </c>
      <c r="B1284" s="3">
        <v>44196.0</v>
      </c>
      <c r="C1284" s="1" t="s">
        <v>681</v>
      </c>
      <c r="D1284" s="1" t="s">
        <v>682</v>
      </c>
      <c r="F1284" s="1">
        <v>4.00796E8</v>
      </c>
      <c r="G1284" s="1">
        <v>4.71736E8</v>
      </c>
      <c r="H1284" s="1">
        <v>3.82595E8</v>
      </c>
      <c r="I1284" s="1">
        <v>6.90685E8</v>
      </c>
      <c r="J1284" s="1">
        <v>4.02301E8</v>
      </c>
      <c r="K1284" s="1">
        <v>4.02301E8</v>
      </c>
      <c r="L1284" s="1">
        <v>-4000.0</v>
      </c>
      <c r="M1284" s="1">
        <v>-7.094E7</v>
      </c>
      <c r="N1284" s="1">
        <v>1.196283E9</v>
      </c>
      <c r="O1284" s="1">
        <v>7.93982E8</v>
      </c>
      <c r="P1284" s="1">
        <v>5.05598E8</v>
      </c>
      <c r="Q1284" s="1">
        <v>-1505000.0</v>
      </c>
      <c r="R1284" s="1">
        <v>4.71736E8</v>
      </c>
      <c r="S1284" s="1">
        <v>4.71736E8</v>
      </c>
    </row>
    <row r="1285">
      <c r="A1285" s="1">
        <v>1283.0</v>
      </c>
      <c r="B1285" s="3">
        <v>44104.0</v>
      </c>
      <c r="C1285" s="1" t="s">
        <v>681</v>
      </c>
      <c r="D1285" s="1" t="s">
        <v>682</v>
      </c>
      <c r="F1285" s="1">
        <v>4.54033E8</v>
      </c>
      <c r="G1285" s="1">
        <v>3.47654E8</v>
      </c>
      <c r="H1285" s="1">
        <v>2.77753E8</v>
      </c>
      <c r="I1285" s="1">
        <v>7.36531E8</v>
      </c>
      <c r="J1285" s="1">
        <v>4.58601E8</v>
      </c>
      <c r="K1285" s="1">
        <v>4.58601E8</v>
      </c>
      <c r="L1285" s="1">
        <v>-1268000.0</v>
      </c>
      <c r="M1285" s="1">
        <v>1.06379E8</v>
      </c>
      <c r="N1285" s="1">
        <v>1.246362E9</v>
      </c>
      <c r="O1285" s="1">
        <v>7.87761E8</v>
      </c>
      <c r="P1285" s="1">
        <v>5.09831E8</v>
      </c>
      <c r="Q1285" s="1">
        <v>-4568000.0</v>
      </c>
      <c r="R1285" s="1">
        <v>3.47654E8</v>
      </c>
      <c r="S1285" s="1">
        <v>3.47654E8</v>
      </c>
    </row>
    <row r="1286">
      <c r="A1286" s="1">
        <v>1284.0</v>
      </c>
      <c r="B1286" s="3">
        <v>44377.0</v>
      </c>
      <c r="C1286" s="1" t="s">
        <v>683</v>
      </c>
      <c r="D1286" s="1" t="s">
        <v>684</v>
      </c>
      <c r="F1286" s="1">
        <v>7.58E8</v>
      </c>
      <c r="G1286" s="1">
        <v>5.77E8</v>
      </c>
      <c r="H1286" s="1">
        <v>3.21E8</v>
      </c>
      <c r="I1286" s="1">
        <v>1.188E9</v>
      </c>
      <c r="J1286" s="1">
        <v>8.07E8</v>
      </c>
      <c r="K1286" s="1">
        <v>8.07E8</v>
      </c>
      <c r="L1286" s="1">
        <v>-4.6E7</v>
      </c>
      <c r="M1286" s="1">
        <v>1.81E8</v>
      </c>
      <c r="N1286" s="1">
        <v>1.553E9</v>
      </c>
      <c r="O1286" s="1">
        <v>7.46E8</v>
      </c>
      <c r="P1286" s="1">
        <v>3.65E8</v>
      </c>
      <c r="Q1286" s="1">
        <v>-4.9E7</v>
      </c>
      <c r="R1286" s="1">
        <v>5.77E8</v>
      </c>
      <c r="S1286" s="1">
        <v>5.77E8</v>
      </c>
    </row>
    <row r="1287">
      <c r="A1287" s="1">
        <v>1285.0</v>
      </c>
      <c r="B1287" s="3">
        <v>44286.0</v>
      </c>
      <c r="C1287" s="1" t="s">
        <v>683</v>
      </c>
      <c r="D1287" s="1" t="s">
        <v>684</v>
      </c>
      <c r="F1287" s="1">
        <v>8.62E8</v>
      </c>
      <c r="G1287" s="1">
        <v>7.36E8</v>
      </c>
      <c r="H1287" s="1">
        <v>2.93E8</v>
      </c>
      <c r="I1287" s="1">
        <v>1.207E9</v>
      </c>
      <c r="J1287" s="1">
        <v>8.55E8</v>
      </c>
      <c r="K1287" s="1">
        <v>8.55E8</v>
      </c>
      <c r="L1287" s="1">
        <v>-4.6E7</v>
      </c>
      <c r="M1287" s="1">
        <v>1.26E8</v>
      </c>
      <c r="N1287" s="1">
        <v>1.6E9</v>
      </c>
      <c r="O1287" s="1">
        <v>7.45E8</v>
      </c>
      <c r="P1287" s="1">
        <v>3.93E8</v>
      </c>
      <c r="Q1287" s="1">
        <v>7000000.0</v>
      </c>
      <c r="R1287" s="1">
        <v>7.36E8</v>
      </c>
      <c r="S1287" s="1">
        <v>7.36E8</v>
      </c>
    </row>
    <row r="1288">
      <c r="A1288" s="1">
        <v>1286.0</v>
      </c>
      <c r="B1288" s="3">
        <v>44196.0</v>
      </c>
      <c r="C1288" s="1" t="s">
        <v>683</v>
      </c>
      <c r="D1288" s="1" t="s">
        <v>684</v>
      </c>
      <c r="F1288" s="1">
        <v>4.0E8</v>
      </c>
      <c r="G1288" s="1">
        <v>3.14E8</v>
      </c>
      <c r="H1288" s="1">
        <v>3.34E8</v>
      </c>
      <c r="I1288" s="1">
        <v>8.81E8</v>
      </c>
      <c r="J1288" s="1">
        <v>4.9E8</v>
      </c>
      <c r="K1288" s="1">
        <v>4.9E8</v>
      </c>
      <c r="L1288" s="1">
        <v>-1.5E7</v>
      </c>
      <c r="M1288" s="1">
        <v>8.6E7</v>
      </c>
      <c r="N1288" s="1">
        <v>1.29E9</v>
      </c>
      <c r="O1288" s="1">
        <v>8.0E8</v>
      </c>
      <c r="P1288" s="1">
        <v>4.09E8</v>
      </c>
      <c r="Q1288" s="1">
        <v>-9.0E7</v>
      </c>
      <c r="R1288" s="1">
        <v>3.14E8</v>
      </c>
      <c r="S1288" s="1">
        <v>3.14E8</v>
      </c>
    </row>
    <row r="1289">
      <c r="A1289" s="1">
        <v>1287.0</v>
      </c>
      <c r="B1289" s="3">
        <v>44104.0</v>
      </c>
      <c r="C1289" s="1" t="s">
        <v>683</v>
      </c>
      <c r="D1289" s="1" t="s">
        <v>684</v>
      </c>
      <c r="F1289" s="1">
        <v>5.99E8</v>
      </c>
      <c r="G1289" s="1">
        <v>4.67E8</v>
      </c>
      <c r="H1289" s="1">
        <v>2.72E8</v>
      </c>
      <c r="I1289" s="1">
        <v>9.92E8</v>
      </c>
      <c r="J1289" s="1">
        <v>6.64E8</v>
      </c>
      <c r="K1289" s="1">
        <v>6.64E8</v>
      </c>
      <c r="L1289" s="1">
        <v>-5.1E7</v>
      </c>
      <c r="M1289" s="1">
        <v>1.32E8</v>
      </c>
      <c r="N1289" s="1">
        <v>1.356E9</v>
      </c>
      <c r="O1289" s="1">
        <v>6.92E8</v>
      </c>
      <c r="P1289" s="1">
        <v>3.64E8</v>
      </c>
      <c r="Q1289" s="1">
        <v>-6.5E7</v>
      </c>
      <c r="R1289" s="1">
        <v>4.67E8</v>
      </c>
      <c r="S1289" s="1">
        <v>4.67E8</v>
      </c>
    </row>
    <row r="1290">
      <c r="A1290" s="1">
        <v>1288.0</v>
      </c>
      <c r="B1290" s="3">
        <v>44469.0</v>
      </c>
      <c r="C1290" s="1" t="s">
        <v>685</v>
      </c>
      <c r="D1290" s="1" t="s">
        <v>686</v>
      </c>
      <c r="F1290" s="1">
        <v>4.874E9</v>
      </c>
      <c r="G1290" s="1">
        <v>3.707E9</v>
      </c>
      <c r="H1290" s="1">
        <v>7.208E9</v>
      </c>
      <c r="I1290" s="1">
        <v>1.314E10</v>
      </c>
      <c r="J1290" s="1">
        <v>0.0</v>
      </c>
      <c r="K1290" s="1">
        <v>5.908E9</v>
      </c>
      <c r="M1290" s="1">
        <v>1.15E9</v>
      </c>
      <c r="N1290" s="1">
        <v>1.4753E10</v>
      </c>
      <c r="O1290" s="1">
        <v>8.845E9</v>
      </c>
      <c r="P1290" s="1">
        <v>1.613E9</v>
      </c>
      <c r="Q1290" s="1">
        <v>-1.034E9</v>
      </c>
      <c r="R1290" s="1">
        <v>3.724E9</v>
      </c>
      <c r="S1290" s="1">
        <v>3.584E9</v>
      </c>
    </row>
    <row r="1291">
      <c r="A1291" s="1">
        <v>1289.0</v>
      </c>
      <c r="B1291" s="3">
        <v>44377.0</v>
      </c>
      <c r="C1291" s="1" t="s">
        <v>685</v>
      </c>
      <c r="D1291" s="1" t="s">
        <v>686</v>
      </c>
      <c r="F1291" s="1">
        <v>4.566E9</v>
      </c>
      <c r="G1291" s="1">
        <v>3.511E9</v>
      </c>
      <c r="H1291" s="1">
        <v>7.704E9</v>
      </c>
      <c r="I1291" s="1">
        <v>1.3199E10</v>
      </c>
      <c r="J1291" s="1">
        <v>0.0</v>
      </c>
      <c r="K1291" s="1">
        <v>5.422E9</v>
      </c>
      <c r="M1291" s="1">
        <v>1.054E9</v>
      </c>
      <c r="N1291" s="1">
        <v>1.4759E10</v>
      </c>
      <c r="O1291" s="1">
        <v>9.337E9</v>
      </c>
      <c r="P1291" s="1">
        <v>1.56E9</v>
      </c>
      <c r="Q1291" s="1">
        <v>-8.56E8</v>
      </c>
      <c r="R1291" s="1">
        <v>3.512E9</v>
      </c>
      <c r="S1291" s="1">
        <v>3.408E9</v>
      </c>
    </row>
    <row r="1292">
      <c r="A1292" s="1">
        <v>1290.0</v>
      </c>
      <c r="B1292" s="3">
        <v>44286.0</v>
      </c>
      <c r="C1292" s="1" t="s">
        <v>685</v>
      </c>
      <c r="D1292" s="1" t="s">
        <v>686</v>
      </c>
      <c r="F1292" s="1">
        <v>5.344E9</v>
      </c>
      <c r="G1292" s="1">
        <v>4.12E9</v>
      </c>
      <c r="H1292" s="1">
        <v>7.94E9</v>
      </c>
      <c r="I1292" s="1">
        <v>1.4076E10</v>
      </c>
      <c r="J1292" s="1">
        <v>0.0</v>
      </c>
      <c r="K1292" s="1">
        <v>6.234E9</v>
      </c>
      <c r="M1292" s="1">
        <v>1.176E9</v>
      </c>
      <c r="N1292" s="1">
        <v>1.5719E10</v>
      </c>
      <c r="O1292" s="1">
        <v>9.485E9</v>
      </c>
      <c r="P1292" s="1">
        <v>1.643E9</v>
      </c>
      <c r="Q1292" s="1">
        <v>-8.9E8</v>
      </c>
      <c r="R1292" s="1">
        <v>4.168E9</v>
      </c>
      <c r="S1292" s="1">
        <v>3.982E9</v>
      </c>
    </row>
    <row r="1293">
      <c r="A1293" s="1">
        <v>1291.0</v>
      </c>
      <c r="B1293" s="3">
        <v>44196.0</v>
      </c>
      <c r="C1293" s="1" t="s">
        <v>685</v>
      </c>
      <c r="D1293" s="1" t="s">
        <v>686</v>
      </c>
      <c r="F1293" s="1">
        <v>4.43E9</v>
      </c>
      <c r="G1293" s="1">
        <v>3.385E9</v>
      </c>
      <c r="H1293" s="1">
        <v>6.595E9</v>
      </c>
      <c r="I1293" s="1">
        <v>1.2167E10</v>
      </c>
      <c r="J1293" s="1">
        <v>0.0</v>
      </c>
      <c r="K1293" s="1">
        <v>5.572E9</v>
      </c>
      <c r="M1293" s="1">
        <v>1.018E9</v>
      </c>
      <c r="N1293" s="1">
        <v>1.364E10</v>
      </c>
      <c r="O1293" s="1">
        <v>8.068E9</v>
      </c>
      <c r="P1293" s="1">
        <v>1.473E9</v>
      </c>
      <c r="Q1293" s="1">
        <v>-1.142E9</v>
      </c>
      <c r="R1293" s="1">
        <v>3.412E9</v>
      </c>
      <c r="S1293" s="1">
        <v>3.266E9</v>
      </c>
    </row>
    <row r="1294">
      <c r="A1294" s="1">
        <v>1292.0</v>
      </c>
      <c r="B1294" s="3">
        <v>44380.0</v>
      </c>
      <c r="C1294" s="1" t="s">
        <v>687</v>
      </c>
      <c r="D1294" s="1" t="s">
        <v>688</v>
      </c>
      <c r="E1294" s="1">
        <v>1.81E8</v>
      </c>
      <c r="F1294" s="1">
        <v>3.4E8</v>
      </c>
      <c r="G1294" s="1">
        <v>2.93E8</v>
      </c>
      <c r="H1294" s="1">
        <v>3.0E8</v>
      </c>
      <c r="I1294" s="1">
        <v>9.55E8</v>
      </c>
      <c r="J1294" s="1">
        <v>4.74E8</v>
      </c>
      <c r="K1294" s="1">
        <v>4.74E8</v>
      </c>
      <c r="L1294" s="1">
        <v>-4.6E7</v>
      </c>
      <c r="M1294" s="1">
        <v>4.6E7</v>
      </c>
      <c r="N1294" s="1">
        <v>1.971E9</v>
      </c>
      <c r="O1294" s="1">
        <v>1.497E9</v>
      </c>
      <c r="P1294" s="1">
        <v>1.016E9</v>
      </c>
      <c r="Q1294" s="1">
        <v>-1.34E8</v>
      </c>
      <c r="R1294" s="1">
        <v>2.94E8</v>
      </c>
      <c r="S1294" s="1">
        <v>2.93E8</v>
      </c>
    </row>
    <row r="1295">
      <c r="A1295" s="1">
        <v>1293.0</v>
      </c>
      <c r="B1295" s="3">
        <v>44289.0</v>
      </c>
      <c r="C1295" s="1" t="s">
        <v>687</v>
      </c>
      <c r="D1295" s="1" t="s">
        <v>688</v>
      </c>
      <c r="E1295" s="1">
        <v>1.8E8</v>
      </c>
      <c r="F1295" s="1">
        <v>2.89E8</v>
      </c>
      <c r="G1295" s="1">
        <v>2.44E8</v>
      </c>
      <c r="H1295" s="1">
        <v>2.73E8</v>
      </c>
      <c r="I1295" s="1">
        <v>8.62E8</v>
      </c>
      <c r="J1295" s="1">
        <v>3.51E8</v>
      </c>
      <c r="K1295" s="1">
        <v>3.51E8</v>
      </c>
      <c r="L1295" s="1">
        <v>-5.6E7</v>
      </c>
      <c r="M1295" s="1">
        <v>4.4E7</v>
      </c>
      <c r="N1295" s="1">
        <v>1.773E9</v>
      </c>
      <c r="O1295" s="1">
        <v>1.422E9</v>
      </c>
      <c r="P1295" s="1">
        <v>9.11E8</v>
      </c>
      <c r="Q1295" s="1">
        <v>-6.2E7</v>
      </c>
      <c r="R1295" s="1">
        <v>2.45E8</v>
      </c>
      <c r="S1295" s="1">
        <v>2.44E8</v>
      </c>
    </row>
    <row r="1296">
      <c r="A1296" s="1">
        <v>1294.0</v>
      </c>
      <c r="B1296" s="3">
        <v>44196.0</v>
      </c>
      <c r="C1296" s="1" t="s">
        <v>687</v>
      </c>
      <c r="D1296" s="1" t="s">
        <v>688</v>
      </c>
      <c r="E1296" s="1">
        <v>1.81E8</v>
      </c>
      <c r="F1296" s="1">
        <v>5.22E8</v>
      </c>
      <c r="G1296" s="1">
        <v>4.12E8</v>
      </c>
      <c r="H1296" s="1">
        <v>3.21E8</v>
      </c>
      <c r="I1296" s="1">
        <v>1.151E9</v>
      </c>
      <c r="J1296" s="1">
        <v>5.92E8</v>
      </c>
      <c r="K1296" s="1">
        <v>5.92E8</v>
      </c>
      <c r="L1296" s="1">
        <v>-5.8E7</v>
      </c>
      <c r="M1296" s="1">
        <v>1.09E8</v>
      </c>
      <c r="N1296" s="1">
        <v>2.273E9</v>
      </c>
      <c r="O1296" s="1">
        <v>1.681E9</v>
      </c>
      <c r="P1296" s="1">
        <v>1.122E9</v>
      </c>
      <c r="Q1296" s="1">
        <v>-7.0E7</v>
      </c>
      <c r="R1296" s="1">
        <v>4.13E8</v>
      </c>
      <c r="S1296" s="1">
        <v>4.12E8</v>
      </c>
    </row>
    <row r="1297">
      <c r="A1297" s="1">
        <v>1295.0</v>
      </c>
      <c r="B1297" s="3">
        <v>44100.0</v>
      </c>
      <c r="C1297" s="1" t="s">
        <v>687</v>
      </c>
      <c r="D1297" s="1" t="s">
        <v>688</v>
      </c>
      <c r="E1297" s="1">
        <v>1.75E8</v>
      </c>
      <c r="F1297" s="1">
        <v>2.51E8</v>
      </c>
      <c r="G1297" s="1">
        <v>2.05E8</v>
      </c>
      <c r="H1297" s="1">
        <v>2.93E8</v>
      </c>
      <c r="I1297" s="1">
        <v>9.12E8</v>
      </c>
      <c r="J1297" s="1">
        <v>3.9E8</v>
      </c>
      <c r="K1297" s="1">
        <v>3.9E8</v>
      </c>
      <c r="L1297" s="1">
        <v>-6.0E7</v>
      </c>
      <c r="M1297" s="1">
        <v>4.5E7</v>
      </c>
      <c r="N1297" s="1">
        <v>1.868E9</v>
      </c>
      <c r="O1297" s="1">
        <v>1.478E9</v>
      </c>
      <c r="P1297" s="1">
        <v>9.56E8</v>
      </c>
      <c r="Q1297" s="1">
        <v>-1.39E8</v>
      </c>
      <c r="R1297" s="1">
        <v>2.06E8</v>
      </c>
      <c r="S1297" s="1">
        <v>2.05E8</v>
      </c>
    </row>
    <row r="1298">
      <c r="A1298" s="1">
        <v>1296.0</v>
      </c>
      <c r="B1298" s="3">
        <v>44377.0</v>
      </c>
      <c r="C1298" s="1" t="s">
        <v>689</v>
      </c>
      <c r="D1298" s="1" t="s">
        <v>689</v>
      </c>
      <c r="E1298" s="1">
        <v>2.7531E7</v>
      </c>
      <c r="F1298" s="1">
        <v>1.95695E8</v>
      </c>
      <c r="G1298" s="1">
        <v>1.65423E8</v>
      </c>
      <c r="H1298" s="1">
        <v>8.8373E7</v>
      </c>
      <c r="I1298" s="1">
        <v>4.10853E8</v>
      </c>
      <c r="J1298" s="1">
        <v>2.73546E8</v>
      </c>
      <c r="K1298" s="1">
        <v>2.73546E8</v>
      </c>
      <c r="L1298" s="1">
        <v>-3.9557E7</v>
      </c>
      <c r="M1298" s="1">
        <v>3.0272E7</v>
      </c>
      <c r="N1298" s="1">
        <v>4.9818E8</v>
      </c>
      <c r="O1298" s="1">
        <v>2.24634E8</v>
      </c>
      <c r="P1298" s="1">
        <v>8.7327E7</v>
      </c>
      <c r="Q1298" s="1">
        <v>-7.7851E7</v>
      </c>
      <c r="R1298" s="1">
        <v>1.65423E8</v>
      </c>
      <c r="S1298" s="1">
        <v>1.65423E8</v>
      </c>
    </row>
    <row r="1299">
      <c r="A1299" s="1">
        <v>1297.0</v>
      </c>
      <c r="B1299" s="3">
        <v>44286.0</v>
      </c>
      <c r="C1299" s="1" t="s">
        <v>689</v>
      </c>
      <c r="D1299" s="1" t="s">
        <v>689</v>
      </c>
      <c r="E1299" s="1">
        <v>2.4862E7</v>
      </c>
      <c r="F1299" s="1">
        <v>2.16028E8</v>
      </c>
      <c r="G1299" s="1">
        <v>1.96819E8</v>
      </c>
      <c r="H1299" s="1">
        <v>9.1195E7</v>
      </c>
      <c r="I1299" s="1">
        <v>3.92643E8</v>
      </c>
      <c r="J1299" s="1">
        <v>2.54375E8</v>
      </c>
      <c r="K1299" s="1">
        <v>2.54375E8</v>
      </c>
      <c r="L1299" s="1">
        <v>-3.7584E7</v>
      </c>
      <c r="M1299" s="1">
        <v>1.9209E7</v>
      </c>
      <c r="N1299" s="1">
        <v>4.78423E8</v>
      </c>
      <c r="O1299" s="1">
        <v>2.24048E8</v>
      </c>
      <c r="P1299" s="1">
        <v>8.578E7</v>
      </c>
      <c r="Q1299" s="1">
        <v>-3.8347E7</v>
      </c>
      <c r="R1299" s="1">
        <v>1.96819E8</v>
      </c>
      <c r="S1299" s="1">
        <v>1.96819E8</v>
      </c>
    </row>
    <row r="1300">
      <c r="A1300" s="1">
        <v>1298.0</v>
      </c>
      <c r="B1300" s="3">
        <v>44196.0</v>
      </c>
      <c r="C1300" s="1" t="s">
        <v>689</v>
      </c>
      <c r="D1300" s="1" t="s">
        <v>689</v>
      </c>
      <c r="E1300" s="1">
        <v>2.7056E7</v>
      </c>
      <c r="F1300" s="1">
        <v>1.95166E8</v>
      </c>
      <c r="G1300" s="1">
        <v>1.56216E8</v>
      </c>
      <c r="H1300" s="1">
        <v>8.5569E7</v>
      </c>
      <c r="I1300" s="1">
        <v>3.67726E8</v>
      </c>
      <c r="J1300" s="1">
        <v>2.32671E8</v>
      </c>
      <c r="K1300" s="1">
        <v>2.32671E8</v>
      </c>
      <c r="L1300" s="1">
        <v>-3.733E7</v>
      </c>
      <c r="M1300" s="1">
        <v>3.895E7</v>
      </c>
      <c r="N1300" s="1">
        <v>4.43661E8</v>
      </c>
      <c r="O1300" s="1">
        <v>2.1099E8</v>
      </c>
      <c r="P1300" s="1">
        <v>7.5935E7</v>
      </c>
      <c r="Q1300" s="1">
        <v>-3.7505E7</v>
      </c>
      <c r="R1300" s="1">
        <v>1.56216E8</v>
      </c>
      <c r="S1300" s="1">
        <v>1.56216E8</v>
      </c>
    </row>
    <row r="1301">
      <c r="A1301" s="1">
        <v>1299.0</v>
      </c>
      <c r="B1301" s="3">
        <v>44104.0</v>
      </c>
      <c r="C1301" s="1" t="s">
        <v>689</v>
      </c>
      <c r="D1301" s="1" t="s">
        <v>689</v>
      </c>
      <c r="E1301" s="1">
        <v>2.4901E7</v>
      </c>
      <c r="F1301" s="1">
        <v>1.89043E8</v>
      </c>
      <c r="G1301" s="1">
        <v>1.82358E8</v>
      </c>
      <c r="H1301" s="1">
        <v>8.0281E7</v>
      </c>
      <c r="I1301" s="1">
        <v>3.54629E8</v>
      </c>
      <c r="J1301" s="1">
        <v>2.2762E8</v>
      </c>
      <c r="K1301" s="1">
        <v>2.2762E8</v>
      </c>
      <c r="L1301" s="1">
        <v>-3.7536E7</v>
      </c>
      <c r="M1301" s="1">
        <v>6685000.0</v>
      </c>
      <c r="N1301" s="1">
        <v>4.25333E8</v>
      </c>
      <c r="O1301" s="1">
        <v>1.97713E8</v>
      </c>
      <c r="P1301" s="1">
        <v>7.0704E7</v>
      </c>
      <c r="Q1301" s="1">
        <v>-3.8577E7</v>
      </c>
      <c r="R1301" s="1">
        <v>1.82358E8</v>
      </c>
      <c r="S1301" s="1">
        <v>1.82358E8</v>
      </c>
    </row>
    <row r="1302">
      <c r="A1302" s="1">
        <v>1300.0</v>
      </c>
      <c r="B1302" s="3">
        <v>44377.0</v>
      </c>
      <c r="C1302" s="1" t="s">
        <v>690</v>
      </c>
      <c r="D1302" s="1" t="s">
        <v>691</v>
      </c>
      <c r="F1302" s="1">
        <v>4.54E8</v>
      </c>
      <c r="G1302" s="1">
        <v>3.41E8</v>
      </c>
      <c r="H1302" s="1">
        <v>3.62E8</v>
      </c>
      <c r="I1302" s="1">
        <v>8.46E8</v>
      </c>
      <c r="J1302" s="1">
        <v>4.16E8</v>
      </c>
      <c r="K1302" s="1">
        <v>4.16E8</v>
      </c>
      <c r="L1302" s="1">
        <v>-3.3E7</v>
      </c>
      <c r="M1302" s="1">
        <v>1.13E8</v>
      </c>
      <c r="N1302" s="1">
        <v>1.412E9</v>
      </c>
      <c r="O1302" s="1">
        <v>9.96E8</v>
      </c>
      <c r="P1302" s="1">
        <v>5.66E8</v>
      </c>
      <c r="Q1302" s="1">
        <v>3.8E7</v>
      </c>
      <c r="R1302" s="1">
        <v>3.41E8</v>
      </c>
      <c r="S1302" s="1">
        <v>3.41E8</v>
      </c>
    </row>
    <row r="1303">
      <c r="A1303" s="1">
        <v>1301.0</v>
      </c>
      <c r="B1303" s="3">
        <v>44286.0</v>
      </c>
      <c r="C1303" s="1" t="s">
        <v>690</v>
      </c>
      <c r="D1303" s="1" t="s">
        <v>691</v>
      </c>
      <c r="F1303" s="1">
        <v>3.95E8</v>
      </c>
      <c r="G1303" s="1">
        <v>2.98E8</v>
      </c>
      <c r="H1303" s="1">
        <v>3.61E8</v>
      </c>
      <c r="I1303" s="1">
        <v>8.51E8</v>
      </c>
      <c r="J1303" s="1">
        <v>4.27E8</v>
      </c>
      <c r="K1303" s="1">
        <v>4.27E8</v>
      </c>
      <c r="L1303" s="1">
        <v>-2.9E7</v>
      </c>
      <c r="M1303" s="1">
        <v>9.7E7</v>
      </c>
      <c r="N1303" s="1">
        <v>1.652E9</v>
      </c>
      <c r="O1303" s="1">
        <v>1.225E9</v>
      </c>
      <c r="P1303" s="1">
        <v>8.01E8</v>
      </c>
      <c r="Q1303" s="1">
        <v>-3.2E7</v>
      </c>
      <c r="R1303" s="1">
        <v>2.98E8</v>
      </c>
      <c r="S1303" s="1">
        <v>2.98E8</v>
      </c>
    </row>
    <row r="1304">
      <c r="A1304" s="1">
        <v>1302.0</v>
      </c>
      <c r="B1304" s="3">
        <v>44196.0</v>
      </c>
      <c r="C1304" s="1" t="s">
        <v>690</v>
      </c>
      <c r="D1304" s="1" t="s">
        <v>691</v>
      </c>
      <c r="F1304" s="1">
        <v>2.67E8</v>
      </c>
      <c r="G1304" s="1">
        <v>2.25E8</v>
      </c>
      <c r="H1304" s="1">
        <v>3.76E8</v>
      </c>
      <c r="I1304" s="1">
        <v>7.88E8</v>
      </c>
      <c r="J1304" s="1">
        <v>3.59E8</v>
      </c>
      <c r="K1304" s="1">
        <v>3.59E8</v>
      </c>
      <c r="L1304" s="1">
        <v>-2.4E7</v>
      </c>
      <c r="M1304" s="1">
        <v>4.2E7</v>
      </c>
      <c r="N1304" s="1">
        <v>1.462E9</v>
      </c>
      <c r="O1304" s="1">
        <v>1.103E9</v>
      </c>
      <c r="P1304" s="1">
        <v>6.74E8</v>
      </c>
      <c r="Q1304" s="1">
        <v>-9.2E7</v>
      </c>
      <c r="R1304" s="1">
        <v>2.25E8</v>
      </c>
      <c r="S1304" s="1">
        <v>2.25E8</v>
      </c>
    </row>
    <row r="1305">
      <c r="A1305" s="1">
        <v>1303.0</v>
      </c>
      <c r="B1305" s="3">
        <v>44104.0</v>
      </c>
      <c r="C1305" s="1" t="s">
        <v>690</v>
      </c>
      <c r="D1305" s="1" t="s">
        <v>691</v>
      </c>
      <c r="F1305" s="1">
        <v>3.57E8</v>
      </c>
      <c r="G1305" s="1">
        <v>2.64E8</v>
      </c>
      <c r="H1305" s="1">
        <v>3.18E8</v>
      </c>
      <c r="I1305" s="1">
        <v>7.15E8</v>
      </c>
      <c r="J1305" s="1">
        <v>3.46E8</v>
      </c>
      <c r="K1305" s="1">
        <v>3.46E8</v>
      </c>
      <c r="L1305" s="1">
        <v>-2.4E7</v>
      </c>
      <c r="M1305" s="1">
        <v>9.3E7</v>
      </c>
      <c r="N1305" s="1">
        <v>1.414E9</v>
      </c>
      <c r="O1305" s="1">
        <v>1.068E9</v>
      </c>
      <c r="P1305" s="1">
        <v>6.99E8</v>
      </c>
      <c r="Q1305" s="1">
        <v>1.1E7</v>
      </c>
      <c r="R1305" s="1">
        <v>2.64E8</v>
      </c>
      <c r="S1305" s="1">
        <v>2.64E8</v>
      </c>
    </row>
    <row r="1306">
      <c r="A1306" s="1">
        <v>1304.0</v>
      </c>
      <c r="B1306" s="3">
        <v>44316.0</v>
      </c>
      <c r="C1306" s="1" t="s">
        <v>692</v>
      </c>
      <c r="D1306" s="1" t="s">
        <v>693</v>
      </c>
      <c r="E1306" s="1">
        <v>2.21E8</v>
      </c>
      <c r="F1306" s="1">
        <v>4.36E8</v>
      </c>
      <c r="G1306" s="1">
        <v>3.34E8</v>
      </c>
      <c r="H1306" s="1">
        <v>5.13E8</v>
      </c>
      <c r="I1306" s="1">
        <v>1.035E9</v>
      </c>
      <c r="J1306" s="1">
        <v>3.01E8</v>
      </c>
      <c r="K1306" s="1">
        <v>3.01E8</v>
      </c>
      <c r="L1306" s="1">
        <v>-1.9E7</v>
      </c>
      <c r="M1306" s="1">
        <v>1.02E8</v>
      </c>
      <c r="N1306" s="1">
        <v>1.555E9</v>
      </c>
      <c r="O1306" s="1">
        <v>1.254E9</v>
      </c>
      <c r="P1306" s="1">
        <v>5.2E8</v>
      </c>
      <c r="Q1306" s="1">
        <v>1.35E8</v>
      </c>
      <c r="R1306" s="1">
        <v>3.34E8</v>
      </c>
      <c r="S1306" s="1">
        <v>3.34E8</v>
      </c>
    </row>
    <row r="1307">
      <c r="A1307" s="1">
        <v>1305.0</v>
      </c>
      <c r="B1307" s="3">
        <v>44225.0</v>
      </c>
      <c r="C1307" s="1" t="s">
        <v>692</v>
      </c>
      <c r="D1307" s="1" t="s">
        <v>693</v>
      </c>
      <c r="E1307" s="1">
        <v>2.15E8</v>
      </c>
      <c r="F1307" s="1">
        <v>2.47E8</v>
      </c>
      <c r="G1307" s="1">
        <v>1.82E8</v>
      </c>
      <c r="H1307" s="1">
        <v>4.99E8</v>
      </c>
      <c r="I1307" s="1">
        <v>9.75E8</v>
      </c>
      <c r="J1307" s="1">
        <v>2.61E8</v>
      </c>
      <c r="K1307" s="1">
        <v>2.61E8</v>
      </c>
      <c r="L1307" s="1">
        <v>-1.9E7</v>
      </c>
      <c r="M1307" s="1">
        <v>6.5E7</v>
      </c>
      <c r="N1307" s="1">
        <v>1.47E9</v>
      </c>
      <c r="O1307" s="1">
        <v>1.209E9</v>
      </c>
      <c r="P1307" s="1">
        <v>4.95E8</v>
      </c>
      <c r="Q1307" s="1">
        <v>-1.4E7</v>
      </c>
      <c r="R1307" s="1">
        <v>1.82E8</v>
      </c>
      <c r="S1307" s="1">
        <v>1.82E8</v>
      </c>
    </row>
    <row r="1308">
      <c r="A1308" s="1">
        <v>1306.0</v>
      </c>
      <c r="B1308" s="3">
        <v>44134.0</v>
      </c>
      <c r="C1308" s="1" t="s">
        <v>692</v>
      </c>
      <c r="D1308" s="1" t="s">
        <v>693</v>
      </c>
      <c r="E1308" s="1">
        <v>2.12E8</v>
      </c>
      <c r="F1308" s="1">
        <v>1.75E8</v>
      </c>
      <c r="G1308" s="1">
        <v>1.37E8</v>
      </c>
      <c r="H1308" s="1">
        <v>4.94E8</v>
      </c>
      <c r="I1308" s="1">
        <v>9.33E8</v>
      </c>
      <c r="J1308" s="1">
        <v>2.27E8</v>
      </c>
      <c r="K1308" s="1">
        <v>2.27E8</v>
      </c>
      <c r="L1308" s="1">
        <v>-1.8E7</v>
      </c>
      <c r="M1308" s="1">
        <v>3.8E7</v>
      </c>
      <c r="N1308" s="1">
        <v>1.416E9</v>
      </c>
      <c r="O1308" s="1">
        <v>1.189E9</v>
      </c>
      <c r="P1308" s="1">
        <v>4.83E8</v>
      </c>
      <c r="Q1308" s="1">
        <v>-5.2E7</v>
      </c>
      <c r="R1308" s="1">
        <v>1.37E8</v>
      </c>
      <c r="S1308" s="1">
        <v>1.37E8</v>
      </c>
    </row>
    <row r="1309">
      <c r="A1309" s="1">
        <v>1307.0</v>
      </c>
      <c r="B1309" s="3">
        <v>44043.0</v>
      </c>
      <c r="C1309" s="1" t="s">
        <v>692</v>
      </c>
      <c r="D1309" s="1" t="s">
        <v>693</v>
      </c>
      <c r="E1309" s="1">
        <v>2.33E8</v>
      </c>
      <c r="F1309" s="1">
        <v>1.04E8</v>
      </c>
      <c r="G1309" s="1">
        <v>7.7E7</v>
      </c>
      <c r="H1309" s="1">
        <v>4.9E8</v>
      </c>
      <c r="I1309" s="1">
        <v>8.72E8</v>
      </c>
      <c r="J1309" s="1">
        <v>1.49E8</v>
      </c>
      <c r="K1309" s="1">
        <v>1.49E8</v>
      </c>
      <c r="L1309" s="1">
        <v>-1.8E7</v>
      </c>
      <c r="M1309" s="1">
        <v>2.7E7</v>
      </c>
      <c r="N1309" s="1">
        <v>1.303E9</v>
      </c>
      <c r="O1309" s="1">
        <v>1.154E9</v>
      </c>
      <c r="P1309" s="1">
        <v>4.31E8</v>
      </c>
      <c r="Q1309" s="1">
        <v>-4.5E7</v>
      </c>
      <c r="R1309" s="1">
        <v>7.7E7</v>
      </c>
      <c r="S1309" s="1">
        <v>7.7E7</v>
      </c>
    </row>
    <row r="1310">
      <c r="A1310" s="1">
        <v>1308.0</v>
      </c>
      <c r="B1310" s="3">
        <v>44286.0</v>
      </c>
      <c r="C1310" s="1" t="s">
        <v>694</v>
      </c>
      <c r="D1310" s="1" t="s">
        <v>695</v>
      </c>
      <c r="E1310" s="1">
        <v>5.25207E8</v>
      </c>
      <c r="F1310" s="1">
        <v>2.034502E9</v>
      </c>
      <c r="G1310" s="1">
        <v>1.706715E9</v>
      </c>
      <c r="H1310" s="1">
        <v>8.09708E8</v>
      </c>
      <c r="I1310" s="1">
        <v>3.294771E9</v>
      </c>
      <c r="J1310" s="1">
        <v>1.959856E9</v>
      </c>
      <c r="K1310" s="1">
        <v>1.959856E9</v>
      </c>
      <c r="L1310" s="1">
        <v>-1.9444E8</v>
      </c>
      <c r="M1310" s="1">
        <v>3.27787E8</v>
      </c>
      <c r="N1310" s="1">
        <v>7.163282E9</v>
      </c>
      <c r="O1310" s="1">
        <v>5.203426E9</v>
      </c>
      <c r="P1310" s="1">
        <v>3.868511E9</v>
      </c>
      <c r="Q1310" s="1">
        <v>7.4646E7</v>
      </c>
      <c r="R1310" s="1">
        <v>1.706715E9</v>
      </c>
      <c r="S1310" s="1">
        <v>1.706715E9</v>
      </c>
    </row>
    <row r="1311">
      <c r="A1311" s="1">
        <v>1309.0</v>
      </c>
      <c r="B1311" s="3">
        <v>44196.0</v>
      </c>
      <c r="C1311" s="1" t="s">
        <v>694</v>
      </c>
      <c r="D1311" s="1" t="s">
        <v>695</v>
      </c>
      <c r="E1311" s="1">
        <v>4.86936E8</v>
      </c>
      <c r="F1311" s="1">
        <v>5.06417E8</v>
      </c>
      <c r="G1311" s="1">
        <v>5.42156E8</v>
      </c>
      <c r="H1311" s="1">
        <v>1.038104E9</v>
      </c>
      <c r="I1311" s="1">
        <v>2.479282E9</v>
      </c>
      <c r="J1311" s="1">
        <v>9.54242E8</v>
      </c>
      <c r="K1311" s="1">
        <v>9.54242E8</v>
      </c>
      <c r="L1311" s="1">
        <v>-1.97186E8</v>
      </c>
      <c r="M1311" s="1">
        <v>-3.5739E7</v>
      </c>
      <c r="N1311" s="1">
        <v>6.644442E9</v>
      </c>
      <c r="O1311" s="1">
        <v>5.6902E9</v>
      </c>
      <c r="P1311" s="1">
        <v>4.16516E9</v>
      </c>
      <c r="Q1311" s="1">
        <v>-4.47825E8</v>
      </c>
      <c r="R1311" s="1">
        <v>5.42156E8</v>
      </c>
      <c r="S1311" s="1">
        <v>5.42156E8</v>
      </c>
    </row>
    <row r="1312">
      <c r="A1312" s="1">
        <v>1310.0</v>
      </c>
      <c r="B1312" s="3">
        <v>44104.0</v>
      </c>
      <c r="C1312" s="1" t="s">
        <v>694</v>
      </c>
      <c r="D1312" s="1" t="s">
        <v>695</v>
      </c>
      <c r="E1312" s="1">
        <v>4.53802E8</v>
      </c>
      <c r="F1312" s="1">
        <v>8.6146E8</v>
      </c>
      <c r="G1312" s="1">
        <v>7.89976E8</v>
      </c>
      <c r="H1312" s="1">
        <v>7.99221E8</v>
      </c>
      <c r="I1312" s="1">
        <v>2.567886E9</v>
      </c>
      <c r="J1312" s="1">
        <v>1.314863E9</v>
      </c>
      <c r="K1312" s="1">
        <v>1.314863E9</v>
      </c>
      <c r="L1312" s="1">
        <v>-1.97079E8</v>
      </c>
      <c r="M1312" s="1">
        <v>7.1484E7</v>
      </c>
      <c r="N1312" s="1">
        <v>6.435637E9</v>
      </c>
      <c r="O1312" s="1">
        <v>5.120774E9</v>
      </c>
      <c r="P1312" s="1">
        <v>3.867751E9</v>
      </c>
      <c r="Q1312" s="1">
        <v>-4.53403E8</v>
      </c>
      <c r="R1312" s="1">
        <v>7.89976E8</v>
      </c>
      <c r="S1312" s="1">
        <v>7.89976E8</v>
      </c>
    </row>
    <row r="1313">
      <c r="A1313" s="1">
        <v>1311.0</v>
      </c>
      <c r="B1313" s="3">
        <v>44012.0</v>
      </c>
      <c r="C1313" s="1" t="s">
        <v>694</v>
      </c>
      <c r="D1313" s="1" t="s">
        <v>695</v>
      </c>
      <c r="E1313" s="1">
        <v>4.35045E8</v>
      </c>
      <c r="F1313" s="1">
        <v>1.035602E9</v>
      </c>
      <c r="G1313" s="1">
        <v>7.20196E8</v>
      </c>
      <c r="H1313" s="1">
        <v>7.11606E8</v>
      </c>
      <c r="I1313" s="1">
        <v>2.504579E9</v>
      </c>
      <c r="J1313" s="1">
        <v>1.357928E9</v>
      </c>
      <c r="K1313" s="1">
        <v>1.357928E9</v>
      </c>
      <c r="L1313" s="1">
        <v>-1.89151E8</v>
      </c>
      <c r="M1313" s="1">
        <v>3.15406E8</v>
      </c>
      <c r="N1313" s="1">
        <v>6.148286E9</v>
      </c>
      <c r="O1313" s="1">
        <v>4.790358E9</v>
      </c>
      <c r="P1313" s="1">
        <v>3.643707E9</v>
      </c>
      <c r="Q1313" s="1">
        <v>-3.22326E8</v>
      </c>
      <c r="R1313" s="1">
        <v>7.20196E8</v>
      </c>
      <c r="S1313" s="1">
        <v>7.20196E8</v>
      </c>
    </row>
    <row r="1314">
      <c r="A1314" s="1">
        <v>1312.0</v>
      </c>
      <c r="B1314" s="3">
        <v>44377.0</v>
      </c>
      <c r="C1314" s="1" t="s">
        <v>696</v>
      </c>
      <c r="D1314" s="1" t="s">
        <v>697</v>
      </c>
      <c r="F1314" s="1">
        <v>2.43E8</v>
      </c>
      <c r="G1314" s="1">
        <v>1.97E8</v>
      </c>
      <c r="H1314" s="1">
        <v>5.7E8</v>
      </c>
      <c r="I1314" s="1">
        <v>8.82E8</v>
      </c>
      <c r="J1314" s="1">
        <v>3.12E8</v>
      </c>
      <c r="K1314" s="1">
        <v>3.12E8</v>
      </c>
      <c r="L1314" s="1">
        <v>-6.5E7</v>
      </c>
      <c r="M1314" s="1">
        <v>4.6E7</v>
      </c>
      <c r="N1314" s="1">
        <v>2.709E9</v>
      </c>
      <c r="O1314" s="1">
        <v>2.397E9</v>
      </c>
      <c r="P1314" s="1">
        <v>1.827E9</v>
      </c>
      <c r="Q1314" s="1">
        <v>-6.9E7</v>
      </c>
      <c r="R1314" s="1">
        <v>1.97E8</v>
      </c>
      <c r="S1314" s="1">
        <v>1.97E8</v>
      </c>
    </row>
    <row r="1315">
      <c r="A1315" s="1">
        <v>1313.0</v>
      </c>
      <c r="B1315" s="3">
        <v>44286.0</v>
      </c>
      <c r="C1315" s="1" t="s">
        <v>696</v>
      </c>
      <c r="D1315" s="1" t="s">
        <v>697</v>
      </c>
      <c r="F1315" s="1">
        <v>1.26E8</v>
      </c>
      <c r="G1315" s="1">
        <v>8.9E7</v>
      </c>
      <c r="H1315" s="1">
        <v>5.33E8</v>
      </c>
      <c r="I1315" s="1">
        <v>7.31E8</v>
      </c>
      <c r="J1315" s="1">
        <v>1.98E8</v>
      </c>
      <c r="K1315" s="1">
        <v>1.98E8</v>
      </c>
      <c r="L1315" s="1">
        <v>-6.7E7</v>
      </c>
      <c r="M1315" s="1">
        <v>3.7E7</v>
      </c>
      <c r="N1315" s="1">
        <v>2.288E9</v>
      </c>
      <c r="O1315" s="1">
        <v>2.09E9</v>
      </c>
      <c r="P1315" s="1">
        <v>1.557E9</v>
      </c>
      <c r="Q1315" s="1">
        <v>-7.2E7</v>
      </c>
      <c r="R1315" s="1">
        <v>8.9E7</v>
      </c>
      <c r="S1315" s="1">
        <v>8.9E7</v>
      </c>
    </row>
    <row r="1316">
      <c r="A1316" s="1">
        <v>1314.0</v>
      </c>
      <c r="B1316" s="3">
        <v>44196.0</v>
      </c>
      <c r="C1316" s="1" t="s">
        <v>696</v>
      </c>
      <c r="D1316" s="1" t="s">
        <v>697</v>
      </c>
      <c r="E1316" s="1">
        <v>1.44E8</v>
      </c>
      <c r="F1316" s="1">
        <v>1.01E8</v>
      </c>
      <c r="G1316" s="1">
        <v>1.27E8</v>
      </c>
      <c r="H1316" s="1">
        <v>4.96E8</v>
      </c>
      <c r="I1316" s="1">
        <v>8.88E8</v>
      </c>
      <c r="J1316" s="1">
        <v>2.48E8</v>
      </c>
      <c r="K1316" s="1">
        <v>2.48E8</v>
      </c>
      <c r="L1316" s="1">
        <v>-6.9E7</v>
      </c>
      <c r="M1316" s="1">
        <v>-2.6E7</v>
      </c>
      <c r="N1316" s="1">
        <v>2.689E9</v>
      </c>
      <c r="O1316" s="1">
        <v>2.441E9</v>
      </c>
      <c r="P1316" s="1">
        <v>1.801E9</v>
      </c>
      <c r="Q1316" s="1">
        <v>-1.47E8</v>
      </c>
      <c r="R1316" s="1">
        <v>1.27E8</v>
      </c>
      <c r="S1316" s="1">
        <v>1.27E8</v>
      </c>
    </row>
    <row r="1317">
      <c r="A1317" s="1">
        <v>1315.0</v>
      </c>
      <c r="B1317" s="3">
        <v>44104.0</v>
      </c>
      <c r="C1317" s="1" t="s">
        <v>696</v>
      </c>
      <c r="D1317" s="1" t="s">
        <v>697</v>
      </c>
      <c r="E1317" s="1">
        <v>1.44E8</v>
      </c>
      <c r="F1317" s="1">
        <v>2.83E8</v>
      </c>
      <c r="G1317" s="1">
        <v>3.04E8</v>
      </c>
      <c r="H1317" s="1">
        <v>5.45E8</v>
      </c>
      <c r="I1317" s="1">
        <v>9.14E8</v>
      </c>
      <c r="J1317" s="1">
        <v>3.69E8</v>
      </c>
      <c r="K1317" s="1">
        <v>3.69E8</v>
      </c>
      <c r="L1317" s="1">
        <v>-7.1E7</v>
      </c>
      <c r="M1317" s="1">
        <v>-2.1E7</v>
      </c>
      <c r="N1317" s="1">
        <v>2.699E9</v>
      </c>
      <c r="O1317" s="1">
        <v>2.33E9</v>
      </c>
      <c r="P1317" s="1">
        <v>1.785E9</v>
      </c>
      <c r="Q1317" s="1">
        <v>-8.6E7</v>
      </c>
      <c r="R1317" s="1">
        <v>3.04E8</v>
      </c>
      <c r="S1317" s="1">
        <v>3.04E8</v>
      </c>
    </row>
    <row r="1318">
      <c r="A1318" s="1">
        <v>1316.0</v>
      </c>
      <c r="B1318" s="3">
        <v>44377.0</v>
      </c>
      <c r="C1318" s="1" t="s">
        <v>698</v>
      </c>
      <c r="D1318" s="1" t="s">
        <v>699</v>
      </c>
      <c r="E1318" s="1">
        <v>3.7E7</v>
      </c>
      <c r="F1318" s="1">
        <v>9.92E8</v>
      </c>
      <c r="G1318" s="1">
        <v>6.5E8</v>
      </c>
      <c r="H1318" s="1">
        <v>7.1E7</v>
      </c>
      <c r="I1318" s="1">
        <v>1.732E9</v>
      </c>
      <c r="J1318" s="1">
        <v>1.012E9</v>
      </c>
      <c r="K1318" s="1">
        <v>1.012E9</v>
      </c>
      <c r="L1318" s="1">
        <v>-6.8E7</v>
      </c>
      <c r="M1318" s="1">
        <v>3.41E8</v>
      </c>
      <c r="N1318" s="1">
        <v>3.065E9</v>
      </c>
      <c r="O1318" s="1">
        <v>2.053E9</v>
      </c>
      <c r="P1318" s="1">
        <v>1.333E9</v>
      </c>
      <c r="Q1318" s="1">
        <v>-2.0E7</v>
      </c>
      <c r="R1318" s="1">
        <v>6.51E8</v>
      </c>
      <c r="S1318" s="1">
        <v>6.5E8</v>
      </c>
    </row>
    <row r="1319">
      <c r="A1319" s="1">
        <v>1317.0</v>
      </c>
      <c r="B1319" s="3">
        <v>44286.0</v>
      </c>
      <c r="C1319" s="1" t="s">
        <v>698</v>
      </c>
      <c r="D1319" s="1" t="s">
        <v>699</v>
      </c>
      <c r="E1319" s="1">
        <v>3.1E7</v>
      </c>
      <c r="F1319" s="1">
        <v>7.93E8</v>
      </c>
      <c r="G1319" s="1">
        <v>5.59E8</v>
      </c>
      <c r="H1319" s="1">
        <v>6.5E7</v>
      </c>
      <c r="I1319" s="1">
        <v>1.593E9</v>
      </c>
      <c r="J1319" s="1">
        <v>9.05E8</v>
      </c>
      <c r="K1319" s="1">
        <v>9.05E8</v>
      </c>
      <c r="L1319" s="1">
        <v>-7.4E7</v>
      </c>
      <c r="M1319" s="1">
        <v>2.35E8</v>
      </c>
      <c r="N1319" s="1">
        <v>2.872E9</v>
      </c>
      <c r="O1319" s="1">
        <v>1.967E9</v>
      </c>
      <c r="P1319" s="1">
        <v>1.279E9</v>
      </c>
      <c r="Q1319" s="1">
        <v>-1.12E8</v>
      </c>
      <c r="R1319" s="1">
        <v>5.58E8</v>
      </c>
      <c r="S1319" s="1">
        <v>5.59E8</v>
      </c>
    </row>
    <row r="1320">
      <c r="A1320" s="1">
        <v>1318.0</v>
      </c>
      <c r="B1320" s="3">
        <v>44196.0</v>
      </c>
      <c r="C1320" s="1" t="s">
        <v>698</v>
      </c>
      <c r="D1320" s="1" t="s">
        <v>699</v>
      </c>
      <c r="E1320" s="1">
        <v>3.0E7</v>
      </c>
      <c r="F1320" s="1">
        <v>1.004E9</v>
      </c>
      <c r="G1320" s="1">
        <v>8.24E8</v>
      </c>
      <c r="H1320" s="1">
        <v>7.1E7</v>
      </c>
      <c r="I1320" s="1">
        <v>1.777E9</v>
      </c>
      <c r="J1320" s="1">
        <v>1.08E9</v>
      </c>
      <c r="K1320" s="1">
        <v>1.08E9</v>
      </c>
      <c r="L1320" s="1">
        <v>-7.3E7</v>
      </c>
      <c r="M1320" s="1">
        <v>2.58E8</v>
      </c>
      <c r="N1320" s="1">
        <v>3.381E9</v>
      </c>
      <c r="O1320" s="1">
        <v>2.301E9</v>
      </c>
      <c r="P1320" s="1">
        <v>1.604E9</v>
      </c>
      <c r="Q1320" s="1">
        <v>-7.6E7</v>
      </c>
      <c r="R1320" s="1">
        <v>7.46E8</v>
      </c>
      <c r="S1320" s="1">
        <v>8.24E8</v>
      </c>
    </row>
    <row r="1321">
      <c r="A1321" s="1">
        <v>1319.0</v>
      </c>
      <c r="B1321" s="3">
        <v>44104.0</v>
      </c>
      <c r="C1321" s="1" t="s">
        <v>698</v>
      </c>
      <c r="D1321" s="1" t="s">
        <v>699</v>
      </c>
      <c r="E1321" s="1">
        <v>3.9E7</v>
      </c>
      <c r="F1321" s="1">
        <v>9.33E8</v>
      </c>
      <c r="G1321" s="1">
        <v>8.39E8</v>
      </c>
      <c r="H1321" s="1">
        <v>1.51E8</v>
      </c>
      <c r="I1321" s="1">
        <v>1.869E9</v>
      </c>
      <c r="J1321" s="1">
        <v>1.043E9</v>
      </c>
      <c r="K1321" s="1">
        <v>1.043E9</v>
      </c>
      <c r="L1321" s="1">
        <v>-7.5E7</v>
      </c>
      <c r="M1321" s="1">
        <v>3.05E8</v>
      </c>
      <c r="N1321" s="1">
        <v>3.17E9</v>
      </c>
      <c r="O1321" s="1">
        <v>2.127E9</v>
      </c>
      <c r="P1321" s="1">
        <v>1.301E9</v>
      </c>
      <c r="Q1321" s="1">
        <v>-1.1E8</v>
      </c>
      <c r="R1321" s="1">
        <v>6.28E8</v>
      </c>
      <c r="S1321" s="1">
        <v>8.39E8</v>
      </c>
    </row>
    <row r="1322">
      <c r="A1322" s="1">
        <v>1320.0</v>
      </c>
      <c r="B1322" s="3">
        <v>44377.0</v>
      </c>
      <c r="C1322" s="1" t="s">
        <v>700</v>
      </c>
      <c r="D1322" s="1" t="s">
        <v>701</v>
      </c>
      <c r="F1322" s="1">
        <v>-1.07E8</v>
      </c>
      <c r="G1322" s="1">
        <v>-1.4E7</v>
      </c>
      <c r="H1322" s="1">
        <v>1.046E9</v>
      </c>
      <c r="I1322" s="1">
        <v>1.261E9</v>
      </c>
      <c r="J1322" s="1">
        <v>3.9E7</v>
      </c>
      <c r="K1322" s="1">
        <v>3.9E7</v>
      </c>
      <c r="L1322" s="1">
        <v>-2.8E7</v>
      </c>
      <c r="M1322" s="1">
        <v>-9.2E7</v>
      </c>
      <c r="N1322" s="1">
        <v>2.492E9</v>
      </c>
      <c r="O1322" s="1">
        <v>2.453E9</v>
      </c>
      <c r="P1322" s="1">
        <v>1.231E9</v>
      </c>
      <c r="Q1322" s="1">
        <v>-1.46E8</v>
      </c>
      <c r="R1322" s="1">
        <v>-1.5E7</v>
      </c>
      <c r="S1322" s="1">
        <v>-1.4E7</v>
      </c>
    </row>
    <row r="1323">
      <c r="A1323" s="1">
        <v>1321.0</v>
      </c>
      <c r="B1323" s="3">
        <v>44286.0</v>
      </c>
      <c r="C1323" s="1" t="s">
        <v>700</v>
      </c>
      <c r="D1323" s="1" t="s">
        <v>701</v>
      </c>
      <c r="F1323" s="1">
        <v>1.39E8</v>
      </c>
      <c r="G1323" s="1">
        <v>7.9E7</v>
      </c>
      <c r="H1323" s="1">
        <v>8.48E8</v>
      </c>
      <c r="I1323" s="1">
        <v>1.149E9</v>
      </c>
      <c r="J1323" s="1">
        <v>1.28E8</v>
      </c>
      <c r="K1323" s="1">
        <v>1.28E8</v>
      </c>
      <c r="L1323" s="1">
        <v>-7000000.0</v>
      </c>
      <c r="M1323" s="1">
        <v>4.3E7</v>
      </c>
      <c r="N1323" s="1">
        <v>2.335E9</v>
      </c>
      <c r="O1323" s="1">
        <v>2.207E9</v>
      </c>
      <c r="P1323" s="1">
        <v>1.186E9</v>
      </c>
      <c r="Q1323" s="1">
        <v>1.1E7</v>
      </c>
      <c r="R1323" s="1">
        <v>9.6E7</v>
      </c>
      <c r="S1323" s="1">
        <v>7.9E7</v>
      </c>
    </row>
    <row r="1324">
      <c r="A1324" s="1">
        <v>1322.0</v>
      </c>
      <c r="B1324" s="3">
        <v>44196.0</v>
      </c>
      <c r="C1324" s="1" t="s">
        <v>700</v>
      </c>
      <c r="D1324" s="1" t="s">
        <v>701</v>
      </c>
      <c r="F1324" s="1">
        <v>3.46E8</v>
      </c>
      <c r="G1324" s="1">
        <v>2.31E8</v>
      </c>
      <c r="H1324" s="1">
        <v>7.16E8</v>
      </c>
      <c r="I1324" s="1">
        <v>1.216E9</v>
      </c>
      <c r="J1324" s="1">
        <v>3.33E8</v>
      </c>
      <c r="K1324" s="1">
        <v>3.33E8</v>
      </c>
      <c r="L1324" s="1">
        <v>-1.2E7</v>
      </c>
      <c r="M1324" s="1">
        <v>8.5E7</v>
      </c>
      <c r="N1324" s="1">
        <v>2.414E9</v>
      </c>
      <c r="O1324" s="1">
        <v>2.081E9</v>
      </c>
      <c r="P1324" s="1">
        <v>1.198E9</v>
      </c>
      <c r="Q1324" s="1">
        <v>1.3E7</v>
      </c>
      <c r="R1324" s="1">
        <v>2.61E8</v>
      </c>
      <c r="S1324" s="1">
        <v>2.31E8</v>
      </c>
    </row>
    <row r="1325">
      <c r="A1325" s="1">
        <v>1323.0</v>
      </c>
      <c r="B1325" s="3">
        <v>44104.0</v>
      </c>
      <c r="C1325" s="1" t="s">
        <v>700</v>
      </c>
      <c r="D1325" s="1" t="s">
        <v>701</v>
      </c>
      <c r="F1325" s="1">
        <v>7.2E7</v>
      </c>
      <c r="G1325" s="1">
        <v>3.4E7</v>
      </c>
      <c r="H1325" s="1">
        <v>6.83E8</v>
      </c>
      <c r="I1325" s="1">
        <v>9.53E8</v>
      </c>
      <c r="J1325" s="1">
        <v>1.06E8</v>
      </c>
      <c r="K1325" s="1">
        <v>1.06E8</v>
      </c>
      <c r="L1325" s="1">
        <v>-8000000.0</v>
      </c>
      <c r="M1325" s="1">
        <v>2.5E7</v>
      </c>
      <c r="N1325" s="1">
        <v>2.117E9</v>
      </c>
      <c r="O1325" s="1">
        <v>2.011E9</v>
      </c>
      <c r="P1325" s="1">
        <v>1.164E9</v>
      </c>
      <c r="Q1325" s="1">
        <v>-3.4E7</v>
      </c>
      <c r="R1325" s="1">
        <v>4.7E7</v>
      </c>
      <c r="S1325" s="1">
        <v>3.4E7</v>
      </c>
    </row>
    <row r="1326">
      <c r="A1326" s="1">
        <v>1324.0</v>
      </c>
      <c r="B1326" s="3">
        <v>44377.0</v>
      </c>
      <c r="C1326" s="1" t="s">
        <v>702</v>
      </c>
      <c r="D1326" s="1" t="s">
        <v>703</v>
      </c>
      <c r="F1326" s="1">
        <v>-1.07E8</v>
      </c>
      <c r="G1326" s="1">
        <v>-1.4E7</v>
      </c>
      <c r="H1326" s="1">
        <v>1.046E9</v>
      </c>
      <c r="I1326" s="1">
        <v>1.261E9</v>
      </c>
      <c r="J1326" s="1">
        <v>3.9E7</v>
      </c>
      <c r="K1326" s="1">
        <v>3.9E7</v>
      </c>
      <c r="L1326" s="1">
        <v>-2.8E7</v>
      </c>
      <c r="M1326" s="1">
        <v>-9.2E7</v>
      </c>
      <c r="N1326" s="1">
        <v>2.492E9</v>
      </c>
      <c r="O1326" s="1">
        <v>2.453E9</v>
      </c>
      <c r="P1326" s="1">
        <v>1.231E9</v>
      </c>
      <c r="Q1326" s="1">
        <v>-1.46E8</v>
      </c>
      <c r="R1326" s="1">
        <v>-1.5E7</v>
      </c>
      <c r="S1326" s="1">
        <v>-1.4E7</v>
      </c>
    </row>
    <row r="1327">
      <c r="A1327" s="1">
        <v>1325.0</v>
      </c>
      <c r="B1327" s="3">
        <v>44286.0</v>
      </c>
      <c r="C1327" s="1" t="s">
        <v>702</v>
      </c>
      <c r="D1327" s="1" t="s">
        <v>703</v>
      </c>
      <c r="F1327" s="1">
        <v>1.39E8</v>
      </c>
      <c r="G1327" s="1">
        <v>7.9E7</v>
      </c>
      <c r="H1327" s="1">
        <v>8.48E8</v>
      </c>
      <c r="I1327" s="1">
        <v>1.149E9</v>
      </c>
      <c r="J1327" s="1">
        <v>1.28E8</v>
      </c>
      <c r="K1327" s="1">
        <v>1.28E8</v>
      </c>
      <c r="L1327" s="1">
        <v>-7000000.0</v>
      </c>
      <c r="M1327" s="1">
        <v>4.3E7</v>
      </c>
      <c r="N1327" s="1">
        <v>2.335E9</v>
      </c>
      <c r="O1327" s="1">
        <v>2.207E9</v>
      </c>
      <c r="P1327" s="1">
        <v>1.186E9</v>
      </c>
      <c r="Q1327" s="1">
        <v>1.1E7</v>
      </c>
      <c r="R1327" s="1">
        <v>9.6E7</v>
      </c>
      <c r="S1327" s="1">
        <v>7.9E7</v>
      </c>
    </row>
    <row r="1328">
      <c r="A1328" s="1">
        <v>1326.0</v>
      </c>
      <c r="B1328" s="3">
        <v>44196.0</v>
      </c>
      <c r="C1328" s="1" t="s">
        <v>702</v>
      </c>
      <c r="D1328" s="1" t="s">
        <v>703</v>
      </c>
      <c r="F1328" s="1">
        <v>3.46E8</v>
      </c>
      <c r="G1328" s="1">
        <v>2.31E8</v>
      </c>
      <c r="H1328" s="1">
        <v>7.16E8</v>
      </c>
      <c r="I1328" s="1">
        <v>1.216E9</v>
      </c>
      <c r="J1328" s="1">
        <v>3.33E8</v>
      </c>
      <c r="K1328" s="1">
        <v>3.33E8</v>
      </c>
      <c r="L1328" s="1">
        <v>-1.2E7</v>
      </c>
      <c r="M1328" s="1">
        <v>8.5E7</v>
      </c>
      <c r="N1328" s="1">
        <v>2.414E9</v>
      </c>
      <c r="O1328" s="1">
        <v>2.081E9</v>
      </c>
      <c r="P1328" s="1">
        <v>1.198E9</v>
      </c>
      <c r="Q1328" s="1">
        <v>1.3E7</v>
      </c>
      <c r="R1328" s="1">
        <v>2.61E8</v>
      </c>
      <c r="S1328" s="1">
        <v>2.31E8</v>
      </c>
    </row>
    <row r="1329">
      <c r="A1329" s="1">
        <v>1327.0</v>
      </c>
      <c r="B1329" s="3">
        <v>44104.0</v>
      </c>
      <c r="C1329" s="1" t="s">
        <v>702</v>
      </c>
      <c r="D1329" s="1" t="s">
        <v>703</v>
      </c>
      <c r="F1329" s="1">
        <v>7.2E7</v>
      </c>
      <c r="G1329" s="1">
        <v>3.4E7</v>
      </c>
      <c r="H1329" s="1">
        <v>6.83E8</v>
      </c>
      <c r="I1329" s="1">
        <v>9.53E8</v>
      </c>
      <c r="J1329" s="1">
        <v>1.06E8</v>
      </c>
      <c r="K1329" s="1">
        <v>1.06E8</v>
      </c>
      <c r="L1329" s="1">
        <v>-8000000.0</v>
      </c>
      <c r="M1329" s="1">
        <v>2.5E7</v>
      </c>
      <c r="N1329" s="1">
        <v>2.117E9</v>
      </c>
      <c r="O1329" s="1">
        <v>2.011E9</v>
      </c>
      <c r="P1329" s="1">
        <v>1.164E9</v>
      </c>
      <c r="Q1329" s="1">
        <v>-3.4E7</v>
      </c>
      <c r="R1329" s="1">
        <v>4.7E7</v>
      </c>
      <c r="S1329" s="1">
        <v>3.4E7</v>
      </c>
    </row>
    <row r="1330">
      <c r="A1330" s="1">
        <v>1328.0</v>
      </c>
      <c r="B1330" s="3">
        <v>44377.0</v>
      </c>
      <c r="C1330" s="1" t="s">
        <v>704</v>
      </c>
      <c r="D1330" s="1" t="s">
        <v>705</v>
      </c>
      <c r="F1330" s="1">
        <v>-6.8E7</v>
      </c>
      <c r="G1330" s="1">
        <v>2.56E8</v>
      </c>
      <c r="H1330" s="1">
        <v>-6.4E7</v>
      </c>
      <c r="I1330" s="1">
        <v>1.958E9</v>
      </c>
      <c r="J1330" s="1">
        <v>5.81E8</v>
      </c>
      <c r="K1330" s="1">
        <v>5.81E8</v>
      </c>
      <c r="L1330" s="1">
        <v>-7.57E8</v>
      </c>
      <c r="M1330" s="1">
        <v>-1.4E8</v>
      </c>
      <c r="N1330" s="1">
        <v>3.927E9</v>
      </c>
      <c r="O1330" s="1">
        <v>3.346E9</v>
      </c>
      <c r="P1330" s="1">
        <v>1.969E9</v>
      </c>
      <c r="Q1330" s="1">
        <v>-6.49E8</v>
      </c>
      <c r="R1330" s="1">
        <v>7.2E7</v>
      </c>
      <c r="S1330" s="1">
        <v>2.56E8</v>
      </c>
    </row>
    <row r="1331">
      <c r="A1331" s="1">
        <v>1329.0</v>
      </c>
      <c r="B1331" s="3">
        <v>44286.0</v>
      </c>
      <c r="C1331" s="1" t="s">
        <v>704</v>
      </c>
      <c r="D1331" s="1" t="s">
        <v>705</v>
      </c>
      <c r="F1331" s="1">
        <v>1.748E9</v>
      </c>
      <c r="G1331" s="1">
        <v>1.666E9</v>
      </c>
      <c r="H1331" s="1">
        <v>-6.4E7</v>
      </c>
      <c r="I1331" s="1">
        <v>1.831E9</v>
      </c>
      <c r="J1331" s="1">
        <v>7.19E8</v>
      </c>
      <c r="K1331" s="1">
        <v>7.19E8</v>
      </c>
      <c r="L1331" s="1">
        <v>-7.57E8</v>
      </c>
      <c r="M1331" s="1">
        <v>2.5E8</v>
      </c>
      <c r="N1331" s="1">
        <v>3.726E9</v>
      </c>
      <c r="O1331" s="1">
        <v>3.007E9</v>
      </c>
      <c r="P1331" s="1">
        <v>1.895E9</v>
      </c>
      <c r="Q1331" s="1">
        <v>1.029E9</v>
      </c>
      <c r="R1331" s="1">
        <v>1.498E9</v>
      </c>
      <c r="S1331" s="1">
        <v>1.666E9</v>
      </c>
    </row>
    <row r="1332">
      <c r="A1332" s="1">
        <v>1330.0</v>
      </c>
      <c r="B1332" s="3">
        <v>44196.0</v>
      </c>
      <c r="C1332" s="1" t="s">
        <v>704</v>
      </c>
      <c r="D1332" s="1" t="s">
        <v>705</v>
      </c>
      <c r="F1332" s="1">
        <v>-2.25E8</v>
      </c>
      <c r="G1332" s="1">
        <v>-5000000.0</v>
      </c>
      <c r="H1332" s="1">
        <v>-5.1E7</v>
      </c>
      <c r="I1332" s="1">
        <v>2.424E9</v>
      </c>
      <c r="J1332" s="1">
        <v>1.1E9</v>
      </c>
      <c r="K1332" s="1">
        <v>1.1E9</v>
      </c>
      <c r="L1332" s="1">
        <v>-1.11E8</v>
      </c>
      <c r="M1332" s="1">
        <v>-3.5E7</v>
      </c>
      <c r="N1332" s="1">
        <v>4.395E9</v>
      </c>
      <c r="O1332" s="1">
        <v>3.295E9</v>
      </c>
      <c r="P1332" s="1">
        <v>1.971E9</v>
      </c>
      <c r="Q1332" s="1">
        <v>-1.325E9</v>
      </c>
      <c r="R1332" s="1">
        <v>-1.9E8</v>
      </c>
      <c r="S1332" s="1">
        <v>-5000000.0</v>
      </c>
    </row>
    <row r="1333">
      <c r="A1333" s="1">
        <v>1331.0</v>
      </c>
      <c r="B1333" s="3">
        <v>44104.0</v>
      </c>
      <c r="C1333" s="1" t="s">
        <v>704</v>
      </c>
      <c r="D1333" s="1" t="s">
        <v>705</v>
      </c>
      <c r="F1333" s="1">
        <v>1.252E9</v>
      </c>
      <c r="G1333" s="1">
        <v>1.229E9</v>
      </c>
      <c r="H1333" s="1">
        <v>-5.0E7</v>
      </c>
      <c r="I1333" s="1">
        <v>2.752E9</v>
      </c>
      <c r="J1333" s="1">
        <v>1.069E9</v>
      </c>
      <c r="K1333" s="1">
        <v>1.069E9</v>
      </c>
      <c r="L1333" s="1">
        <v>-2.08E8</v>
      </c>
      <c r="M1333" s="1">
        <v>1.29E8</v>
      </c>
      <c r="N1333" s="1">
        <v>4.785E9</v>
      </c>
      <c r="O1333" s="1">
        <v>3.716E9</v>
      </c>
      <c r="P1333" s="1">
        <v>2.033E9</v>
      </c>
      <c r="Q1333" s="1">
        <v>1.83E8</v>
      </c>
      <c r="R1333" s="1">
        <v>1.123E9</v>
      </c>
      <c r="S1333" s="1">
        <v>1.229E9</v>
      </c>
    </row>
    <row r="1334">
      <c r="A1334" s="1">
        <v>1332.0</v>
      </c>
      <c r="B1334" s="3">
        <v>44377.0</v>
      </c>
      <c r="C1334" s="1" t="s">
        <v>706</v>
      </c>
      <c r="D1334" s="1" t="s">
        <v>707</v>
      </c>
      <c r="F1334" s="1">
        <v>1.24E8</v>
      </c>
      <c r="G1334" s="1">
        <v>7.6E7</v>
      </c>
      <c r="H1334" s="1">
        <v>2.18E8</v>
      </c>
      <c r="I1334" s="1">
        <v>5.69E8</v>
      </c>
      <c r="J1334" s="1">
        <v>2.25E8</v>
      </c>
      <c r="K1334" s="1">
        <v>2.25E8</v>
      </c>
      <c r="L1334" s="1">
        <v>-6.9E7</v>
      </c>
      <c r="M1334" s="1">
        <v>3.6E7</v>
      </c>
      <c r="N1334" s="1">
        <v>8.61E8</v>
      </c>
      <c r="O1334" s="1">
        <v>6.36E8</v>
      </c>
      <c r="P1334" s="1">
        <v>2.92E8</v>
      </c>
      <c r="Q1334" s="1">
        <v>-1.01E8</v>
      </c>
      <c r="R1334" s="1">
        <v>8.8E7</v>
      </c>
      <c r="S1334" s="1">
        <v>7.6E7</v>
      </c>
    </row>
    <row r="1335">
      <c r="A1335" s="1">
        <v>1333.0</v>
      </c>
      <c r="B1335" s="3">
        <v>44286.0</v>
      </c>
      <c r="C1335" s="1" t="s">
        <v>706</v>
      </c>
      <c r="D1335" s="1" t="s">
        <v>707</v>
      </c>
      <c r="F1335" s="1">
        <v>1.69E8</v>
      </c>
      <c r="G1335" s="1">
        <v>5.73E8</v>
      </c>
      <c r="H1335" s="1">
        <v>2.06E8</v>
      </c>
      <c r="I1335" s="1">
        <v>5.86E8</v>
      </c>
      <c r="J1335" s="1">
        <v>2.53E8</v>
      </c>
      <c r="K1335" s="1">
        <v>2.53E8</v>
      </c>
      <c r="L1335" s="1">
        <v>-8.0E7</v>
      </c>
      <c r="M1335" s="1">
        <v>6.0E7</v>
      </c>
      <c r="N1335" s="1">
        <v>8.63E8</v>
      </c>
      <c r="O1335" s="1">
        <v>6.1E8</v>
      </c>
      <c r="P1335" s="1">
        <v>2.77E8</v>
      </c>
      <c r="Q1335" s="1">
        <v>-8.4E7</v>
      </c>
      <c r="R1335" s="1">
        <v>1.09E8</v>
      </c>
      <c r="S1335" s="1">
        <v>5.73E8</v>
      </c>
    </row>
    <row r="1336">
      <c r="A1336" s="1">
        <v>1334.0</v>
      </c>
      <c r="B1336" s="3">
        <v>44196.0</v>
      </c>
      <c r="C1336" s="1" t="s">
        <v>706</v>
      </c>
      <c r="D1336" s="1" t="s">
        <v>707</v>
      </c>
      <c r="F1336" s="1">
        <v>6.1E7</v>
      </c>
      <c r="G1336" s="1">
        <v>3.5E7</v>
      </c>
      <c r="H1336" s="1">
        <v>4.6E8</v>
      </c>
      <c r="I1336" s="1">
        <v>9.6E8</v>
      </c>
      <c r="J1336" s="1">
        <v>2.91E8</v>
      </c>
      <c r="K1336" s="1">
        <v>2.91E8</v>
      </c>
      <c r="L1336" s="1">
        <v>-9.4E7</v>
      </c>
      <c r="M1336" s="1">
        <v>2.5E7</v>
      </c>
      <c r="N1336" s="1">
        <v>1.672E9</v>
      </c>
      <c r="O1336" s="1">
        <v>1.381E9</v>
      </c>
      <c r="P1336" s="1">
        <v>7.12E8</v>
      </c>
      <c r="Q1336" s="1">
        <v>-2.3E8</v>
      </c>
      <c r="R1336" s="1">
        <v>3.6E7</v>
      </c>
      <c r="S1336" s="1">
        <v>3.5E7</v>
      </c>
    </row>
    <row r="1337">
      <c r="A1337" s="1">
        <v>1335.0</v>
      </c>
      <c r="B1337" s="3">
        <v>44104.0</v>
      </c>
      <c r="C1337" s="1" t="s">
        <v>706</v>
      </c>
      <c r="D1337" s="1" t="s">
        <v>707</v>
      </c>
      <c r="F1337" s="1">
        <v>7.9E7</v>
      </c>
      <c r="G1337" s="1">
        <v>7000000.0</v>
      </c>
      <c r="H1337" s="1">
        <v>4.51E8</v>
      </c>
      <c r="I1337" s="1">
        <v>9.0E8</v>
      </c>
      <c r="J1337" s="1">
        <v>2.32E8</v>
      </c>
      <c r="K1337" s="1">
        <v>2.32E8</v>
      </c>
      <c r="L1337" s="1">
        <v>-9.2E7</v>
      </c>
      <c r="M1337" s="1">
        <v>6.9E7</v>
      </c>
      <c r="N1337" s="1">
        <v>1.563E9</v>
      </c>
      <c r="O1337" s="1">
        <v>1.331E9</v>
      </c>
      <c r="P1337" s="1">
        <v>6.63E8</v>
      </c>
      <c r="Q1337" s="1">
        <v>-1.53E8</v>
      </c>
      <c r="R1337" s="1">
        <v>1.0E7</v>
      </c>
      <c r="S1337" s="1">
        <v>7000000.0</v>
      </c>
    </row>
    <row r="1338">
      <c r="A1338" s="1">
        <v>1336.0</v>
      </c>
      <c r="B1338" s="3">
        <v>44255.0</v>
      </c>
      <c r="C1338" s="1" t="s">
        <v>708</v>
      </c>
      <c r="D1338" s="1" t="s">
        <v>709</v>
      </c>
      <c r="F1338" s="1">
        <v>1.636E9</v>
      </c>
      <c r="G1338" s="1">
        <v>1.449E9</v>
      </c>
      <c r="H1338" s="1">
        <v>3.018E9</v>
      </c>
      <c r="I1338" s="1">
        <v>4.725E9</v>
      </c>
      <c r="J1338" s="1">
        <v>1.707E9</v>
      </c>
      <c r="K1338" s="1">
        <v>1.707E9</v>
      </c>
      <c r="L1338" s="1">
        <v>-7.2E7</v>
      </c>
      <c r="M1338" s="1">
        <v>1.87E8</v>
      </c>
      <c r="N1338" s="1">
        <v>1.0357E10</v>
      </c>
      <c r="O1338" s="1">
        <v>8.65E9</v>
      </c>
      <c r="P1338" s="1">
        <v>5.632E9</v>
      </c>
      <c r="Q1338" s="1">
        <v>-7.1E7</v>
      </c>
      <c r="R1338" s="1">
        <v>1.449E9</v>
      </c>
      <c r="S1338" s="1">
        <v>1.449E9</v>
      </c>
    </row>
    <row r="1339">
      <c r="A1339" s="1">
        <v>1337.0</v>
      </c>
      <c r="B1339" s="3">
        <v>44165.0</v>
      </c>
      <c r="C1339" s="1" t="s">
        <v>708</v>
      </c>
      <c r="D1339" s="1" t="s">
        <v>709</v>
      </c>
      <c r="F1339" s="1">
        <v>1.456E9</v>
      </c>
      <c r="G1339" s="1">
        <v>1.251E9</v>
      </c>
      <c r="H1339" s="1">
        <v>3.16E9</v>
      </c>
      <c r="I1339" s="1">
        <v>4.877E9</v>
      </c>
      <c r="J1339" s="1">
        <v>1.717E9</v>
      </c>
      <c r="K1339" s="1">
        <v>1.717E9</v>
      </c>
      <c r="L1339" s="1">
        <v>-7.6E7</v>
      </c>
      <c r="M1339" s="1">
        <v>2.05E8</v>
      </c>
      <c r="N1339" s="1">
        <v>1.1243E10</v>
      </c>
      <c r="O1339" s="1">
        <v>9.526E9</v>
      </c>
      <c r="P1339" s="1">
        <v>6.366E9</v>
      </c>
      <c r="Q1339" s="1">
        <v>-2.61E8</v>
      </c>
      <c r="R1339" s="1">
        <v>1.251E9</v>
      </c>
      <c r="S1339" s="1">
        <v>1.251E9</v>
      </c>
    </row>
    <row r="1340">
      <c r="A1340" s="1">
        <v>1338.0</v>
      </c>
      <c r="B1340" s="3">
        <v>44074.0</v>
      </c>
      <c r="C1340" s="1" t="s">
        <v>708</v>
      </c>
      <c r="D1340" s="1" t="s">
        <v>709</v>
      </c>
      <c r="F1340" s="1">
        <v>1.715E9</v>
      </c>
      <c r="G1340" s="1">
        <v>1.518E9</v>
      </c>
      <c r="H1340" s="1">
        <v>2.835E9</v>
      </c>
      <c r="I1340" s="1">
        <v>4.741E9</v>
      </c>
      <c r="J1340" s="1">
        <v>1.906E9</v>
      </c>
      <c r="K1340" s="1">
        <v>1.906E9</v>
      </c>
      <c r="L1340" s="1">
        <v>-7.2E7</v>
      </c>
      <c r="M1340" s="1">
        <v>1.97E8</v>
      </c>
      <c r="N1340" s="1">
        <v>1.0594E10</v>
      </c>
      <c r="O1340" s="1">
        <v>8.688E9</v>
      </c>
      <c r="P1340" s="1">
        <v>5.853E9</v>
      </c>
      <c r="Q1340" s="1">
        <v>-1.91E8</v>
      </c>
      <c r="R1340" s="1">
        <v>1.518E9</v>
      </c>
      <c r="S1340" s="1">
        <v>1.518E9</v>
      </c>
    </row>
    <row r="1341">
      <c r="A1341" s="1">
        <v>1339.0</v>
      </c>
      <c r="B1341" s="3">
        <v>43982.0</v>
      </c>
      <c r="C1341" s="1" t="s">
        <v>708</v>
      </c>
      <c r="D1341" s="1" t="s">
        <v>709</v>
      </c>
      <c r="F1341" s="1">
        <v>-8.04E8</v>
      </c>
      <c r="G1341" s="1">
        <v>-7.9E8</v>
      </c>
      <c r="H1341" s="1">
        <v>3.191E9</v>
      </c>
      <c r="I1341" s="1">
        <v>2.353E9</v>
      </c>
      <c r="J1341" s="1">
        <v>-8.38E8</v>
      </c>
      <c r="K1341" s="1">
        <v>-8.38E8</v>
      </c>
      <c r="L1341" s="1">
        <v>-6.1E7</v>
      </c>
      <c r="M1341" s="1">
        <v>-1.4E7</v>
      </c>
      <c r="N1341" s="1">
        <v>6.313E9</v>
      </c>
      <c r="O1341" s="1">
        <v>7.151E9</v>
      </c>
      <c r="P1341" s="1">
        <v>3.96E9</v>
      </c>
      <c r="Q1341" s="1">
        <v>3.4E7</v>
      </c>
      <c r="R1341" s="1">
        <v>-7.9E8</v>
      </c>
      <c r="S1341" s="1">
        <v>-7.9E8</v>
      </c>
    </row>
    <row r="1342">
      <c r="A1342" s="1">
        <v>1340.0</v>
      </c>
      <c r="B1342" s="3">
        <v>44377.0</v>
      </c>
      <c r="C1342" s="1" t="s">
        <v>710</v>
      </c>
      <c r="D1342" s="1" t="s">
        <v>711</v>
      </c>
      <c r="F1342" s="1">
        <v>7.01E7</v>
      </c>
      <c r="G1342" s="1">
        <v>6.03E7</v>
      </c>
      <c r="H1342" s="1">
        <v>-8600000.0</v>
      </c>
      <c r="I1342" s="1">
        <v>3.949E8</v>
      </c>
      <c r="J1342" s="1">
        <v>1.507E8</v>
      </c>
      <c r="K1342" s="1">
        <v>1.507E8</v>
      </c>
      <c r="L1342" s="1">
        <v>-8.45E7</v>
      </c>
      <c r="M1342" s="1">
        <v>1.32E7</v>
      </c>
      <c r="N1342" s="1">
        <v>9.86E8</v>
      </c>
      <c r="O1342" s="1">
        <v>8.353E8</v>
      </c>
      <c r="P1342" s="1">
        <v>5.911E8</v>
      </c>
      <c r="Q1342" s="1">
        <v>-8.06E7</v>
      </c>
      <c r="R1342" s="1">
        <v>5.69E7</v>
      </c>
      <c r="S1342" s="1">
        <v>4.65E7</v>
      </c>
    </row>
    <row r="1343">
      <c r="A1343" s="1">
        <v>1341.0</v>
      </c>
      <c r="B1343" s="3">
        <v>44286.0</v>
      </c>
      <c r="C1343" s="1" t="s">
        <v>710</v>
      </c>
      <c r="D1343" s="1" t="s">
        <v>711</v>
      </c>
      <c r="F1343" s="1">
        <v>3.591E8</v>
      </c>
      <c r="G1343" s="1">
        <v>2.965E8</v>
      </c>
      <c r="H1343" s="1">
        <v>-8500000.0</v>
      </c>
      <c r="I1343" s="1">
        <v>7.119E8</v>
      </c>
      <c r="J1343" s="1">
        <v>4.544E8</v>
      </c>
      <c r="K1343" s="1">
        <v>4.544E8</v>
      </c>
      <c r="L1343" s="1">
        <v>-8.46E7</v>
      </c>
      <c r="M1343" s="1">
        <v>6.26E7</v>
      </c>
      <c r="N1343" s="1">
        <v>1.5456E9</v>
      </c>
      <c r="O1343" s="1">
        <v>1.0912E9</v>
      </c>
      <c r="P1343" s="1">
        <v>8.337E8</v>
      </c>
      <c r="Q1343" s="1">
        <v>-9.53E7</v>
      </c>
      <c r="R1343" s="1">
        <v>2.965E8</v>
      </c>
      <c r="S1343" s="1">
        <v>2.827E8</v>
      </c>
    </row>
    <row r="1344">
      <c r="A1344" s="1">
        <v>1342.0</v>
      </c>
      <c r="B1344" s="3">
        <v>44196.0</v>
      </c>
      <c r="C1344" s="1" t="s">
        <v>710</v>
      </c>
      <c r="D1344" s="1" t="s">
        <v>711</v>
      </c>
      <c r="F1344" s="1">
        <v>1.446E8</v>
      </c>
      <c r="G1344" s="1">
        <v>8.44E7</v>
      </c>
      <c r="H1344" s="1">
        <v>1.74E7</v>
      </c>
      <c r="I1344" s="1">
        <v>5.177E8</v>
      </c>
      <c r="J1344" s="1">
        <v>2.419E8</v>
      </c>
      <c r="K1344" s="1">
        <v>2.419E8</v>
      </c>
      <c r="L1344" s="1">
        <v>-9.29E7</v>
      </c>
      <c r="M1344" s="1">
        <v>5.68E7</v>
      </c>
      <c r="N1344" s="1">
        <v>1.211E9</v>
      </c>
      <c r="O1344" s="1">
        <v>9.691E8</v>
      </c>
      <c r="P1344" s="1">
        <v>6.933E8</v>
      </c>
      <c r="Q1344" s="1">
        <v>-9.73E7</v>
      </c>
      <c r="R1344" s="1">
        <v>8.78E7</v>
      </c>
      <c r="S1344" s="1">
        <v>7.07E7</v>
      </c>
    </row>
    <row r="1345">
      <c r="A1345" s="1">
        <v>1343.0</v>
      </c>
      <c r="B1345" s="3">
        <v>44104.0</v>
      </c>
      <c r="C1345" s="1" t="s">
        <v>710</v>
      </c>
      <c r="D1345" s="1" t="s">
        <v>711</v>
      </c>
      <c r="F1345" s="1">
        <v>-2.378E8</v>
      </c>
      <c r="G1345" s="1">
        <v>-1.729E8</v>
      </c>
      <c r="H1345" s="1">
        <v>-600000.0</v>
      </c>
      <c r="I1345" s="1">
        <v>4.029E8</v>
      </c>
      <c r="J1345" s="1">
        <v>1.527E8</v>
      </c>
      <c r="K1345" s="1">
        <v>1.527E8</v>
      </c>
      <c r="L1345" s="1">
        <v>-9.52E7</v>
      </c>
      <c r="M1345" s="1">
        <v>-6.49E7</v>
      </c>
      <c r="N1345" s="1">
        <v>9.025E8</v>
      </c>
      <c r="O1345" s="1">
        <v>7.498E8</v>
      </c>
      <c r="P1345" s="1">
        <v>4.996E8</v>
      </c>
      <c r="Q1345" s="1">
        <v>-3.905E8</v>
      </c>
      <c r="R1345" s="1">
        <v>-1.729E8</v>
      </c>
      <c r="S1345" s="1">
        <v>-1.867E8</v>
      </c>
    </row>
    <row r="1346">
      <c r="A1346" s="1">
        <v>1344.0</v>
      </c>
      <c r="B1346" s="3">
        <v>44286.0</v>
      </c>
      <c r="C1346" s="1" t="s">
        <v>712</v>
      </c>
      <c r="D1346" s="1" t="s">
        <v>713</v>
      </c>
      <c r="F1346" s="1">
        <v>8.66E8</v>
      </c>
      <c r="G1346" s="1">
        <v>6.73E8</v>
      </c>
      <c r="I1346" s="1">
        <v>1.332E9</v>
      </c>
      <c r="J1346" s="1">
        <v>1.04E9</v>
      </c>
      <c r="K1346" s="1">
        <v>1.04E9</v>
      </c>
      <c r="L1346" s="1">
        <v>-1.56E8</v>
      </c>
      <c r="M1346" s="1">
        <v>1.93E8</v>
      </c>
      <c r="N1346" s="1">
        <v>2.639E9</v>
      </c>
      <c r="O1346" s="1">
        <v>1.599E9</v>
      </c>
      <c r="P1346" s="1">
        <v>1.307E9</v>
      </c>
      <c r="Q1346" s="1">
        <v>-1.74E8</v>
      </c>
      <c r="R1346" s="1">
        <v>6.73E8</v>
      </c>
      <c r="S1346" s="1">
        <v>6.72E8</v>
      </c>
    </row>
    <row r="1347">
      <c r="A1347" s="1">
        <v>1345.0</v>
      </c>
      <c r="B1347" s="3">
        <v>44196.0</v>
      </c>
      <c r="C1347" s="1" t="s">
        <v>712</v>
      </c>
      <c r="D1347" s="1" t="s">
        <v>713</v>
      </c>
      <c r="F1347" s="1">
        <v>8.67E8</v>
      </c>
      <c r="G1347" s="1">
        <v>6.71E8</v>
      </c>
      <c r="I1347" s="1">
        <v>1.294E9</v>
      </c>
      <c r="J1347" s="1">
        <v>1.007E9</v>
      </c>
      <c r="K1347" s="1">
        <v>1.007E9</v>
      </c>
      <c r="L1347" s="1">
        <v>-1.6E8</v>
      </c>
      <c r="M1347" s="1">
        <v>1.96E8</v>
      </c>
      <c r="N1347" s="1">
        <v>2.573E9</v>
      </c>
      <c r="O1347" s="1">
        <v>1.566E9</v>
      </c>
      <c r="P1347" s="1">
        <v>1.279E9</v>
      </c>
      <c r="Q1347" s="1">
        <v>-1.4E8</v>
      </c>
      <c r="R1347" s="1">
        <v>6.71E8</v>
      </c>
      <c r="S1347" s="1">
        <v>6.71E8</v>
      </c>
    </row>
    <row r="1348">
      <c r="A1348" s="1">
        <v>1346.0</v>
      </c>
      <c r="B1348" s="3">
        <v>44104.0</v>
      </c>
      <c r="C1348" s="1" t="s">
        <v>712</v>
      </c>
      <c r="D1348" s="1" t="s">
        <v>713</v>
      </c>
      <c r="F1348" s="1">
        <v>7.24E8</v>
      </c>
      <c r="G1348" s="1">
        <v>5.69E8</v>
      </c>
      <c r="I1348" s="1">
        <v>1.156E9</v>
      </c>
      <c r="J1348" s="1">
        <v>8.63E8</v>
      </c>
      <c r="K1348" s="1">
        <v>8.63E8</v>
      </c>
      <c r="L1348" s="1">
        <v>-1.55E8</v>
      </c>
      <c r="M1348" s="1">
        <v>1.55E8</v>
      </c>
      <c r="N1348" s="1">
        <v>2.506E9</v>
      </c>
      <c r="O1348" s="1">
        <v>1.643E9</v>
      </c>
      <c r="P1348" s="1">
        <v>1.35E9</v>
      </c>
      <c r="Q1348" s="1">
        <v>-1.39E8</v>
      </c>
      <c r="R1348" s="1">
        <v>5.69E8</v>
      </c>
      <c r="S1348" s="1">
        <v>5.67E8</v>
      </c>
    </row>
    <row r="1349">
      <c r="A1349" s="1">
        <v>1347.0</v>
      </c>
      <c r="B1349" s="3">
        <v>44012.0</v>
      </c>
      <c r="C1349" s="1" t="s">
        <v>712</v>
      </c>
      <c r="D1349" s="1" t="s">
        <v>713</v>
      </c>
      <c r="F1349" s="1">
        <v>5.03E8</v>
      </c>
      <c r="G1349" s="1">
        <v>3.92E8</v>
      </c>
      <c r="I1349" s="1">
        <v>9.15E8</v>
      </c>
      <c r="J1349" s="1">
        <v>6.33E8</v>
      </c>
      <c r="K1349" s="1">
        <v>6.33E8</v>
      </c>
      <c r="L1349" s="1">
        <v>-1.56E8</v>
      </c>
      <c r="M1349" s="1">
        <v>1.11E8</v>
      </c>
      <c r="N1349" s="1">
        <v>2.085E9</v>
      </c>
      <c r="O1349" s="1">
        <v>1.452E9</v>
      </c>
      <c r="P1349" s="1">
        <v>1.17E9</v>
      </c>
      <c r="Q1349" s="1">
        <v>-1.3E8</v>
      </c>
      <c r="R1349" s="1">
        <v>3.92E8</v>
      </c>
      <c r="S1349" s="1">
        <v>3.92E8</v>
      </c>
    </row>
    <row r="1350">
      <c r="A1350" s="1">
        <v>1348.0</v>
      </c>
      <c r="B1350" s="3">
        <v>44377.0</v>
      </c>
      <c r="C1350" s="1" t="s">
        <v>714</v>
      </c>
      <c r="D1350" s="1" t="s">
        <v>715</v>
      </c>
      <c r="F1350" s="1">
        <v>4.865E8</v>
      </c>
      <c r="G1350" s="1">
        <v>3.681E8</v>
      </c>
      <c r="H1350" s="1">
        <v>1.0622E9</v>
      </c>
      <c r="I1350" s="1">
        <v>1.6073E9</v>
      </c>
      <c r="J1350" s="1">
        <v>0.0</v>
      </c>
      <c r="K1350" s="1">
        <v>4.865E8</v>
      </c>
      <c r="M1350" s="1">
        <v>1.184E8</v>
      </c>
      <c r="N1350" s="1">
        <v>1.6073E9</v>
      </c>
      <c r="O1350" s="1">
        <v>1.1208E9</v>
      </c>
      <c r="P1350" s="1">
        <v>0.0</v>
      </c>
      <c r="Q1350" s="1">
        <v>0.0</v>
      </c>
      <c r="R1350" s="1">
        <v>3.681E8</v>
      </c>
      <c r="S1350" s="1">
        <v>3.602E8</v>
      </c>
    </row>
    <row r="1351">
      <c r="A1351" s="1">
        <v>1349.0</v>
      </c>
      <c r="B1351" s="3">
        <v>44286.0</v>
      </c>
      <c r="C1351" s="1" t="s">
        <v>714</v>
      </c>
      <c r="D1351" s="1" t="s">
        <v>715</v>
      </c>
      <c r="F1351" s="1">
        <v>4.959E8</v>
      </c>
      <c r="G1351" s="1">
        <v>3.751E8</v>
      </c>
      <c r="H1351" s="1">
        <v>1.0537E9</v>
      </c>
      <c r="I1351" s="1">
        <v>1.6134E9</v>
      </c>
      <c r="J1351" s="1">
        <v>0.0</v>
      </c>
      <c r="K1351" s="1">
        <v>4.959E8</v>
      </c>
      <c r="M1351" s="1">
        <v>1.208E8</v>
      </c>
      <c r="N1351" s="1">
        <v>1.6134E9</v>
      </c>
      <c r="O1351" s="1">
        <v>1.1175E9</v>
      </c>
      <c r="P1351" s="1">
        <v>0.0</v>
      </c>
      <c r="Q1351" s="1">
        <v>0.0</v>
      </c>
      <c r="R1351" s="1">
        <v>3.751E8</v>
      </c>
      <c r="S1351" s="1">
        <v>3.552E8</v>
      </c>
    </row>
    <row r="1352">
      <c r="A1352" s="1">
        <v>1350.0</v>
      </c>
      <c r="B1352" s="3">
        <v>44196.0</v>
      </c>
      <c r="C1352" s="1" t="s">
        <v>714</v>
      </c>
      <c r="D1352" s="1" t="s">
        <v>715</v>
      </c>
      <c r="F1352" s="1">
        <v>3.734E8</v>
      </c>
      <c r="G1352" s="1">
        <v>2.409E8</v>
      </c>
      <c r="H1352" s="1">
        <v>1.0355E9</v>
      </c>
      <c r="I1352" s="1">
        <v>1.5244E9</v>
      </c>
      <c r="J1352" s="1">
        <v>0.0</v>
      </c>
      <c r="K1352" s="1">
        <v>4.259E8</v>
      </c>
      <c r="M1352" s="1">
        <v>1.325E8</v>
      </c>
      <c r="N1352" s="1">
        <v>1.5244E9</v>
      </c>
      <c r="O1352" s="1">
        <v>1.0985E9</v>
      </c>
      <c r="P1352" s="1">
        <v>0.0</v>
      </c>
      <c r="Q1352" s="1">
        <v>-5.25E7</v>
      </c>
      <c r="R1352" s="1">
        <v>2.409E8</v>
      </c>
      <c r="S1352" s="1">
        <v>2.347E8</v>
      </c>
    </row>
    <row r="1353">
      <c r="A1353" s="1">
        <v>1351.0</v>
      </c>
      <c r="B1353" s="3">
        <v>44104.0</v>
      </c>
      <c r="C1353" s="1" t="s">
        <v>714</v>
      </c>
      <c r="D1353" s="1" t="s">
        <v>715</v>
      </c>
      <c r="F1353" s="1">
        <v>3.899E8</v>
      </c>
      <c r="G1353" s="1">
        <v>2.945E8</v>
      </c>
      <c r="H1353" s="1">
        <v>9.911E8</v>
      </c>
      <c r="I1353" s="1">
        <v>1.4846E9</v>
      </c>
      <c r="J1353" s="1">
        <v>0.0</v>
      </c>
      <c r="K1353" s="1">
        <v>3.899E8</v>
      </c>
      <c r="M1353" s="1">
        <v>9.54E7</v>
      </c>
      <c r="N1353" s="1">
        <v>1.4846E9</v>
      </c>
      <c r="O1353" s="1">
        <v>1.0947E9</v>
      </c>
      <c r="P1353" s="1">
        <v>0.0</v>
      </c>
      <c r="Q1353" s="1">
        <v>0.0</v>
      </c>
      <c r="R1353" s="1">
        <v>2.945E8</v>
      </c>
      <c r="S1353" s="1">
        <v>2.75E8</v>
      </c>
    </row>
    <row r="1354">
      <c r="A1354" s="1">
        <v>1352.0</v>
      </c>
      <c r="B1354" s="3">
        <v>44377.0</v>
      </c>
      <c r="C1354" s="1" t="s">
        <v>716</v>
      </c>
      <c r="D1354" s="1" t="s">
        <v>717</v>
      </c>
      <c r="F1354" s="1">
        <v>1.302E9</v>
      </c>
      <c r="G1354" s="1">
        <v>1.037E9</v>
      </c>
      <c r="H1354" s="1">
        <v>6.32E8</v>
      </c>
      <c r="I1354" s="1">
        <v>2.043E9</v>
      </c>
      <c r="J1354" s="1">
        <v>1.411E9</v>
      </c>
      <c r="K1354" s="1">
        <v>1.411E9</v>
      </c>
      <c r="L1354" s="1">
        <v>-1.36E8</v>
      </c>
      <c r="M1354" s="1">
        <v>2.65E8</v>
      </c>
      <c r="N1354" s="1">
        <v>9.151E9</v>
      </c>
      <c r="O1354" s="1">
        <v>7.74E9</v>
      </c>
      <c r="P1354" s="1">
        <v>7.108E9</v>
      </c>
      <c r="Q1354" s="1">
        <v>-1.09E8</v>
      </c>
      <c r="R1354" s="1">
        <v>1.037E9</v>
      </c>
      <c r="S1354" s="1">
        <v>1.037E9</v>
      </c>
    </row>
    <row r="1355">
      <c r="A1355" s="1">
        <v>1353.0</v>
      </c>
      <c r="B1355" s="3">
        <v>44286.0</v>
      </c>
      <c r="C1355" s="1" t="s">
        <v>716</v>
      </c>
      <c r="D1355" s="1" t="s">
        <v>717</v>
      </c>
      <c r="F1355" s="1">
        <v>3.016E9</v>
      </c>
      <c r="G1355" s="1">
        <v>2.195E9</v>
      </c>
      <c r="H1355" s="1">
        <v>5.31E8</v>
      </c>
      <c r="I1355" s="1">
        <v>1.74E9</v>
      </c>
      <c r="J1355" s="1">
        <v>1.209E9</v>
      </c>
      <c r="K1355" s="1">
        <v>1.209E9</v>
      </c>
      <c r="L1355" s="1">
        <v>-1.55E8</v>
      </c>
      <c r="M1355" s="1">
        <v>8.21E8</v>
      </c>
      <c r="N1355" s="1">
        <v>9.157E9</v>
      </c>
      <c r="O1355" s="1">
        <v>7.948E9</v>
      </c>
      <c r="P1355" s="1">
        <v>7.417E9</v>
      </c>
      <c r="Q1355" s="1">
        <v>1.807E9</v>
      </c>
      <c r="R1355" s="1">
        <v>2.195E9</v>
      </c>
      <c r="S1355" s="1">
        <v>2.195E9</v>
      </c>
    </row>
    <row r="1356">
      <c r="A1356" s="1">
        <v>1354.0</v>
      </c>
      <c r="B1356" s="3">
        <v>44196.0</v>
      </c>
      <c r="C1356" s="1" t="s">
        <v>716</v>
      </c>
      <c r="D1356" s="1" t="s">
        <v>717</v>
      </c>
      <c r="F1356" s="1">
        <v>3.05E8</v>
      </c>
      <c r="G1356" s="1">
        <v>3.3E8</v>
      </c>
      <c r="H1356" s="1">
        <v>1.681E9</v>
      </c>
      <c r="I1356" s="1">
        <v>2.09E9</v>
      </c>
      <c r="J1356" s="1">
        <v>4.09E8</v>
      </c>
      <c r="K1356" s="1">
        <v>4.09E8</v>
      </c>
      <c r="L1356" s="1">
        <v>-1.6E8</v>
      </c>
      <c r="M1356" s="1">
        <v>-2.5E7</v>
      </c>
      <c r="N1356" s="1">
        <v>1.0212E10</v>
      </c>
      <c r="O1356" s="1">
        <v>9.803E9</v>
      </c>
      <c r="P1356" s="1">
        <v>8.122E9</v>
      </c>
      <c r="Q1356" s="1">
        <v>-1.04E8</v>
      </c>
      <c r="R1356" s="1">
        <v>3.3E8</v>
      </c>
      <c r="S1356" s="1">
        <v>3.3E8</v>
      </c>
    </row>
    <row r="1357">
      <c r="A1357" s="1">
        <v>1355.0</v>
      </c>
      <c r="B1357" s="3">
        <v>44104.0</v>
      </c>
      <c r="C1357" s="1" t="s">
        <v>716</v>
      </c>
      <c r="D1357" s="1" t="s">
        <v>717</v>
      </c>
      <c r="F1357" s="1">
        <v>1.167E9</v>
      </c>
      <c r="G1357" s="1">
        <v>9.86E8</v>
      </c>
      <c r="H1357" s="1">
        <v>5.53E8</v>
      </c>
      <c r="I1357" s="1">
        <v>1.84E9</v>
      </c>
      <c r="J1357" s="1">
        <v>1.287E9</v>
      </c>
      <c r="K1357" s="1">
        <v>1.287E9</v>
      </c>
      <c r="L1357" s="1">
        <v>-1.54E8</v>
      </c>
      <c r="M1357" s="1">
        <v>1.81E8</v>
      </c>
      <c r="N1357" s="1">
        <v>9.083E9</v>
      </c>
      <c r="O1357" s="1">
        <v>7.796E9</v>
      </c>
      <c r="P1357" s="1">
        <v>7.243E9</v>
      </c>
      <c r="Q1357" s="1">
        <v>-1.2E8</v>
      </c>
      <c r="R1357" s="1">
        <v>9.86E8</v>
      </c>
      <c r="S1357" s="1">
        <v>9.86E8</v>
      </c>
    </row>
    <row r="1358">
      <c r="A1358" s="1">
        <v>1356.0</v>
      </c>
      <c r="B1358" s="3">
        <v>44379.0</v>
      </c>
      <c r="C1358" s="1" t="s">
        <v>718</v>
      </c>
      <c r="D1358" s="1" t="s">
        <v>719</v>
      </c>
      <c r="E1358" s="1">
        <v>6.8E7</v>
      </c>
      <c r="F1358" s="1">
        <v>2.52E8</v>
      </c>
      <c r="G1358" s="1">
        <v>1.81E8</v>
      </c>
      <c r="H1358" s="1">
        <v>2.01E8</v>
      </c>
      <c r="I1358" s="1">
        <v>5.84E8</v>
      </c>
      <c r="J1358" s="1">
        <v>2.94E8</v>
      </c>
      <c r="K1358" s="1">
        <v>2.94E8</v>
      </c>
      <c r="L1358" s="1">
        <v>-3.2E7</v>
      </c>
      <c r="M1358" s="1">
        <v>7.1E7</v>
      </c>
      <c r="N1358" s="1">
        <v>6.86E8</v>
      </c>
      <c r="O1358" s="1">
        <v>3.92E8</v>
      </c>
      <c r="P1358" s="1">
        <v>1.02E8</v>
      </c>
      <c r="Q1358" s="1">
        <v>-4.2E7</v>
      </c>
      <c r="R1358" s="1">
        <v>1.81E8</v>
      </c>
      <c r="S1358" s="1">
        <v>1.81E8</v>
      </c>
    </row>
    <row r="1359">
      <c r="A1359" s="1">
        <v>1357.0</v>
      </c>
      <c r="B1359" s="3">
        <v>44288.0</v>
      </c>
      <c r="C1359" s="1" t="s">
        <v>718</v>
      </c>
      <c r="D1359" s="1" t="s">
        <v>719</v>
      </c>
      <c r="E1359" s="1">
        <v>6.8E7</v>
      </c>
      <c r="F1359" s="1">
        <v>2.89E8</v>
      </c>
      <c r="G1359" s="1">
        <v>1.94E8</v>
      </c>
      <c r="H1359" s="1">
        <v>2.0E8</v>
      </c>
      <c r="I1359" s="1">
        <v>5.73E8</v>
      </c>
      <c r="J1359" s="1">
        <v>2.85E8</v>
      </c>
      <c r="K1359" s="1">
        <v>2.85E8</v>
      </c>
      <c r="L1359" s="1">
        <v>-3.5E7</v>
      </c>
      <c r="M1359" s="1">
        <v>8.1E7</v>
      </c>
      <c r="N1359" s="1">
        <v>6.72E8</v>
      </c>
      <c r="O1359" s="1">
        <v>3.87E8</v>
      </c>
      <c r="P1359" s="1">
        <v>9.9E7</v>
      </c>
      <c r="Q1359" s="1">
        <v>4000000.0</v>
      </c>
      <c r="R1359" s="1">
        <v>2.08E8</v>
      </c>
      <c r="S1359" s="1">
        <v>1.94E8</v>
      </c>
    </row>
    <row r="1360">
      <c r="A1360" s="1">
        <v>1358.0</v>
      </c>
      <c r="B1360" s="3">
        <v>44197.0</v>
      </c>
      <c r="C1360" s="1" t="s">
        <v>718</v>
      </c>
      <c r="D1360" s="1" t="s">
        <v>719</v>
      </c>
      <c r="E1360" s="1">
        <v>7.1E7</v>
      </c>
      <c r="F1360" s="1">
        <v>2.53E8</v>
      </c>
      <c r="G1360" s="1">
        <v>1.78E8</v>
      </c>
      <c r="H1360" s="1">
        <v>1.82E8</v>
      </c>
      <c r="I1360" s="1">
        <v>5.52E8</v>
      </c>
      <c r="J1360" s="1">
        <v>2.81E8</v>
      </c>
      <c r="K1360" s="1">
        <v>2.81E8</v>
      </c>
      <c r="L1360" s="1">
        <v>-3.2E7</v>
      </c>
      <c r="M1360" s="1">
        <v>8.0E7</v>
      </c>
      <c r="N1360" s="1">
        <v>6.39E8</v>
      </c>
      <c r="O1360" s="1">
        <v>3.58E8</v>
      </c>
      <c r="P1360" s="1">
        <v>8.7E7</v>
      </c>
      <c r="Q1360" s="1">
        <v>-2.8E7</v>
      </c>
      <c r="R1360" s="1">
        <v>1.73E8</v>
      </c>
      <c r="S1360" s="1">
        <v>1.78E8</v>
      </c>
    </row>
    <row r="1361">
      <c r="A1361" s="1">
        <v>1359.0</v>
      </c>
      <c r="B1361" s="3">
        <v>44106.0</v>
      </c>
      <c r="C1361" s="1" t="s">
        <v>718</v>
      </c>
      <c r="D1361" s="1" t="s">
        <v>719</v>
      </c>
      <c r="E1361" s="1">
        <v>6.3E7</v>
      </c>
      <c r="F1361" s="1">
        <v>2.31E8</v>
      </c>
      <c r="G1361" s="1">
        <v>6.4E7</v>
      </c>
      <c r="H1361" s="1">
        <v>1.86E8</v>
      </c>
      <c r="I1361" s="1">
        <v>5.36E8</v>
      </c>
      <c r="J1361" s="1">
        <v>2.69E8</v>
      </c>
      <c r="K1361" s="1">
        <v>2.69E8</v>
      </c>
      <c r="L1361" s="1">
        <v>-3.7E7</v>
      </c>
      <c r="M1361" s="1">
        <v>6.5E7</v>
      </c>
      <c r="N1361" s="1">
        <v>6.26E8</v>
      </c>
      <c r="O1361" s="1">
        <v>3.57E8</v>
      </c>
      <c r="P1361" s="1">
        <v>9.0E7</v>
      </c>
      <c r="Q1361" s="1">
        <v>-3.8E7</v>
      </c>
      <c r="R1361" s="1">
        <v>1.66E8</v>
      </c>
      <c r="S1361" s="1">
        <v>6.4E7</v>
      </c>
    </row>
    <row r="1362">
      <c r="A1362" s="1">
        <v>1360.0</v>
      </c>
      <c r="B1362" s="3">
        <v>44286.0</v>
      </c>
      <c r="C1362" s="1" t="s">
        <v>720</v>
      </c>
      <c r="D1362" s="1" t="s">
        <v>721</v>
      </c>
      <c r="F1362" s="1">
        <v>-1.368464E9</v>
      </c>
      <c r="G1362" s="1">
        <v>-1.370192E9</v>
      </c>
      <c r="H1362" s="1">
        <v>2.03293E8</v>
      </c>
      <c r="I1362" s="1">
        <v>-1.97755E8</v>
      </c>
      <c r="J1362" s="1">
        <v>-5.71364E8</v>
      </c>
      <c r="K1362" s="1">
        <v>-5.71364E8</v>
      </c>
      <c r="L1362" s="1">
        <v>-1.50422E8</v>
      </c>
      <c r="M1362" s="1">
        <v>1728000.0</v>
      </c>
      <c r="N1362" s="1">
        <v>3100000.0</v>
      </c>
      <c r="O1362" s="1">
        <v>5.74464E8</v>
      </c>
      <c r="P1362" s="1">
        <v>2.00855E8</v>
      </c>
      <c r="Q1362" s="1">
        <v>-7.971E8</v>
      </c>
      <c r="R1362" s="1">
        <v>-1.370192E9</v>
      </c>
      <c r="S1362" s="1">
        <v>-1.370192E9</v>
      </c>
    </row>
    <row r="1363">
      <c r="A1363" s="1">
        <v>1361.0</v>
      </c>
      <c r="B1363" s="3">
        <v>44196.0</v>
      </c>
      <c r="C1363" s="1" t="s">
        <v>720</v>
      </c>
      <c r="D1363" s="1" t="s">
        <v>721</v>
      </c>
      <c r="F1363" s="1">
        <v>-7.07409E8</v>
      </c>
      <c r="G1363" s="1">
        <v>-7.38933E8</v>
      </c>
      <c r="H1363" s="1">
        <v>1.86666E8</v>
      </c>
      <c r="I1363" s="1">
        <v>-1.97413E8</v>
      </c>
      <c r="J1363" s="1">
        <v>-5.46982E8</v>
      </c>
      <c r="K1363" s="1">
        <v>-5.46982E8</v>
      </c>
      <c r="L1363" s="1">
        <v>-1.59205E8</v>
      </c>
      <c r="M1363" s="1">
        <v>3.1524E7</v>
      </c>
      <c r="N1363" s="1">
        <v>9579000.0</v>
      </c>
      <c r="O1363" s="1">
        <v>5.56561E8</v>
      </c>
      <c r="P1363" s="1">
        <v>2.06992E8</v>
      </c>
      <c r="Q1363" s="1">
        <v>-1.60427E8</v>
      </c>
      <c r="R1363" s="1">
        <v>-7.38933E8</v>
      </c>
      <c r="S1363" s="1">
        <v>-7.38933E8</v>
      </c>
    </row>
    <row r="1364">
      <c r="A1364" s="1">
        <v>1362.0</v>
      </c>
      <c r="B1364" s="3">
        <v>44104.0</v>
      </c>
      <c r="C1364" s="1" t="s">
        <v>720</v>
      </c>
      <c r="D1364" s="1" t="s">
        <v>721</v>
      </c>
      <c r="F1364" s="1">
        <v>-6.81127E8</v>
      </c>
      <c r="G1364" s="1">
        <v>-6.77366E8</v>
      </c>
      <c r="H1364" s="1">
        <v>1.56656E8</v>
      </c>
      <c r="I1364" s="1">
        <v>-1.83639E8</v>
      </c>
      <c r="J1364" s="1">
        <v>-5.17783E8</v>
      </c>
      <c r="K1364" s="1">
        <v>-5.17783E8</v>
      </c>
      <c r="L1364" s="1">
        <v>-1.33028E8</v>
      </c>
      <c r="M1364" s="1">
        <v>-3761000.0</v>
      </c>
      <c r="N1364" s="1">
        <v>6518000.0</v>
      </c>
      <c r="O1364" s="1">
        <v>5.24301E8</v>
      </c>
      <c r="P1364" s="1">
        <v>1.90157E8</v>
      </c>
      <c r="Q1364" s="1">
        <v>-1.63344E8</v>
      </c>
      <c r="R1364" s="1">
        <v>-6.77366E8</v>
      </c>
      <c r="S1364" s="1">
        <v>-6.77366E8</v>
      </c>
    </row>
    <row r="1365">
      <c r="A1365" s="1">
        <v>1363.0</v>
      </c>
      <c r="B1365" s="3">
        <v>44012.0</v>
      </c>
      <c r="C1365" s="1" t="s">
        <v>720</v>
      </c>
      <c r="D1365" s="1" t="s">
        <v>721</v>
      </c>
      <c r="F1365" s="1">
        <v>-7.24366E8</v>
      </c>
      <c r="G1365" s="1">
        <v>-7.15243E8</v>
      </c>
      <c r="H1365" s="1">
        <v>1.31436E8</v>
      </c>
      <c r="I1365" s="1">
        <v>-2.84723E8</v>
      </c>
      <c r="J1365" s="1">
        <v>-5.95411E8</v>
      </c>
      <c r="K1365" s="1">
        <v>-5.95411E8</v>
      </c>
      <c r="L1365" s="1">
        <v>-9.3378E7</v>
      </c>
      <c r="M1365" s="1">
        <v>-9123000.0</v>
      </c>
      <c r="N1365" s="1">
        <v>1.6929E7</v>
      </c>
      <c r="O1365" s="1">
        <v>6.1234E8</v>
      </c>
      <c r="P1365" s="1">
        <v>3.01652E8</v>
      </c>
      <c r="Q1365" s="1">
        <v>-1.28955E8</v>
      </c>
      <c r="R1365" s="1">
        <v>-7.15243E8</v>
      </c>
      <c r="S1365" s="1">
        <v>-7.15243E8</v>
      </c>
    </row>
    <row r="1366">
      <c r="A1366" s="1">
        <v>1364.0</v>
      </c>
      <c r="B1366" s="3">
        <v>44286.0</v>
      </c>
      <c r="C1366" s="1" t="s">
        <v>722</v>
      </c>
      <c r="D1366" s="1" t="s">
        <v>723</v>
      </c>
      <c r="F1366" s="1">
        <v>-1.67E8</v>
      </c>
      <c r="G1366" s="1">
        <v>-8.2E7</v>
      </c>
      <c r="H1366" s="1">
        <v>3.3E8</v>
      </c>
      <c r="I1366" s="1">
        <v>1.227E9</v>
      </c>
      <c r="J1366" s="1">
        <v>-3.1E7</v>
      </c>
      <c r="K1366" s="1">
        <v>-3.1E7</v>
      </c>
      <c r="L1366" s="1">
        <v>-1.27E8</v>
      </c>
      <c r="M1366" s="1">
        <v>-8.5E7</v>
      </c>
      <c r="N1366" s="1">
        <v>8.091E9</v>
      </c>
      <c r="O1366" s="1">
        <v>8.122E9</v>
      </c>
      <c r="P1366" s="1">
        <v>6.864E9</v>
      </c>
      <c r="Q1366" s="1">
        <v>-1.36E8</v>
      </c>
      <c r="R1366" s="1">
        <v>-8.2E7</v>
      </c>
      <c r="S1366" s="1">
        <v>-8.2E7</v>
      </c>
    </row>
    <row r="1367">
      <c r="A1367" s="1">
        <v>1365.0</v>
      </c>
      <c r="B1367" s="3">
        <v>44196.0</v>
      </c>
      <c r="C1367" s="1" t="s">
        <v>722</v>
      </c>
      <c r="D1367" s="1" t="s">
        <v>723</v>
      </c>
      <c r="E1367" s="1">
        <v>2000000.0</v>
      </c>
      <c r="F1367" s="1">
        <v>-1.38E8</v>
      </c>
      <c r="G1367" s="1">
        <v>-1.73E8</v>
      </c>
      <c r="H1367" s="1">
        <v>2.46E8</v>
      </c>
      <c r="I1367" s="1">
        <v>4.12E8</v>
      </c>
      <c r="J1367" s="1">
        <v>4.7E7</v>
      </c>
      <c r="K1367" s="1">
        <v>4.7E7</v>
      </c>
      <c r="L1367" s="1">
        <v>-1.09E8</v>
      </c>
      <c r="M1367" s="1">
        <v>3.5E7</v>
      </c>
      <c r="N1367" s="1">
        <v>2.027E9</v>
      </c>
      <c r="O1367" s="1">
        <v>1.98E9</v>
      </c>
      <c r="P1367" s="1">
        <v>1.615E9</v>
      </c>
      <c r="Q1367" s="1">
        <v>-1.85E8</v>
      </c>
      <c r="R1367" s="1">
        <v>-1.73E8</v>
      </c>
      <c r="S1367" s="1">
        <v>-1.73E8</v>
      </c>
    </row>
    <row r="1368">
      <c r="A1368" s="1">
        <v>1366.0</v>
      </c>
      <c r="B1368" s="3">
        <v>44104.0</v>
      </c>
      <c r="C1368" s="1" t="s">
        <v>722</v>
      </c>
      <c r="D1368" s="1" t="s">
        <v>723</v>
      </c>
      <c r="E1368" s="1">
        <v>1000000.0</v>
      </c>
      <c r="F1368" s="1">
        <v>3.41E8</v>
      </c>
      <c r="G1368" s="1">
        <v>2.49E8</v>
      </c>
      <c r="H1368" s="1">
        <v>2.53E8</v>
      </c>
      <c r="I1368" s="1">
        <v>7.75E8</v>
      </c>
      <c r="J1368" s="1">
        <v>4.22E8</v>
      </c>
      <c r="K1368" s="1">
        <v>4.22E8</v>
      </c>
      <c r="L1368" s="1">
        <v>-9.9E7</v>
      </c>
      <c r="M1368" s="1">
        <v>9.2E7</v>
      </c>
      <c r="N1368" s="1">
        <v>2.809E9</v>
      </c>
      <c r="O1368" s="1">
        <v>2.387E9</v>
      </c>
      <c r="P1368" s="1">
        <v>2.034E9</v>
      </c>
      <c r="Q1368" s="1">
        <v>-8.1E7</v>
      </c>
      <c r="R1368" s="1">
        <v>2.49E8</v>
      </c>
      <c r="S1368" s="1">
        <v>2.49E8</v>
      </c>
    </row>
    <row r="1369">
      <c r="A1369" s="1">
        <v>1367.0</v>
      </c>
      <c r="B1369" s="3">
        <v>44012.0</v>
      </c>
      <c r="C1369" s="1" t="s">
        <v>722</v>
      </c>
      <c r="D1369" s="1" t="s">
        <v>723</v>
      </c>
      <c r="E1369" s="1">
        <v>2000000.0</v>
      </c>
      <c r="F1369" s="1">
        <v>4.14E8</v>
      </c>
      <c r="G1369" s="1">
        <v>3.13E8</v>
      </c>
      <c r="H1369" s="1">
        <v>2.08E8</v>
      </c>
      <c r="I1369" s="1">
        <v>8.04E8</v>
      </c>
      <c r="J1369" s="1">
        <v>4.84E8</v>
      </c>
      <c r="K1369" s="1">
        <v>4.84E8</v>
      </c>
      <c r="L1369" s="1">
        <v>-9.6E7</v>
      </c>
      <c r="M1369" s="1">
        <v>1.01E8</v>
      </c>
      <c r="N1369" s="1">
        <v>2.238E9</v>
      </c>
      <c r="O1369" s="1">
        <v>1.754E9</v>
      </c>
      <c r="P1369" s="1">
        <v>1.434E9</v>
      </c>
      <c r="Q1369" s="1">
        <v>-7.0E7</v>
      </c>
      <c r="R1369" s="1">
        <v>3.13E8</v>
      </c>
      <c r="S1369" s="1">
        <v>3.13E8</v>
      </c>
    </row>
    <row r="1370">
      <c r="A1370" s="1">
        <v>1368.0</v>
      </c>
      <c r="B1370" s="3">
        <v>44380.0</v>
      </c>
      <c r="C1370" s="1" t="s">
        <v>724</v>
      </c>
      <c r="D1370" s="1" t="s">
        <v>725</v>
      </c>
      <c r="F1370" s="1">
        <v>2.025748E9</v>
      </c>
      <c r="G1370" s="1">
        <v>1.506868E9</v>
      </c>
      <c r="H1370" s="1">
        <v>3.8707E8</v>
      </c>
      <c r="I1370" s="1">
        <v>2.473503E9</v>
      </c>
      <c r="J1370" s="1">
        <v>2.086433E9</v>
      </c>
      <c r="K1370" s="1">
        <v>2.086433E9</v>
      </c>
      <c r="L1370" s="1">
        <v>-3.578E7</v>
      </c>
      <c r="M1370" s="1">
        <v>4.54289E8</v>
      </c>
      <c r="N1370" s="1">
        <v>8.789164E9</v>
      </c>
      <c r="O1370" s="1">
        <v>6.702731E9</v>
      </c>
      <c r="P1370" s="1">
        <v>6.315661E9</v>
      </c>
      <c r="Q1370" s="1">
        <v>-6.0685E7</v>
      </c>
      <c r="R1370" s="1">
        <v>1.571459E9</v>
      </c>
      <c r="S1370" s="1">
        <v>1.506868E9</v>
      </c>
    </row>
    <row r="1371">
      <c r="A1371" s="1">
        <v>1369.0</v>
      </c>
      <c r="B1371" s="3">
        <v>44289.0</v>
      </c>
      <c r="C1371" s="1" t="s">
        <v>724</v>
      </c>
      <c r="D1371" s="1" t="s">
        <v>725</v>
      </c>
      <c r="F1371" s="1">
        <v>1.298246E9</v>
      </c>
      <c r="G1371" s="1">
        <v>9.42432E8</v>
      </c>
      <c r="H1371" s="1">
        <v>2.91124E8</v>
      </c>
      <c r="I1371" s="1">
        <v>1.622437E9</v>
      </c>
      <c r="J1371" s="1">
        <v>1.331313E9</v>
      </c>
      <c r="K1371" s="1">
        <v>1.331313E9</v>
      </c>
      <c r="L1371" s="1">
        <v>-4.097E7</v>
      </c>
      <c r="M1371" s="1">
        <v>3.10732E8</v>
      </c>
      <c r="N1371" s="1">
        <v>7.01714E9</v>
      </c>
      <c r="O1371" s="1">
        <v>5.685827E9</v>
      </c>
      <c r="P1371" s="1">
        <v>5.394703E9</v>
      </c>
      <c r="Q1371" s="1">
        <v>-3.3067E7</v>
      </c>
      <c r="R1371" s="1">
        <v>9.87514E8</v>
      </c>
      <c r="S1371" s="1">
        <v>9.37056E8</v>
      </c>
    </row>
    <row r="1372">
      <c r="A1372" s="1">
        <v>1370.0</v>
      </c>
      <c r="B1372" s="3">
        <v>44196.0</v>
      </c>
      <c r="C1372" s="1" t="s">
        <v>724</v>
      </c>
      <c r="D1372" s="1" t="s">
        <v>725</v>
      </c>
      <c r="F1372" s="1">
        <v>2.17766E8</v>
      </c>
      <c r="G1372" s="1">
        <v>3.98843E8</v>
      </c>
      <c r="H1372" s="1">
        <v>1.75078E8</v>
      </c>
      <c r="I1372" s="1">
        <v>7.39487E8</v>
      </c>
      <c r="J1372" s="1">
        <v>5.37409E8</v>
      </c>
      <c r="K1372" s="1">
        <v>5.37409E8</v>
      </c>
      <c r="L1372" s="1">
        <v>-3.7887E7</v>
      </c>
      <c r="M1372" s="1">
        <v>-2.081E8</v>
      </c>
      <c r="N1372" s="1">
        <v>5.260055E9</v>
      </c>
      <c r="O1372" s="1">
        <v>4.722646E9</v>
      </c>
      <c r="P1372" s="1">
        <v>4.520568E9</v>
      </c>
      <c r="Q1372" s="1">
        <v>-3.19643E8</v>
      </c>
      <c r="R1372" s="1">
        <v>4.25866E8</v>
      </c>
      <c r="S1372" s="1">
        <v>3.96669E8</v>
      </c>
    </row>
    <row r="1373">
      <c r="A1373" s="1">
        <v>1371.0</v>
      </c>
      <c r="B1373" s="3">
        <v>44107.0</v>
      </c>
      <c r="C1373" s="1" t="s">
        <v>724</v>
      </c>
      <c r="D1373" s="1" t="s">
        <v>725</v>
      </c>
      <c r="F1373" s="1">
        <v>2.90418E8</v>
      </c>
      <c r="G1373" s="1">
        <v>1.93415E8</v>
      </c>
      <c r="H1373" s="1">
        <v>1.49113E8</v>
      </c>
      <c r="I1373" s="1">
        <v>5.02195E8</v>
      </c>
      <c r="J1373" s="1">
        <v>3.53082E8</v>
      </c>
      <c r="K1373" s="1">
        <v>3.53082E8</v>
      </c>
      <c r="L1373" s="1">
        <v>-4.2281E7</v>
      </c>
      <c r="M1373" s="1">
        <v>6.7788E7</v>
      </c>
      <c r="N1373" s="1">
        <v>4.92796E9</v>
      </c>
      <c r="O1373" s="1">
        <v>4.574878E9</v>
      </c>
      <c r="P1373" s="1">
        <v>4.425765E9</v>
      </c>
      <c r="Q1373" s="1">
        <v>-6.2664E7</v>
      </c>
      <c r="R1373" s="1">
        <v>2.2263E8</v>
      </c>
      <c r="S1373" s="1">
        <v>1.92214E8</v>
      </c>
    </row>
    <row r="1374">
      <c r="A1374" s="1">
        <v>1372.0</v>
      </c>
      <c r="B1374" s="3">
        <v>44409.0</v>
      </c>
      <c r="C1374" s="1" t="s">
        <v>726</v>
      </c>
      <c r="D1374" s="1" t="s">
        <v>727</v>
      </c>
      <c r="E1374" s="1">
        <v>1.245E9</v>
      </c>
      <c r="F1374" s="1">
        <v>2.394E9</v>
      </c>
      <c r="G1374" s="1">
        <v>2.374E9</v>
      </c>
      <c r="H1374" s="1">
        <v>5.26E8</v>
      </c>
      <c r="I1374" s="1">
        <v>4.215E9</v>
      </c>
      <c r="J1374" s="1">
        <v>2.444E9</v>
      </c>
      <c r="K1374" s="1">
        <v>2.444E9</v>
      </c>
      <c r="L1374" s="1">
        <v>-6.0E7</v>
      </c>
      <c r="M1374" s="1">
        <v>2.0E7</v>
      </c>
      <c r="N1374" s="1">
        <v>6.507E9</v>
      </c>
      <c r="O1374" s="1">
        <v>4.063E9</v>
      </c>
      <c r="P1374" s="1">
        <v>2.292E9</v>
      </c>
      <c r="Q1374" s="1">
        <v>-5.0E7</v>
      </c>
      <c r="R1374" s="1">
        <v>2.374E9</v>
      </c>
      <c r="S1374" s="1">
        <v>2.374E9</v>
      </c>
    </row>
    <row r="1375">
      <c r="A1375" s="1">
        <v>1373.0</v>
      </c>
      <c r="B1375" s="3">
        <v>44318.0</v>
      </c>
      <c r="C1375" s="1" t="s">
        <v>726</v>
      </c>
      <c r="D1375" s="1" t="s">
        <v>727</v>
      </c>
      <c r="E1375" s="1">
        <v>1.153E9</v>
      </c>
      <c r="F1375" s="1">
        <v>2.044E9</v>
      </c>
      <c r="G1375" s="1">
        <v>1.912E9</v>
      </c>
      <c r="H1375" s="1">
        <v>5.2E8</v>
      </c>
      <c r="I1375" s="1">
        <v>3.629E9</v>
      </c>
      <c r="J1375" s="1">
        <v>1.956E9</v>
      </c>
      <c r="K1375" s="1">
        <v>1.956E9</v>
      </c>
      <c r="L1375" s="1">
        <v>-5.3E7</v>
      </c>
      <c r="M1375" s="1">
        <v>1.32E8</v>
      </c>
      <c r="N1375" s="1">
        <v>5.661E9</v>
      </c>
      <c r="O1375" s="1">
        <v>3.705E9</v>
      </c>
      <c r="P1375" s="1">
        <v>2.032E9</v>
      </c>
      <c r="Q1375" s="1">
        <v>8.8E7</v>
      </c>
      <c r="R1375" s="1">
        <v>1.912E9</v>
      </c>
      <c r="S1375" s="1">
        <v>1.912E9</v>
      </c>
    </row>
    <row r="1376">
      <c r="A1376" s="1">
        <v>1374.0</v>
      </c>
      <c r="B1376" s="3">
        <v>44227.0</v>
      </c>
      <c r="C1376" s="1" t="s">
        <v>726</v>
      </c>
      <c r="D1376" s="1" t="s">
        <v>727</v>
      </c>
      <c r="E1376" s="1">
        <v>1.146E9</v>
      </c>
      <c r="F1376" s="1">
        <v>1.47E9</v>
      </c>
      <c r="G1376" s="1">
        <v>1.457E9</v>
      </c>
      <c r="H1376" s="1">
        <v>5.02E8</v>
      </c>
      <c r="I1376" s="1">
        <v>3.156E9</v>
      </c>
      <c r="J1376" s="1">
        <v>1.508E9</v>
      </c>
      <c r="K1376" s="1">
        <v>1.508E9</v>
      </c>
      <c r="L1376" s="1">
        <v>-5.3E7</v>
      </c>
      <c r="M1376" s="1">
        <v>1.3E7</v>
      </c>
      <c r="N1376" s="1">
        <v>5.003E9</v>
      </c>
      <c r="O1376" s="1">
        <v>3.495E9</v>
      </c>
      <c r="P1376" s="1">
        <v>1.847E9</v>
      </c>
      <c r="Q1376" s="1">
        <v>-3.8E7</v>
      </c>
      <c r="R1376" s="1">
        <v>1.457E9</v>
      </c>
      <c r="S1376" s="1">
        <v>1.457E9</v>
      </c>
    </row>
    <row r="1377">
      <c r="A1377" s="1">
        <v>1375.0</v>
      </c>
      <c r="B1377" s="3">
        <v>44129.0</v>
      </c>
      <c r="C1377" s="1" t="s">
        <v>726</v>
      </c>
      <c r="D1377" s="1" t="s">
        <v>727</v>
      </c>
      <c r="E1377" s="1">
        <v>1.047E9</v>
      </c>
      <c r="F1377" s="1">
        <v>1.348E9</v>
      </c>
      <c r="G1377" s="1">
        <v>1.336E9</v>
      </c>
      <c r="H1377" s="1">
        <v>5.15E8</v>
      </c>
      <c r="I1377" s="1">
        <v>2.96E9</v>
      </c>
      <c r="J1377" s="1">
        <v>1.398E9</v>
      </c>
      <c r="K1377" s="1">
        <v>1.398E9</v>
      </c>
      <c r="L1377" s="1">
        <v>-5.3E7</v>
      </c>
      <c r="M1377" s="1">
        <v>1.2E7</v>
      </c>
      <c r="N1377" s="1">
        <v>4.726E9</v>
      </c>
      <c r="O1377" s="1">
        <v>3.328E9</v>
      </c>
      <c r="P1377" s="1">
        <v>1.766E9</v>
      </c>
      <c r="Q1377" s="1">
        <v>-5.0E7</v>
      </c>
      <c r="R1377" s="1">
        <v>1.336E9</v>
      </c>
      <c r="S1377" s="1">
        <v>1.336E9</v>
      </c>
    </row>
    <row r="1378">
      <c r="A1378" s="1">
        <v>1376.0</v>
      </c>
      <c r="B1378" s="3">
        <v>44377.0</v>
      </c>
      <c r="C1378" s="1" t="s">
        <v>728</v>
      </c>
      <c r="D1378" s="1" t="s">
        <v>728</v>
      </c>
      <c r="F1378" s="1">
        <v>4.17465E8</v>
      </c>
      <c r="G1378" s="1">
        <v>3.21295E8</v>
      </c>
      <c r="H1378" s="1">
        <v>1.13406E8</v>
      </c>
      <c r="I1378" s="1">
        <v>5.36521E8</v>
      </c>
      <c r="J1378" s="1">
        <v>4.23115E8</v>
      </c>
      <c r="K1378" s="1">
        <v>4.23115E8</v>
      </c>
      <c r="L1378" s="1">
        <v>-1.285E7</v>
      </c>
      <c r="M1378" s="1">
        <v>9.617E7</v>
      </c>
      <c r="N1378" s="1">
        <v>2.287439E9</v>
      </c>
      <c r="O1378" s="1">
        <v>1.864324E9</v>
      </c>
      <c r="P1378" s="1">
        <v>1.750918E9</v>
      </c>
      <c r="Q1378" s="1">
        <v>-5650000.0</v>
      </c>
      <c r="R1378" s="1">
        <v>3.21295E8</v>
      </c>
      <c r="S1378" s="1">
        <v>3.21295E8</v>
      </c>
    </row>
    <row r="1379">
      <c r="A1379" s="1">
        <v>1377.0</v>
      </c>
      <c r="B1379" s="3">
        <v>44286.0</v>
      </c>
      <c r="C1379" s="1" t="s">
        <v>728</v>
      </c>
      <c r="D1379" s="1" t="s">
        <v>728</v>
      </c>
      <c r="F1379" s="1">
        <v>3.12006E8</v>
      </c>
      <c r="G1379" s="1">
        <v>2.48762E8</v>
      </c>
      <c r="H1379" s="1">
        <v>1.21419E8</v>
      </c>
      <c r="I1379" s="1">
        <v>4.46431E8</v>
      </c>
      <c r="J1379" s="1">
        <v>3.25012E8</v>
      </c>
      <c r="K1379" s="1">
        <v>3.25012E8</v>
      </c>
      <c r="L1379" s="1">
        <v>-1.3006E7</v>
      </c>
      <c r="M1379" s="1">
        <v>6.3244E7</v>
      </c>
      <c r="N1379" s="1">
        <v>2.045064E9</v>
      </c>
      <c r="O1379" s="1">
        <v>1.720052E9</v>
      </c>
      <c r="P1379" s="1">
        <v>1.598633E9</v>
      </c>
      <c r="Q1379" s="1">
        <v>-1.3006E7</v>
      </c>
      <c r="R1379" s="1">
        <v>2.48762E8</v>
      </c>
      <c r="S1379" s="1">
        <v>2.48762E8</v>
      </c>
    </row>
    <row r="1380">
      <c r="A1380" s="1">
        <v>1378.0</v>
      </c>
      <c r="B1380" s="3">
        <v>44196.0</v>
      </c>
      <c r="C1380" s="1" t="s">
        <v>728</v>
      </c>
      <c r="D1380" s="1" t="s">
        <v>728</v>
      </c>
      <c r="F1380" s="1">
        <v>3.8537E8</v>
      </c>
      <c r="G1380" s="1">
        <v>3.05004E8</v>
      </c>
      <c r="H1380" s="1">
        <v>1.12398E8</v>
      </c>
      <c r="I1380" s="1">
        <v>5.03637E8</v>
      </c>
      <c r="J1380" s="1">
        <v>3.91239E8</v>
      </c>
      <c r="K1380" s="1">
        <v>3.91239E8</v>
      </c>
      <c r="L1380" s="1">
        <v>-1.2769E7</v>
      </c>
      <c r="M1380" s="1">
        <v>8.0366E7</v>
      </c>
      <c r="N1380" s="1">
        <v>2.353606E9</v>
      </c>
      <c r="O1380" s="1">
        <v>1.962367E9</v>
      </c>
      <c r="P1380" s="1">
        <v>1.849969E9</v>
      </c>
      <c r="Q1380" s="1">
        <v>-5869000.0</v>
      </c>
      <c r="R1380" s="1">
        <v>3.05004E8</v>
      </c>
      <c r="S1380" s="1">
        <v>3.05004E8</v>
      </c>
    </row>
    <row r="1381">
      <c r="A1381" s="1">
        <v>1379.0</v>
      </c>
      <c r="B1381" s="3">
        <v>44104.0</v>
      </c>
      <c r="C1381" s="1" t="s">
        <v>728</v>
      </c>
      <c r="D1381" s="1" t="s">
        <v>728</v>
      </c>
      <c r="F1381" s="1">
        <v>3.21457E8</v>
      </c>
      <c r="G1381" s="1">
        <v>2.56466E8</v>
      </c>
      <c r="H1381" s="1">
        <v>1.05741E8</v>
      </c>
      <c r="I1381" s="1">
        <v>4.33707E8</v>
      </c>
      <c r="J1381" s="1">
        <v>3.27966E8</v>
      </c>
      <c r="K1381" s="1">
        <v>3.27966E8</v>
      </c>
      <c r="L1381" s="1">
        <v>-1.1309E7</v>
      </c>
      <c r="M1381" s="1">
        <v>6.4991E7</v>
      </c>
      <c r="N1381" s="1">
        <v>1.994222E9</v>
      </c>
      <c r="O1381" s="1">
        <v>1.666256E9</v>
      </c>
      <c r="P1381" s="1">
        <v>1.560515E9</v>
      </c>
      <c r="Q1381" s="1">
        <v>-6509000.0</v>
      </c>
      <c r="R1381" s="1">
        <v>2.56466E8</v>
      </c>
      <c r="S1381" s="1">
        <v>2.56466E8</v>
      </c>
    </row>
    <row r="1382">
      <c r="A1382" s="1">
        <v>1380.0</v>
      </c>
      <c r="B1382" s="3">
        <v>44381.0</v>
      </c>
      <c r="C1382" s="1" t="s">
        <v>729</v>
      </c>
      <c r="D1382" s="1" t="s">
        <v>730</v>
      </c>
      <c r="E1382" s="1">
        <v>4.75E8</v>
      </c>
      <c r="F1382" s="1">
        <v>4.71E8</v>
      </c>
      <c r="G1382" s="1">
        <v>3.97E8</v>
      </c>
      <c r="H1382" s="1">
        <v>2.34E8</v>
      </c>
      <c r="I1382" s="1">
        <v>1.422E9</v>
      </c>
      <c r="J1382" s="1">
        <v>5.74E8</v>
      </c>
      <c r="K1382" s="1">
        <v>5.74E8</v>
      </c>
      <c r="L1382" s="1">
        <v>-9.0E7</v>
      </c>
      <c r="M1382" s="1">
        <v>6.5E7</v>
      </c>
      <c r="N1382" s="1">
        <v>2.596E9</v>
      </c>
      <c r="O1382" s="1">
        <v>2.022E9</v>
      </c>
      <c r="P1382" s="1">
        <v>1.174E9</v>
      </c>
      <c r="Q1382" s="1">
        <v>-1.03E8</v>
      </c>
      <c r="R1382" s="1">
        <v>4.06E8</v>
      </c>
      <c r="S1382" s="1">
        <v>3.97E8</v>
      </c>
    </row>
    <row r="1383">
      <c r="A1383" s="1">
        <v>1381.0</v>
      </c>
      <c r="B1383" s="3">
        <v>44290.0</v>
      </c>
      <c r="C1383" s="1" t="s">
        <v>729</v>
      </c>
      <c r="D1383" s="1" t="s">
        <v>730</v>
      </c>
      <c r="E1383" s="1">
        <v>4.61E8</v>
      </c>
      <c r="F1383" s="1">
        <v>4.04E8</v>
      </c>
      <c r="G1383" s="1">
        <v>3.53E8</v>
      </c>
      <c r="H1383" s="1">
        <v>2.22E8</v>
      </c>
      <c r="I1383" s="1">
        <v>1.355E9</v>
      </c>
      <c r="J1383" s="1">
        <v>4.92E8</v>
      </c>
      <c r="K1383" s="1">
        <v>4.92E8</v>
      </c>
      <c r="L1383" s="1">
        <v>-8.7E7</v>
      </c>
      <c r="M1383" s="1">
        <v>4.0E7</v>
      </c>
      <c r="N1383" s="1">
        <v>2.567E9</v>
      </c>
      <c r="O1383" s="1">
        <v>2.075E9</v>
      </c>
      <c r="P1383" s="1">
        <v>1.212E9</v>
      </c>
      <c r="Q1383" s="1">
        <v>-8.8E7</v>
      </c>
      <c r="R1383" s="1">
        <v>3.64E8</v>
      </c>
      <c r="S1383" s="1">
        <v>3.53E8</v>
      </c>
    </row>
    <row r="1384">
      <c r="A1384" s="1">
        <v>1382.0</v>
      </c>
      <c r="B1384" s="3">
        <v>44196.0</v>
      </c>
      <c r="C1384" s="1" t="s">
        <v>729</v>
      </c>
      <c r="D1384" s="1" t="s">
        <v>730</v>
      </c>
      <c r="E1384" s="1">
        <v>4.38E8</v>
      </c>
      <c r="F1384" s="1">
        <v>3.25E8</v>
      </c>
      <c r="G1384" s="1">
        <v>3.09E8</v>
      </c>
      <c r="H1384" s="1">
        <v>2.15E8</v>
      </c>
      <c r="I1384" s="1">
        <v>1.288E9</v>
      </c>
      <c r="J1384" s="1">
        <v>5.27E8</v>
      </c>
      <c r="K1384" s="1">
        <v>5.27E8</v>
      </c>
      <c r="L1384" s="1">
        <v>-8.6E7</v>
      </c>
      <c r="M1384" s="1">
        <v>5000000.0</v>
      </c>
      <c r="N1384" s="1">
        <v>2.507E9</v>
      </c>
      <c r="O1384" s="1">
        <v>1.98E9</v>
      </c>
      <c r="P1384" s="1">
        <v>1.219E9</v>
      </c>
      <c r="Q1384" s="1">
        <v>-2.02E8</v>
      </c>
      <c r="R1384" s="1">
        <v>3.2E8</v>
      </c>
      <c r="S1384" s="1">
        <v>3.09E8</v>
      </c>
    </row>
    <row r="1385">
      <c r="A1385" s="1">
        <v>1383.0</v>
      </c>
      <c r="B1385" s="3">
        <v>44101.0</v>
      </c>
      <c r="C1385" s="1" t="s">
        <v>729</v>
      </c>
      <c r="D1385" s="1" t="s">
        <v>730</v>
      </c>
      <c r="E1385" s="1">
        <v>4.31E8</v>
      </c>
      <c r="F1385" s="1">
        <v>-7.5E7</v>
      </c>
      <c r="G1385" s="1">
        <v>-2.2E7</v>
      </c>
      <c r="H1385" s="1">
        <v>2.01E8</v>
      </c>
      <c r="I1385" s="1">
        <v>1.102E9</v>
      </c>
      <c r="J1385" s="1">
        <v>5.3E7</v>
      </c>
      <c r="K1385" s="1">
        <v>5.3E7</v>
      </c>
      <c r="L1385" s="1">
        <v>-1.0E8</v>
      </c>
      <c r="M1385" s="1">
        <v>-5.7E7</v>
      </c>
      <c r="N1385" s="1">
        <v>2.267E9</v>
      </c>
      <c r="O1385" s="1">
        <v>2.214E9</v>
      </c>
      <c r="P1385" s="1">
        <v>1.165E9</v>
      </c>
      <c r="Q1385" s="1">
        <v>-1.28E8</v>
      </c>
      <c r="R1385" s="1">
        <v>-1.8E7</v>
      </c>
      <c r="S1385" s="1">
        <v>-2.2E7</v>
      </c>
    </row>
    <row r="1386">
      <c r="A1386" s="1">
        <v>1384.0</v>
      </c>
      <c r="B1386" s="3">
        <v>44286.0</v>
      </c>
      <c r="C1386" s="1" t="s">
        <v>731</v>
      </c>
      <c r="D1386" s="1" t="s">
        <v>732</v>
      </c>
      <c r="F1386" s="1">
        <v>6.55827E8</v>
      </c>
      <c r="G1386" s="1">
        <v>5.01609E8</v>
      </c>
      <c r="H1386" s="1">
        <v>9.4969E8</v>
      </c>
      <c r="I1386" s="1">
        <v>1.640795E9</v>
      </c>
      <c r="J1386" s="1">
        <v>6.91105E8</v>
      </c>
      <c r="K1386" s="1">
        <v>6.91105E8</v>
      </c>
      <c r="L1386" s="1">
        <v>-3.7506E7</v>
      </c>
      <c r="M1386" s="1">
        <v>1.54218E8</v>
      </c>
      <c r="N1386" s="1">
        <v>3.090899E9</v>
      </c>
      <c r="O1386" s="1">
        <v>2.399794E9</v>
      </c>
      <c r="P1386" s="1">
        <v>1.450104E9</v>
      </c>
      <c r="Q1386" s="1">
        <v>-3.5278E7</v>
      </c>
      <c r="R1386" s="1">
        <v>5.01609E8</v>
      </c>
      <c r="S1386" s="1">
        <v>5.01609E8</v>
      </c>
    </row>
    <row r="1387">
      <c r="A1387" s="1">
        <v>1385.0</v>
      </c>
      <c r="B1387" s="3">
        <v>44196.0</v>
      </c>
      <c r="C1387" s="1" t="s">
        <v>731</v>
      </c>
      <c r="D1387" s="1" t="s">
        <v>732</v>
      </c>
      <c r="F1387" s="1">
        <v>4.99929E8</v>
      </c>
      <c r="G1387" s="1">
        <v>3.92945E8</v>
      </c>
      <c r="H1387" s="1">
        <v>6.31466E8</v>
      </c>
      <c r="I1387" s="1">
        <v>1.472138E9</v>
      </c>
      <c r="J1387" s="1">
        <v>5.37672E8</v>
      </c>
      <c r="K1387" s="1">
        <v>5.37672E8</v>
      </c>
      <c r="L1387" s="1">
        <v>-3.8349E7</v>
      </c>
      <c r="M1387" s="1">
        <v>1.06984E8</v>
      </c>
      <c r="N1387" s="1">
        <v>2.828773E9</v>
      </c>
      <c r="O1387" s="1">
        <v>2.291101E9</v>
      </c>
      <c r="P1387" s="1">
        <v>1.356635E9</v>
      </c>
      <c r="Q1387" s="1">
        <v>-3.7743E7</v>
      </c>
      <c r="R1387" s="1">
        <v>3.92945E8</v>
      </c>
      <c r="S1387" s="1">
        <v>3.92945E8</v>
      </c>
    </row>
    <row r="1388">
      <c r="A1388" s="1">
        <v>1386.0</v>
      </c>
      <c r="B1388" s="3">
        <v>44104.0</v>
      </c>
      <c r="C1388" s="1" t="s">
        <v>731</v>
      </c>
      <c r="D1388" s="1" t="s">
        <v>732</v>
      </c>
      <c r="F1388" s="1">
        <v>6.86406E8</v>
      </c>
      <c r="G1388" s="1">
        <v>5.27252E8</v>
      </c>
      <c r="H1388" s="1">
        <v>9.55455E8</v>
      </c>
      <c r="I1388" s="1">
        <v>1.680468E9</v>
      </c>
      <c r="J1388" s="1">
        <v>7.25013E8</v>
      </c>
      <c r="K1388" s="1">
        <v>7.25013E8</v>
      </c>
      <c r="L1388" s="1">
        <v>-4.1668E7</v>
      </c>
      <c r="M1388" s="1">
        <v>1.59154E8</v>
      </c>
      <c r="N1388" s="1">
        <v>3.207638E9</v>
      </c>
      <c r="O1388" s="1">
        <v>2.482625E9</v>
      </c>
      <c r="P1388" s="1">
        <v>1.52717E9</v>
      </c>
      <c r="Q1388" s="1">
        <v>-3.8607E7</v>
      </c>
      <c r="R1388" s="1">
        <v>5.27252E8</v>
      </c>
      <c r="S1388" s="1">
        <v>5.27252E8</v>
      </c>
    </row>
    <row r="1389">
      <c r="A1389" s="1">
        <v>1387.0</v>
      </c>
      <c r="B1389" s="3">
        <v>44012.0</v>
      </c>
      <c r="C1389" s="1" t="s">
        <v>731</v>
      </c>
      <c r="D1389" s="1" t="s">
        <v>732</v>
      </c>
      <c r="F1389" s="1">
        <v>7.0041E8</v>
      </c>
      <c r="G1389" s="1">
        <v>5.31667E8</v>
      </c>
      <c r="H1389" s="1">
        <v>9.0069E8</v>
      </c>
      <c r="I1389" s="1">
        <v>1.63718E9</v>
      </c>
      <c r="J1389" s="1">
        <v>7.3649E8</v>
      </c>
      <c r="K1389" s="1">
        <v>7.3649E8</v>
      </c>
      <c r="L1389" s="1">
        <v>-4.1723E7</v>
      </c>
      <c r="M1389" s="1">
        <v>1.68743E8</v>
      </c>
      <c r="N1389" s="1">
        <v>3.091595E9</v>
      </c>
      <c r="O1389" s="1">
        <v>2.355105E9</v>
      </c>
      <c r="P1389" s="1">
        <v>1.454415E9</v>
      </c>
      <c r="Q1389" s="1">
        <v>-3.608E7</v>
      </c>
      <c r="R1389" s="1">
        <v>5.31667E8</v>
      </c>
      <c r="S1389" s="1">
        <v>5.31667E8</v>
      </c>
    </row>
    <row r="1390">
      <c r="A1390" s="1">
        <v>1388.0</v>
      </c>
      <c r="B1390" s="3">
        <v>44377.0</v>
      </c>
      <c r="C1390" s="1" t="s">
        <v>733</v>
      </c>
      <c r="D1390" s="1" t="s">
        <v>734</v>
      </c>
      <c r="F1390" s="1">
        <v>1.43E8</v>
      </c>
      <c r="G1390" s="1">
        <v>1.03E8</v>
      </c>
      <c r="H1390" s="1">
        <v>1.77E8</v>
      </c>
      <c r="I1390" s="1">
        <v>3.719E9</v>
      </c>
      <c r="J1390" s="1">
        <v>5.72E8</v>
      </c>
      <c r="K1390" s="1">
        <v>5.72E8</v>
      </c>
      <c r="L1390" s="1">
        <v>-6.08E8</v>
      </c>
      <c r="M1390" s="1">
        <v>4.3E7</v>
      </c>
      <c r="N1390" s="1">
        <v>5.958E9</v>
      </c>
      <c r="O1390" s="1">
        <v>5.386E9</v>
      </c>
      <c r="P1390" s="1">
        <v>2.239E9</v>
      </c>
      <c r="Q1390" s="1">
        <v>-4.29E8</v>
      </c>
      <c r="R1390" s="1">
        <v>1.0E8</v>
      </c>
      <c r="S1390" s="1">
        <v>-9.7E7</v>
      </c>
    </row>
    <row r="1391">
      <c r="A1391" s="1">
        <v>1389.0</v>
      </c>
      <c r="B1391" s="3">
        <v>44286.0</v>
      </c>
      <c r="C1391" s="1" t="s">
        <v>733</v>
      </c>
      <c r="D1391" s="1" t="s">
        <v>734</v>
      </c>
      <c r="F1391" s="1">
        <v>3.15E8</v>
      </c>
      <c r="G1391" s="1">
        <v>-1.46E8</v>
      </c>
      <c r="H1391" s="1">
        <v>1.66E8</v>
      </c>
      <c r="I1391" s="1">
        <v>3.036E9</v>
      </c>
      <c r="J1391" s="1">
        <v>4.5E7</v>
      </c>
      <c r="K1391" s="1">
        <v>4.5E7</v>
      </c>
      <c r="L1391" s="1">
        <v>4000000.0</v>
      </c>
      <c r="M1391" s="1">
        <v>1.6E7</v>
      </c>
      <c r="N1391" s="1">
        <v>5.293E9</v>
      </c>
      <c r="O1391" s="1">
        <v>5.248E9</v>
      </c>
      <c r="P1391" s="1">
        <v>2.257E9</v>
      </c>
      <c r="Q1391" s="1">
        <v>2.7E8</v>
      </c>
      <c r="R1391" s="1">
        <v>2.99E8</v>
      </c>
      <c r="S1391" s="1">
        <v>-3.46E8</v>
      </c>
    </row>
    <row r="1392">
      <c r="A1392" s="1">
        <v>1390.0</v>
      </c>
      <c r="B1392" s="3">
        <v>44196.0</v>
      </c>
      <c r="C1392" s="1" t="s">
        <v>733</v>
      </c>
      <c r="D1392" s="1" t="s">
        <v>734</v>
      </c>
      <c r="F1392" s="1">
        <v>-1.425E9</v>
      </c>
      <c r="G1392" s="1">
        <v>-1.112E9</v>
      </c>
      <c r="H1392" s="1">
        <v>2.09E8</v>
      </c>
      <c r="I1392" s="1">
        <v>2.2E9</v>
      </c>
      <c r="J1392" s="1">
        <v>-3.52E8</v>
      </c>
      <c r="K1392" s="1">
        <v>-3.52E8</v>
      </c>
      <c r="L1392" s="1">
        <v>-2.6E8</v>
      </c>
      <c r="M1392" s="1">
        <v>-2.76E8</v>
      </c>
      <c r="N1392" s="1">
        <v>4.16E9</v>
      </c>
      <c r="O1392" s="1">
        <v>4.512E9</v>
      </c>
      <c r="P1392" s="1">
        <v>1.96E9</v>
      </c>
      <c r="Q1392" s="1">
        <v>-1.073E9</v>
      </c>
      <c r="R1392" s="1">
        <v>-1.149E9</v>
      </c>
      <c r="S1392" s="1">
        <v>-1.312E9</v>
      </c>
    </row>
    <row r="1393">
      <c r="A1393" s="1">
        <v>1391.0</v>
      </c>
      <c r="B1393" s="3">
        <v>44104.0</v>
      </c>
      <c r="C1393" s="1" t="s">
        <v>733</v>
      </c>
      <c r="D1393" s="1" t="s">
        <v>734</v>
      </c>
      <c r="F1393" s="1">
        <v>-4.058E9</v>
      </c>
      <c r="G1393" s="1">
        <v>-3.575E9</v>
      </c>
      <c r="H1393" s="1">
        <v>1.66E8</v>
      </c>
      <c r="I1393" s="1">
        <v>2.158E9</v>
      </c>
      <c r="J1393" s="1">
        <v>-3.84E8</v>
      </c>
      <c r="K1393" s="1">
        <v>-3.84E8</v>
      </c>
      <c r="L1393" s="1">
        <v>-2.65E8</v>
      </c>
      <c r="M1393" s="1">
        <v>-4.03E8</v>
      </c>
      <c r="N1393" s="1">
        <v>4.108E9</v>
      </c>
      <c r="O1393" s="1">
        <v>4.492E9</v>
      </c>
      <c r="P1393" s="1">
        <v>1.95E9</v>
      </c>
      <c r="Q1393" s="1">
        <v>-3.674E9</v>
      </c>
      <c r="R1393" s="1">
        <v>-3.655E9</v>
      </c>
      <c r="S1393" s="1">
        <v>-3.778E9</v>
      </c>
    </row>
    <row r="1394">
      <c r="A1394" s="1">
        <v>1392.0</v>
      </c>
      <c r="B1394" s="11">
        <v>44469.0</v>
      </c>
      <c r="C1394" s="1" t="s">
        <v>735</v>
      </c>
      <c r="D1394" s="1" t="s">
        <v>736</v>
      </c>
      <c r="F1394" s="1">
        <v>3.82951E8</v>
      </c>
      <c r="G1394" s="1">
        <v>2.86634E8</v>
      </c>
      <c r="H1394" s="1">
        <v>5.2986E7</v>
      </c>
      <c r="I1394" s="1">
        <v>5.43077E8</v>
      </c>
      <c r="J1394" s="1">
        <v>3.8341E8</v>
      </c>
      <c r="K1394" s="1">
        <v>3.8341E8</v>
      </c>
      <c r="L1394" s="1">
        <v>-371000.0</v>
      </c>
      <c r="M1394" s="1">
        <v>9.6317E7</v>
      </c>
      <c r="N1394" s="1">
        <v>1.400046E9</v>
      </c>
      <c r="O1394" s="1">
        <v>1.016636E9</v>
      </c>
      <c r="P1394" s="1">
        <v>8.56969E8</v>
      </c>
      <c r="Q1394" s="1">
        <v>-459000.0</v>
      </c>
      <c r="R1394" s="1">
        <v>2.86634E8</v>
      </c>
      <c r="S1394" s="1">
        <v>2.86634E8</v>
      </c>
    </row>
    <row r="1395">
      <c r="A1395" s="1">
        <v>1393.0</v>
      </c>
      <c r="B1395" s="11">
        <v>44377.0</v>
      </c>
      <c r="C1395" s="1" t="s">
        <v>735</v>
      </c>
      <c r="D1395" s="1" t="s">
        <v>736</v>
      </c>
      <c r="F1395" s="1">
        <v>3.64388E8</v>
      </c>
      <c r="G1395" s="1">
        <v>2.69576E8</v>
      </c>
      <c r="H1395" s="1">
        <v>4.941E7</v>
      </c>
      <c r="I1395" s="1">
        <v>5.17997E8</v>
      </c>
      <c r="J1395" s="1">
        <v>3.66044E8</v>
      </c>
      <c r="K1395" s="1">
        <v>3.66044E8</v>
      </c>
      <c r="L1395" s="1">
        <v>-465000.0</v>
      </c>
      <c r="M1395" s="1">
        <v>9.4812E7</v>
      </c>
      <c r="N1395" s="1">
        <v>1.319409E9</v>
      </c>
      <c r="O1395" s="1">
        <v>9.53365E8</v>
      </c>
      <c r="P1395" s="1">
        <v>8.01412E8</v>
      </c>
      <c r="Q1395" s="1">
        <v>-1656000.0</v>
      </c>
      <c r="R1395" s="1">
        <v>2.69576E8</v>
      </c>
      <c r="S1395" s="1">
        <v>2.69576E8</v>
      </c>
    </row>
    <row r="1396">
      <c r="A1396" s="1">
        <v>1394.0</v>
      </c>
      <c r="B1396" s="11">
        <v>44286.0</v>
      </c>
      <c r="C1396" s="1" t="s">
        <v>735</v>
      </c>
      <c r="D1396" s="1" t="s">
        <v>736</v>
      </c>
      <c r="F1396" s="1">
        <v>2.69308E8</v>
      </c>
      <c r="G1396" s="1">
        <v>1.99359E8</v>
      </c>
      <c r="H1396" s="1">
        <v>4.409E7</v>
      </c>
      <c r="I1396" s="1">
        <v>4.1379E8</v>
      </c>
      <c r="J1396" s="1">
        <v>2.69657E8</v>
      </c>
      <c r="K1396" s="1">
        <v>2.69657E8</v>
      </c>
      <c r="L1396" s="1">
        <v>-507000.0</v>
      </c>
      <c r="M1396" s="1">
        <v>6.9949E7</v>
      </c>
      <c r="N1396" s="1">
        <v>1.126515E9</v>
      </c>
      <c r="O1396" s="1">
        <v>8.56858E8</v>
      </c>
      <c r="P1396" s="1">
        <v>7.12725E8</v>
      </c>
      <c r="Q1396" s="1">
        <v>-349000.0</v>
      </c>
      <c r="R1396" s="1">
        <v>1.99359E8</v>
      </c>
      <c r="S1396" s="1">
        <v>1.99359E8</v>
      </c>
    </row>
    <row r="1397">
      <c r="A1397" s="1">
        <v>1395.0</v>
      </c>
      <c r="B1397" s="11">
        <v>44196.0</v>
      </c>
      <c r="C1397" s="1" t="s">
        <v>735</v>
      </c>
      <c r="D1397" s="1" t="s">
        <v>736</v>
      </c>
      <c r="F1397" s="1">
        <v>2.53323E8</v>
      </c>
      <c r="G1397" s="1">
        <v>1.89832E8</v>
      </c>
      <c r="H1397" s="1">
        <v>3.319E7</v>
      </c>
      <c r="I1397" s="1">
        <v>3.88259E8</v>
      </c>
      <c r="J1397" s="1">
        <v>2.54302E8</v>
      </c>
      <c r="K1397" s="1">
        <v>2.54302E8</v>
      </c>
      <c r="L1397" s="1">
        <v>-846000.0</v>
      </c>
      <c r="M1397" s="1">
        <v>6.3491E7</v>
      </c>
      <c r="N1397" s="1">
        <v>1.073389E9</v>
      </c>
      <c r="O1397" s="1">
        <v>8.19087E8</v>
      </c>
      <c r="P1397" s="1">
        <v>6.8513E8</v>
      </c>
      <c r="Q1397" s="1">
        <v>-979000.0</v>
      </c>
      <c r="R1397" s="1">
        <v>1.89832E8</v>
      </c>
      <c r="S1397" s="1">
        <v>1.89832E8</v>
      </c>
    </row>
    <row r="1398">
      <c r="A1398" s="1">
        <v>1396.0</v>
      </c>
      <c r="B1398" s="11">
        <v>44469.0</v>
      </c>
      <c r="C1398" s="1" t="s">
        <v>737</v>
      </c>
      <c r="D1398" s="1" t="s">
        <v>738</v>
      </c>
      <c r="F1398" s="1">
        <v>5.001E8</v>
      </c>
      <c r="G1398" s="1">
        <v>3.556E8</v>
      </c>
      <c r="H1398" s="1">
        <v>9.5E7</v>
      </c>
      <c r="I1398" s="1">
        <v>6.877E8</v>
      </c>
      <c r="J1398" s="1">
        <v>5.416E8</v>
      </c>
      <c r="K1398" s="1">
        <v>5.416E8</v>
      </c>
      <c r="L1398" s="1">
        <v>-5.07E7</v>
      </c>
      <c r="M1398" s="1">
        <v>1.2E8</v>
      </c>
      <c r="N1398" s="1">
        <v>3.435E9</v>
      </c>
      <c r="O1398" s="1">
        <v>2.8934E9</v>
      </c>
      <c r="P1398" s="1">
        <v>2.7473E9</v>
      </c>
      <c r="Q1398" s="1">
        <v>-4.15E7</v>
      </c>
      <c r="R1398" s="1">
        <v>3.801E8</v>
      </c>
      <c r="S1398" s="1">
        <v>3.556E8</v>
      </c>
    </row>
    <row r="1399">
      <c r="A1399" s="1">
        <v>1397.0</v>
      </c>
      <c r="B1399" s="11">
        <v>44377.0</v>
      </c>
      <c r="C1399" s="1" t="s">
        <v>737</v>
      </c>
      <c r="D1399" s="1" t="s">
        <v>738</v>
      </c>
      <c r="F1399" s="1">
        <v>4.948E8</v>
      </c>
      <c r="G1399" s="1">
        <v>3.482E8</v>
      </c>
      <c r="H1399" s="1">
        <v>1.032E8</v>
      </c>
      <c r="I1399" s="1">
        <v>6.746E8</v>
      </c>
      <c r="J1399" s="1">
        <v>5.179E8</v>
      </c>
      <c r="K1399" s="1">
        <v>5.179E8</v>
      </c>
      <c r="L1399" s="1">
        <v>-8.03E7</v>
      </c>
      <c r="M1399" s="1">
        <v>1.232E8</v>
      </c>
      <c r="N1399" s="1">
        <v>3.5716E9</v>
      </c>
      <c r="O1399" s="1">
        <v>3.0537E9</v>
      </c>
      <c r="P1399" s="1">
        <v>2.897E9</v>
      </c>
      <c r="Q1399" s="1">
        <v>-2.31E7</v>
      </c>
      <c r="R1399" s="1">
        <v>3.716E8</v>
      </c>
      <c r="S1399" s="1">
        <v>3.482E8</v>
      </c>
    </row>
    <row r="1400">
      <c r="A1400" s="1">
        <v>1398.0</v>
      </c>
      <c r="B1400" s="11">
        <v>44286.0</v>
      </c>
      <c r="C1400" s="1" t="s">
        <v>737</v>
      </c>
      <c r="D1400" s="1" t="s">
        <v>738</v>
      </c>
      <c r="F1400" s="1">
        <v>4.179E8</v>
      </c>
      <c r="G1400" s="1">
        <v>2.878E8</v>
      </c>
      <c r="H1400" s="1">
        <v>7.16E7</v>
      </c>
      <c r="I1400" s="1">
        <v>5.903E8</v>
      </c>
      <c r="J1400" s="1">
        <v>4.654E8</v>
      </c>
      <c r="K1400" s="1">
        <v>4.654E8</v>
      </c>
      <c r="L1400" s="1">
        <v>-5.38E7</v>
      </c>
      <c r="M1400" s="1">
        <v>1.119E8</v>
      </c>
      <c r="N1400" s="1">
        <v>3.4269E9</v>
      </c>
      <c r="O1400" s="1">
        <v>2.9615E9</v>
      </c>
      <c r="P1400" s="1">
        <v>2.8366E9</v>
      </c>
      <c r="Q1400" s="1">
        <v>-4.75E7</v>
      </c>
      <c r="R1400" s="1">
        <v>3.06E8</v>
      </c>
      <c r="S1400" s="1">
        <v>2.878E8</v>
      </c>
    </row>
    <row r="1401">
      <c r="A1401" s="1">
        <v>1399.0</v>
      </c>
      <c r="B1401" s="11">
        <v>44196.0</v>
      </c>
      <c r="C1401" s="1" t="s">
        <v>737</v>
      </c>
      <c r="D1401" s="1" t="s">
        <v>738</v>
      </c>
      <c r="F1401" s="1">
        <v>5.7E8</v>
      </c>
      <c r="G1401" s="1">
        <v>3.981E8</v>
      </c>
      <c r="H1401" s="1">
        <v>1.013E8</v>
      </c>
      <c r="I1401" s="1">
        <v>6.269E8</v>
      </c>
      <c r="J1401" s="1">
        <v>4.718E8</v>
      </c>
      <c r="K1401" s="1">
        <v>4.718E8</v>
      </c>
      <c r="L1401" s="1">
        <v>-1.91E7</v>
      </c>
      <c r="M1401" s="1">
        <v>1.415E8</v>
      </c>
      <c r="N1401" s="1">
        <v>3.757E9</v>
      </c>
      <c r="O1401" s="1">
        <v>3.2852E9</v>
      </c>
      <c r="P1401" s="1">
        <v>3.1301E9</v>
      </c>
      <c r="Q1401" s="1">
        <v>9.82E7</v>
      </c>
      <c r="R1401" s="1">
        <v>4.285E8</v>
      </c>
      <c r="S1401" s="1">
        <v>3.981E8</v>
      </c>
    </row>
    <row r="1402">
      <c r="A1402" s="1">
        <v>1400.0</v>
      </c>
      <c r="B1402" s="11">
        <v>44469.0</v>
      </c>
      <c r="C1402" s="1" t="s">
        <v>739</v>
      </c>
      <c r="D1402" s="1" t="s">
        <v>740</v>
      </c>
      <c r="F1402" s="1">
        <v>5.13917E8</v>
      </c>
      <c r="G1402" s="1">
        <v>3.92018E8</v>
      </c>
      <c r="H1402" s="1">
        <v>2.31226E8</v>
      </c>
      <c r="I1402" s="1">
        <v>1.087048E9</v>
      </c>
      <c r="J1402" s="1">
        <v>6.61527E8</v>
      </c>
      <c r="K1402" s="1">
        <v>6.61527E8</v>
      </c>
      <c r="L1402" s="1">
        <v>-1.84049E8</v>
      </c>
      <c r="M1402" s="1">
        <v>1.21899E8</v>
      </c>
      <c r="N1402" s="1">
        <v>4.536175E9</v>
      </c>
      <c r="O1402" s="1">
        <v>3.874648E9</v>
      </c>
      <c r="P1402" s="1">
        <v>3.449127E9</v>
      </c>
      <c r="Q1402" s="1">
        <v>-1.4761E8</v>
      </c>
      <c r="R1402" s="1">
        <v>3.92018E8</v>
      </c>
      <c r="S1402" s="1">
        <v>3.91743E8</v>
      </c>
    </row>
    <row r="1403">
      <c r="A1403" s="1">
        <v>1401.0</v>
      </c>
      <c r="B1403" s="11">
        <v>44377.0</v>
      </c>
      <c r="C1403" s="1" t="s">
        <v>739</v>
      </c>
      <c r="D1403" s="1" t="s">
        <v>740</v>
      </c>
      <c r="F1403" s="1">
        <v>4.52208E8</v>
      </c>
      <c r="G1403" s="1">
        <v>3.42139E8</v>
      </c>
      <c r="H1403" s="1">
        <v>2.19101E8</v>
      </c>
      <c r="I1403" s="1">
        <v>1.021985E9</v>
      </c>
      <c r="J1403" s="1">
        <v>6.04023E8</v>
      </c>
      <c r="K1403" s="1">
        <v>6.04023E8</v>
      </c>
      <c r="L1403" s="1">
        <v>-1.84957E8</v>
      </c>
      <c r="M1403" s="1">
        <v>1.10069E8</v>
      </c>
      <c r="N1403" s="1">
        <v>3.388964E9</v>
      </c>
      <c r="O1403" s="1">
        <v>2.784941E9</v>
      </c>
      <c r="P1403" s="1">
        <v>2.366979E9</v>
      </c>
      <c r="Q1403" s="1">
        <v>-1.51815E8</v>
      </c>
      <c r="R1403" s="1">
        <v>3.42139E8</v>
      </c>
      <c r="S1403" s="1">
        <v>3.41864E8</v>
      </c>
    </row>
    <row r="1404">
      <c r="A1404" s="1">
        <v>1402.0</v>
      </c>
      <c r="B1404" s="11">
        <v>44286.0</v>
      </c>
      <c r="C1404" s="1" t="s">
        <v>739</v>
      </c>
      <c r="D1404" s="1" t="s">
        <v>740</v>
      </c>
      <c r="F1404" s="1">
        <v>5.08308E8</v>
      </c>
      <c r="G1404" s="1">
        <v>3.86176E8</v>
      </c>
      <c r="H1404" s="1">
        <v>2.121E8</v>
      </c>
      <c r="I1404" s="1">
        <v>1.073169E9</v>
      </c>
      <c r="J1404" s="1">
        <v>6.5951E8</v>
      </c>
      <c r="K1404" s="1">
        <v>6.5951E8</v>
      </c>
      <c r="L1404" s="1">
        <v>-1.85523E8</v>
      </c>
      <c r="M1404" s="1">
        <v>1.22132E8</v>
      </c>
      <c r="N1404" s="1">
        <v>3.194679E9</v>
      </c>
      <c r="O1404" s="1">
        <v>2.535169E9</v>
      </c>
      <c r="P1404" s="1">
        <v>2.12151E9</v>
      </c>
      <c r="Q1404" s="1">
        <v>-1.51202E8</v>
      </c>
      <c r="R1404" s="1">
        <v>3.86176E8</v>
      </c>
      <c r="S1404" s="1">
        <v>3.85901E8</v>
      </c>
    </row>
    <row r="1405">
      <c r="A1405" s="1">
        <v>1403.0</v>
      </c>
      <c r="B1405" s="11">
        <v>44196.0</v>
      </c>
      <c r="C1405" s="1" t="s">
        <v>739</v>
      </c>
      <c r="D1405" s="1" t="s">
        <v>740</v>
      </c>
      <c r="F1405" s="1">
        <v>4.03236E8</v>
      </c>
      <c r="G1405" s="1">
        <v>3.08029E8</v>
      </c>
      <c r="H1405" s="1">
        <v>2.27019E8</v>
      </c>
      <c r="I1405" s="1">
        <v>9.43491E8</v>
      </c>
      <c r="J1405" s="1">
        <v>5.36447E8</v>
      </c>
      <c r="K1405" s="1">
        <v>5.36447E8</v>
      </c>
      <c r="L1405" s="1">
        <v>-1.76931E8</v>
      </c>
      <c r="M1405" s="1">
        <v>9.5207E7</v>
      </c>
      <c r="N1405" s="1">
        <v>2.570577E9</v>
      </c>
      <c r="O1405" s="1">
        <v>2.03413E9</v>
      </c>
      <c r="P1405" s="1">
        <v>1.627086E9</v>
      </c>
      <c r="Q1405" s="1">
        <v>-1.33211E8</v>
      </c>
      <c r="R1405" s="1">
        <v>3.08029E8</v>
      </c>
      <c r="S1405" s="1">
        <v>3.07754E8</v>
      </c>
    </row>
    <row r="1406">
      <c r="A1406" s="1">
        <v>1404.0</v>
      </c>
      <c r="B1406" s="11">
        <v>44439.0</v>
      </c>
      <c r="C1406" s="1" t="s">
        <v>741</v>
      </c>
      <c r="D1406" s="1" t="s">
        <v>742</v>
      </c>
      <c r="E1406" s="1">
        <v>1.684E9</v>
      </c>
      <c r="F1406" s="1">
        <v>2.681E9</v>
      </c>
      <c r="G1406" s="1">
        <v>2.457E9</v>
      </c>
      <c r="H1406" s="1">
        <v>2.152E9</v>
      </c>
      <c r="I1406" s="1">
        <v>7.625E9</v>
      </c>
      <c r="J1406" s="1">
        <v>3.47E9</v>
      </c>
      <c r="K1406" s="1">
        <v>3.47E9</v>
      </c>
      <c r="L1406" s="1">
        <v>-7.05E8</v>
      </c>
      <c r="M1406" s="1">
        <v>2.24E8</v>
      </c>
      <c r="N1406" s="1">
        <v>9.728E9</v>
      </c>
      <c r="O1406" s="1">
        <v>6.258E9</v>
      </c>
      <c r="P1406" s="1">
        <v>2.103E9</v>
      </c>
      <c r="Q1406" s="1">
        <v>-7.89E8</v>
      </c>
      <c r="R1406" s="1">
        <v>2.457E9</v>
      </c>
      <c r="S1406" s="1">
        <v>2.457E9</v>
      </c>
    </row>
    <row r="1407">
      <c r="A1407" s="1">
        <v>1405.0</v>
      </c>
      <c r="B1407" s="11">
        <v>44347.0</v>
      </c>
      <c r="C1407" s="1" t="s">
        <v>741</v>
      </c>
      <c r="D1407" s="1" t="s">
        <v>742</v>
      </c>
      <c r="E1407" s="1">
        <v>1.715E9</v>
      </c>
      <c r="F1407" s="1">
        <v>4.156E9</v>
      </c>
      <c r="G1407" s="1">
        <v>4.032E9</v>
      </c>
      <c r="H1407" s="1">
        <v>2.382E9</v>
      </c>
      <c r="I1407" s="1">
        <v>9.105E9</v>
      </c>
      <c r="J1407" s="1">
        <v>4.637E9</v>
      </c>
      <c r="K1407" s="1">
        <v>4.637E9</v>
      </c>
      <c r="L1407" s="1">
        <v>-6.94E8</v>
      </c>
      <c r="M1407" s="1">
        <v>1.24E8</v>
      </c>
      <c r="N1407" s="1">
        <v>1.1227E10</v>
      </c>
      <c r="O1407" s="1">
        <v>6.59E9</v>
      </c>
      <c r="P1407" s="1">
        <v>2.122E9</v>
      </c>
      <c r="Q1407" s="1">
        <v>-4.81E8</v>
      </c>
      <c r="R1407" s="1">
        <v>4.032E9</v>
      </c>
      <c r="S1407" s="1">
        <v>4.032E9</v>
      </c>
    </row>
    <row r="1408">
      <c r="A1408" s="1">
        <v>1406.0</v>
      </c>
      <c r="B1408" s="11">
        <v>44255.0</v>
      </c>
      <c r="C1408" s="1" t="s">
        <v>741</v>
      </c>
      <c r="D1408" s="1" t="s">
        <v>742</v>
      </c>
      <c r="E1408" s="1">
        <v>1.621E9</v>
      </c>
      <c r="F1408" s="1">
        <v>3.276E9</v>
      </c>
      <c r="G1408" s="1">
        <v>5.021E9</v>
      </c>
      <c r="H1408" s="1">
        <v>2.245E9</v>
      </c>
      <c r="I1408" s="1">
        <v>8.17E9</v>
      </c>
      <c r="J1408" s="1">
        <v>3.947E9</v>
      </c>
      <c r="K1408" s="1">
        <v>3.947E9</v>
      </c>
      <c r="L1408" s="1">
        <v>-5.8E8</v>
      </c>
      <c r="M1408" s="1">
        <v>-1.745E9</v>
      </c>
      <c r="N1408" s="1">
        <v>1.0085E10</v>
      </c>
      <c r="O1408" s="1">
        <v>6.138E9</v>
      </c>
      <c r="P1408" s="1">
        <v>1.915E9</v>
      </c>
      <c r="Q1408" s="1">
        <v>-6.71E8</v>
      </c>
      <c r="R1408" s="1">
        <v>5.021E9</v>
      </c>
      <c r="S1408" s="1">
        <v>5.021E9</v>
      </c>
    </row>
    <row r="1409">
      <c r="A1409" s="1">
        <v>1407.0</v>
      </c>
      <c r="B1409" s="11">
        <v>44165.0</v>
      </c>
      <c r="C1409" s="1" t="s">
        <v>741</v>
      </c>
      <c r="D1409" s="1" t="s">
        <v>742</v>
      </c>
      <c r="E1409" s="1">
        <v>1.601E9</v>
      </c>
      <c r="F1409" s="1">
        <v>2.972E9</v>
      </c>
      <c r="G1409" s="1">
        <v>2.442E9</v>
      </c>
      <c r="H1409" s="1">
        <v>2.16E9</v>
      </c>
      <c r="I1409" s="1">
        <v>7.861E9</v>
      </c>
      <c r="J1409" s="1">
        <v>3.68E9</v>
      </c>
      <c r="K1409" s="1">
        <v>3.68E9</v>
      </c>
      <c r="L1409" s="1">
        <v>-6.01E8</v>
      </c>
      <c r="M1409" s="1">
        <v>5.3E8</v>
      </c>
      <c r="N1409" s="1">
        <v>9.8E9</v>
      </c>
      <c r="O1409" s="1">
        <v>6.12E9</v>
      </c>
      <c r="P1409" s="1">
        <v>1.939E9</v>
      </c>
      <c r="Q1409" s="1">
        <v>-7.08E8</v>
      </c>
      <c r="R1409" s="1">
        <v>2.442E9</v>
      </c>
      <c r="S1409" s="1">
        <v>2.442E9</v>
      </c>
    </row>
    <row r="1410">
      <c r="A1410" s="1">
        <v>1408.0</v>
      </c>
      <c r="B1410" s="11">
        <v>44377.0</v>
      </c>
      <c r="C1410" s="1" t="s">
        <v>743</v>
      </c>
      <c r="D1410" s="1" t="s">
        <v>744</v>
      </c>
      <c r="E1410" s="1">
        <v>7.6E7</v>
      </c>
      <c r="F1410" s="1">
        <v>4.37E8</v>
      </c>
      <c r="G1410" s="1">
        <v>4.27E8</v>
      </c>
      <c r="H1410" s="1">
        <v>4.16E8</v>
      </c>
      <c r="I1410" s="1">
        <v>1.012E9</v>
      </c>
      <c r="J1410" s="1">
        <v>5.2E8</v>
      </c>
      <c r="K1410" s="1">
        <v>5.2E8</v>
      </c>
      <c r="L1410" s="1">
        <v>-6.2E7</v>
      </c>
      <c r="M1410" s="1">
        <v>6000000.0</v>
      </c>
      <c r="N1410" s="1">
        <v>1.595E9</v>
      </c>
      <c r="O1410" s="1">
        <v>1.075E9</v>
      </c>
      <c r="P1410" s="1">
        <v>5.83E8</v>
      </c>
      <c r="Q1410" s="1">
        <v>-8.3E7</v>
      </c>
      <c r="R1410" s="1">
        <v>4.31E8</v>
      </c>
      <c r="S1410" s="1">
        <v>4.27E8</v>
      </c>
    </row>
    <row r="1411">
      <c r="A1411" s="1">
        <v>1409.0</v>
      </c>
      <c r="B1411" s="11">
        <v>44286.0</v>
      </c>
      <c r="C1411" s="1" t="s">
        <v>743</v>
      </c>
      <c r="D1411" s="1" t="s">
        <v>744</v>
      </c>
      <c r="E1411" s="1">
        <v>6.7E7</v>
      </c>
      <c r="F1411" s="1">
        <v>4.67E8</v>
      </c>
      <c r="G1411" s="1">
        <v>3.99E8</v>
      </c>
      <c r="H1411" s="1">
        <v>3.82E8</v>
      </c>
      <c r="I1411" s="1">
        <v>9.15E8</v>
      </c>
      <c r="J1411" s="1">
        <v>4.66E8</v>
      </c>
      <c r="K1411" s="1">
        <v>4.66E8</v>
      </c>
      <c r="L1411" s="1">
        <v>-6.2E7</v>
      </c>
      <c r="M1411" s="1">
        <v>7.2E7</v>
      </c>
      <c r="N1411" s="1">
        <v>1.506E9</v>
      </c>
      <c r="O1411" s="1">
        <v>1.04E9</v>
      </c>
      <c r="P1411" s="1">
        <v>5.91E8</v>
      </c>
      <c r="Q1411" s="1">
        <v>1000000.0</v>
      </c>
      <c r="R1411" s="1">
        <v>3.95E8</v>
      </c>
      <c r="S1411" s="1">
        <v>3.99E8</v>
      </c>
    </row>
    <row r="1412">
      <c r="A1412" s="1">
        <v>1410.0</v>
      </c>
      <c r="B1412" s="11">
        <v>44012.0</v>
      </c>
      <c r="C1412" s="1" t="s">
        <v>743</v>
      </c>
      <c r="D1412" s="1" t="s">
        <v>744</v>
      </c>
      <c r="E1412" s="1">
        <v>5.1E7</v>
      </c>
      <c r="F1412" s="1">
        <v>7.02E8</v>
      </c>
      <c r="G1412" s="1">
        <v>5.42E8</v>
      </c>
      <c r="H1412" s="1">
        <v>2.84E8</v>
      </c>
      <c r="I1412" s="1">
        <v>1.066E9</v>
      </c>
      <c r="J1412" s="1">
        <v>7.31E8</v>
      </c>
      <c r="K1412" s="1">
        <v>7.31E8</v>
      </c>
      <c r="L1412" s="1">
        <v>-6.2E7</v>
      </c>
      <c r="M1412" s="1">
        <v>1.16E8</v>
      </c>
      <c r="N1412" s="1">
        <v>1.526E9</v>
      </c>
      <c r="O1412" s="1">
        <v>7.95E8</v>
      </c>
      <c r="P1412" s="1">
        <v>4.6E8</v>
      </c>
      <c r="Q1412" s="1">
        <v>-2.9E7</v>
      </c>
      <c r="R1412" s="1">
        <v>5.86E8</v>
      </c>
      <c r="S1412" s="1">
        <v>5.42E8</v>
      </c>
    </row>
    <row r="1413">
      <c r="A1413" s="1">
        <v>1411.0</v>
      </c>
      <c r="B1413" s="11">
        <v>43921.0</v>
      </c>
      <c r="C1413" s="1" t="s">
        <v>743</v>
      </c>
      <c r="D1413" s="1" t="s">
        <v>744</v>
      </c>
      <c r="E1413" s="1">
        <v>4.5E7</v>
      </c>
      <c r="F1413" s="1">
        <v>8.44E8</v>
      </c>
      <c r="G1413" s="1">
        <v>7.03E8</v>
      </c>
      <c r="H1413" s="1">
        <v>3.17E8</v>
      </c>
      <c r="I1413" s="1">
        <v>1.242E9</v>
      </c>
      <c r="J1413" s="1">
        <v>8.8E8</v>
      </c>
      <c r="K1413" s="1">
        <v>8.8E8</v>
      </c>
      <c r="L1413" s="1">
        <v>-6.2E7</v>
      </c>
      <c r="M1413" s="1">
        <v>1.1E8</v>
      </c>
      <c r="N1413" s="1">
        <v>1.78E9</v>
      </c>
      <c r="O1413" s="1">
        <v>9.0E8</v>
      </c>
      <c r="P1413" s="1">
        <v>5.38E8</v>
      </c>
      <c r="Q1413" s="1">
        <v>-3.6E7</v>
      </c>
      <c r="R1413" s="1">
        <v>7.34E8</v>
      </c>
      <c r="S1413" s="1">
        <v>7.03E8</v>
      </c>
    </row>
    <row r="1414">
      <c r="A1414" s="1">
        <v>1412.0</v>
      </c>
      <c r="B1414" s="11">
        <v>44469.0</v>
      </c>
      <c r="C1414" s="1" t="s">
        <v>745</v>
      </c>
      <c r="D1414" s="1" t="s">
        <v>746</v>
      </c>
      <c r="E1414" s="1">
        <v>3.9E7</v>
      </c>
      <c r="F1414" s="1">
        <v>5.07E8</v>
      </c>
      <c r="G1414" s="1">
        <v>3.31E8</v>
      </c>
      <c r="H1414" s="1">
        <v>4.77E8</v>
      </c>
      <c r="I1414" s="1">
        <v>1.065E9</v>
      </c>
      <c r="J1414" s="1">
        <v>5.45E8</v>
      </c>
      <c r="K1414" s="1">
        <v>5.45E8</v>
      </c>
      <c r="L1414" s="1">
        <v>-3.4E7</v>
      </c>
      <c r="M1414" s="1">
        <v>1.28E8</v>
      </c>
      <c r="N1414" s="1">
        <v>3.62E9</v>
      </c>
      <c r="O1414" s="1">
        <v>3.075E9</v>
      </c>
      <c r="P1414" s="1">
        <v>2.555E9</v>
      </c>
      <c r="Q1414" s="1">
        <v>-3.8E7</v>
      </c>
      <c r="R1414" s="1">
        <v>3.79E8</v>
      </c>
      <c r="S1414" s="1">
        <v>3.31E8</v>
      </c>
    </row>
    <row r="1415">
      <c r="A1415" s="1">
        <v>1413.0</v>
      </c>
      <c r="B1415" s="11">
        <v>44377.0</v>
      </c>
      <c r="C1415" s="1" t="s">
        <v>745</v>
      </c>
      <c r="D1415" s="1" t="s">
        <v>746</v>
      </c>
      <c r="E1415" s="1">
        <v>3.9E7</v>
      </c>
      <c r="F1415" s="1">
        <v>5.32E8</v>
      </c>
      <c r="G1415" s="1">
        <v>3.26E8</v>
      </c>
      <c r="H1415" s="1">
        <v>4.85E8</v>
      </c>
      <c r="I1415" s="1">
        <v>1.085E9</v>
      </c>
      <c r="J1415" s="1">
        <v>5.7E8</v>
      </c>
      <c r="K1415" s="1">
        <v>5.7E8</v>
      </c>
      <c r="L1415" s="1">
        <v>-2.7E7</v>
      </c>
      <c r="M1415" s="1">
        <v>1.53E8</v>
      </c>
      <c r="N1415" s="1">
        <v>3.701E9</v>
      </c>
      <c r="O1415" s="1">
        <v>3.131E9</v>
      </c>
      <c r="P1415" s="1">
        <v>2.616E9</v>
      </c>
      <c r="Q1415" s="1">
        <v>-3.8E7</v>
      </c>
      <c r="R1415" s="1">
        <v>3.79E8</v>
      </c>
      <c r="S1415" s="1">
        <v>3.26E8</v>
      </c>
    </row>
    <row r="1416">
      <c r="A1416" s="1">
        <v>1414.0</v>
      </c>
      <c r="B1416" s="11">
        <v>44286.0</v>
      </c>
      <c r="C1416" s="1" t="s">
        <v>745</v>
      </c>
      <c r="D1416" s="1" t="s">
        <v>746</v>
      </c>
      <c r="E1416" s="1">
        <v>3.5E7</v>
      </c>
      <c r="F1416" s="1">
        <v>4.75E8</v>
      </c>
      <c r="G1416" s="1">
        <v>3.08E8</v>
      </c>
      <c r="H1416" s="1">
        <v>4.64E8</v>
      </c>
      <c r="I1416" s="1">
        <v>1.023E9</v>
      </c>
      <c r="J1416" s="1">
        <v>5.32E8</v>
      </c>
      <c r="K1416" s="1">
        <v>5.32E8</v>
      </c>
      <c r="L1416" s="1">
        <v>-3.2E7</v>
      </c>
      <c r="M1416" s="1">
        <v>1.23E8</v>
      </c>
      <c r="N1416" s="1">
        <v>3.408E9</v>
      </c>
      <c r="O1416" s="1">
        <v>2.876E9</v>
      </c>
      <c r="P1416" s="1">
        <v>2.385E9</v>
      </c>
      <c r="Q1416" s="1">
        <v>-5.7E7</v>
      </c>
      <c r="R1416" s="1">
        <v>3.52E8</v>
      </c>
      <c r="S1416" s="1">
        <v>3.08E8</v>
      </c>
    </row>
    <row r="1417">
      <c r="A1417" s="1">
        <v>1415.0</v>
      </c>
      <c r="B1417" s="11">
        <v>44196.0</v>
      </c>
      <c r="C1417" s="1" t="s">
        <v>745</v>
      </c>
      <c r="D1417" s="1" t="s">
        <v>746</v>
      </c>
      <c r="E1417" s="1">
        <v>4.0E7</v>
      </c>
      <c r="F1417" s="1">
        <v>3.97E8</v>
      </c>
      <c r="G1417" s="1">
        <v>2.51E8</v>
      </c>
      <c r="H1417" s="1">
        <v>4.81E8</v>
      </c>
      <c r="I1417" s="1">
        <v>9.93E8</v>
      </c>
      <c r="J1417" s="1">
        <v>4.75E8</v>
      </c>
      <c r="K1417" s="1">
        <v>4.75E8</v>
      </c>
      <c r="L1417" s="1">
        <v>-3.7E7</v>
      </c>
      <c r="M1417" s="1">
        <v>1.18E8</v>
      </c>
      <c r="N1417" s="1">
        <v>3.493E9</v>
      </c>
      <c r="O1417" s="1">
        <v>3.018E9</v>
      </c>
      <c r="P1417" s="1">
        <v>2.5E9</v>
      </c>
      <c r="Q1417" s="1">
        <v>-7.8E7</v>
      </c>
      <c r="R1417" s="1">
        <v>2.79E8</v>
      </c>
      <c r="S1417" s="1">
        <v>2.51E8</v>
      </c>
    </row>
    <row r="1418">
      <c r="A1418" s="1">
        <v>1416.0</v>
      </c>
      <c r="B1418" s="11">
        <v>44469.0</v>
      </c>
      <c r="C1418" s="1" t="s">
        <v>747</v>
      </c>
      <c r="D1418" s="1" t="s">
        <v>748</v>
      </c>
      <c r="E1418" s="1">
        <v>7.25E7</v>
      </c>
      <c r="F1418" s="1">
        <v>4.833E8</v>
      </c>
      <c r="G1418" s="1">
        <v>3.777E8</v>
      </c>
      <c r="H1418" s="1">
        <v>1.152E8</v>
      </c>
      <c r="I1418" s="1">
        <v>6.777E8</v>
      </c>
      <c r="J1418" s="1">
        <v>4.9E8</v>
      </c>
      <c r="K1418" s="1">
        <v>4.9E8</v>
      </c>
      <c r="L1418" s="1">
        <v>-9400000.0</v>
      </c>
      <c r="M1418" s="1">
        <v>1.056E8</v>
      </c>
      <c r="N1418" s="1">
        <v>5.1468E9</v>
      </c>
      <c r="O1418" s="1">
        <v>4.6568E9</v>
      </c>
      <c r="P1418" s="1">
        <v>4.4691E9</v>
      </c>
      <c r="Q1418" s="1">
        <v>-6700000.0</v>
      </c>
      <c r="R1418" s="1">
        <v>3.777E8</v>
      </c>
      <c r="S1418" s="1">
        <v>3.777E8</v>
      </c>
    </row>
    <row r="1419">
      <c r="A1419" s="1">
        <v>1417.0</v>
      </c>
      <c r="B1419" s="11">
        <v>44377.0</v>
      </c>
      <c r="C1419" s="1" t="s">
        <v>747</v>
      </c>
      <c r="D1419" s="1" t="s">
        <v>748</v>
      </c>
      <c r="E1419" s="1">
        <v>8.44E7</v>
      </c>
      <c r="F1419" s="1">
        <v>6.37E8</v>
      </c>
      <c r="G1419" s="1">
        <v>4.929E8</v>
      </c>
      <c r="H1419" s="1">
        <v>1.132E8</v>
      </c>
      <c r="I1419" s="1">
        <v>8.314E8</v>
      </c>
      <c r="J1419" s="1">
        <v>6.338E8</v>
      </c>
      <c r="K1419" s="1">
        <v>6.338E8</v>
      </c>
      <c r="L1419" s="1">
        <v>-9400000.0</v>
      </c>
      <c r="M1419" s="1">
        <v>1.441E8</v>
      </c>
      <c r="N1419" s="1">
        <v>5.8439E9</v>
      </c>
      <c r="O1419" s="1">
        <v>5.2101E9</v>
      </c>
      <c r="P1419" s="1">
        <v>5.0125E9</v>
      </c>
      <c r="Q1419" s="1">
        <v>3200000.0</v>
      </c>
      <c r="R1419" s="1">
        <v>4.929E8</v>
      </c>
      <c r="S1419" s="1">
        <v>4.929E8</v>
      </c>
    </row>
    <row r="1420">
      <c r="A1420" s="1">
        <v>1418.0</v>
      </c>
      <c r="B1420" s="11">
        <v>44286.0</v>
      </c>
      <c r="C1420" s="1" t="s">
        <v>747</v>
      </c>
      <c r="D1420" s="1" t="s">
        <v>748</v>
      </c>
      <c r="E1420" s="1">
        <v>8.01E7</v>
      </c>
      <c r="F1420" s="1">
        <v>6.073E8</v>
      </c>
      <c r="G1420" s="1">
        <v>4.701E8</v>
      </c>
      <c r="H1420" s="1">
        <v>1.098E8</v>
      </c>
      <c r="I1420" s="1">
        <v>7.992E8</v>
      </c>
      <c r="J1420" s="1">
        <v>6.093E8</v>
      </c>
      <c r="K1420" s="1">
        <v>6.093E8</v>
      </c>
      <c r="L1420" s="1">
        <v>-1.04E7</v>
      </c>
      <c r="M1420" s="1">
        <v>1.372E8</v>
      </c>
      <c r="N1420" s="1">
        <v>5.8455E9</v>
      </c>
      <c r="O1420" s="1">
        <v>5.2362E9</v>
      </c>
      <c r="P1420" s="1">
        <v>5.0463E9</v>
      </c>
      <c r="Q1420" s="1">
        <v>-2000000.0</v>
      </c>
      <c r="R1420" s="1">
        <v>4.701E8</v>
      </c>
      <c r="S1420" s="1">
        <v>4.701E8</v>
      </c>
    </row>
    <row r="1421">
      <c r="A1421" s="1">
        <v>1419.0</v>
      </c>
      <c r="B1421" s="11">
        <v>44196.0</v>
      </c>
      <c r="C1421" s="1" t="s">
        <v>747</v>
      </c>
      <c r="D1421" s="1" t="s">
        <v>748</v>
      </c>
      <c r="E1421" s="1">
        <v>7.17E7</v>
      </c>
      <c r="F1421" s="1">
        <v>5.218E8</v>
      </c>
      <c r="G1421" s="1">
        <v>4.058E8</v>
      </c>
      <c r="H1421" s="1">
        <v>1.207E8</v>
      </c>
      <c r="I1421" s="1">
        <v>7.128E8</v>
      </c>
      <c r="J1421" s="1">
        <v>5.204E8</v>
      </c>
      <c r="K1421" s="1">
        <v>5.204E8</v>
      </c>
      <c r="L1421" s="1">
        <v>-1.04E7</v>
      </c>
      <c r="M1421" s="1">
        <v>1.16E8</v>
      </c>
      <c r="N1421" s="1">
        <v>5.5686E9</v>
      </c>
      <c r="O1421" s="1">
        <v>5.0482E9</v>
      </c>
      <c r="P1421" s="1">
        <v>4.8558E9</v>
      </c>
      <c r="Q1421" s="1">
        <v>1400000.0</v>
      </c>
      <c r="R1421" s="1">
        <v>4.058E8</v>
      </c>
      <c r="S1421" s="1">
        <v>4.058E8</v>
      </c>
    </row>
    <row r="1422">
      <c r="A1422" s="1">
        <v>1420.0</v>
      </c>
      <c r="B1422" s="11">
        <v>44469.0</v>
      </c>
      <c r="C1422" s="1" t="s">
        <v>749</v>
      </c>
      <c r="D1422" s="1" t="s">
        <v>750</v>
      </c>
      <c r="F1422" s="1">
        <v>3.339E8</v>
      </c>
      <c r="G1422" s="1">
        <v>2.507E8</v>
      </c>
      <c r="H1422" s="1">
        <v>1.395E8</v>
      </c>
      <c r="I1422" s="1">
        <v>5.137E8</v>
      </c>
      <c r="J1422" s="1">
        <v>3.711E8</v>
      </c>
      <c r="K1422" s="1">
        <v>3.711E8</v>
      </c>
      <c r="L1422" s="1">
        <v>-2.39E7</v>
      </c>
      <c r="M1422" s="1">
        <v>8.32E7</v>
      </c>
      <c r="N1422" s="1">
        <v>2.0001E9</v>
      </c>
      <c r="O1422" s="1">
        <v>1.629E9</v>
      </c>
      <c r="P1422" s="1">
        <v>1.4864E9</v>
      </c>
      <c r="Q1422" s="1">
        <v>-3.72E7</v>
      </c>
      <c r="R1422" s="1">
        <v>2.507E8</v>
      </c>
      <c r="S1422" s="1">
        <v>2.49E8</v>
      </c>
    </row>
    <row r="1423">
      <c r="A1423" s="1">
        <v>1421.0</v>
      </c>
      <c r="B1423" s="11">
        <v>44377.0</v>
      </c>
      <c r="C1423" s="1" t="s">
        <v>749</v>
      </c>
      <c r="D1423" s="1" t="s">
        <v>750</v>
      </c>
      <c r="F1423" s="1">
        <v>2.747E8</v>
      </c>
      <c r="G1423" s="1">
        <v>2.073E8</v>
      </c>
      <c r="H1423" s="1">
        <v>1.413E8</v>
      </c>
      <c r="I1423" s="1">
        <v>4.508E8</v>
      </c>
      <c r="J1423" s="1">
        <v>3.075E8</v>
      </c>
      <c r="K1423" s="1">
        <v>3.075E8</v>
      </c>
      <c r="L1423" s="1">
        <v>-2.49E7</v>
      </c>
      <c r="M1423" s="1">
        <v>6.74E7</v>
      </c>
      <c r="N1423" s="1">
        <v>1.8799E9</v>
      </c>
      <c r="O1423" s="1">
        <v>1.5724E9</v>
      </c>
      <c r="P1423" s="1">
        <v>1.4291E9</v>
      </c>
      <c r="Q1423" s="1">
        <v>-3.28E7</v>
      </c>
      <c r="R1423" s="1">
        <v>2.073E8</v>
      </c>
      <c r="S1423" s="1">
        <v>2.055E8</v>
      </c>
    </row>
    <row r="1424">
      <c r="A1424" s="1">
        <v>1422.0</v>
      </c>
      <c r="B1424" s="11">
        <v>44286.0</v>
      </c>
      <c r="C1424" s="1" t="s">
        <v>749</v>
      </c>
      <c r="D1424" s="1" t="s">
        <v>750</v>
      </c>
      <c r="F1424" s="1">
        <v>2.196E8</v>
      </c>
      <c r="G1424" s="1">
        <v>1.665E8</v>
      </c>
      <c r="H1424" s="1">
        <v>1.402E8</v>
      </c>
      <c r="I1424" s="1">
        <v>4.042E8</v>
      </c>
      <c r="J1424" s="1">
        <v>2.609E8</v>
      </c>
      <c r="K1424" s="1">
        <v>2.609E8</v>
      </c>
      <c r="L1424" s="1">
        <v>-2.35E7</v>
      </c>
      <c r="M1424" s="1">
        <v>5.31E7</v>
      </c>
      <c r="N1424" s="1">
        <v>1.8072E9</v>
      </c>
      <c r="O1424" s="1">
        <v>1.5463E9</v>
      </c>
      <c r="P1424" s="1">
        <v>1.403E9</v>
      </c>
      <c r="Q1424" s="1">
        <v>-4.13E7</v>
      </c>
      <c r="R1424" s="1">
        <v>1.665E8</v>
      </c>
      <c r="S1424" s="1">
        <v>1.652E8</v>
      </c>
    </row>
    <row r="1425">
      <c r="A1425" s="1">
        <v>1423.0</v>
      </c>
      <c r="B1425" s="11">
        <v>44196.0</v>
      </c>
      <c r="C1425" s="1" t="s">
        <v>749</v>
      </c>
      <c r="D1425" s="1" t="s">
        <v>750</v>
      </c>
      <c r="F1425" s="1">
        <v>1.654E8</v>
      </c>
      <c r="G1425" s="1">
        <v>1.236E8</v>
      </c>
      <c r="H1425" s="1">
        <v>1.297E8</v>
      </c>
      <c r="I1425" s="1">
        <v>3.343E8</v>
      </c>
      <c r="J1425" s="1">
        <v>2.033E8</v>
      </c>
      <c r="K1425" s="1">
        <v>2.033E8</v>
      </c>
      <c r="L1425" s="1">
        <v>-2.44E7</v>
      </c>
      <c r="M1425" s="1">
        <v>4.18E7</v>
      </c>
      <c r="N1425" s="1">
        <v>1.7142E9</v>
      </c>
      <c r="O1425" s="1">
        <v>1.5109E9</v>
      </c>
      <c r="P1425" s="1">
        <v>1.3799E9</v>
      </c>
      <c r="Q1425" s="1">
        <v>-3.79E7</v>
      </c>
      <c r="R1425" s="1">
        <v>1.236E8</v>
      </c>
      <c r="S1425" s="1">
        <v>1.227E8</v>
      </c>
    </row>
    <row r="1426">
      <c r="A1426" s="1">
        <v>1424.0</v>
      </c>
      <c r="B1426" s="11">
        <v>44469.0</v>
      </c>
      <c r="C1426" s="1" t="s">
        <v>751</v>
      </c>
      <c r="D1426" s="1" t="s">
        <v>752</v>
      </c>
      <c r="F1426" s="1">
        <v>5.71745E8</v>
      </c>
      <c r="G1426" s="1">
        <v>4.51157E8</v>
      </c>
      <c r="H1426" s="1">
        <v>3.90633E8</v>
      </c>
      <c r="I1426" s="1">
        <v>1.050912E9</v>
      </c>
      <c r="J1426" s="1">
        <v>6.60279E8</v>
      </c>
      <c r="K1426" s="1">
        <v>6.60279E8</v>
      </c>
      <c r="L1426" s="1">
        <v>-5.935E7</v>
      </c>
      <c r="M1426" s="1">
        <v>1.20282E8</v>
      </c>
      <c r="N1426" s="1">
        <v>3.762809E9</v>
      </c>
      <c r="O1426" s="1">
        <v>3.10253E9</v>
      </c>
      <c r="P1426" s="1">
        <v>2.711897E9</v>
      </c>
      <c r="Q1426" s="1">
        <v>-8.8534E7</v>
      </c>
      <c r="R1426" s="1">
        <v>4.51463E8</v>
      </c>
      <c r="S1426" s="1">
        <v>4.51157E8</v>
      </c>
    </row>
    <row r="1427">
      <c r="A1427" s="1">
        <v>1425.0</v>
      </c>
      <c r="B1427" s="11">
        <v>44377.0</v>
      </c>
      <c r="C1427" s="1" t="s">
        <v>751</v>
      </c>
      <c r="D1427" s="1" t="s">
        <v>752</v>
      </c>
      <c r="F1427" s="1">
        <v>6.57798E8</v>
      </c>
      <c r="G1427" s="1">
        <v>5.05738E8</v>
      </c>
      <c r="H1427" s="1">
        <v>4.21864E8</v>
      </c>
      <c r="I1427" s="1">
        <v>1.131835E9</v>
      </c>
      <c r="J1427" s="1">
        <v>7.09971E8</v>
      </c>
      <c r="K1427" s="1">
        <v>7.09971E8</v>
      </c>
      <c r="L1427" s="1">
        <v>-6.0258E7</v>
      </c>
      <c r="M1427" s="1">
        <v>1.51884E8</v>
      </c>
      <c r="N1427" s="1">
        <v>3.958869E9</v>
      </c>
      <c r="O1427" s="1">
        <v>3.248898E9</v>
      </c>
      <c r="P1427" s="1">
        <v>2.827034E9</v>
      </c>
      <c r="Q1427" s="1">
        <v>-5.2173E7</v>
      </c>
      <c r="R1427" s="1">
        <v>5.05914E8</v>
      </c>
      <c r="S1427" s="1">
        <v>5.05738E8</v>
      </c>
    </row>
    <row r="1428">
      <c r="A1428" s="1">
        <v>1426.0</v>
      </c>
      <c r="B1428" s="11">
        <v>44286.0</v>
      </c>
      <c r="C1428" s="1" t="s">
        <v>751</v>
      </c>
      <c r="D1428" s="1" t="s">
        <v>752</v>
      </c>
      <c r="F1428" s="1">
        <v>5.97352E8</v>
      </c>
      <c r="G1428" s="1">
        <v>4.71647E8</v>
      </c>
      <c r="H1428" s="1">
        <v>3.92824E8</v>
      </c>
      <c r="I1428" s="1">
        <v>1.034609E9</v>
      </c>
      <c r="J1428" s="1">
        <v>6.41785E8</v>
      </c>
      <c r="K1428" s="1">
        <v>6.41785E8</v>
      </c>
      <c r="L1428" s="1">
        <v>-6.083E7</v>
      </c>
      <c r="M1428" s="1">
        <v>1.25619E8</v>
      </c>
      <c r="N1428" s="1">
        <v>3.746326E9</v>
      </c>
      <c r="O1428" s="1">
        <v>3.104541E9</v>
      </c>
      <c r="P1428" s="1">
        <v>2.711717E9</v>
      </c>
      <c r="Q1428" s="1">
        <v>-4.4433E7</v>
      </c>
      <c r="R1428" s="1">
        <v>4.71733E8</v>
      </c>
      <c r="S1428" s="1">
        <v>4.71647E8</v>
      </c>
    </row>
    <row r="1429">
      <c r="A1429" s="1">
        <v>1427.0</v>
      </c>
      <c r="B1429" s="11">
        <v>44196.0</v>
      </c>
      <c r="C1429" s="1" t="s">
        <v>751</v>
      </c>
      <c r="D1429" s="1" t="s">
        <v>752</v>
      </c>
      <c r="F1429" s="1">
        <v>5.76512E8</v>
      </c>
      <c r="G1429" s="1">
        <v>4.47306E8</v>
      </c>
      <c r="H1429" s="1">
        <v>3.63184E8</v>
      </c>
      <c r="I1429" s="1">
        <v>9.0736E8</v>
      </c>
      <c r="J1429" s="1">
        <v>5.44176E8</v>
      </c>
      <c r="K1429" s="1">
        <v>5.44176E8</v>
      </c>
      <c r="L1429" s="1">
        <v>-6.299E7</v>
      </c>
      <c r="M1429" s="1">
        <v>1.29015E8</v>
      </c>
      <c r="N1429" s="1">
        <v>3.411905E9</v>
      </c>
      <c r="O1429" s="1">
        <v>2.867729E9</v>
      </c>
      <c r="P1429" s="1">
        <v>2.504545E9</v>
      </c>
      <c r="Q1429" s="1">
        <v>3.2336E7</v>
      </c>
      <c r="R1429" s="1">
        <v>4.47497E8</v>
      </c>
      <c r="S1429" s="1">
        <v>4.47306E8</v>
      </c>
    </row>
    <row r="1430">
      <c r="A1430" s="1">
        <v>1428.0</v>
      </c>
      <c r="B1430" s="11">
        <v>44439.0</v>
      </c>
      <c r="C1430" s="1" t="s">
        <v>753</v>
      </c>
      <c r="D1430" s="1" t="s">
        <v>754</v>
      </c>
      <c r="F1430" s="1">
        <v>4.439E8</v>
      </c>
      <c r="G1430" s="1">
        <v>3.336E8</v>
      </c>
      <c r="H1430" s="1">
        <v>3.275E8</v>
      </c>
      <c r="I1430" s="1">
        <v>7.704E8</v>
      </c>
      <c r="J1430" s="1">
        <v>4.429E8</v>
      </c>
      <c r="K1430" s="1">
        <v>4.429E8</v>
      </c>
      <c r="L1430" s="1">
        <v>-9200000.0</v>
      </c>
      <c r="M1430" s="1">
        <v>1.103E8</v>
      </c>
      <c r="N1430" s="1">
        <v>1.0829E9</v>
      </c>
      <c r="O1430" s="1">
        <v>6.4E8</v>
      </c>
      <c r="P1430" s="1">
        <v>3.125E8</v>
      </c>
      <c r="Q1430" s="1">
        <v>1000000.0</v>
      </c>
      <c r="R1430" s="1">
        <v>3.336E8</v>
      </c>
      <c r="S1430" s="1">
        <v>3.336E8</v>
      </c>
    </row>
    <row r="1431">
      <c r="A1431" s="1">
        <v>1429.0</v>
      </c>
      <c r="B1431" s="11">
        <v>44347.0</v>
      </c>
      <c r="C1431" s="1" t="s">
        <v>753</v>
      </c>
      <c r="D1431" s="1" t="s">
        <v>754</v>
      </c>
      <c r="F1431" s="1">
        <v>3.459E8</v>
      </c>
      <c r="G1431" s="1">
        <v>2.63E8</v>
      </c>
      <c r="H1431" s="1">
        <v>3.596E8</v>
      </c>
      <c r="I1431" s="1">
        <v>7.134E8</v>
      </c>
      <c r="J1431" s="1">
        <v>3.538E8</v>
      </c>
      <c r="K1431" s="1">
        <v>3.538E8</v>
      </c>
      <c r="L1431" s="1">
        <v>-8100000.0</v>
      </c>
      <c r="M1431" s="1">
        <v>8.29E7</v>
      </c>
      <c r="N1431" s="1">
        <v>1.0292E9</v>
      </c>
      <c r="O1431" s="1">
        <v>6.754E8</v>
      </c>
      <c r="P1431" s="1">
        <v>3.158E8</v>
      </c>
      <c r="Q1431" s="1">
        <v>-7700000.0</v>
      </c>
      <c r="R1431" s="1">
        <v>2.63E8</v>
      </c>
      <c r="S1431" s="1">
        <v>2.63E8</v>
      </c>
    </row>
    <row r="1432">
      <c r="A1432" s="1">
        <v>1430.0</v>
      </c>
      <c r="B1432" s="11">
        <v>44255.0</v>
      </c>
      <c r="C1432" s="1" t="s">
        <v>753</v>
      </c>
      <c r="D1432" s="1" t="s">
        <v>754</v>
      </c>
      <c r="F1432" s="1">
        <v>4.626E8</v>
      </c>
      <c r="G1432" s="1">
        <v>3.505E8</v>
      </c>
      <c r="H1432" s="1">
        <v>3.147E8</v>
      </c>
      <c r="I1432" s="1">
        <v>7.833E8</v>
      </c>
      <c r="J1432" s="1">
        <v>4.686E8</v>
      </c>
      <c r="K1432" s="1">
        <v>4.686E8</v>
      </c>
      <c r="L1432" s="1">
        <v>-8800000.0</v>
      </c>
      <c r="M1432" s="1">
        <v>1.121E8</v>
      </c>
      <c r="N1432" s="1">
        <v>1.1117E9</v>
      </c>
      <c r="O1432" s="1">
        <v>6.431E8</v>
      </c>
      <c r="P1432" s="1">
        <v>3.284E8</v>
      </c>
      <c r="Q1432" s="1">
        <v>-6000000.0</v>
      </c>
      <c r="R1432" s="1">
        <v>3.505E8</v>
      </c>
      <c r="S1432" s="1">
        <v>3.505E8</v>
      </c>
    </row>
    <row r="1433">
      <c r="A1433" s="1">
        <v>1431.0</v>
      </c>
      <c r="B1433" s="11">
        <v>44165.0</v>
      </c>
      <c r="C1433" s="1" t="s">
        <v>753</v>
      </c>
      <c r="D1433" s="1" t="s">
        <v>754</v>
      </c>
      <c r="F1433" s="1">
        <v>3.496E8</v>
      </c>
      <c r="G1433" s="1">
        <v>2.724E8</v>
      </c>
      <c r="H1433" s="1">
        <v>3.095E8</v>
      </c>
      <c r="I1433" s="1">
        <v>6.638E8</v>
      </c>
      <c r="J1433" s="1">
        <v>3.543E8</v>
      </c>
      <c r="K1433" s="1">
        <v>3.543E8</v>
      </c>
      <c r="L1433" s="1">
        <v>-9000000.0</v>
      </c>
      <c r="M1433" s="1">
        <v>7.72E7</v>
      </c>
      <c r="N1433" s="1">
        <v>9.837E8</v>
      </c>
      <c r="O1433" s="1">
        <v>6.294E8</v>
      </c>
      <c r="P1433" s="1">
        <v>3.199E8</v>
      </c>
      <c r="Q1433" s="1">
        <v>-4700000.0</v>
      </c>
      <c r="R1433" s="1">
        <v>2.724E8</v>
      </c>
      <c r="S1433" s="1">
        <v>2.724E8</v>
      </c>
    </row>
    <row r="1434">
      <c r="A1434" s="1">
        <v>1432.0</v>
      </c>
      <c r="B1434" s="11">
        <v>44469.0</v>
      </c>
      <c r="C1434" s="1" t="s">
        <v>755</v>
      </c>
      <c r="D1434" s="1" t="s">
        <v>756</v>
      </c>
      <c r="E1434" s="1">
        <v>3.1077E7</v>
      </c>
      <c r="F1434" s="1">
        <v>4.3549E7</v>
      </c>
      <c r="G1434" s="1">
        <v>3.0379E7</v>
      </c>
      <c r="H1434" s="1">
        <v>1.29725E8</v>
      </c>
      <c r="I1434" s="1">
        <v>2.21428E8</v>
      </c>
      <c r="J1434" s="1">
        <v>4.3305E7</v>
      </c>
      <c r="K1434" s="1">
        <v>4.3305E7</v>
      </c>
      <c r="L1434" s="1">
        <v>158000.0</v>
      </c>
      <c r="M1434" s="1">
        <v>1.317E7</v>
      </c>
      <c r="N1434" s="1">
        <v>2.56194E8</v>
      </c>
      <c r="O1434" s="1">
        <v>2.12889E8</v>
      </c>
      <c r="P1434" s="1">
        <v>3.4766E7</v>
      </c>
      <c r="Q1434" s="1">
        <v>244000.0</v>
      </c>
      <c r="R1434" s="1">
        <v>3.0379E7</v>
      </c>
      <c r="S1434" s="1">
        <v>3.0379E7</v>
      </c>
    </row>
    <row r="1435">
      <c r="A1435" s="1">
        <v>1433.0</v>
      </c>
      <c r="B1435" s="11">
        <v>44377.0</v>
      </c>
      <c r="C1435" s="1" t="s">
        <v>755</v>
      </c>
      <c r="D1435" s="1" t="s">
        <v>756</v>
      </c>
      <c r="E1435" s="1">
        <v>2.8224E7</v>
      </c>
      <c r="F1435" s="1">
        <v>4.7236E7</v>
      </c>
      <c r="G1435" s="1">
        <v>5.2278E7</v>
      </c>
      <c r="H1435" s="1">
        <v>1.22042E8</v>
      </c>
      <c r="I1435" s="1">
        <v>2.13373E8</v>
      </c>
      <c r="J1435" s="1">
        <v>4.709E7</v>
      </c>
      <c r="K1435" s="1">
        <v>4.709E7</v>
      </c>
      <c r="L1435" s="1">
        <v>49000.0</v>
      </c>
      <c r="M1435" s="1">
        <v>-5042000.0</v>
      </c>
      <c r="N1435" s="1">
        <v>2.42146E8</v>
      </c>
      <c r="O1435" s="1">
        <v>1.95056E8</v>
      </c>
      <c r="P1435" s="1">
        <v>2.8773E7</v>
      </c>
      <c r="Q1435" s="1">
        <v>146000.0</v>
      </c>
      <c r="R1435" s="1">
        <v>5.2278E7</v>
      </c>
      <c r="S1435" s="1">
        <v>5.2278E7</v>
      </c>
    </row>
    <row r="1436">
      <c r="A1436" s="1">
        <v>1434.0</v>
      </c>
      <c r="B1436" s="11">
        <v>44286.0</v>
      </c>
      <c r="C1436" s="1" t="s">
        <v>755</v>
      </c>
      <c r="D1436" s="1" t="s">
        <v>756</v>
      </c>
      <c r="E1436" s="1">
        <v>2.4711E7</v>
      </c>
      <c r="F1436" s="1">
        <v>9.5175E7</v>
      </c>
      <c r="G1436" s="1">
        <v>6.4616E7</v>
      </c>
      <c r="H1436" s="1">
        <v>1.08952E8</v>
      </c>
      <c r="I1436" s="1">
        <v>2.43125E8</v>
      </c>
      <c r="J1436" s="1">
        <v>9.4546E7</v>
      </c>
      <c r="K1436" s="1">
        <v>9.4546E7</v>
      </c>
      <c r="L1436" s="1">
        <v>656000.0</v>
      </c>
      <c r="M1436" s="1">
        <v>3.0559E7</v>
      </c>
      <c r="N1436" s="1">
        <v>2.72198E8</v>
      </c>
      <c r="O1436" s="1">
        <v>1.77652E8</v>
      </c>
      <c r="P1436" s="1">
        <v>2.9073E7</v>
      </c>
      <c r="Q1436" s="1">
        <v>629000.0</v>
      </c>
      <c r="R1436" s="1">
        <v>6.4616E7</v>
      </c>
      <c r="S1436" s="1">
        <v>6.4616E7</v>
      </c>
    </row>
    <row r="1437">
      <c r="A1437" s="1">
        <v>1435.0</v>
      </c>
      <c r="B1437" s="11">
        <v>44196.0</v>
      </c>
      <c r="C1437" s="1" t="s">
        <v>755</v>
      </c>
      <c r="D1437" s="1" t="s">
        <v>756</v>
      </c>
      <c r="E1437" s="1">
        <v>2.5073E7</v>
      </c>
      <c r="F1437" s="1">
        <v>3.6601E7</v>
      </c>
      <c r="G1437" s="1">
        <v>2.4367E7</v>
      </c>
      <c r="H1437" s="1">
        <v>1.19201E8</v>
      </c>
      <c r="I1437" s="1">
        <v>1.9482E8</v>
      </c>
      <c r="J1437" s="1">
        <v>3.6247E7</v>
      </c>
      <c r="K1437" s="1">
        <v>3.6247E7</v>
      </c>
      <c r="L1437" s="1">
        <v>656000.0</v>
      </c>
      <c r="M1437" s="1">
        <v>1.2234E7</v>
      </c>
      <c r="N1437" s="1">
        <v>2.20947E8</v>
      </c>
      <c r="O1437" s="1">
        <v>1.847E8</v>
      </c>
      <c r="P1437" s="1">
        <v>2.6127E7</v>
      </c>
      <c r="Q1437" s="1">
        <v>354000.0</v>
      </c>
      <c r="R1437" s="1">
        <v>2.4367E7</v>
      </c>
      <c r="S1437" s="1">
        <v>2.4367E7</v>
      </c>
    </row>
    <row r="1438">
      <c r="A1438" s="1">
        <v>1436.0</v>
      </c>
      <c r="B1438" s="11">
        <v>44469.0</v>
      </c>
      <c r="C1438" s="1" t="s">
        <v>757</v>
      </c>
      <c r="D1438" s="1" t="s">
        <v>758</v>
      </c>
      <c r="E1438" s="1">
        <v>7.55E8</v>
      </c>
      <c r="F1438" s="1">
        <v>1.165E9</v>
      </c>
      <c r="G1438" s="1">
        <v>1.087E9</v>
      </c>
      <c r="H1438" s="1">
        <v>1.047E9</v>
      </c>
      <c r="I1438" s="1">
        <v>2.846E9</v>
      </c>
      <c r="J1438" s="1">
        <v>1.043E9</v>
      </c>
      <c r="K1438" s="1">
        <v>1.043E9</v>
      </c>
      <c r="M1438" s="1">
        <v>7.8E7</v>
      </c>
      <c r="N1438" s="1">
        <v>6.182E9</v>
      </c>
      <c r="O1438" s="1">
        <v>5.139E9</v>
      </c>
      <c r="P1438" s="1">
        <v>3.336E9</v>
      </c>
      <c r="Q1438" s="1">
        <v>1.22E8</v>
      </c>
      <c r="R1438" s="1">
        <v>1.087E9</v>
      </c>
      <c r="S1438" s="1">
        <v>1.087E9</v>
      </c>
    </row>
    <row r="1439">
      <c r="A1439" s="1">
        <v>1437.0</v>
      </c>
      <c r="B1439" s="11">
        <v>44377.0</v>
      </c>
      <c r="C1439" s="1" t="s">
        <v>757</v>
      </c>
      <c r="D1439" s="1" t="s">
        <v>758</v>
      </c>
      <c r="E1439" s="1">
        <v>7.46E8</v>
      </c>
      <c r="F1439" s="1">
        <v>1.356E9</v>
      </c>
      <c r="G1439" s="1">
        <v>1.184E9</v>
      </c>
      <c r="H1439" s="1">
        <v>1.15E9</v>
      </c>
      <c r="I1439" s="1">
        <v>3.024E9</v>
      </c>
      <c r="J1439" s="1">
        <v>1.128E9</v>
      </c>
      <c r="K1439" s="1">
        <v>1.128E9</v>
      </c>
      <c r="L1439" s="1">
        <v>-5.7E7</v>
      </c>
      <c r="M1439" s="1">
        <v>1.72E8</v>
      </c>
      <c r="N1439" s="1">
        <v>6.238E9</v>
      </c>
      <c r="O1439" s="1">
        <v>5.11E9</v>
      </c>
      <c r="P1439" s="1">
        <v>3.214E9</v>
      </c>
      <c r="Q1439" s="1">
        <v>2.28E8</v>
      </c>
      <c r="R1439" s="1">
        <v>1.184E9</v>
      </c>
      <c r="S1439" s="1">
        <v>1.184E9</v>
      </c>
    </row>
    <row r="1440">
      <c r="A1440" s="1">
        <v>1438.0</v>
      </c>
      <c r="B1440" s="11">
        <v>44286.0</v>
      </c>
      <c r="C1440" s="1" t="s">
        <v>757</v>
      </c>
      <c r="D1440" s="1" t="s">
        <v>758</v>
      </c>
      <c r="E1440" s="1">
        <v>7.41E8</v>
      </c>
      <c r="F1440" s="1">
        <v>8.72E8</v>
      </c>
      <c r="G1440" s="1">
        <v>1.097E9</v>
      </c>
      <c r="H1440" s="1">
        <v>1.126E9</v>
      </c>
      <c r="I1440" s="1">
        <v>2.967E9</v>
      </c>
      <c r="J1440" s="1">
        <v>1.1E9</v>
      </c>
      <c r="K1440" s="1">
        <v>1.1E9</v>
      </c>
      <c r="L1440" s="1">
        <v>-5.8E7</v>
      </c>
      <c r="M1440" s="1">
        <v>-2.25E8</v>
      </c>
      <c r="N1440" s="1">
        <v>6.033E9</v>
      </c>
      <c r="O1440" s="1">
        <v>4.933E9</v>
      </c>
      <c r="P1440" s="1">
        <v>3.066E9</v>
      </c>
      <c r="Q1440" s="1">
        <v>-2.28E8</v>
      </c>
      <c r="R1440" s="1">
        <v>1.097E9</v>
      </c>
      <c r="S1440" s="1">
        <v>1.097E9</v>
      </c>
    </row>
    <row r="1441">
      <c r="A1441" s="1">
        <v>1439.0</v>
      </c>
      <c r="B1441" s="11">
        <v>44196.0</v>
      </c>
      <c r="C1441" s="1" t="s">
        <v>757</v>
      </c>
      <c r="D1441" s="1" t="s">
        <v>758</v>
      </c>
      <c r="E1441" s="1">
        <v>7.32E8</v>
      </c>
      <c r="F1441" s="1">
        <v>1.859E9</v>
      </c>
      <c r="G1441" s="1">
        <v>1.567E9</v>
      </c>
      <c r="H1441" s="1">
        <v>1.174E9</v>
      </c>
      <c r="I1441" s="1">
        <v>2.913E9</v>
      </c>
      <c r="J1441" s="1">
        <v>1.007E9</v>
      </c>
      <c r="K1441" s="1">
        <v>1.007E9</v>
      </c>
      <c r="L1441" s="1">
        <v>-5.9E7</v>
      </c>
      <c r="M1441" s="1">
        <v>2.92E8</v>
      </c>
      <c r="N1441" s="1">
        <v>6.116E9</v>
      </c>
      <c r="O1441" s="1">
        <v>5.109E9</v>
      </c>
      <c r="P1441" s="1">
        <v>3.203E9</v>
      </c>
      <c r="Q1441" s="1">
        <v>8.52E8</v>
      </c>
      <c r="R1441" s="1">
        <v>1.567E9</v>
      </c>
      <c r="S1441" s="1">
        <v>1.567E9</v>
      </c>
    </row>
    <row r="1442">
      <c r="A1442" s="1">
        <v>1440.0</v>
      </c>
      <c r="B1442" s="11">
        <v>44469.0</v>
      </c>
      <c r="C1442" s="1" t="s">
        <v>759</v>
      </c>
      <c r="D1442" s="1" t="s">
        <v>760</v>
      </c>
      <c r="F1442" s="1">
        <v>1.225E8</v>
      </c>
      <c r="G1442" s="1">
        <v>8.61E7</v>
      </c>
      <c r="H1442" s="1">
        <v>3.627E8</v>
      </c>
      <c r="I1442" s="1">
        <v>7.433E8</v>
      </c>
      <c r="J1442" s="1">
        <v>2.529E8</v>
      </c>
      <c r="K1442" s="1">
        <v>2.529E8</v>
      </c>
      <c r="L1442" s="1">
        <v>-1.452E8</v>
      </c>
      <c r="M1442" s="1">
        <v>3.64E7</v>
      </c>
      <c r="N1442" s="1">
        <v>1.5118E9</v>
      </c>
      <c r="O1442" s="1">
        <v>1.2589E9</v>
      </c>
      <c r="P1442" s="1">
        <v>7.685E8</v>
      </c>
      <c r="Q1442" s="1">
        <v>-1.304E8</v>
      </c>
      <c r="R1442" s="1">
        <v>8.61E7</v>
      </c>
      <c r="S1442" s="1">
        <v>8.57E7</v>
      </c>
    </row>
    <row r="1443">
      <c r="A1443" s="1">
        <v>1441.0</v>
      </c>
      <c r="B1443" s="11">
        <v>44377.0</v>
      </c>
      <c r="C1443" s="1" t="s">
        <v>759</v>
      </c>
      <c r="D1443" s="1" t="s">
        <v>760</v>
      </c>
      <c r="F1443" s="1">
        <v>2.518E8</v>
      </c>
      <c r="G1443" s="1">
        <v>1.987E8</v>
      </c>
      <c r="H1443" s="1">
        <v>3.13E8</v>
      </c>
      <c r="I1443" s="1">
        <v>7.763E8</v>
      </c>
      <c r="J1443" s="1">
        <v>3.814E8</v>
      </c>
      <c r="K1443" s="1">
        <v>3.814E8</v>
      </c>
      <c r="L1443" s="1">
        <v>-1.382E8</v>
      </c>
      <c r="M1443" s="1">
        <v>5.31E7</v>
      </c>
      <c r="N1443" s="1">
        <v>1.5458E9</v>
      </c>
      <c r="O1443" s="1">
        <v>1.1644E9</v>
      </c>
      <c r="P1443" s="1">
        <v>7.695E8</v>
      </c>
      <c r="Q1443" s="1">
        <v>-1.296E8</v>
      </c>
      <c r="R1443" s="1">
        <v>1.987E8</v>
      </c>
      <c r="S1443" s="1">
        <v>1.977E8</v>
      </c>
    </row>
    <row r="1444">
      <c r="A1444" s="1">
        <v>1442.0</v>
      </c>
      <c r="B1444" s="11">
        <v>44286.0</v>
      </c>
      <c r="C1444" s="1" t="s">
        <v>759</v>
      </c>
      <c r="D1444" s="1" t="s">
        <v>760</v>
      </c>
      <c r="F1444" s="1">
        <v>1.115E8</v>
      </c>
      <c r="G1444" s="1">
        <v>9.1E7</v>
      </c>
      <c r="H1444" s="1">
        <v>3.261E8</v>
      </c>
      <c r="I1444" s="1">
        <v>6.24E8</v>
      </c>
      <c r="J1444" s="1">
        <v>2.166E8</v>
      </c>
      <c r="K1444" s="1">
        <v>2.166E8</v>
      </c>
      <c r="L1444" s="1">
        <v>-1.359E8</v>
      </c>
      <c r="M1444" s="1">
        <v>2.06E7</v>
      </c>
      <c r="N1444" s="1">
        <v>1.2749E9</v>
      </c>
      <c r="O1444" s="1">
        <v>1.0583E9</v>
      </c>
      <c r="P1444" s="1">
        <v>6.509E8</v>
      </c>
      <c r="Q1444" s="1">
        <v>-1.051E8</v>
      </c>
      <c r="R1444" s="1">
        <v>9.09E7</v>
      </c>
      <c r="S1444" s="1">
        <v>9.05E7</v>
      </c>
    </row>
    <row r="1445">
      <c r="A1445" s="1">
        <v>1443.0</v>
      </c>
      <c r="B1445" s="11">
        <v>44196.0</v>
      </c>
      <c r="C1445" s="1" t="s">
        <v>759</v>
      </c>
      <c r="D1445" s="1" t="s">
        <v>760</v>
      </c>
      <c r="F1445" s="1">
        <v>1.98E7</v>
      </c>
      <c r="G1445" s="1">
        <v>1.11E7</v>
      </c>
      <c r="H1445" s="1">
        <v>3.008E8</v>
      </c>
      <c r="I1445" s="1">
        <v>5.204E8</v>
      </c>
      <c r="J1445" s="1">
        <v>1.282E8</v>
      </c>
      <c r="K1445" s="1">
        <v>1.282E8</v>
      </c>
      <c r="L1445" s="1">
        <v>-1.363E8</v>
      </c>
      <c r="M1445" s="1">
        <v>7100000.0</v>
      </c>
      <c r="N1445" s="1">
        <v>1.0274E9</v>
      </c>
      <c r="O1445" s="1">
        <v>8.992E8</v>
      </c>
      <c r="P1445" s="1">
        <v>5.07E8</v>
      </c>
      <c r="Q1445" s="1">
        <v>-1.084E8</v>
      </c>
      <c r="R1445" s="1">
        <v>1.27E7</v>
      </c>
      <c r="S1445" s="1">
        <v>1.11E7</v>
      </c>
    </row>
    <row r="1446">
      <c r="A1446" s="1">
        <v>1444.0</v>
      </c>
      <c r="B1446" s="11">
        <v>44469.0</v>
      </c>
      <c r="C1446" s="1" t="s">
        <v>761</v>
      </c>
      <c r="D1446" s="1" t="s">
        <v>762</v>
      </c>
      <c r="E1446" s="1">
        <v>2.19E7</v>
      </c>
      <c r="F1446" s="1">
        <v>1.658E8</v>
      </c>
      <c r="G1446" s="1">
        <v>1.436E8</v>
      </c>
      <c r="H1446" s="1">
        <v>1.416E8</v>
      </c>
      <c r="I1446" s="1">
        <v>3.348E8</v>
      </c>
      <c r="J1446" s="1">
        <v>1.713E8</v>
      </c>
      <c r="K1446" s="1">
        <v>1.713E8</v>
      </c>
      <c r="L1446" s="1">
        <v>-2600000.0</v>
      </c>
      <c r="M1446" s="1">
        <v>2.21E7</v>
      </c>
      <c r="N1446" s="1">
        <v>9.692E8</v>
      </c>
      <c r="O1446" s="1">
        <v>7.979E8</v>
      </c>
      <c r="P1446" s="1">
        <v>6.344E8</v>
      </c>
      <c r="Q1446" s="1">
        <v>-5500000.0</v>
      </c>
      <c r="R1446" s="1">
        <v>1.437E8</v>
      </c>
      <c r="S1446" s="1">
        <v>1.436E8</v>
      </c>
    </row>
    <row r="1447">
      <c r="A1447" s="1">
        <v>1445.0</v>
      </c>
      <c r="B1447" s="11">
        <v>44377.0</v>
      </c>
      <c r="C1447" s="1" t="s">
        <v>761</v>
      </c>
      <c r="D1447" s="1" t="s">
        <v>762</v>
      </c>
      <c r="E1447" s="1">
        <v>2.1E7</v>
      </c>
      <c r="F1447" s="1">
        <v>1.577E8</v>
      </c>
      <c r="G1447" s="1">
        <v>1.321E8</v>
      </c>
      <c r="H1447" s="1">
        <v>1.521E8</v>
      </c>
      <c r="I1447" s="1">
        <v>3.41E8</v>
      </c>
      <c r="J1447" s="1">
        <v>1.679E8</v>
      </c>
      <c r="K1447" s="1">
        <v>1.679E8</v>
      </c>
      <c r="L1447" s="1">
        <v>-3800000.0</v>
      </c>
      <c r="M1447" s="1">
        <v>2.51E7</v>
      </c>
      <c r="N1447" s="1">
        <v>9.411E8</v>
      </c>
      <c r="O1447" s="1">
        <v>7.732E8</v>
      </c>
      <c r="P1447" s="1">
        <v>6.001E8</v>
      </c>
      <c r="Q1447" s="1">
        <v>-1.02E7</v>
      </c>
      <c r="R1447" s="1">
        <v>1.326E8</v>
      </c>
      <c r="S1447" s="1">
        <v>1.321E8</v>
      </c>
    </row>
    <row r="1448">
      <c r="A1448" s="1">
        <v>1446.0</v>
      </c>
      <c r="B1448" s="11">
        <v>44286.0</v>
      </c>
      <c r="C1448" s="1" t="s">
        <v>761</v>
      </c>
      <c r="D1448" s="1" t="s">
        <v>762</v>
      </c>
      <c r="E1448" s="1">
        <v>2.15E7</v>
      </c>
      <c r="F1448" s="1">
        <v>1.516E8</v>
      </c>
      <c r="G1448" s="1">
        <v>1.286E8</v>
      </c>
      <c r="H1448" s="1">
        <v>1.355E8</v>
      </c>
      <c r="I1448" s="1">
        <v>3.152E8</v>
      </c>
      <c r="J1448" s="1">
        <v>1.582E8</v>
      </c>
      <c r="K1448" s="1">
        <v>1.582E8</v>
      </c>
      <c r="L1448" s="1">
        <v>-5100000.0</v>
      </c>
      <c r="M1448" s="1">
        <v>2.05E7</v>
      </c>
      <c r="N1448" s="1">
        <v>8.659E8</v>
      </c>
      <c r="O1448" s="1">
        <v>7.077E8</v>
      </c>
      <c r="P1448" s="1">
        <v>5.507E8</v>
      </c>
      <c r="Q1448" s="1">
        <v>-6600000.0</v>
      </c>
      <c r="R1448" s="1">
        <v>1.311E8</v>
      </c>
      <c r="S1448" s="1">
        <v>1.286E8</v>
      </c>
    </row>
    <row r="1449">
      <c r="A1449" s="1">
        <v>1447.0</v>
      </c>
      <c r="B1449" s="11">
        <v>44196.0</v>
      </c>
      <c r="C1449" s="1" t="s">
        <v>761</v>
      </c>
      <c r="D1449" s="1" t="s">
        <v>762</v>
      </c>
      <c r="E1449" s="1">
        <v>2.01E7</v>
      </c>
      <c r="F1449" s="1">
        <v>1.107E8</v>
      </c>
      <c r="G1449" s="1">
        <v>1.03E8</v>
      </c>
      <c r="H1449" s="1">
        <v>1.423E8</v>
      </c>
      <c r="I1449" s="1">
        <v>2.855E8</v>
      </c>
      <c r="J1449" s="1">
        <v>1.231E8</v>
      </c>
      <c r="K1449" s="1">
        <v>1.231E8</v>
      </c>
      <c r="L1449" s="1">
        <v>-3900000.0</v>
      </c>
      <c r="M1449" s="1">
        <v>1.09E7</v>
      </c>
      <c r="N1449" s="1">
        <v>7.96E8</v>
      </c>
      <c r="O1449" s="1">
        <v>6.729E8</v>
      </c>
      <c r="P1449" s="1">
        <v>5.105E8</v>
      </c>
      <c r="Q1449" s="1">
        <v>-1.24E7</v>
      </c>
      <c r="R1449" s="1">
        <v>9.98E7</v>
      </c>
      <c r="S1449" s="1">
        <v>1.03E8</v>
      </c>
    </row>
    <row r="1450">
      <c r="A1450" s="1">
        <v>1448.0</v>
      </c>
      <c r="B1450" s="11">
        <v>44469.0</v>
      </c>
      <c r="C1450" s="1" t="s">
        <v>763</v>
      </c>
      <c r="D1450" s="1" t="s">
        <v>764</v>
      </c>
      <c r="F1450" s="1">
        <v>1.694E8</v>
      </c>
      <c r="G1450" s="1">
        <v>1.397E8</v>
      </c>
      <c r="H1450" s="1">
        <v>2.525E8</v>
      </c>
      <c r="I1450" s="1">
        <v>4.586E8</v>
      </c>
      <c r="J1450" s="1">
        <v>0.0</v>
      </c>
      <c r="K1450" s="1">
        <v>1.849E8</v>
      </c>
      <c r="M1450" s="1">
        <v>2.97E7</v>
      </c>
      <c r="N1450" s="1">
        <v>4.586E8</v>
      </c>
      <c r="O1450" s="1">
        <v>2.737E8</v>
      </c>
      <c r="P1450" s="1">
        <v>0.0</v>
      </c>
      <c r="Q1450" s="1">
        <v>-1.55E7</v>
      </c>
      <c r="R1450" s="1">
        <v>1.397E8</v>
      </c>
      <c r="S1450" s="1">
        <v>1.362E8</v>
      </c>
    </row>
    <row r="1451">
      <c r="A1451" s="1">
        <v>1449.0</v>
      </c>
      <c r="B1451" s="11">
        <v>44377.0</v>
      </c>
      <c r="C1451" s="1" t="s">
        <v>763</v>
      </c>
      <c r="D1451" s="1" t="s">
        <v>764</v>
      </c>
      <c r="F1451" s="1">
        <v>2.157E8</v>
      </c>
      <c r="G1451" s="1">
        <v>1.708E8</v>
      </c>
      <c r="H1451" s="1">
        <v>2.619E8</v>
      </c>
      <c r="I1451" s="1">
        <v>5.187E8</v>
      </c>
      <c r="J1451" s="1">
        <v>0.0</v>
      </c>
      <c r="K1451" s="1">
        <v>2.413E8</v>
      </c>
      <c r="M1451" s="1">
        <v>4.49E7</v>
      </c>
      <c r="N1451" s="1">
        <v>5.187E8</v>
      </c>
      <c r="O1451" s="1">
        <v>2.774E8</v>
      </c>
      <c r="P1451" s="1">
        <v>0.0</v>
      </c>
      <c r="Q1451" s="1">
        <v>-2.56E7</v>
      </c>
      <c r="R1451" s="1">
        <v>1.708E8</v>
      </c>
      <c r="S1451" s="1">
        <v>1.673E8</v>
      </c>
    </row>
    <row r="1452">
      <c r="A1452" s="1">
        <v>1450.0</v>
      </c>
      <c r="B1452" s="11">
        <v>44286.0</v>
      </c>
      <c r="C1452" s="1" t="s">
        <v>763</v>
      </c>
      <c r="D1452" s="1" t="s">
        <v>764</v>
      </c>
      <c r="F1452" s="1">
        <v>1.822E8</v>
      </c>
      <c r="G1452" s="1">
        <v>1.445E8</v>
      </c>
      <c r="H1452" s="1">
        <v>2.57E8</v>
      </c>
      <c r="I1452" s="1">
        <v>4.959E8</v>
      </c>
      <c r="J1452" s="1">
        <v>0.0</v>
      </c>
      <c r="K1452" s="1">
        <v>2.216E8</v>
      </c>
      <c r="M1452" s="1">
        <v>3.77E7</v>
      </c>
      <c r="N1452" s="1">
        <v>4.959E8</v>
      </c>
      <c r="O1452" s="1">
        <v>2.743E8</v>
      </c>
      <c r="P1452" s="1">
        <v>0.0</v>
      </c>
      <c r="Q1452" s="1">
        <v>-3.94E7</v>
      </c>
      <c r="R1452" s="1">
        <v>1.445E8</v>
      </c>
      <c r="S1452" s="1">
        <v>1.41E8</v>
      </c>
    </row>
    <row r="1453">
      <c r="A1453" s="1">
        <v>1451.0</v>
      </c>
      <c r="B1453" s="11">
        <v>44196.0</v>
      </c>
      <c r="C1453" s="1" t="s">
        <v>763</v>
      </c>
      <c r="D1453" s="1" t="s">
        <v>764</v>
      </c>
      <c r="F1453" s="1">
        <v>-1.001E8</v>
      </c>
      <c r="G1453" s="1">
        <v>-1.453E8</v>
      </c>
      <c r="H1453" s="1">
        <v>2.329E8</v>
      </c>
      <c r="I1453" s="1">
        <v>5.454E8</v>
      </c>
      <c r="J1453" s="1">
        <v>0.0</v>
      </c>
      <c r="K1453" s="1">
        <v>3.118E8</v>
      </c>
      <c r="M1453" s="1">
        <v>4.52E7</v>
      </c>
      <c r="N1453" s="1">
        <v>5.454E8</v>
      </c>
      <c r="O1453" s="1">
        <v>2.336E8</v>
      </c>
      <c r="P1453" s="1">
        <v>0.0</v>
      </c>
      <c r="Q1453" s="1">
        <v>-4.119E8</v>
      </c>
      <c r="R1453" s="1">
        <v>-1.453E8</v>
      </c>
      <c r="S1453" s="1">
        <v>-1.489E8</v>
      </c>
    </row>
    <row r="1454">
      <c r="A1454" s="1">
        <v>1452.0</v>
      </c>
      <c r="B1454" s="11">
        <v>44443.0</v>
      </c>
      <c r="C1454" s="1" t="s">
        <v>765</v>
      </c>
      <c r="D1454" s="1" t="s">
        <v>766</v>
      </c>
      <c r="F1454" s="1">
        <v>3.045E9</v>
      </c>
      <c r="G1454" s="1">
        <v>2.224E9</v>
      </c>
      <c r="H1454" s="1">
        <v>7.464E9</v>
      </c>
      <c r="I1454" s="1">
        <v>1.0804E10</v>
      </c>
      <c r="J1454" s="1">
        <v>3.34E9</v>
      </c>
      <c r="K1454" s="1">
        <v>3.34E9</v>
      </c>
      <c r="L1454" s="1">
        <v>-2.32E8</v>
      </c>
      <c r="M1454" s="1">
        <v>8.02E8</v>
      </c>
      <c r="N1454" s="1">
        <v>2.0189E10</v>
      </c>
      <c r="O1454" s="1">
        <v>1.6849E10</v>
      </c>
      <c r="P1454" s="1">
        <v>9.385E9</v>
      </c>
      <c r="Q1454" s="1">
        <v>-2.95E8</v>
      </c>
      <c r="R1454" s="1">
        <v>2.243E9</v>
      </c>
      <c r="S1454" s="1">
        <v>2.224E9</v>
      </c>
    </row>
    <row r="1455">
      <c r="A1455" s="1">
        <v>1453.0</v>
      </c>
      <c r="B1455" s="11">
        <v>44359.0</v>
      </c>
      <c r="C1455" s="1" t="s">
        <v>765</v>
      </c>
      <c r="D1455" s="1" t="s">
        <v>766</v>
      </c>
      <c r="F1455" s="1">
        <v>3.014E9</v>
      </c>
      <c r="G1455" s="1">
        <v>2.358E9</v>
      </c>
      <c r="H1455" s="1">
        <v>7.049E9</v>
      </c>
      <c r="I1455" s="1">
        <v>1.034E10</v>
      </c>
      <c r="J1455" s="1">
        <v>3.292E9</v>
      </c>
      <c r="K1455" s="1">
        <v>3.292E9</v>
      </c>
      <c r="L1455" s="1">
        <v>-1.94E8</v>
      </c>
      <c r="M1455" s="1">
        <v>6.42E8</v>
      </c>
      <c r="N1455" s="1">
        <v>1.9217E10</v>
      </c>
      <c r="O1455" s="1">
        <v>1.5925E10</v>
      </c>
      <c r="P1455" s="1">
        <v>8.877E9</v>
      </c>
      <c r="Q1455" s="1">
        <v>-2.78E8</v>
      </c>
      <c r="R1455" s="1">
        <v>2.372E9</v>
      </c>
      <c r="S1455" s="1">
        <v>2.358E9</v>
      </c>
    </row>
    <row r="1456">
      <c r="A1456" s="1">
        <v>1454.0</v>
      </c>
      <c r="B1456" s="11">
        <v>44275.0</v>
      </c>
      <c r="C1456" s="1" t="s">
        <v>765</v>
      </c>
      <c r="D1456" s="1" t="s">
        <v>766</v>
      </c>
      <c r="F1456" s="1">
        <v>2.174E9</v>
      </c>
      <c r="G1456" s="1">
        <v>1.714E9</v>
      </c>
      <c r="H1456" s="1">
        <v>5.852E9</v>
      </c>
      <c r="I1456" s="1">
        <v>8.151E9</v>
      </c>
      <c r="J1456" s="1">
        <v>2.3E9</v>
      </c>
      <c r="K1456" s="1">
        <v>2.3E9</v>
      </c>
      <c r="L1456" s="1">
        <v>-2.58E8</v>
      </c>
      <c r="M1456" s="1">
        <v>4.51E8</v>
      </c>
      <c r="N1456" s="1">
        <v>1.482E10</v>
      </c>
      <c r="O1456" s="1">
        <v>1.252E10</v>
      </c>
      <c r="P1456" s="1">
        <v>6.669E9</v>
      </c>
      <c r="Q1456" s="1">
        <v>-1.26E8</v>
      </c>
      <c r="R1456" s="1">
        <v>1.723E9</v>
      </c>
      <c r="S1456" s="1">
        <v>1.714E9</v>
      </c>
    </row>
    <row r="1457">
      <c r="A1457" s="1">
        <v>1455.0</v>
      </c>
      <c r="B1457" s="11">
        <v>44191.0</v>
      </c>
      <c r="C1457" s="1" t="s">
        <v>765</v>
      </c>
      <c r="D1457" s="1" t="s">
        <v>766</v>
      </c>
      <c r="E1457" s="1">
        <v>7.19E8</v>
      </c>
      <c r="F1457" s="1">
        <v>2.357E9</v>
      </c>
      <c r="G1457" s="1">
        <v>1.845E9</v>
      </c>
      <c r="H1457" s="1">
        <v>8.492E9</v>
      </c>
      <c r="I1457" s="1">
        <v>1.2057E10</v>
      </c>
      <c r="J1457" s="1">
        <v>2.856E9</v>
      </c>
      <c r="K1457" s="1">
        <v>2.856E9</v>
      </c>
      <c r="L1457" s="1">
        <v>-3.39E8</v>
      </c>
      <c r="M1457" s="1">
        <v>4.98E8</v>
      </c>
      <c r="N1457" s="1">
        <v>2.2455E10</v>
      </c>
      <c r="O1457" s="1">
        <v>1.9599E10</v>
      </c>
      <c r="P1457" s="1">
        <v>1.0398E10</v>
      </c>
      <c r="Q1457" s="1">
        <v>-4.99E8</v>
      </c>
      <c r="R1457" s="1">
        <v>1.859E9</v>
      </c>
      <c r="S1457" s="1">
        <v>1.845E9</v>
      </c>
    </row>
    <row r="1458">
      <c r="A1458" s="1">
        <v>1456.0</v>
      </c>
      <c r="B1458" s="11">
        <v>44472.0</v>
      </c>
      <c r="C1458" s="1" t="s">
        <v>767</v>
      </c>
      <c r="D1458" s="1" t="s">
        <v>768</v>
      </c>
      <c r="E1458" s="1">
        <v>6.8608E7</v>
      </c>
      <c r="F1458" s="1">
        <v>1.61668E8</v>
      </c>
      <c r="G1458" s="1">
        <v>1.27738E8</v>
      </c>
      <c r="H1458" s="1">
        <v>2.86097E8</v>
      </c>
      <c r="I1458" s="1">
        <v>6.41261E8</v>
      </c>
      <c r="J1458" s="1">
        <v>2.86556E8</v>
      </c>
      <c r="K1458" s="1">
        <v>2.86556E8</v>
      </c>
      <c r="L1458" s="1">
        <v>-4.3531E7</v>
      </c>
      <c r="M1458" s="1">
        <v>3.3883E7</v>
      </c>
      <c r="N1458" s="1">
        <v>1.166684E9</v>
      </c>
      <c r="O1458" s="1">
        <v>8.80128E8</v>
      </c>
      <c r="P1458" s="1">
        <v>5.25423E8</v>
      </c>
      <c r="Q1458" s="1">
        <v>-1.24888E8</v>
      </c>
      <c r="R1458" s="1">
        <v>1.27785E8</v>
      </c>
      <c r="S1458" s="1">
        <v>1.27738E8</v>
      </c>
    </row>
    <row r="1459">
      <c r="A1459" s="1">
        <v>1457.0</v>
      </c>
      <c r="B1459" s="11">
        <v>44381.0</v>
      </c>
      <c r="C1459" s="1" t="s">
        <v>767</v>
      </c>
      <c r="D1459" s="1" t="s">
        <v>768</v>
      </c>
      <c r="E1459" s="1">
        <v>6.5824E7</v>
      </c>
      <c r="F1459" s="1">
        <v>3.26057E8</v>
      </c>
      <c r="G1459" s="1">
        <v>2.4593E8</v>
      </c>
      <c r="H1459" s="1">
        <v>2.67182E8</v>
      </c>
      <c r="I1459" s="1">
        <v>6.87494E8</v>
      </c>
      <c r="J1459" s="1">
        <v>3.54488E8</v>
      </c>
      <c r="K1459" s="1">
        <v>3.54488E8</v>
      </c>
      <c r="L1459" s="1">
        <v>-1.675E7</v>
      </c>
      <c r="M1459" s="1">
        <v>8.0089E7</v>
      </c>
      <c r="N1459" s="1">
        <v>1.228471E9</v>
      </c>
      <c r="O1459" s="1">
        <v>8.73983E8</v>
      </c>
      <c r="P1459" s="1">
        <v>5.40977E8</v>
      </c>
      <c r="Q1459" s="1">
        <v>-2.8431E7</v>
      </c>
      <c r="R1459" s="1">
        <v>2.45968E8</v>
      </c>
      <c r="S1459" s="1">
        <v>2.4593E8</v>
      </c>
    </row>
    <row r="1460">
      <c r="A1460" s="1">
        <v>1458.0</v>
      </c>
      <c r="B1460" s="11">
        <v>44290.0</v>
      </c>
      <c r="C1460" s="1" t="s">
        <v>767</v>
      </c>
      <c r="D1460" s="1" t="s">
        <v>768</v>
      </c>
      <c r="E1460" s="1">
        <v>6.0216E7</v>
      </c>
      <c r="F1460" s="1">
        <v>4.80482E8</v>
      </c>
      <c r="G1460" s="1">
        <v>3.79305E8</v>
      </c>
      <c r="H1460" s="1">
        <v>2.3777E8</v>
      </c>
      <c r="I1460" s="1">
        <v>7.88127E8</v>
      </c>
      <c r="J1460" s="1">
        <v>4.90141E8</v>
      </c>
      <c r="K1460" s="1">
        <v>4.90141E8</v>
      </c>
      <c r="L1460" s="1">
        <v>-1.4126E7</v>
      </c>
      <c r="M1460" s="1">
        <v>1.01139E8</v>
      </c>
      <c r="N1460" s="1">
        <v>1.307689E9</v>
      </c>
      <c r="O1460" s="1">
        <v>8.17548E8</v>
      </c>
      <c r="P1460" s="1">
        <v>5.19562E8</v>
      </c>
      <c r="Q1460" s="1">
        <v>-9659000.0</v>
      </c>
      <c r="R1460" s="1">
        <v>3.79343E8</v>
      </c>
      <c r="S1460" s="1">
        <v>3.79305E8</v>
      </c>
    </row>
    <row r="1461">
      <c r="A1461" s="1">
        <v>1459.0</v>
      </c>
      <c r="B1461" s="11">
        <v>44199.0</v>
      </c>
      <c r="C1461" s="1" t="s">
        <v>767</v>
      </c>
      <c r="D1461" s="1" t="s">
        <v>768</v>
      </c>
      <c r="E1461" s="1">
        <v>5.6823E7</v>
      </c>
      <c r="F1461" s="1">
        <v>4.73091E8</v>
      </c>
      <c r="G1461" s="1">
        <v>3.80361E8</v>
      </c>
      <c r="H1461" s="1">
        <v>2.8197E8</v>
      </c>
      <c r="I1461" s="1">
        <v>8.36038E8</v>
      </c>
      <c r="J1461" s="1">
        <v>4.97245E8</v>
      </c>
      <c r="K1461" s="1">
        <v>4.97245E8</v>
      </c>
      <c r="L1461" s="1">
        <v>-1.1904E7</v>
      </c>
      <c r="M1461" s="1">
        <v>9.2657E7</v>
      </c>
      <c r="N1461" s="1">
        <v>1.354606E9</v>
      </c>
      <c r="O1461" s="1">
        <v>8.57361E8</v>
      </c>
      <c r="P1461" s="1">
        <v>5.18568E8</v>
      </c>
      <c r="Q1461" s="1">
        <v>-2.4154E7</v>
      </c>
      <c r="R1461" s="1">
        <v>3.80434E8</v>
      </c>
      <c r="S1461" s="1">
        <v>3.80361E8</v>
      </c>
    </row>
    <row r="1462">
      <c r="A1462" s="1">
        <v>1460.0</v>
      </c>
      <c r="B1462" s="11">
        <v>44472.0</v>
      </c>
      <c r="C1462" s="1" t="s">
        <v>769</v>
      </c>
      <c r="D1462" s="1" t="s">
        <v>770</v>
      </c>
      <c r="E1462" s="1">
        <v>2.739E9</v>
      </c>
      <c r="F1462" s="1">
        <v>7.836E9</v>
      </c>
      <c r="G1462" s="1">
        <v>8.146E9</v>
      </c>
      <c r="H1462" s="1">
        <v>1.6E9</v>
      </c>
      <c r="I1462" s="1">
        <v>1.4163E10</v>
      </c>
      <c r="J1462" s="1">
        <v>8.843E9</v>
      </c>
      <c r="K1462" s="1">
        <v>8.843E9</v>
      </c>
      <c r="L1462" s="1">
        <v>-3.25E8</v>
      </c>
      <c r="M1462" s="1">
        <v>-3.31E8</v>
      </c>
      <c r="N1462" s="1">
        <v>2.4094E10</v>
      </c>
      <c r="O1462" s="1">
        <v>1.5251E10</v>
      </c>
      <c r="P1462" s="1">
        <v>9.931E9</v>
      </c>
      <c r="Q1462" s="1">
        <v>-1.007E9</v>
      </c>
      <c r="R1462" s="1">
        <v>8.167E9</v>
      </c>
      <c r="S1462" s="1">
        <v>8.146E9</v>
      </c>
    </row>
    <row r="1463">
      <c r="A1463" s="1">
        <v>1461.0</v>
      </c>
      <c r="B1463" s="11">
        <v>44381.0</v>
      </c>
      <c r="C1463" s="1" t="s">
        <v>769</v>
      </c>
      <c r="D1463" s="1" t="s">
        <v>770</v>
      </c>
      <c r="E1463" s="1">
        <v>2.271E9</v>
      </c>
      <c r="F1463" s="1">
        <v>6.608E9</v>
      </c>
      <c r="G1463" s="1">
        <v>5.563E9</v>
      </c>
      <c r="H1463" s="1">
        <v>2.552E9</v>
      </c>
      <c r="I1463" s="1">
        <v>1.1985E10</v>
      </c>
      <c r="J1463" s="1">
        <v>6.231E9</v>
      </c>
      <c r="K1463" s="1">
        <v>6.231E9</v>
      </c>
      <c r="L1463" s="1">
        <v>-3.16E8</v>
      </c>
      <c r="M1463" s="1">
        <v>1.043E9</v>
      </c>
      <c r="N1463" s="1">
        <v>1.8977E10</v>
      </c>
      <c r="O1463" s="1">
        <v>1.2746E10</v>
      </c>
      <c r="P1463" s="1">
        <v>6.992E9</v>
      </c>
      <c r="Q1463" s="1">
        <v>3.77E8</v>
      </c>
      <c r="R1463" s="1">
        <v>5.565E9</v>
      </c>
      <c r="S1463" s="1">
        <v>5.563E9</v>
      </c>
    </row>
    <row r="1464">
      <c r="A1464" s="1">
        <v>1462.0</v>
      </c>
      <c r="B1464" s="11">
        <v>44290.0</v>
      </c>
      <c r="C1464" s="1" t="s">
        <v>769</v>
      </c>
      <c r="D1464" s="1" t="s">
        <v>770</v>
      </c>
      <c r="E1464" s="1">
        <v>2.011E9</v>
      </c>
      <c r="F1464" s="1">
        <v>5.682E9</v>
      </c>
      <c r="G1464" s="1">
        <v>4.877E9</v>
      </c>
      <c r="H1464" s="1">
        <v>2.385E9</v>
      </c>
      <c r="I1464" s="1">
        <v>1.041E10</v>
      </c>
      <c r="J1464" s="1">
        <v>5.142E9</v>
      </c>
      <c r="K1464" s="1">
        <v>5.142E9</v>
      </c>
      <c r="L1464" s="1">
        <v>-3.36E8</v>
      </c>
      <c r="M1464" s="1">
        <v>8.05E8</v>
      </c>
      <c r="N1464" s="1">
        <v>1.4582E10</v>
      </c>
      <c r="O1464" s="1">
        <v>9.44E9</v>
      </c>
      <c r="P1464" s="1">
        <v>4.172E9</v>
      </c>
      <c r="Q1464" s="1">
        <v>5.4E8</v>
      </c>
      <c r="R1464" s="1">
        <v>4.877E9</v>
      </c>
      <c r="S1464" s="1">
        <v>4.877E9</v>
      </c>
    </row>
    <row r="1465">
      <c r="A1465" s="1">
        <v>1463.0</v>
      </c>
      <c r="B1465" s="11">
        <v>44196.0</v>
      </c>
      <c r="C1465" s="1" t="s">
        <v>769</v>
      </c>
      <c r="D1465" s="1" t="s">
        <v>770</v>
      </c>
      <c r="E1465" s="1">
        <v>2.828E9</v>
      </c>
      <c r="F1465" s="1">
        <v>1.78E8</v>
      </c>
      <c r="G1465" s="1">
        <v>5.94E8</v>
      </c>
      <c r="H1465" s="1">
        <v>3.481E9</v>
      </c>
      <c r="I1465" s="1">
        <v>8.797E9</v>
      </c>
      <c r="J1465" s="1">
        <v>1.632E9</v>
      </c>
      <c r="K1465" s="1">
        <v>1.632E9</v>
      </c>
      <c r="L1465" s="1">
        <v>-3.47E8</v>
      </c>
      <c r="M1465" s="1">
        <v>-1.7E8</v>
      </c>
      <c r="N1465" s="1">
        <v>1.1684E10</v>
      </c>
      <c r="O1465" s="1">
        <v>1.0052E10</v>
      </c>
      <c r="P1465" s="1">
        <v>2.887E9</v>
      </c>
      <c r="Q1465" s="1">
        <v>-1.454E9</v>
      </c>
      <c r="R1465" s="1">
        <v>3.48E8</v>
      </c>
      <c r="S1465" s="1">
        <v>5.94E8</v>
      </c>
    </row>
    <row r="1466">
      <c r="A1466" s="1">
        <v>1464.0</v>
      </c>
      <c r="B1466" s="11">
        <v>44469.0</v>
      </c>
      <c r="C1466" s="1" t="s">
        <v>771</v>
      </c>
      <c r="D1466" s="1" t="s">
        <v>772</v>
      </c>
      <c r="F1466" s="1">
        <v>3.323E9</v>
      </c>
      <c r="G1466" s="1">
        <v>2.426E9</v>
      </c>
      <c r="H1466" s="1">
        <v>2.037E9</v>
      </c>
      <c r="I1466" s="1">
        <v>5.526E9</v>
      </c>
      <c r="J1466" s="1">
        <v>3.471E9</v>
      </c>
      <c r="K1466" s="1">
        <v>3.471E9</v>
      </c>
      <c r="L1466" s="1">
        <v>-2.01E8</v>
      </c>
      <c r="M1466" s="1">
        <v>7.35E8</v>
      </c>
      <c r="N1466" s="1">
        <v>8.122E9</v>
      </c>
      <c r="O1466" s="1">
        <v>4.651E9</v>
      </c>
      <c r="P1466" s="1">
        <v>2.596E9</v>
      </c>
      <c r="Q1466" s="1">
        <v>-1.48E8</v>
      </c>
      <c r="R1466" s="1">
        <v>2.588E9</v>
      </c>
      <c r="S1466" s="1">
        <v>2.419E9</v>
      </c>
    </row>
    <row r="1467">
      <c r="A1467" s="1">
        <v>1465.0</v>
      </c>
      <c r="B1467" s="11">
        <v>44377.0</v>
      </c>
      <c r="C1467" s="1" t="s">
        <v>771</v>
      </c>
      <c r="D1467" s="1" t="s">
        <v>772</v>
      </c>
      <c r="F1467" s="1">
        <v>2.944E9</v>
      </c>
      <c r="G1467" s="1">
        <v>2.172E9</v>
      </c>
      <c r="H1467" s="1">
        <v>2.041E9</v>
      </c>
      <c r="I1467" s="1">
        <v>5.241E9</v>
      </c>
      <c r="J1467" s="1">
        <v>3.181E9</v>
      </c>
      <c r="K1467" s="1">
        <v>3.181E9</v>
      </c>
      <c r="L1467" s="1">
        <v>-2.11E8</v>
      </c>
      <c r="M1467" s="1">
        <v>6.46E8</v>
      </c>
      <c r="N1467" s="1">
        <v>7.594E9</v>
      </c>
      <c r="O1467" s="1">
        <v>4.413E9</v>
      </c>
      <c r="P1467" s="1">
        <v>2.353E9</v>
      </c>
      <c r="Q1467" s="1">
        <v>-2.37E8</v>
      </c>
      <c r="R1467" s="1">
        <v>2.298E9</v>
      </c>
      <c r="S1467" s="1">
        <v>2.166E9</v>
      </c>
    </row>
    <row r="1468">
      <c r="A1468" s="1">
        <v>1466.0</v>
      </c>
      <c r="B1468" s="11">
        <v>44286.0</v>
      </c>
      <c r="C1468" s="1" t="s">
        <v>771</v>
      </c>
      <c r="D1468" s="1" t="s">
        <v>772</v>
      </c>
      <c r="F1468" s="1">
        <v>3.292E9</v>
      </c>
      <c r="G1468" s="1">
        <v>2.418E9</v>
      </c>
      <c r="H1468" s="1">
        <v>1.829E9</v>
      </c>
      <c r="I1468" s="1">
        <v>5.311E9</v>
      </c>
      <c r="J1468" s="1">
        <v>3.464E9</v>
      </c>
      <c r="K1468" s="1">
        <v>3.464E9</v>
      </c>
      <c r="L1468" s="1">
        <v>-2.09E8</v>
      </c>
      <c r="M1468" s="1">
        <v>6.97E8</v>
      </c>
      <c r="N1468" s="1">
        <v>7.585E9</v>
      </c>
      <c r="O1468" s="1">
        <v>4.121E9</v>
      </c>
      <c r="P1468" s="1">
        <v>2.274E9</v>
      </c>
      <c r="Q1468" s="1">
        <v>-1.72E8</v>
      </c>
      <c r="R1468" s="1">
        <v>2.595E9</v>
      </c>
      <c r="S1468" s="1">
        <v>2.411E9</v>
      </c>
    </row>
    <row r="1469">
      <c r="A1469" s="1">
        <v>1467.0</v>
      </c>
      <c r="B1469" s="11">
        <v>44196.0</v>
      </c>
      <c r="C1469" s="1" t="s">
        <v>771</v>
      </c>
      <c r="D1469" s="1" t="s">
        <v>772</v>
      </c>
      <c r="F1469" s="1">
        <v>2.732E9</v>
      </c>
      <c r="G1469" s="1">
        <v>1.976E9</v>
      </c>
      <c r="H1469" s="1">
        <v>1.9E9</v>
      </c>
      <c r="I1469" s="1">
        <v>4.872E9</v>
      </c>
      <c r="J1469" s="1">
        <v>2.954E9</v>
      </c>
      <c r="K1469" s="1">
        <v>2.954E9</v>
      </c>
      <c r="L1469" s="1">
        <v>-7.3E7</v>
      </c>
      <c r="M1469" s="1">
        <v>6.13E8</v>
      </c>
      <c r="N1469" s="1">
        <v>7.444E9</v>
      </c>
      <c r="O1469" s="1">
        <v>4.49E9</v>
      </c>
      <c r="P1469" s="1">
        <v>2.572E9</v>
      </c>
      <c r="Q1469" s="1">
        <v>-2.22E8</v>
      </c>
      <c r="R1469" s="1">
        <v>2.119E9</v>
      </c>
      <c r="S1469" s="1">
        <v>1.971E9</v>
      </c>
    </row>
    <row r="1470">
      <c r="A1470" s="1">
        <v>1468.0</v>
      </c>
      <c r="B1470" s="11">
        <v>44469.0</v>
      </c>
      <c r="C1470" s="1" t="s">
        <v>773</v>
      </c>
      <c r="D1470" s="1" t="s">
        <v>774</v>
      </c>
      <c r="F1470" s="1">
        <v>4.48E8</v>
      </c>
      <c r="G1470" s="1">
        <v>4.02E8</v>
      </c>
      <c r="H1470" s="1">
        <v>1.59E9</v>
      </c>
      <c r="I1470" s="1">
        <v>2.717E9</v>
      </c>
      <c r="J1470" s="1">
        <v>6.86E8</v>
      </c>
      <c r="K1470" s="1">
        <v>6.86E8</v>
      </c>
      <c r="L1470" s="1">
        <v>-1.51E8</v>
      </c>
      <c r="M1470" s="1">
        <v>-4.0E7</v>
      </c>
      <c r="N1470" s="1">
        <v>3.0246E10</v>
      </c>
      <c r="O1470" s="1">
        <v>2.956E10</v>
      </c>
      <c r="P1470" s="1">
        <v>2.7529E10</v>
      </c>
      <c r="Q1470" s="1">
        <v>-2.38E8</v>
      </c>
      <c r="R1470" s="1">
        <v>4.88E8</v>
      </c>
      <c r="S1470" s="1">
        <v>4.0E8</v>
      </c>
    </row>
    <row r="1471">
      <c r="A1471" s="1">
        <v>1469.0</v>
      </c>
      <c r="B1471" s="11">
        <v>44377.0</v>
      </c>
      <c r="C1471" s="1" t="s">
        <v>773</v>
      </c>
      <c r="D1471" s="1" t="s">
        <v>774</v>
      </c>
      <c r="F1471" s="1">
        <v>4.36E8</v>
      </c>
      <c r="G1471" s="1">
        <v>2.96E8</v>
      </c>
      <c r="H1471" s="1">
        <v>1.608E9</v>
      </c>
      <c r="I1471" s="1">
        <v>1.817E9</v>
      </c>
      <c r="J1471" s="1">
        <v>-2.62E8</v>
      </c>
      <c r="K1471" s="1">
        <v>-2.62E8</v>
      </c>
      <c r="L1471" s="1">
        <v>-1.43E8</v>
      </c>
      <c r="M1471" s="1">
        <v>6.2E7</v>
      </c>
      <c r="N1471" s="1">
        <v>2.7035E10</v>
      </c>
      <c r="O1471" s="1">
        <v>2.7297E10</v>
      </c>
      <c r="P1471" s="1">
        <v>2.5218E10</v>
      </c>
      <c r="Q1471" s="1">
        <v>6.98E8</v>
      </c>
      <c r="R1471" s="1">
        <v>3.74E8</v>
      </c>
      <c r="S1471" s="1">
        <v>2.91E8</v>
      </c>
    </row>
    <row r="1472">
      <c r="A1472" s="1">
        <v>1470.0</v>
      </c>
      <c r="B1472" s="11">
        <v>44286.0</v>
      </c>
      <c r="C1472" s="1" t="s">
        <v>773</v>
      </c>
      <c r="D1472" s="1" t="s">
        <v>774</v>
      </c>
      <c r="F1472" s="1">
        <v>-7.71E8</v>
      </c>
      <c r="G1472" s="1">
        <v>-6.54E8</v>
      </c>
      <c r="H1472" s="1">
        <v>1.788E9</v>
      </c>
      <c r="I1472" s="1">
        <v>1.577E9</v>
      </c>
      <c r="J1472" s="1">
        <v>-7.12E8</v>
      </c>
      <c r="K1472" s="1">
        <v>-7.12E8</v>
      </c>
      <c r="L1472" s="1">
        <v>-1.46E8</v>
      </c>
      <c r="M1472" s="1">
        <v>-1.32E8</v>
      </c>
      <c r="N1472" s="1">
        <v>2.1642E10</v>
      </c>
      <c r="O1472" s="1">
        <v>2.2354E10</v>
      </c>
      <c r="P1472" s="1">
        <v>2.0065E10</v>
      </c>
      <c r="Q1472" s="1">
        <v>-5.9E7</v>
      </c>
      <c r="R1472" s="1">
        <v>-6.39E8</v>
      </c>
      <c r="S1472" s="1">
        <v>-6.56E8</v>
      </c>
    </row>
    <row r="1473">
      <c r="A1473" s="1">
        <v>1471.0</v>
      </c>
      <c r="B1473" s="11">
        <v>44196.0</v>
      </c>
      <c r="C1473" s="1" t="s">
        <v>773</v>
      </c>
      <c r="D1473" s="1" t="s">
        <v>774</v>
      </c>
      <c r="F1473" s="1">
        <v>-6.91E8</v>
      </c>
      <c r="G1473" s="1">
        <v>-5.39E8</v>
      </c>
      <c r="H1473" s="1">
        <v>1.612E9</v>
      </c>
      <c r="I1473" s="1">
        <v>1.262E9</v>
      </c>
      <c r="J1473" s="1">
        <v>-7.99E8</v>
      </c>
      <c r="K1473" s="1">
        <v>-7.99E8</v>
      </c>
      <c r="L1473" s="1">
        <v>-1.39E8</v>
      </c>
      <c r="M1473" s="1">
        <v>-1.97E8</v>
      </c>
      <c r="N1473" s="1">
        <v>1.6412E10</v>
      </c>
      <c r="O1473" s="1">
        <v>1.7211E10</v>
      </c>
      <c r="P1473" s="1">
        <v>1.515E10</v>
      </c>
      <c r="Q1473" s="1">
        <v>1.08E8</v>
      </c>
      <c r="R1473" s="1">
        <v>-4.94E8</v>
      </c>
      <c r="S1473" s="1">
        <v>-5.41E8</v>
      </c>
    </row>
    <row r="1474">
      <c r="A1474" s="1">
        <v>1472.0</v>
      </c>
      <c r="B1474" s="11">
        <v>44469.0</v>
      </c>
      <c r="C1474" s="1" t="s">
        <v>775</v>
      </c>
      <c r="D1474" s="1" t="s">
        <v>776</v>
      </c>
      <c r="F1474" s="1">
        <v>4.15967E8</v>
      </c>
      <c r="G1474" s="1">
        <v>3.39798E8</v>
      </c>
      <c r="H1474" s="1">
        <v>7.9553E7</v>
      </c>
      <c r="I1474" s="1">
        <v>7.56104E8</v>
      </c>
      <c r="J1474" s="1">
        <v>4.57508E8</v>
      </c>
      <c r="K1474" s="1">
        <v>4.57508E8</v>
      </c>
      <c r="L1474" s="1">
        <v>-6.4067E7</v>
      </c>
      <c r="M1474" s="1">
        <v>7.1863E7</v>
      </c>
      <c r="N1474" s="1">
        <v>1.308254E9</v>
      </c>
      <c r="O1474" s="1">
        <v>8.50746E8</v>
      </c>
      <c r="P1474" s="1">
        <v>5.5215E8</v>
      </c>
      <c r="Q1474" s="1">
        <v>-4.1541E7</v>
      </c>
      <c r="R1474" s="1">
        <v>3.44104E8</v>
      </c>
      <c r="S1474" s="1">
        <v>3.39798E8</v>
      </c>
    </row>
    <row r="1475">
      <c r="A1475" s="1">
        <v>1473.0</v>
      </c>
      <c r="B1475" s="11">
        <v>44377.0</v>
      </c>
      <c r="C1475" s="1" t="s">
        <v>775</v>
      </c>
      <c r="D1475" s="1" t="s">
        <v>776</v>
      </c>
      <c r="F1475" s="1">
        <v>2.65996E8</v>
      </c>
      <c r="G1475" s="1">
        <v>2.15697E8</v>
      </c>
      <c r="H1475" s="1">
        <v>-2.8175E7</v>
      </c>
      <c r="I1475" s="1">
        <v>5.00724E8</v>
      </c>
      <c r="J1475" s="1">
        <v>3.06561E8</v>
      </c>
      <c r="K1475" s="1">
        <v>3.06561E8</v>
      </c>
      <c r="L1475" s="1">
        <v>-6.2777E7</v>
      </c>
      <c r="M1475" s="1">
        <v>4.656E7</v>
      </c>
      <c r="N1475" s="1">
        <v>1.000249E9</v>
      </c>
      <c r="O1475" s="1">
        <v>6.93688E8</v>
      </c>
      <c r="P1475" s="1">
        <v>4.99525E8</v>
      </c>
      <c r="Q1475" s="1">
        <v>-4.0565E7</v>
      </c>
      <c r="R1475" s="1">
        <v>2.19436E8</v>
      </c>
      <c r="S1475" s="1">
        <v>2.15697E8</v>
      </c>
    </row>
    <row r="1476">
      <c r="A1476" s="1">
        <v>1474.0</v>
      </c>
      <c r="B1476" s="11">
        <v>44286.0</v>
      </c>
      <c r="C1476" s="1" t="s">
        <v>775</v>
      </c>
      <c r="D1476" s="1" t="s">
        <v>776</v>
      </c>
      <c r="F1476" s="1">
        <v>3.6164E7</v>
      </c>
      <c r="G1476" s="1">
        <v>3.5641E7</v>
      </c>
      <c r="H1476" s="1">
        <v>-2.7791E7</v>
      </c>
      <c r="I1476" s="1">
        <v>2.68193E8</v>
      </c>
      <c r="J1476" s="1">
        <v>7.5325E7</v>
      </c>
      <c r="K1476" s="1">
        <v>7.5325E7</v>
      </c>
      <c r="L1476" s="1">
        <v>-6.1938E7</v>
      </c>
      <c r="M1476" s="1">
        <v>-4350000.0</v>
      </c>
      <c r="N1476" s="1">
        <v>6.96475E8</v>
      </c>
      <c r="O1476" s="1">
        <v>6.2115E8</v>
      </c>
      <c r="P1476" s="1">
        <v>4.28282E8</v>
      </c>
      <c r="Q1476" s="1">
        <v>-3.9161E7</v>
      </c>
      <c r="R1476" s="1">
        <v>4.0514E7</v>
      </c>
      <c r="S1476" s="1">
        <v>3.5641E7</v>
      </c>
    </row>
    <row r="1477">
      <c r="A1477" s="1">
        <v>1475.0</v>
      </c>
      <c r="B1477" s="11">
        <v>44196.0</v>
      </c>
      <c r="C1477" s="1" t="s">
        <v>775</v>
      </c>
      <c r="D1477" s="1" t="s">
        <v>776</v>
      </c>
      <c r="F1477" s="1">
        <v>-3.4431E7</v>
      </c>
      <c r="G1477" s="1">
        <v>-1.9391E7</v>
      </c>
      <c r="H1477" s="1">
        <v>-1.85105E8</v>
      </c>
      <c r="I1477" s="1">
        <v>7.5452E7</v>
      </c>
      <c r="J1477" s="1">
        <v>4.5018E7</v>
      </c>
      <c r="K1477" s="1">
        <v>4.5018E7</v>
      </c>
      <c r="L1477" s="1">
        <v>-6.408E7</v>
      </c>
      <c r="M1477" s="1">
        <v>-1.9913E7</v>
      </c>
      <c r="N1477" s="1">
        <v>7.40961E8</v>
      </c>
      <c r="O1477" s="1">
        <v>6.95943E8</v>
      </c>
      <c r="P1477" s="1">
        <v>6.65509E8</v>
      </c>
      <c r="Q1477" s="1">
        <v>-7.9449E7</v>
      </c>
      <c r="R1477" s="1">
        <v>-1.4518E7</v>
      </c>
      <c r="S1477" s="1">
        <v>-1.9391E7</v>
      </c>
    </row>
    <row r="1478">
      <c r="A1478" s="1">
        <v>1476.0</v>
      </c>
      <c r="B1478" s="11">
        <v>44469.0</v>
      </c>
      <c r="C1478" s="1" t="s">
        <v>777</v>
      </c>
      <c r="D1478" s="1" t="s">
        <v>778</v>
      </c>
      <c r="F1478" s="1">
        <v>1.336E9</v>
      </c>
      <c r="G1478" s="1">
        <v>1.045E9</v>
      </c>
      <c r="H1478" s="1">
        <v>7.2E7</v>
      </c>
      <c r="I1478" s="1">
        <v>2.697E9</v>
      </c>
      <c r="J1478" s="1">
        <v>1.384E9</v>
      </c>
      <c r="K1478" s="1">
        <v>1.384E9</v>
      </c>
      <c r="L1478" s="1">
        <v>-4.1E7</v>
      </c>
      <c r="M1478" s="1">
        <v>2.91E8</v>
      </c>
      <c r="N1478" s="1">
        <v>4.961E9</v>
      </c>
      <c r="O1478" s="1">
        <v>3.577E9</v>
      </c>
      <c r="P1478" s="1">
        <v>2.264E9</v>
      </c>
      <c r="Q1478" s="1">
        <v>-4.8E7</v>
      </c>
      <c r="R1478" s="1">
        <v>1.045E9</v>
      </c>
      <c r="S1478" s="1">
        <v>1.042E9</v>
      </c>
    </row>
    <row r="1479">
      <c r="A1479" s="1">
        <v>1477.0</v>
      </c>
      <c r="B1479" s="11">
        <v>44377.0</v>
      </c>
      <c r="C1479" s="1" t="s">
        <v>777</v>
      </c>
      <c r="D1479" s="1" t="s">
        <v>778</v>
      </c>
      <c r="F1479" s="1">
        <v>5.0E8</v>
      </c>
      <c r="G1479" s="1">
        <v>3.8E8</v>
      </c>
      <c r="H1479" s="1">
        <v>7.5E7</v>
      </c>
      <c r="I1479" s="1">
        <v>2.173E9</v>
      </c>
      <c r="J1479" s="1">
        <v>5.92E8</v>
      </c>
      <c r="K1479" s="1">
        <v>5.92E8</v>
      </c>
      <c r="L1479" s="1">
        <v>-4.1E7</v>
      </c>
      <c r="M1479" s="1">
        <v>1.2E8</v>
      </c>
      <c r="N1479" s="1">
        <v>4.269E9</v>
      </c>
      <c r="O1479" s="1">
        <v>3.677E9</v>
      </c>
      <c r="P1479" s="1">
        <v>2.096E9</v>
      </c>
      <c r="Q1479" s="1">
        <v>-9.2E7</v>
      </c>
      <c r="R1479" s="1">
        <v>3.8E8</v>
      </c>
      <c r="S1479" s="1">
        <v>3.79E8</v>
      </c>
    </row>
    <row r="1480">
      <c r="A1480" s="1">
        <v>1478.0</v>
      </c>
      <c r="B1480" s="11">
        <v>44286.0</v>
      </c>
      <c r="C1480" s="1" t="s">
        <v>777</v>
      </c>
      <c r="D1480" s="1" t="s">
        <v>778</v>
      </c>
      <c r="F1480" s="1">
        <v>-8.1E7</v>
      </c>
      <c r="G1480" s="1">
        <v>-7.0E7</v>
      </c>
      <c r="H1480" s="1">
        <v>6.8E7</v>
      </c>
      <c r="I1480" s="1">
        <v>1.444E9</v>
      </c>
      <c r="J1480" s="1">
        <v>1.69E8</v>
      </c>
      <c r="K1480" s="1">
        <v>1.69E8</v>
      </c>
      <c r="L1480" s="1">
        <v>-3.9E7</v>
      </c>
      <c r="M1480" s="1">
        <v>-1.1E7</v>
      </c>
      <c r="N1480" s="1">
        <v>3.064E9</v>
      </c>
      <c r="O1480" s="1">
        <v>2.895E9</v>
      </c>
      <c r="P1480" s="1">
        <v>1.62E9</v>
      </c>
      <c r="Q1480" s="1">
        <v>-2.5E8</v>
      </c>
      <c r="R1480" s="1">
        <v>-7.0E7</v>
      </c>
      <c r="S1480" s="1">
        <v>-7.0E7</v>
      </c>
    </row>
    <row r="1481">
      <c r="A1481" s="1">
        <v>1479.0</v>
      </c>
      <c r="B1481" s="11">
        <v>44196.0</v>
      </c>
      <c r="C1481" s="1" t="s">
        <v>777</v>
      </c>
      <c r="D1481" s="1" t="s">
        <v>778</v>
      </c>
      <c r="F1481" s="1">
        <v>-7.3E7</v>
      </c>
      <c r="G1481" s="1">
        <v>-3.0E7</v>
      </c>
      <c r="H1481" s="1">
        <v>6.4E7</v>
      </c>
      <c r="I1481" s="1">
        <v>7.45E8</v>
      </c>
      <c r="J1481" s="1">
        <v>-1.0E8</v>
      </c>
      <c r="K1481" s="1">
        <v>-1.0E8</v>
      </c>
      <c r="L1481" s="1">
        <v>-3.5E7</v>
      </c>
      <c r="M1481" s="1">
        <v>-4.3E7</v>
      </c>
      <c r="N1481" s="1">
        <v>2.016E9</v>
      </c>
      <c r="O1481" s="1">
        <v>2.116E9</v>
      </c>
      <c r="P1481" s="1">
        <v>1.271E9</v>
      </c>
      <c r="Q1481" s="1">
        <v>2.7E7</v>
      </c>
      <c r="R1481" s="1">
        <v>-3.0E7</v>
      </c>
      <c r="S1481" s="1">
        <v>-3.0E7</v>
      </c>
    </row>
    <row r="1482">
      <c r="A1482" s="1">
        <v>1480.0</v>
      </c>
      <c r="B1482" s="11">
        <v>44469.0</v>
      </c>
      <c r="C1482" s="1" t="s">
        <v>779</v>
      </c>
      <c r="D1482" s="1" t="s">
        <v>780</v>
      </c>
      <c r="F1482" s="1">
        <v>1.813E9</v>
      </c>
      <c r="G1482" s="1">
        <v>1.474E9</v>
      </c>
      <c r="H1482" s="1">
        <v>2.692E9</v>
      </c>
      <c r="I1482" s="1">
        <v>5.4E9</v>
      </c>
      <c r="J1482" s="1">
        <v>0.0</v>
      </c>
      <c r="K1482" s="1">
        <v>1.813E9</v>
      </c>
      <c r="M1482" s="1">
        <v>3.23E8</v>
      </c>
      <c r="N1482" s="1">
        <v>5.4E9</v>
      </c>
      <c r="O1482" s="1">
        <v>3.587E9</v>
      </c>
      <c r="P1482" s="1">
        <v>0.0</v>
      </c>
      <c r="Q1482" s="1">
        <v>0.0</v>
      </c>
      <c r="R1482" s="1">
        <v>1.49E9</v>
      </c>
      <c r="S1482" s="1">
        <v>1.408E9</v>
      </c>
    </row>
    <row r="1483">
      <c r="A1483" s="1">
        <v>1481.0</v>
      </c>
      <c r="B1483" s="11">
        <v>44377.0</v>
      </c>
      <c r="C1483" s="1" t="s">
        <v>779</v>
      </c>
      <c r="D1483" s="1" t="s">
        <v>780</v>
      </c>
      <c r="F1483" s="1">
        <v>1.315E9</v>
      </c>
      <c r="G1483" s="1">
        <v>1.091E9</v>
      </c>
      <c r="H1483" s="1">
        <v>2.257E9</v>
      </c>
      <c r="I1483" s="1">
        <v>4.365E9</v>
      </c>
      <c r="J1483" s="1">
        <v>0.0</v>
      </c>
      <c r="K1483" s="1">
        <v>1.315E9</v>
      </c>
      <c r="M1483" s="1">
        <v>2.12E8</v>
      </c>
      <c r="N1483" s="1">
        <v>4.365E9</v>
      </c>
      <c r="O1483" s="1">
        <v>3.05E9</v>
      </c>
      <c r="P1483" s="1">
        <v>0.0</v>
      </c>
      <c r="Q1483" s="1">
        <v>0.0</v>
      </c>
      <c r="R1483" s="1">
        <v>1.103E9</v>
      </c>
      <c r="S1483" s="1">
        <v>1.037E9</v>
      </c>
    </row>
    <row r="1484">
      <c r="A1484" s="1">
        <v>1482.0</v>
      </c>
      <c r="B1484" s="11">
        <v>44286.0</v>
      </c>
      <c r="C1484" s="1" t="s">
        <v>779</v>
      </c>
      <c r="D1484" s="1" t="s">
        <v>780</v>
      </c>
      <c r="F1484" s="1">
        <v>2.197E9</v>
      </c>
      <c r="G1484" s="1">
        <v>1.816E9</v>
      </c>
      <c r="H1484" s="1">
        <v>2.03E9</v>
      </c>
      <c r="I1484" s="1">
        <v>4.771E9</v>
      </c>
      <c r="J1484" s="1">
        <v>0.0</v>
      </c>
      <c r="K1484" s="1">
        <v>2.197E9</v>
      </c>
      <c r="M1484" s="1">
        <v>3.71E8</v>
      </c>
      <c r="N1484" s="1">
        <v>4.771E9</v>
      </c>
      <c r="O1484" s="1">
        <v>2.574E9</v>
      </c>
      <c r="P1484" s="1">
        <v>0.0</v>
      </c>
      <c r="Q1484" s="1">
        <v>0.0</v>
      </c>
      <c r="R1484" s="1">
        <v>1.826E9</v>
      </c>
      <c r="S1484" s="1">
        <v>1.75E9</v>
      </c>
    </row>
    <row r="1485">
      <c r="A1485" s="1">
        <v>1483.0</v>
      </c>
      <c r="B1485" s="11">
        <v>44196.0</v>
      </c>
      <c r="C1485" s="1" t="s">
        <v>779</v>
      </c>
      <c r="D1485" s="1" t="s">
        <v>780</v>
      </c>
      <c r="F1485" s="1">
        <v>1.754E9</v>
      </c>
      <c r="G1485" s="1">
        <v>2.2E8</v>
      </c>
      <c r="H1485" s="1">
        <v>2.096E9</v>
      </c>
      <c r="I1485" s="1">
        <v>4.462E9</v>
      </c>
      <c r="J1485" s="1">
        <v>0.0</v>
      </c>
      <c r="K1485" s="1">
        <v>1.754E9</v>
      </c>
      <c r="M1485" s="1">
        <v>2.98E8</v>
      </c>
      <c r="N1485" s="1">
        <v>4.462E9</v>
      </c>
      <c r="O1485" s="1">
        <v>2.708E9</v>
      </c>
      <c r="P1485" s="1">
        <v>0.0</v>
      </c>
      <c r="Q1485" s="1">
        <v>0.0</v>
      </c>
      <c r="R1485" s="1">
        <v>1.456E9</v>
      </c>
      <c r="S1485" s="1">
        <v>1.65E8</v>
      </c>
    </row>
    <row r="1486">
      <c r="A1486" s="1">
        <v>1484.0</v>
      </c>
      <c r="B1486" s="11">
        <v>44469.0</v>
      </c>
      <c r="C1486" s="1" t="s">
        <v>781</v>
      </c>
      <c r="D1486" s="1" t="s">
        <v>782</v>
      </c>
      <c r="F1486" s="1">
        <v>2.35051E8</v>
      </c>
      <c r="G1486" s="1">
        <v>1.84665E8</v>
      </c>
      <c r="H1486" s="1">
        <v>2.06023E8</v>
      </c>
      <c r="I1486" s="1">
        <v>4.41899E8</v>
      </c>
      <c r="J1486" s="1">
        <v>2.35876E8</v>
      </c>
      <c r="K1486" s="1">
        <v>2.35876E8</v>
      </c>
      <c r="L1486" s="1">
        <v>-2317000.0</v>
      </c>
      <c r="M1486" s="1">
        <v>5.0386E7</v>
      </c>
      <c r="N1486" s="1">
        <v>1.411448E9</v>
      </c>
      <c r="O1486" s="1">
        <v>1.175572E9</v>
      </c>
      <c r="P1486" s="1">
        <v>9.69549E8</v>
      </c>
      <c r="Q1486" s="1">
        <v>-825000.0</v>
      </c>
      <c r="R1486" s="1">
        <v>1.84665E8</v>
      </c>
      <c r="S1486" s="1">
        <v>1.84665E8</v>
      </c>
    </row>
    <row r="1487">
      <c r="A1487" s="1">
        <v>1485.0</v>
      </c>
      <c r="B1487" s="11">
        <v>44377.0</v>
      </c>
      <c r="C1487" s="1" t="s">
        <v>781</v>
      </c>
      <c r="D1487" s="1" t="s">
        <v>782</v>
      </c>
      <c r="F1487" s="1">
        <v>3.3668E8</v>
      </c>
      <c r="G1487" s="1">
        <v>2.59695E8</v>
      </c>
      <c r="H1487" s="1">
        <v>2.13099E8</v>
      </c>
      <c r="I1487" s="1">
        <v>5.51685E8</v>
      </c>
      <c r="J1487" s="1">
        <v>3.38586E8</v>
      </c>
      <c r="K1487" s="1">
        <v>3.38586E8</v>
      </c>
      <c r="L1487" s="1">
        <v>-1963000.0</v>
      </c>
      <c r="M1487" s="1">
        <v>7.6985E7</v>
      </c>
      <c r="N1487" s="1">
        <v>1.787833E9</v>
      </c>
      <c r="O1487" s="1">
        <v>1.449247E9</v>
      </c>
      <c r="P1487" s="1">
        <v>1.236148E9</v>
      </c>
      <c r="Q1487" s="1">
        <v>-1906000.0</v>
      </c>
      <c r="R1487" s="1">
        <v>2.59695E8</v>
      </c>
      <c r="S1487" s="1">
        <v>2.59695E8</v>
      </c>
    </row>
    <row r="1488">
      <c r="A1488" s="1">
        <v>1486.0</v>
      </c>
      <c r="B1488" s="11">
        <v>44286.0</v>
      </c>
      <c r="C1488" s="1" t="s">
        <v>781</v>
      </c>
      <c r="D1488" s="1" t="s">
        <v>782</v>
      </c>
      <c r="F1488" s="1">
        <v>1.26524E8</v>
      </c>
      <c r="G1488" s="1">
        <v>9.8655E7</v>
      </c>
      <c r="H1488" s="1">
        <v>1.721E8</v>
      </c>
      <c r="I1488" s="1">
        <v>3.01131E8</v>
      </c>
      <c r="J1488" s="1">
        <v>1.29031E8</v>
      </c>
      <c r="K1488" s="1">
        <v>1.29031E8</v>
      </c>
      <c r="L1488" s="1">
        <v>-2582000.0</v>
      </c>
      <c r="M1488" s="1">
        <v>2.7869E7</v>
      </c>
      <c r="N1488" s="1">
        <v>1.060745E9</v>
      </c>
      <c r="O1488" s="1">
        <v>9.31714E8</v>
      </c>
      <c r="P1488" s="1">
        <v>7.59614E8</v>
      </c>
      <c r="Q1488" s="1">
        <v>-2507000.0</v>
      </c>
      <c r="R1488" s="1">
        <v>9.8655E7</v>
      </c>
      <c r="S1488" s="1">
        <v>9.8655E7</v>
      </c>
    </row>
    <row r="1489">
      <c r="A1489" s="1">
        <v>1487.0</v>
      </c>
      <c r="B1489" s="11">
        <v>44196.0</v>
      </c>
      <c r="C1489" s="1" t="s">
        <v>781</v>
      </c>
      <c r="D1489" s="1" t="s">
        <v>782</v>
      </c>
      <c r="F1489" s="1">
        <v>7.1336E7</v>
      </c>
      <c r="G1489" s="1">
        <v>5.9173E7</v>
      </c>
      <c r="H1489" s="1">
        <v>1.64745E8</v>
      </c>
      <c r="I1489" s="1">
        <v>2.39095E8</v>
      </c>
      <c r="J1489" s="1">
        <v>7.435E7</v>
      </c>
      <c r="K1489" s="1">
        <v>7.435E7</v>
      </c>
      <c r="L1489" s="1">
        <v>-1361000.0</v>
      </c>
      <c r="M1489" s="1">
        <v>1.2163E7</v>
      </c>
      <c r="N1489" s="1">
        <v>8.39261E8</v>
      </c>
      <c r="O1489" s="1">
        <v>7.64911E8</v>
      </c>
      <c r="P1489" s="1">
        <v>6.00166E8</v>
      </c>
      <c r="Q1489" s="1">
        <v>-3014000.0</v>
      </c>
      <c r="R1489" s="1">
        <v>5.9173E7</v>
      </c>
      <c r="S1489" s="1">
        <v>5.9173E7</v>
      </c>
    </row>
    <row r="1490">
      <c r="A1490" s="1">
        <v>1488.0</v>
      </c>
      <c r="B1490" s="11">
        <v>44469.0</v>
      </c>
      <c r="C1490" s="1" t="s">
        <v>783</v>
      </c>
      <c r="D1490" s="1" t="s">
        <v>784</v>
      </c>
      <c r="E1490" s="1">
        <v>1.14E8</v>
      </c>
      <c r="F1490" s="1">
        <v>4.41E8</v>
      </c>
      <c r="G1490" s="1">
        <v>3.44E8</v>
      </c>
      <c r="H1490" s="1">
        <v>9.07E8</v>
      </c>
      <c r="I1490" s="1">
        <v>1.639E9</v>
      </c>
      <c r="J1490" s="1">
        <v>4.72E8</v>
      </c>
      <c r="K1490" s="1">
        <v>4.72E8</v>
      </c>
      <c r="L1490" s="1">
        <v>-3.0E7</v>
      </c>
      <c r="M1490" s="1">
        <v>9.6E7</v>
      </c>
      <c r="N1490" s="1">
        <v>4.372E9</v>
      </c>
      <c r="O1490" s="1">
        <v>3.9E9</v>
      </c>
      <c r="P1490" s="1">
        <v>2.733E9</v>
      </c>
      <c r="Q1490" s="1">
        <v>-3.1E7</v>
      </c>
      <c r="R1490" s="1">
        <v>3.45E8</v>
      </c>
      <c r="S1490" s="1">
        <v>3.44E8</v>
      </c>
    </row>
    <row r="1491">
      <c r="A1491" s="1">
        <v>1489.0</v>
      </c>
      <c r="B1491" s="11">
        <v>44377.0</v>
      </c>
      <c r="C1491" s="1" t="s">
        <v>783</v>
      </c>
      <c r="D1491" s="1" t="s">
        <v>784</v>
      </c>
      <c r="E1491" s="1">
        <v>1.07E8</v>
      </c>
      <c r="F1491" s="1">
        <v>5.93E8</v>
      </c>
      <c r="G1491" s="1">
        <v>4.31E8</v>
      </c>
      <c r="H1491" s="1">
        <v>9.55E8</v>
      </c>
      <c r="I1491" s="1">
        <v>1.73E9</v>
      </c>
      <c r="J1491" s="1">
        <v>5.2E8</v>
      </c>
      <c r="K1491" s="1">
        <v>5.2E8</v>
      </c>
      <c r="L1491" s="1">
        <v>-3.1E7</v>
      </c>
      <c r="M1491" s="1">
        <v>1.6E8</v>
      </c>
      <c r="N1491" s="1">
        <v>4.359E9</v>
      </c>
      <c r="O1491" s="1">
        <v>3.839E9</v>
      </c>
      <c r="P1491" s="1">
        <v>2.629E9</v>
      </c>
      <c r="Q1491" s="1">
        <v>7.3E7</v>
      </c>
      <c r="R1491" s="1">
        <v>4.33E8</v>
      </c>
      <c r="S1491" s="1">
        <v>4.31E8</v>
      </c>
    </row>
    <row r="1492">
      <c r="A1492" s="1">
        <v>1490.0</v>
      </c>
      <c r="B1492" s="11">
        <v>44286.0</v>
      </c>
      <c r="C1492" s="1" t="s">
        <v>783</v>
      </c>
      <c r="D1492" s="1" t="s">
        <v>784</v>
      </c>
      <c r="E1492" s="1">
        <v>1.02E8</v>
      </c>
      <c r="F1492" s="1">
        <v>4.99E8</v>
      </c>
      <c r="G1492" s="1">
        <v>3.78E8</v>
      </c>
      <c r="H1492" s="1">
        <v>8.91E8</v>
      </c>
      <c r="I1492" s="1">
        <v>1.649E9</v>
      </c>
      <c r="J1492" s="1">
        <v>5.13E8</v>
      </c>
      <c r="K1492" s="1">
        <v>5.13E8</v>
      </c>
      <c r="L1492" s="1">
        <v>-3.0E7</v>
      </c>
      <c r="M1492" s="1">
        <v>1.14E8</v>
      </c>
      <c r="N1492" s="1">
        <v>3.881E9</v>
      </c>
      <c r="O1492" s="1">
        <v>3.368E9</v>
      </c>
      <c r="P1492" s="1">
        <v>2.232E9</v>
      </c>
      <c r="Q1492" s="1">
        <v>-1.4E7</v>
      </c>
      <c r="R1492" s="1">
        <v>3.85E8</v>
      </c>
      <c r="S1492" s="1">
        <v>3.78E8</v>
      </c>
    </row>
    <row r="1493">
      <c r="A1493" s="1">
        <v>1491.0</v>
      </c>
      <c r="B1493" s="11">
        <v>44196.0</v>
      </c>
      <c r="C1493" s="1" t="s">
        <v>783</v>
      </c>
      <c r="D1493" s="1" t="s">
        <v>784</v>
      </c>
      <c r="E1493" s="1">
        <v>1.0E8</v>
      </c>
      <c r="F1493" s="1">
        <v>3.45E8</v>
      </c>
      <c r="G1493" s="1">
        <v>2.72E8</v>
      </c>
      <c r="H1493" s="1">
        <v>9.16E8</v>
      </c>
      <c r="I1493" s="1">
        <v>1.651E9</v>
      </c>
      <c r="J1493" s="1">
        <v>4.14E8</v>
      </c>
      <c r="K1493" s="1">
        <v>4.14E8</v>
      </c>
      <c r="L1493" s="1">
        <v>-3.1E7</v>
      </c>
      <c r="M1493" s="1">
        <v>6.7E7</v>
      </c>
      <c r="N1493" s="1">
        <v>3.757E9</v>
      </c>
      <c r="O1493" s="1">
        <v>3.343E9</v>
      </c>
      <c r="P1493" s="1">
        <v>2.106E9</v>
      </c>
      <c r="Q1493" s="1">
        <v>-6.9E7</v>
      </c>
      <c r="R1493" s="1">
        <v>2.78E8</v>
      </c>
      <c r="S1493" s="1">
        <v>2.72E8</v>
      </c>
    </row>
    <row r="1494">
      <c r="A1494" s="1">
        <v>1492.0</v>
      </c>
      <c r="B1494" s="11">
        <v>44469.0</v>
      </c>
      <c r="C1494" s="1" t="s">
        <v>785</v>
      </c>
      <c r="D1494" s="1" t="s">
        <v>785</v>
      </c>
      <c r="F1494" s="1">
        <v>2.6E8</v>
      </c>
      <c r="G1494" s="1">
        <v>2.07E8</v>
      </c>
      <c r="I1494" s="1">
        <v>7.57E8</v>
      </c>
      <c r="J1494" s="1">
        <v>4.31E8</v>
      </c>
      <c r="K1494" s="1">
        <v>4.31E8</v>
      </c>
      <c r="L1494" s="1">
        <v>-1.83E8</v>
      </c>
      <c r="M1494" s="1">
        <v>5.1E7</v>
      </c>
      <c r="N1494" s="1">
        <v>1.512E9</v>
      </c>
      <c r="O1494" s="1">
        <v>1.081E9</v>
      </c>
      <c r="P1494" s="1">
        <v>7.55E8</v>
      </c>
      <c r="Q1494" s="1">
        <v>-1.71E8</v>
      </c>
      <c r="R1494" s="1">
        <v>2.09E8</v>
      </c>
      <c r="S1494" s="1">
        <v>2.07E8</v>
      </c>
    </row>
    <row r="1495">
      <c r="A1495" s="1">
        <v>1493.0</v>
      </c>
      <c r="B1495" s="11">
        <v>44377.0</v>
      </c>
      <c r="C1495" s="1" t="s">
        <v>785</v>
      </c>
      <c r="D1495" s="1" t="s">
        <v>785</v>
      </c>
      <c r="F1495" s="1">
        <v>-1.91E8</v>
      </c>
      <c r="G1495" s="1">
        <v>1.9E7</v>
      </c>
      <c r="H1495" s="1">
        <v>-8000000.0</v>
      </c>
      <c r="I1495" s="1">
        <v>5.88E8</v>
      </c>
      <c r="J1495" s="1">
        <v>2.78E8</v>
      </c>
      <c r="K1495" s="1">
        <v>2.78E8</v>
      </c>
      <c r="L1495" s="1">
        <v>-4.74E8</v>
      </c>
      <c r="M1495" s="1">
        <v>3.45E8</v>
      </c>
      <c r="N1495" s="1">
        <v>1.288E9</v>
      </c>
      <c r="O1495" s="1">
        <v>1.01E9</v>
      </c>
      <c r="P1495" s="1">
        <v>7.0E8</v>
      </c>
      <c r="Q1495" s="1">
        <v>-4.69E8</v>
      </c>
      <c r="R1495" s="1">
        <v>-5.36E8</v>
      </c>
      <c r="S1495" s="1">
        <v>1.9E7</v>
      </c>
    </row>
    <row r="1496">
      <c r="A1496" s="1">
        <v>1494.0</v>
      </c>
      <c r="B1496" s="11">
        <v>44286.0</v>
      </c>
      <c r="C1496" s="1" t="s">
        <v>785</v>
      </c>
      <c r="D1496" s="1" t="s">
        <v>785</v>
      </c>
      <c r="F1496" s="1">
        <v>2.62E8</v>
      </c>
      <c r="G1496" s="1">
        <v>-1.84E9</v>
      </c>
      <c r="H1496" s="1">
        <v>-4000000.0</v>
      </c>
      <c r="I1496" s="1">
        <v>7.34E8</v>
      </c>
      <c r="J1496" s="1">
        <v>4.19E8</v>
      </c>
      <c r="K1496" s="1">
        <v>4.19E8</v>
      </c>
      <c r="L1496" s="1">
        <v>-1.53E8</v>
      </c>
      <c r="M1496" s="1">
        <v>5.9E7</v>
      </c>
      <c r="N1496" s="1">
        <v>1.498E9</v>
      </c>
      <c r="O1496" s="1">
        <v>1.079E9</v>
      </c>
      <c r="P1496" s="1">
        <v>7.64E8</v>
      </c>
      <c r="Q1496" s="1">
        <v>-1.57E8</v>
      </c>
      <c r="R1496" s="1">
        <v>2.03E8</v>
      </c>
      <c r="S1496" s="1">
        <v>-1.84E9</v>
      </c>
    </row>
    <row r="1497">
      <c r="A1497" s="1">
        <v>1495.0</v>
      </c>
      <c r="B1497" s="11">
        <v>44196.0</v>
      </c>
      <c r="C1497" s="1" t="s">
        <v>785</v>
      </c>
      <c r="D1497" s="1" t="s">
        <v>785</v>
      </c>
      <c r="F1497" s="1">
        <v>3.69E8</v>
      </c>
      <c r="G1497" s="1">
        <v>2.9E8</v>
      </c>
      <c r="H1497" s="1">
        <v>-6.0E7</v>
      </c>
      <c r="I1497" s="1">
        <v>1.115E9</v>
      </c>
      <c r="J1497" s="1">
        <v>7.66E8</v>
      </c>
      <c r="K1497" s="1">
        <v>7.66E8</v>
      </c>
      <c r="L1497" s="1">
        <v>-2.51E8</v>
      </c>
      <c r="M1497" s="1">
        <v>7.9E7</v>
      </c>
      <c r="N1497" s="1">
        <v>1.929E9</v>
      </c>
      <c r="O1497" s="1">
        <v>1.163E9</v>
      </c>
      <c r="P1497" s="1">
        <v>8.14E8</v>
      </c>
      <c r="Q1497" s="1">
        <v>-3.97E8</v>
      </c>
      <c r="R1497" s="1">
        <v>2.9E8</v>
      </c>
      <c r="S1497" s="1">
        <v>2.9E8</v>
      </c>
    </row>
    <row r="1498">
      <c r="A1498" s="1">
        <v>1496.0</v>
      </c>
      <c r="B1498" s="11">
        <v>44469.0</v>
      </c>
      <c r="C1498" s="1" t="s">
        <v>786</v>
      </c>
      <c r="D1498" s="1" t="s">
        <v>787</v>
      </c>
      <c r="F1498" s="1">
        <v>4.281E8</v>
      </c>
      <c r="G1498" s="1">
        <v>3.599E8</v>
      </c>
      <c r="H1498" s="1">
        <v>1.1965E9</v>
      </c>
      <c r="I1498" s="1">
        <v>1.6246E9</v>
      </c>
      <c r="J1498" s="1">
        <v>4.281E8</v>
      </c>
      <c r="K1498" s="1">
        <v>4.281E8</v>
      </c>
      <c r="M1498" s="1">
        <v>6.38E7</v>
      </c>
      <c r="N1498" s="1">
        <v>3.4237E9</v>
      </c>
      <c r="O1498" s="1">
        <v>2.9956E9</v>
      </c>
      <c r="P1498" s="1">
        <v>1.7991E9</v>
      </c>
      <c r="Q1498" s="1">
        <v>0.0</v>
      </c>
      <c r="R1498" s="1">
        <v>3.643E8</v>
      </c>
      <c r="S1498" s="1">
        <v>3.599E8</v>
      </c>
    </row>
    <row r="1499">
      <c r="A1499" s="1">
        <v>1497.0</v>
      </c>
      <c r="B1499" s="11">
        <v>44377.0</v>
      </c>
      <c r="C1499" s="1" t="s">
        <v>786</v>
      </c>
      <c r="D1499" s="1" t="s">
        <v>787</v>
      </c>
      <c r="F1499" s="1">
        <v>4.326E8</v>
      </c>
      <c r="G1499" s="1">
        <v>3.618E8</v>
      </c>
      <c r="H1499" s="1">
        <v>1.2651E9</v>
      </c>
      <c r="I1499" s="1">
        <v>1.6977E9</v>
      </c>
      <c r="J1499" s="1">
        <v>4.326E8</v>
      </c>
      <c r="K1499" s="1">
        <v>4.326E8</v>
      </c>
      <c r="M1499" s="1">
        <v>6.1E7</v>
      </c>
      <c r="N1499" s="1">
        <v>3.5394E9</v>
      </c>
      <c r="O1499" s="1">
        <v>3.1068E9</v>
      </c>
      <c r="P1499" s="1">
        <v>1.8417E9</v>
      </c>
      <c r="Q1499" s="1">
        <v>0.0</v>
      </c>
      <c r="R1499" s="1">
        <v>3.716E8</v>
      </c>
      <c r="S1499" s="1">
        <v>3.637E8</v>
      </c>
    </row>
    <row r="1500">
      <c r="A1500" s="1">
        <v>1498.0</v>
      </c>
      <c r="B1500" s="11">
        <v>44286.0</v>
      </c>
      <c r="C1500" s="1" t="s">
        <v>786</v>
      </c>
      <c r="D1500" s="1" t="s">
        <v>787</v>
      </c>
      <c r="F1500" s="1">
        <v>6.139E8</v>
      </c>
      <c r="G1500" s="1">
        <v>5.171E8</v>
      </c>
      <c r="H1500" s="1">
        <v>1.2017E9</v>
      </c>
      <c r="I1500" s="1">
        <v>1.8156E9</v>
      </c>
      <c r="J1500" s="1">
        <v>6.139E8</v>
      </c>
      <c r="K1500" s="1">
        <v>6.139E8</v>
      </c>
      <c r="M1500" s="1">
        <v>9.76E7</v>
      </c>
      <c r="N1500" s="1">
        <v>3.2085E9</v>
      </c>
      <c r="O1500" s="1">
        <v>2.5946E9</v>
      </c>
      <c r="P1500" s="1">
        <v>1.3929E9</v>
      </c>
      <c r="Q1500" s="1">
        <v>0.0</v>
      </c>
      <c r="R1500" s="1">
        <v>5.163E8</v>
      </c>
      <c r="S1500" s="1">
        <v>5.152E8</v>
      </c>
    </row>
    <row r="1501">
      <c r="A1501" s="1">
        <v>1499.0</v>
      </c>
      <c r="B1501" s="11">
        <v>44196.0</v>
      </c>
      <c r="C1501" s="1" t="s">
        <v>786</v>
      </c>
      <c r="D1501" s="1" t="s">
        <v>787</v>
      </c>
      <c r="F1501" s="1">
        <v>5.916E8</v>
      </c>
      <c r="G1501" s="1">
        <v>4.726E8</v>
      </c>
      <c r="H1501" s="1">
        <v>1.1618E9</v>
      </c>
      <c r="I1501" s="1">
        <v>1.7534E9</v>
      </c>
      <c r="J1501" s="1">
        <v>5.916E8</v>
      </c>
      <c r="K1501" s="1">
        <v>5.916E8</v>
      </c>
      <c r="M1501" s="1">
        <v>1.001E8</v>
      </c>
      <c r="N1501" s="1">
        <v>3.7651E9</v>
      </c>
      <c r="O1501" s="1">
        <v>3.1735E9</v>
      </c>
      <c r="P1501" s="1">
        <v>2.0117E9</v>
      </c>
      <c r="Q1501" s="1">
        <v>0.0</v>
      </c>
      <c r="R1501" s="1">
        <v>4.915E8</v>
      </c>
      <c r="S1501" s="1">
        <v>4.726E8</v>
      </c>
    </row>
    <row r="1502">
      <c r="A1502" s="1">
        <v>1500.0</v>
      </c>
      <c r="B1502" s="11">
        <v>44469.0</v>
      </c>
      <c r="C1502" s="1" t="s">
        <v>788</v>
      </c>
      <c r="D1502" s="1" t="s">
        <v>789</v>
      </c>
      <c r="F1502" s="1">
        <v>5.035E9</v>
      </c>
      <c r="G1502" s="1">
        <v>4.112E9</v>
      </c>
      <c r="H1502" s="1">
        <v>5.012E9</v>
      </c>
      <c r="I1502" s="1">
        <v>9.973E9</v>
      </c>
      <c r="J1502" s="1">
        <v>4.961E9</v>
      </c>
      <c r="K1502" s="1">
        <v>4.961E9</v>
      </c>
      <c r="L1502" s="1">
        <v>-1.09E8</v>
      </c>
      <c r="M1502" s="1">
        <v>9.09E8</v>
      </c>
      <c r="N1502" s="1">
        <v>2.0338E10</v>
      </c>
      <c r="O1502" s="1">
        <v>1.5377E10</v>
      </c>
      <c r="P1502" s="1">
        <v>1.0365E10</v>
      </c>
      <c r="Q1502" s="1">
        <v>7.4E7</v>
      </c>
      <c r="R1502" s="1">
        <v>4.126E9</v>
      </c>
      <c r="S1502" s="1">
        <v>4.042E9</v>
      </c>
    </row>
    <row r="1503">
      <c r="A1503" s="1">
        <v>1501.0</v>
      </c>
      <c r="B1503" s="11">
        <v>44377.0</v>
      </c>
      <c r="C1503" s="1" t="s">
        <v>788</v>
      </c>
      <c r="D1503" s="1" t="s">
        <v>789</v>
      </c>
      <c r="F1503" s="1">
        <v>3.564E9</v>
      </c>
      <c r="G1503" s="1">
        <v>2.906E9</v>
      </c>
      <c r="H1503" s="1">
        <v>4.616E9</v>
      </c>
      <c r="I1503" s="1">
        <v>9.289E9</v>
      </c>
      <c r="J1503" s="1">
        <v>4.673E9</v>
      </c>
      <c r="K1503" s="1">
        <v>4.673E9</v>
      </c>
      <c r="L1503" s="1">
        <v>-1.17E8</v>
      </c>
      <c r="M1503" s="1">
        <v>6.56E8</v>
      </c>
      <c r="N1503" s="1">
        <v>1.8946E10</v>
      </c>
      <c r="O1503" s="1">
        <v>1.4273E10</v>
      </c>
      <c r="P1503" s="1">
        <v>9.657E9</v>
      </c>
      <c r="Q1503" s="1">
        <v>-1.109E9</v>
      </c>
      <c r="R1503" s="1">
        <v>2.908E9</v>
      </c>
      <c r="S1503" s="1">
        <v>2.832E9</v>
      </c>
    </row>
    <row r="1504">
      <c r="A1504" s="1">
        <v>1502.0</v>
      </c>
      <c r="B1504" s="11">
        <v>44286.0</v>
      </c>
      <c r="C1504" s="1" t="s">
        <v>788</v>
      </c>
      <c r="D1504" s="1" t="s">
        <v>789</v>
      </c>
      <c r="F1504" s="1">
        <v>3.877E9</v>
      </c>
      <c r="G1504" s="1">
        <v>3.269E9</v>
      </c>
      <c r="H1504" s="1">
        <v>5.402E9</v>
      </c>
      <c r="I1504" s="1">
        <v>9.187E9</v>
      </c>
      <c r="J1504" s="1">
        <v>3.785E9</v>
      </c>
      <c r="K1504" s="1">
        <v>3.785E9</v>
      </c>
      <c r="L1504" s="1">
        <v>-1.06E8</v>
      </c>
      <c r="M1504" s="1">
        <v>6.28E8</v>
      </c>
      <c r="N1504" s="1">
        <v>1.8109E10</v>
      </c>
      <c r="O1504" s="1">
        <v>1.4324E10</v>
      </c>
      <c r="P1504" s="1">
        <v>8.922E9</v>
      </c>
      <c r="Q1504" s="1">
        <v>9.2E7</v>
      </c>
      <c r="R1504" s="1">
        <v>3.249E9</v>
      </c>
      <c r="S1504" s="1">
        <v>3.204E9</v>
      </c>
    </row>
    <row r="1505">
      <c r="A1505" s="1">
        <v>1503.0</v>
      </c>
      <c r="B1505" s="11">
        <v>44196.0</v>
      </c>
      <c r="C1505" s="1" t="s">
        <v>788</v>
      </c>
      <c r="D1505" s="1" t="s">
        <v>789</v>
      </c>
      <c r="F1505" s="1">
        <v>4.877E9</v>
      </c>
      <c r="G1505" s="1">
        <v>3.854E9</v>
      </c>
      <c r="H1505" s="1">
        <v>5.112E9</v>
      </c>
      <c r="I1505" s="1">
        <v>1.0492E10</v>
      </c>
      <c r="J1505" s="1">
        <v>5.38E9</v>
      </c>
      <c r="K1505" s="1">
        <v>5.38E9</v>
      </c>
      <c r="L1505" s="1">
        <v>-1.43E8</v>
      </c>
      <c r="M1505" s="1">
        <v>9.9E8</v>
      </c>
      <c r="N1505" s="1">
        <v>1.9745E10</v>
      </c>
      <c r="O1505" s="1">
        <v>1.4365E10</v>
      </c>
      <c r="P1505" s="1">
        <v>9.253E9</v>
      </c>
      <c r="Q1505" s="1">
        <v>-5.03E8</v>
      </c>
      <c r="R1505" s="1">
        <v>3.887E9</v>
      </c>
      <c r="S1505" s="1">
        <v>3.788E9</v>
      </c>
    </row>
    <row r="1506">
      <c r="A1506" s="1">
        <v>1504.0</v>
      </c>
      <c r="B1506" s="11">
        <v>44469.0</v>
      </c>
      <c r="C1506" s="1" t="s">
        <v>790</v>
      </c>
      <c r="D1506" s="1" t="s">
        <v>791</v>
      </c>
      <c r="F1506" s="1">
        <v>1.39E8</v>
      </c>
      <c r="G1506" s="1">
        <v>1.185E8</v>
      </c>
      <c r="I1506" s="1">
        <v>2.66E8</v>
      </c>
      <c r="J1506" s="1">
        <v>1.932E8</v>
      </c>
      <c r="K1506" s="1">
        <v>1.932E8</v>
      </c>
      <c r="L1506" s="1">
        <v>-5.42E7</v>
      </c>
      <c r="M1506" s="1">
        <v>2.05E7</v>
      </c>
      <c r="N1506" s="1">
        <v>1.18526E10</v>
      </c>
      <c r="O1506" s="1">
        <v>1.16594E10</v>
      </c>
      <c r="P1506" s="1">
        <v>1.15866E10</v>
      </c>
      <c r="Q1506" s="1">
        <v>-5.42E7</v>
      </c>
      <c r="R1506" s="1">
        <v>1.185E8</v>
      </c>
      <c r="S1506" s="1">
        <v>1.118E8</v>
      </c>
    </row>
    <row r="1507">
      <c r="A1507" s="1">
        <v>1505.0</v>
      </c>
      <c r="B1507" s="11">
        <v>44377.0</v>
      </c>
      <c r="C1507" s="1" t="s">
        <v>790</v>
      </c>
      <c r="D1507" s="1" t="s">
        <v>791</v>
      </c>
      <c r="F1507" s="1">
        <v>9.992E8</v>
      </c>
      <c r="G1507" s="1">
        <v>7.901E8</v>
      </c>
      <c r="I1507" s="1">
        <v>1.1235E9</v>
      </c>
      <c r="J1507" s="1">
        <v>1.0556E9</v>
      </c>
      <c r="K1507" s="1">
        <v>1.0556E9</v>
      </c>
      <c r="L1507" s="1">
        <v>-5.64E7</v>
      </c>
      <c r="M1507" s="1">
        <v>2.091E8</v>
      </c>
      <c r="N1507" s="1">
        <v>1.18992E10</v>
      </c>
      <c r="O1507" s="1">
        <v>1.08436E10</v>
      </c>
      <c r="P1507" s="1">
        <v>1.07757E10</v>
      </c>
      <c r="Q1507" s="1">
        <v>-5.64E7</v>
      </c>
      <c r="R1507" s="1">
        <v>7.901E8</v>
      </c>
      <c r="S1507" s="1">
        <v>7.834E8</v>
      </c>
    </row>
    <row r="1508">
      <c r="A1508" s="1">
        <v>1506.0</v>
      </c>
      <c r="B1508" s="11">
        <v>44286.0</v>
      </c>
      <c r="C1508" s="1" t="s">
        <v>790</v>
      </c>
      <c r="D1508" s="1" t="s">
        <v>791</v>
      </c>
      <c r="F1508" s="1">
        <v>1.8679E9</v>
      </c>
      <c r="G1508" s="1">
        <v>1.48E9</v>
      </c>
      <c r="I1508" s="1">
        <v>1.9736E9</v>
      </c>
      <c r="J1508" s="1">
        <v>1.9243E9</v>
      </c>
      <c r="K1508" s="1">
        <v>1.9243E9</v>
      </c>
      <c r="L1508" s="1">
        <v>-5.64E7</v>
      </c>
      <c r="M1508" s="1">
        <v>3.879E8</v>
      </c>
      <c r="N1508" s="1">
        <v>1.14396E10</v>
      </c>
      <c r="O1508" s="1">
        <v>9.5153E9</v>
      </c>
      <c r="P1508" s="1">
        <v>9.466E9</v>
      </c>
      <c r="Q1508" s="1">
        <v>-5.64E7</v>
      </c>
      <c r="R1508" s="1">
        <v>1.48E9</v>
      </c>
      <c r="S1508" s="1">
        <v>1.4733E9</v>
      </c>
    </row>
    <row r="1509">
      <c r="A1509" s="1">
        <v>1507.0</v>
      </c>
      <c r="B1509" s="11">
        <v>44196.0</v>
      </c>
      <c r="C1509" s="1" t="s">
        <v>790</v>
      </c>
      <c r="D1509" s="1" t="s">
        <v>791</v>
      </c>
      <c r="F1509" s="1">
        <v>2.1062E9</v>
      </c>
      <c r="G1509" s="1">
        <v>1.6843E9</v>
      </c>
      <c r="I1509" s="1">
        <v>2.2282E9</v>
      </c>
      <c r="J1509" s="1">
        <v>2.1624E9</v>
      </c>
      <c r="K1509" s="1">
        <v>2.1624E9</v>
      </c>
      <c r="L1509" s="1">
        <v>-5.62E7</v>
      </c>
      <c r="M1509" s="1">
        <v>4.219E8</v>
      </c>
      <c r="N1509" s="1">
        <v>1.14103E10</v>
      </c>
      <c r="O1509" s="1">
        <v>9.2479E9</v>
      </c>
      <c r="P1509" s="1">
        <v>9.1821E9</v>
      </c>
      <c r="Q1509" s="1">
        <v>-5.62E7</v>
      </c>
      <c r="R1509" s="1">
        <v>1.6843E9</v>
      </c>
      <c r="S1509" s="1">
        <v>1.6775E9</v>
      </c>
    </row>
    <row r="1510">
      <c r="A1510" s="1">
        <v>1508.0</v>
      </c>
      <c r="B1510" s="11">
        <v>44469.0</v>
      </c>
      <c r="C1510" s="1" t="s">
        <v>792</v>
      </c>
      <c r="D1510" s="1" t="s">
        <v>793</v>
      </c>
      <c r="F1510" s="1">
        <v>8.57166E8</v>
      </c>
      <c r="G1510" s="1">
        <v>7.23538E8</v>
      </c>
      <c r="H1510" s="1">
        <v>6.697E7</v>
      </c>
      <c r="I1510" s="1">
        <v>9.65871E8</v>
      </c>
      <c r="J1510" s="1">
        <v>5.03682E8</v>
      </c>
      <c r="K1510" s="1">
        <v>5.03682E8</v>
      </c>
      <c r="L1510" s="1">
        <v>-6.3638E7</v>
      </c>
      <c r="M1510" s="1">
        <v>5.9435E7</v>
      </c>
      <c r="N1510" s="1">
        <v>1.274867E9</v>
      </c>
      <c r="O1510" s="1">
        <v>7.71185E8</v>
      </c>
      <c r="P1510" s="1">
        <v>3.08996E8</v>
      </c>
      <c r="Q1510" s="1">
        <v>3.53484E8</v>
      </c>
      <c r="R1510" s="1">
        <v>7.97731E8</v>
      </c>
      <c r="S1510" s="1">
        <v>7.22007E8</v>
      </c>
    </row>
    <row r="1511">
      <c r="A1511" s="1">
        <v>1509.0</v>
      </c>
      <c r="B1511" s="11">
        <v>44377.0</v>
      </c>
      <c r="C1511" s="1" t="s">
        <v>792</v>
      </c>
      <c r="D1511" s="1" t="s">
        <v>793</v>
      </c>
      <c r="F1511" s="1">
        <v>6.99508E8</v>
      </c>
      <c r="G1511" s="1">
        <v>6.00176E8</v>
      </c>
      <c r="H1511" s="1">
        <v>7.4342E7</v>
      </c>
      <c r="I1511" s="1">
        <v>9.33029E8</v>
      </c>
      <c r="J1511" s="1">
        <v>4.58757E8</v>
      </c>
      <c r="K1511" s="1">
        <v>4.58757E8</v>
      </c>
      <c r="L1511" s="1">
        <v>-6.8412E7</v>
      </c>
      <c r="M1511" s="1">
        <v>4.9195E7</v>
      </c>
      <c r="N1511" s="1">
        <v>1.223261E9</v>
      </c>
      <c r="O1511" s="1">
        <v>7.64504E8</v>
      </c>
      <c r="P1511" s="1">
        <v>2.90232E8</v>
      </c>
      <c r="Q1511" s="1">
        <v>2.40751E8</v>
      </c>
      <c r="R1511" s="1">
        <v>6.50313E8</v>
      </c>
      <c r="S1511" s="1">
        <v>5.98625E8</v>
      </c>
    </row>
    <row r="1512">
      <c r="A1512" s="1">
        <v>1510.0</v>
      </c>
      <c r="B1512" s="11">
        <v>44286.0</v>
      </c>
      <c r="C1512" s="1" t="s">
        <v>792</v>
      </c>
      <c r="D1512" s="1" t="s">
        <v>793</v>
      </c>
      <c r="F1512" s="1">
        <v>4.2541E8</v>
      </c>
      <c r="G1512" s="1">
        <v>3.67347E8</v>
      </c>
      <c r="H1512" s="1">
        <v>7.8032E7</v>
      </c>
      <c r="I1512" s="1">
        <v>8.88031E8</v>
      </c>
      <c r="J1512" s="1">
        <v>4.0898E8</v>
      </c>
      <c r="K1512" s="1">
        <v>4.0898E8</v>
      </c>
      <c r="L1512" s="1">
        <v>-7.1281E7</v>
      </c>
      <c r="M1512" s="1">
        <v>2.5717E7</v>
      </c>
      <c r="N1512" s="1">
        <v>1.215365E9</v>
      </c>
      <c r="O1512" s="1">
        <v>8.06385E8</v>
      </c>
      <c r="P1512" s="1">
        <v>3.27334E8</v>
      </c>
      <c r="Q1512" s="1">
        <v>1.643E7</v>
      </c>
      <c r="R1512" s="1">
        <v>3.99693E8</v>
      </c>
      <c r="S1512" s="1">
        <v>3.65815E8</v>
      </c>
    </row>
    <row r="1513">
      <c r="A1513" s="1">
        <v>1511.0</v>
      </c>
      <c r="B1513" s="11">
        <v>44196.0</v>
      </c>
      <c r="C1513" s="1" t="s">
        <v>792</v>
      </c>
      <c r="D1513" s="1" t="s">
        <v>793</v>
      </c>
      <c r="F1513" s="1">
        <v>3.48887E8</v>
      </c>
      <c r="G1513" s="1">
        <v>2.81894E8</v>
      </c>
      <c r="H1513" s="1">
        <v>6.6144E7</v>
      </c>
      <c r="I1513" s="1">
        <v>9.01146E8</v>
      </c>
      <c r="J1513" s="1">
        <v>4.13499E8</v>
      </c>
      <c r="K1513" s="1">
        <v>4.13499E8</v>
      </c>
      <c r="L1513" s="1">
        <v>-7.6856E7</v>
      </c>
      <c r="M1513" s="1">
        <v>4.088E7</v>
      </c>
      <c r="N1513" s="1">
        <v>1.192123E9</v>
      </c>
      <c r="O1513" s="1">
        <v>7.78624E8</v>
      </c>
      <c r="P1513" s="1">
        <v>2.90977E8</v>
      </c>
      <c r="Q1513" s="1">
        <v>-6.4612E7</v>
      </c>
      <c r="R1513" s="1">
        <v>3.08007E8</v>
      </c>
      <c r="S1513" s="1">
        <v>2.8047E8</v>
      </c>
    </row>
    <row r="1514">
      <c r="A1514" s="1">
        <v>1512.0</v>
      </c>
      <c r="B1514" s="11">
        <v>44469.0</v>
      </c>
      <c r="C1514" s="1" t="s">
        <v>794</v>
      </c>
      <c r="D1514" s="1" t="s">
        <v>795</v>
      </c>
      <c r="F1514" s="1">
        <v>1.824E9</v>
      </c>
      <c r="G1514" s="1">
        <v>1.53E9</v>
      </c>
      <c r="H1514" s="1">
        <v>3.386E9</v>
      </c>
      <c r="I1514" s="1">
        <v>5.192E9</v>
      </c>
      <c r="J1514" s="1">
        <v>1.806E9</v>
      </c>
      <c r="K1514" s="1">
        <v>1.806E9</v>
      </c>
      <c r="M1514" s="1">
        <v>2.59E8</v>
      </c>
      <c r="N1514" s="1">
        <v>2.1641E10</v>
      </c>
      <c r="O1514" s="1">
        <v>1.9835E10</v>
      </c>
      <c r="P1514" s="1">
        <v>1.6449E10</v>
      </c>
      <c r="Q1514" s="1">
        <v>1.8E7</v>
      </c>
      <c r="R1514" s="1">
        <v>1.565E9</v>
      </c>
      <c r="S1514" s="1">
        <v>1.506E9</v>
      </c>
    </row>
    <row r="1515">
      <c r="A1515" s="1">
        <v>1513.0</v>
      </c>
      <c r="B1515" s="11">
        <v>44377.0</v>
      </c>
      <c r="C1515" s="1" t="s">
        <v>794</v>
      </c>
      <c r="D1515" s="1" t="s">
        <v>795</v>
      </c>
      <c r="F1515" s="1">
        <v>2.792E9</v>
      </c>
      <c r="G1515" s="1">
        <v>2.158E9</v>
      </c>
      <c r="H1515" s="1">
        <v>3.23E9</v>
      </c>
      <c r="I1515" s="1">
        <v>5.943E9</v>
      </c>
      <c r="J1515" s="1">
        <v>2.713E9</v>
      </c>
      <c r="K1515" s="1">
        <v>2.713E9</v>
      </c>
      <c r="M1515" s="1">
        <v>6.09E8</v>
      </c>
      <c r="N1515" s="1">
        <v>1.5857E10</v>
      </c>
      <c r="O1515" s="1">
        <v>1.3144E10</v>
      </c>
      <c r="P1515" s="1">
        <v>9.914E9</v>
      </c>
      <c r="Q1515" s="1">
        <v>7.9E7</v>
      </c>
      <c r="R1515" s="1">
        <v>2.183E9</v>
      </c>
      <c r="S1515" s="1">
        <v>2.127E9</v>
      </c>
    </row>
    <row r="1516">
      <c r="A1516" s="1">
        <v>1514.0</v>
      </c>
      <c r="B1516" s="11">
        <v>44286.0</v>
      </c>
      <c r="C1516" s="1" t="s">
        <v>794</v>
      </c>
      <c r="D1516" s="1" t="s">
        <v>795</v>
      </c>
      <c r="F1516" s="1">
        <v>3.44E9</v>
      </c>
      <c r="G1516" s="1">
        <v>2.828E9</v>
      </c>
      <c r="H1516" s="1">
        <v>3.314E9</v>
      </c>
      <c r="I1516" s="1">
        <v>6.726E9</v>
      </c>
      <c r="J1516" s="1">
        <v>3.412E9</v>
      </c>
      <c r="K1516" s="1">
        <v>3.412E9</v>
      </c>
      <c r="M1516" s="1">
        <v>6.36E8</v>
      </c>
      <c r="N1516" s="1">
        <v>1.6949E10</v>
      </c>
      <c r="O1516" s="1">
        <v>1.3537E10</v>
      </c>
      <c r="P1516" s="1">
        <v>1.0223E10</v>
      </c>
      <c r="Q1516" s="1">
        <v>2.8E7</v>
      </c>
      <c r="R1516" s="1">
        <v>2.804E9</v>
      </c>
      <c r="S1516" s="1">
        <v>2.784E9</v>
      </c>
    </row>
    <row r="1517">
      <c r="A1517" s="1">
        <v>1515.0</v>
      </c>
      <c r="B1517" s="11">
        <v>44196.0</v>
      </c>
      <c r="C1517" s="1" t="s">
        <v>794</v>
      </c>
      <c r="D1517" s="1" t="s">
        <v>795</v>
      </c>
      <c r="F1517" s="1">
        <v>9.34E8</v>
      </c>
      <c r="G1517" s="1">
        <v>8.19E8</v>
      </c>
      <c r="H1517" s="1">
        <v>3.719E9</v>
      </c>
      <c r="I1517" s="1">
        <v>4.638E9</v>
      </c>
      <c r="J1517" s="1">
        <v>9.19E8</v>
      </c>
      <c r="K1517" s="1">
        <v>9.19E8</v>
      </c>
      <c r="M1517" s="1">
        <v>-8.8E7</v>
      </c>
      <c r="N1517" s="1">
        <v>1.6048E10</v>
      </c>
      <c r="O1517" s="1">
        <v>1.5129E10</v>
      </c>
      <c r="P1517" s="1">
        <v>1.141E10</v>
      </c>
      <c r="Q1517" s="1">
        <v>1.5E7</v>
      </c>
      <c r="R1517" s="1">
        <v>1.022E9</v>
      </c>
      <c r="S1517" s="1">
        <v>8.14E8</v>
      </c>
    </row>
    <row r="1518">
      <c r="A1518" s="1">
        <v>1516.0</v>
      </c>
      <c r="B1518" s="11">
        <v>44469.0</v>
      </c>
      <c r="C1518" s="1" t="s">
        <v>796</v>
      </c>
      <c r="D1518" s="1" t="s">
        <v>796</v>
      </c>
      <c r="E1518" s="1">
        <v>7.8403E7</v>
      </c>
      <c r="F1518" s="1">
        <v>1.69522E8</v>
      </c>
      <c r="G1518" s="1">
        <v>2.92943E8</v>
      </c>
      <c r="H1518" s="1">
        <v>1.77887E8</v>
      </c>
      <c r="I1518" s="1">
        <v>3.80908E8</v>
      </c>
      <c r="J1518" s="1">
        <v>1.1693E8</v>
      </c>
      <c r="K1518" s="1">
        <v>1.1693E8</v>
      </c>
      <c r="M1518" s="1">
        <v>-1.23421E8</v>
      </c>
      <c r="N1518" s="1">
        <v>4.80656E8</v>
      </c>
      <c r="O1518" s="1">
        <v>3.63726E8</v>
      </c>
      <c r="P1518" s="1">
        <v>9.9748E7</v>
      </c>
      <c r="Q1518" s="1">
        <v>5.2592E7</v>
      </c>
      <c r="R1518" s="1">
        <v>2.92943E8</v>
      </c>
      <c r="S1518" s="1">
        <v>2.92943E8</v>
      </c>
    </row>
    <row r="1519">
      <c r="A1519" s="1">
        <v>1517.0</v>
      </c>
      <c r="B1519" s="11">
        <v>44377.0</v>
      </c>
      <c r="C1519" s="1" t="s">
        <v>796</v>
      </c>
      <c r="D1519" s="1" t="s">
        <v>796</v>
      </c>
      <c r="E1519" s="1">
        <v>7.8134E7</v>
      </c>
      <c r="F1519" s="1">
        <v>5.8469E7</v>
      </c>
      <c r="G1519" s="1">
        <v>5.1203E7</v>
      </c>
      <c r="H1519" s="1">
        <v>1.80878E8</v>
      </c>
      <c r="I1519" s="1">
        <v>3.40591E8</v>
      </c>
      <c r="J1519" s="1">
        <v>7.4068E7</v>
      </c>
      <c r="K1519" s="1">
        <v>7.4068E7</v>
      </c>
      <c r="L1519" s="1">
        <v>-1.3178E7</v>
      </c>
      <c r="M1519" s="1">
        <v>7266000.0</v>
      </c>
      <c r="N1519" s="1">
        <v>4.35668E8</v>
      </c>
      <c r="O1519" s="1">
        <v>3.616E8</v>
      </c>
      <c r="P1519" s="1">
        <v>9.5077E7</v>
      </c>
      <c r="Q1519" s="1">
        <v>-1.5599E7</v>
      </c>
      <c r="R1519" s="1">
        <v>5.1203E7</v>
      </c>
      <c r="S1519" s="1">
        <v>5.1203E7</v>
      </c>
    </row>
    <row r="1520">
      <c r="A1520" s="1">
        <v>1518.0</v>
      </c>
      <c r="B1520" s="11">
        <v>44286.0</v>
      </c>
      <c r="C1520" s="1" t="s">
        <v>796</v>
      </c>
      <c r="D1520" s="1" t="s">
        <v>796</v>
      </c>
      <c r="E1520" s="1">
        <v>7.2545E7</v>
      </c>
      <c r="F1520" s="1">
        <v>8.6357E7</v>
      </c>
      <c r="G1520" s="1">
        <v>1.09262E8</v>
      </c>
      <c r="H1520" s="1">
        <v>1.79673E8</v>
      </c>
      <c r="I1520" s="1">
        <v>3.72337E8</v>
      </c>
      <c r="J1520" s="1">
        <v>1.12469E8</v>
      </c>
      <c r="K1520" s="1">
        <v>1.12469E8</v>
      </c>
      <c r="L1520" s="1">
        <v>-1.2925E7</v>
      </c>
      <c r="M1520" s="1">
        <v>-2.2905E7</v>
      </c>
      <c r="N1520" s="1">
        <v>4.61785E8</v>
      </c>
      <c r="O1520" s="1">
        <v>3.49316E8</v>
      </c>
      <c r="P1520" s="1">
        <v>8.9448E7</v>
      </c>
      <c r="Q1520" s="1">
        <v>-2.6112E7</v>
      </c>
      <c r="R1520" s="1">
        <v>1.09262E8</v>
      </c>
      <c r="S1520" s="1">
        <v>1.09262E8</v>
      </c>
    </row>
    <row r="1521">
      <c r="A1521" s="1">
        <v>1519.0</v>
      </c>
      <c r="B1521" s="11">
        <v>44196.0</v>
      </c>
      <c r="C1521" s="1" t="s">
        <v>796</v>
      </c>
      <c r="D1521" s="1" t="s">
        <v>796</v>
      </c>
      <c r="E1521" s="1">
        <v>7.0835E7</v>
      </c>
      <c r="F1521" s="1">
        <v>7.7407E7</v>
      </c>
      <c r="G1521" s="1">
        <v>2.3515E7</v>
      </c>
      <c r="H1521" s="1">
        <v>1.70337E8</v>
      </c>
      <c r="I1521" s="1">
        <v>3.4222E8</v>
      </c>
      <c r="J1521" s="1">
        <v>9.4485E7</v>
      </c>
      <c r="K1521" s="1">
        <v>9.4485E7</v>
      </c>
      <c r="L1521" s="1">
        <v>-1.1518E7</v>
      </c>
      <c r="M1521" s="1">
        <v>5.3892E7</v>
      </c>
      <c r="N1521" s="1">
        <v>4.2905E8</v>
      </c>
      <c r="O1521" s="1">
        <v>3.34565E8</v>
      </c>
      <c r="P1521" s="1">
        <v>8.683E7</v>
      </c>
      <c r="Q1521" s="1">
        <v>-1.7078E7</v>
      </c>
      <c r="R1521" s="1">
        <v>2.3515E7</v>
      </c>
      <c r="S1521" s="1">
        <v>2.3515E7</v>
      </c>
    </row>
    <row r="1522">
      <c r="A1522" s="1">
        <v>1520.0</v>
      </c>
      <c r="B1522" s="11">
        <v>44469.0</v>
      </c>
      <c r="C1522" s="1" t="s">
        <v>797</v>
      </c>
      <c r="D1522" s="1" t="s">
        <v>798</v>
      </c>
      <c r="F1522" s="1">
        <v>-2.246E9</v>
      </c>
      <c r="G1522" s="1">
        <v>-1.564E9</v>
      </c>
      <c r="H1522" s="1">
        <v>-8.2E7</v>
      </c>
      <c r="I1522" s="1">
        <v>2.49E8</v>
      </c>
      <c r="J1522" s="1">
        <v>4.8E7</v>
      </c>
      <c r="K1522" s="1">
        <v>4.8E7</v>
      </c>
      <c r="L1522" s="1">
        <v>-1.44E8</v>
      </c>
      <c r="M1522" s="1">
        <v>-6.82E8</v>
      </c>
      <c r="N1522" s="1">
        <v>1.903E9</v>
      </c>
      <c r="O1522" s="1">
        <v>1.855E9</v>
      </c>
      <c r="P1522" s="1">
        <v>1.654E9</v>
      </c>
      <c r="Q1522" s="1">
        <v>-2.294E9</v>
      </c>
      <c r="R1522" s="1">
        <v>-1.564E9</v>
      </c>
      <c r="S1522" s="1">
        <v>-1.564E9</v>
      </c>
    </row>
    <row r="1523">
      <c r="A1523" s="1">
        <v>1521.0</v>
      </c>
      <c r="B1523" s="11">
        <v>44377.0</v>
      </c>
      <c r="C1523" s="1" t="s">
        <v>797</v>
      </c>
      <c r="D1523" s="1" t="s">
        <v>798</v>
      </c>
      <c r="F1523" s="1">
        <v>-2.39E8</v>
      </c>
      <c r="G1523" s="1">
        <v>-1.77E8</v>
      </c>
      <c r="H1523" s="1">
        <v>-8.2E7</v>
      </c>
      <c r="I1523" s="1">
        <v>4.85E8</v>
      </c>
      <c r="J1523" s="1">
        <v>2.45E8</v>
      </c>
      <c r="K1523" s="1">
        <v>2.45E8</v>
      </c>
      <c r="L1523" s="1">
        <v>-1.47E8</v>
      </c>
      <c r="M1523" s="1">
        <v>-6.2E7</v>
      </c>
      <c r="N1523" s="1">
        <v>1.874E9</v>
      </c>
      <c r="O1523" s="1">
        <v>1.629E9</v>
      </c>
      <c r="P1523" s="1">
        <v>1.389E9</v>
      </c>
      <c r="Q1523" s="1">
        <v>-4.84E8</v>
      </c>
      <c r="R1523" s="1">
        <v>-1.77E8</v>
      </c>
      <c r="S1523" s="1">
        <v>-1.77E8</v>
      </c>
    </row>
    <row r="1524">
      <c r="A1524" s="1">
        <v>1522.0</v>
      </c>
      <c r="B1524" s="11">
        <v>44286.0</v>
      </c>
      <c r="C1524" s="1" t="s">
        <v>797</v>
      </c>
      <c r="D1524" s="1" t="s">
        <v>798</v>
      </c>
      <c r="F1524" s="1">
        <v>7.65E8</v>
      </c>
      <c r="G1524" s="1">
        <v>6.48E8</v>
      </c>
      <c r="H1524" s="1">
        <v>-8.2E7</v>
      </c>
      <c r="I1524" s="1">
        <v>1.082E9</v>
      </c>
      <c r="J1524" s="1">
        <v>8.23E8</v>
      </c>
      <c r="K1524" s="1">
        <v>8.23E8</v>
      </c>
      <c r="L1524" s="1">
        <v>-1.46E8</v>
      </c>
      <c r="M1524" s="1">
        <v>1.17E8</v>
      </c>
      <c r="N1524" s="1">
        <v>2.889E9</v>
      </c>
      <c r="O1524" s="1">
        <v>2.066E9</v>
      </c>
      <c r="P1524" s="1">
        <v>1.807E9</v>
      </c>
      <c r="Q1524" s="1">
        <v>-5.8E7</v>
      </c>
      <c r="R1524" s="1">
        <v>6.48E8</v>
      </c>
      <c r="S1524" s="1">
        <v>6.48E8</v>
      </c>
    </row>
    <row r="1525">
      <c r="A1525" s="1">
        <v>1523.0</v>
      </c>
      <c r="B1525" s="11">
        <v>44196.0</v>
      </c>
      <c r="C1525" s="1" t="s">
        <v>797</v>
      </c>
      <c r="D1525" s="1" t="s">
        <v>798</v>
      </c>
      <c r="F1525" s="1">
        <v>5.53E8</v>
      </c>
      <c r="G1525" s="1">
        <v>4.31E8</v>
      </c>
      <c r="H1525" s="1">
        <v>-6.3E7</v>
      </c>
      <c r="I1525" s="1">
        <v>7.61E8</v>
      </c>
      <c r="J1525" s="1">
        <v>4.95E8</v>
      </c>
      <c r="K1525" s="1">
        <v>4.95E8</v>
      </c>
      <c r="L1525" s="1">
        <v>-1.47E8</v>
      </c>
      <c r="M1525" s="1">
        <v>1.22E8</v>
      </c>
      <c r="N1525" s="1">
        <v>2.402E9</v>
      </c>
      <c r="O1525" s="1">
        <v>1.907E9</v>
      </c>
      <c r="P1525" s="1">
        <v>1.641E9</v>
      </c>
      <c r="Q1525" s="1">
        <v>5.8E7</v>
      </c>
      <c r="R1525" s="1">
        <v>4.31E8</v>
      </c>
      <c r="S1525" s="1">
        <v>4.31E8</v>
      </c>
    </row>
    <row r="1526">
      <c r="A1526" s="1">
        <v>1524.0</v>
      </c>
      <c r="B1526" s="11">
        <v>44469.0</v>
      </c>
      <c r="C1526" s="1" t="s">
        <v>799</v>
      </c>
      <c r="D1526" s="1" t="s">
        <v>800</v>
      </c>
      <c r="F1526" s="1">
        <v>4.91628E8</v>
      </c>
      <c r="G1526" s="1">
        <v>4.90091E8</v>
      </c>
      <c r="H1526" s="1">
        <v>3.1682E7</v>
      </c>
      <c r="I1526" s="1">
        <v>6.91057E8</v>
      </c>
      <c r="J1526" s="1">
        <v>4.70823E8</v>
      </c>
      <c r="K1526" s="1">
        <v>4.70823E8</v>
      </c>
      <c r="L1526" s="1">
        <v>-2.3736E7</v>
      </c>
      <c r="M1526" s="1">
        <v>0.0</v>
      </c>
      <c r="N1526" s="1">
        <v>9.27791E8</v>
      </c>
      <c r="O1526" s="1">
        <v>4.56968E8</v>
      </c>
      <c r="P1526" s="1">
        <v>2.36734E8</v>
      </c>
      <c r="Q1526" s="1">
        <v>2.0805E7</v>
      </c>
      <c r="R1526" s="1">
        <v>4.91628E8</v>
      </c>
      <c r="S1526" s="1">
        <v>4.42327E8</v>
      </c>
    </row>
    <row r="1527">
      <c r="A1527" s="1">
        <v>1525.0</v>
      </c>
      <c r="B1527" s="11">
        <v>44377.0</v>
      </c>
      <c r="C1527" s="1" t="s">
        <v>799</v>
      </c>
      <c r="D1527" s="1" t="s">
        <v>800</v>
      </c>
      <c r="F1527" s="1">
        <v>4.1173E8</v>
      </c>
      <c r="G1527" s="1">
        <v>4.10426E8</v>
      </c>
      <c r="H1527" s="1">
        <v>2.764E7</v>
      </c>
      <c r="I1527" s="1">
        <v>6.39795E8</v>
      </c>
      <c r="J1527" s="1">
        <v>4.39327E8</v>
      </c>
      <c r="K1527" s="1">
        <v>4.39327E8</v>
      </c>
      <c r="L1527" s="1">
        <v>-2.1994E7</v>
      </c>
      <c r="M1527" s="1">
        <v>0.0</v>
      </c>
      <c r="N1527" s="1">
        <v>8.58381E8</v>
      </c>
      <c r="O1527" s="1">
        <v>4.19054E8</v>
      </c>
      <c r="P1527" s="1">
        <v>2.18586E8</v>
      </c>
      <c r="Q1527" s="1">
        <v>-2.7597E7</v>
      </c>
      <c r="R1527" s="1">
        <v>4.1173E8</v>
      </c>
      <c r="S1527" s="1">
        <v>3.46249E8</v>
      </c>
    </row>
    <row r="1528">
      <c r="A1528" s="1">
        <v>1526.0</v>
      </c>
      <c r="B1528" s="11">
        <v>44286.0</v>
      </c>
      <c r="C1528" s="1" t="s">
        <v>799</v>
      </c>
      <c r="D1528" s="1" t="s">
        <v>800</v>
      </c>
      <c r="F1528" s="1">
        <v>4.34262E8</v>
      </c>
      <c r="G1528" s="1">
        <v>4.33036E8</v>
      </c>
      <c r="H1528" s="1">
        <v>1.8374E7</v>
      </c>
      <c r="I1528" s="1">
        <v>5.58295E8</v>
      </c>
      <c r="J1528" s="1">
        <v>3.91862E8</v>
      </c>
      <c r="K1528" s="1">
        <v>3.91862E8</v>
      </c>
      <c r="L1528" s="1">
        <v>-1.525E7</v>
      </c>
      <c r="M1528" s="1">
        <v>0.0</v>
      </c>
      <c r="N1528" s="1">
        <v>7.86718E8</v>
      </c>
      <c r="O1528" s="1">
        <v>3.94856E8</v>
      </c>
      <c r="P1528" s="1">
        <v>2.28423E8</v>
      </c>
      <c r="Q1528" s="1">
        <v>4.24E7</v>
      </c>
      <c r="R1528" s="1">
        <v>4.34262E8</v>
      </c>
      <c r="S1528" s="1">
        <v>3.8581E8</v>
      </c>
    </row>
    <row r="1529">
      <c r="A1529" s="1">
        <v>1527.0</v>
      </c>
      <c r="B1529" s="11">
        <v>44196.0</v>
      </c>
      <c r="C1529" s="1" t="s">
        <v>799</v>
      </c>
      <c r="D1529" s="1" t="s">
        <v>800</v>
      </c>
      <c r="F1529" s="1">
        <v>3.52432E8</v>
      </c>
      <c r="G1529" s="1">
        <v>3.51267E8</v>
      </c>
      <c r="H1529" s="1">
        <v>2.0453E7</v>
      </c>
      <c r="I1529" s="1">
        <v>5.59854E8</v>
      </c>
      <c r="J1529" s="1">
        <v>3.97895E8</v>
      </c>
      <c r="K1529" s="1">
        <v>3.97895E8</v>
      </c>
      <c r="L1529" s="1">
        <v>-1.6036E7</v>
      </c>
      <c r="M1529" s="1">
        <v>0.0</v>
      </c>
      <c r="N1529" s="1">
        <v>7.65378E8</v>
      </c>
      <c r="O1529" s="1">
        <v>3.67483E8</v>
      </c>
      <c r="P1529" s="1">
        <v>2.05524E8</v>
      </c>
      <c r="Q1529" s="1">
        <v>-4.5463E7</v>
      </c>
      <c r="R1529" s="1">
        <v>3.52432E8</v>
      </c>
      <c r="S1529" s="1">
        <v>2.92166E8</v>
      </c>
    </row>
    <row r="1530">
      <c r="A1530" s="1">
        <v>1528.0</v>
      </c>
      <c r="B1530" s="11">
        <v>44469.0</v>
      </c>
      <c r="C1530" s="1" t="s">
        <v>801</v>
      </c>
      <c r="D1530" s="1" t="s">
        <v>802</v>
      </c>
      <c r="F1530" s="1">
        <v>6.20402E8</v>
      </c>
      <c r="G1530" s="1">
        <v>4.75549E8</v>
      </c>
      <c r="H1530" s="1">
        <v>3.20506E8</v>
      </c>
      <c r="I1530" s="1">
        <v>9.4565E8</v>
      </c>
      <c r="J1530" s="1">
        <v>6.23044E8</v>
      </c>
      <c r="K1530" s="1">
        <v>6.23044E8</v>
      </c>
      <c r="L1530" s="1">
        <v>-115000.0</v>
      </c>
      <c r="M1530" s="1">
        <v>1.44853E8</v>
      </c>
      <c r="N1530" s="1">
        <v>3.47905E9</v>
      </c>
      <c r="O1530" s="1">
        <v>2.856006E9</v>
      </c>
      <c r="P1530" s="1">
        <v>2.5334E9</v>
      </c>
      <c r="Q1530" s="1">
        <v>-2642000.0</v>
      </c>
      <c r="R1530" s="1">
        <v>4.75549E8</v>
      </c>
      <c r="S1530" s="1">
        <v>4.71707E8</v>
      </c>
    </row>
    <row r="1531">
      <c r="A1531" s="1">
        <v>1529.0</v>
      </c>
      <c r="B1531" s="11">
        <v>44377.0</v>
      </c>
      <c r="C1531" s="1" t="s">
        <v>801</v>
      </c>
      <c r="D1531" s="1" t="s">
        <v>802</v>
      </c>
      <c r="F1531" s="1">
        <v>6.39473E8</v>
      </c>
      <c r="G1531" s="1">
        <v>5.03399E8</v>
      </c>
      <c r="H1531" s="1">
        <v>2.72286E8</v>
      </c>
      <c r="I1531" s="1">
        <v>9.13238E8</v>
      </c>
      <c r="J1531" s="1">
        <v>6.36833E8</v>
      </c>
      <c r="K1531" s="1">
        <v>6.36833E8</v>
      </c>
      <c r="L1531" s="1">
        <v>-138000.0</v>
      </c>
      <c r="M1531" s="1">
        <v>1.36074E8</v>
      </c>
      <c r="N1531" s="1">
        <v>3.359484E9</v>
      </c>
      <c r="O1531" s="1">
        <v>2.722651E9</v>
      </c>
      <c r="P1531" s="1">
        <v>2.446246E9</v>
      </c>
      <c r="Q1531" s="1">
        <v>2640000.0</v>
      </c>
      <c r="R1531" s="1">
        <v>5.03399E8</v>
      </c>
      <c r="S1531" s="1">
        <v>4.99374E8</v>
      </c>
    </row>
    <row r="1532">
      <c r="A1532" s="1">
        <v>1530.0</v>
      </c>
      <c r="B1532" s="11">
        <v>44286.0</v>
      </c>
      <c r="C1532" s="1" t="s">
        <v>801</v>
      </c>
      <c r="D1532" s="1" t="s">
        <v>802</v>
      </c>
      <c r="F1532" s="1">
        <v>3.94052E8</v>
      </c>
      <c r="G1532" s="1">
        <v>3.04107E8</v>
      </c>
      <c r="H1532" s="1">
        <v>2.71686E8</v>
      </c>
      <c r="I1532" s="1">
        <v>7.29746E8</v>
      </c>
      <c r="J1532" s="1">
        <v>4.55566E8</v>
      </c>
      <c r="K1532" s="1">
        <v>4.55566E8</v>
      </c>
      <c r="L1532" s="1">
        <v>-135000.0</v>
      </c>
      <c r="M1532" s="1">
        <v>8.9945E7</v>
      </c>
      <c r="N1532" s="1">
        <v>2.729791E9</v>
      </c>
      <c r="O1532" s="1">
        <v>2.274225E9</v>
      </c>
      <c r="P1532" s="1">
        <v>2.000045E9</v>
      </c>
      <c r="Q1532" s="1">
        <v>-6.1514E7</v>
      </c>
      <c r="R1532" s="1">
        <v>3.04107E8</v>
      </c>
      <c r="S1532" s="1">
        <v>3.01655E8</v>
      </c>
    </row>
    <row r="1533">
      <c r="A1533" s="1">
        <v>1531.0</v>
      </c>
      <c r="B1533" s="11">
        <v>44196.0</v>
      </c>
      <c r="C1533" s="1" t="s">
        <v>801</v>
      </c>
      <c r="D1533" s="1" t="s">
        <v>802</v>
      </c>
      <c r="F1533" s="1">
        <v>5.2375E8</v>
      </c>
      <c r="G1533" s="1">
        <v>4.38111E8</v>
      </c>
      <c r="H1533" s="1">
        <v>2.79757E8</v>
      </c>
      <c r="I1533" s="1">
        <v>8.11261E8</v>
      </c>
      <c r="J1533" s="1">
        <v>5.28796E8</v>
      </c>
      <c r="K1533" s="1">
        <v>5.28796E8</v>
      </c>
      <c r="L1533" s="1">
        <v>-226000.0</v>
      </c>
      <c r="M1533" s="1">
        <v>8.5639E7</v>
      </c>
      <c r="N1533" s="1">
        <v>3.192364E9</v>
      </c>
      <c r="O1533" s="1">
        <v>2.663568E9</v>
      </c>
      <c r="P1533" s="1">
        <v>2.381103E9</v>
      </c>
      <c r="Q1533" s="1">
        <v>-5046000.0</v>
      </c>
      <c r="R1533" s="1">
        <v>4.38111E8</v>
      </c>
      <c r="S1533" s="1">
        <v>4.34234E8</v>
      </c>
    </row>
    <row r="1534">
      <c r="A1534" s="1">
        <v>1532.0</v>
      </c>
      <c r="B1534" s="11">
        <v>44409.0</v>
      </c>
      <c r="C1534" s="1" t="s">
        <v>803</v>
      </c>
      <c r="D1534" s="1" t="s">
        <v>803</v>
      </c>
      <c r="F1534" s="1">
        <v>2.527E8</v>
      </c>
      <c r="G1534" s="1">
        <v>1.819E8</v>
      </c>
      <c r="H1534" s="1">
        <v>1.048E9</v>
      </c>
      <c r="I1534" s="1">
        <v>1.3336E9</v>
      </c>
      <c r="J1534" s="1">
        <v>2.856E8</v>
      </c>
      <c r="K1534" s="1">
        <v>2.856E8</v>
      </c>
      <c r="L1534" s="1">
        <v>-2.73E7</v>
      </c>
      <c r="M1534" s="1">
        <v>7.09E7</v>
      </c>
      <c r="N1534" s="1">
        <v>2.3132E9</v>
      </c>
      <c r="O1534" s="1">
        <v>2.0276E9</v>
      </c>
      <c r="P1534" s="1">
        <v>9.796E8</v>
      </c>
      <c r="Q1534" s="1">
        <v>-3.29E7</v>
      </c>
      <c r="R1534" s="1">
        <v>1.818E8</v>
      </c>
      <c r="S1534" s="1">
        <v>1.819E8</v>
      </c>
    </row>
    <row r="1535">
      <c r="A1535" s="1">
        <v>1533.0</v>
      </c>
      <c r="B1535" s="11">
        <v>44318.0</v>
      </c>
      <c r="C1535" s="1" t="s">
        <v>803</v>
      </c>
      <c r="D1535" s="1" t="s">
        <v>803</v>
      </c>
      <c r="F1535" s="1">
        <v>1.68E8</v>
      </c>
      <c r="G1535" s="1">
        <v>9.99E7</v>
      </c>
      <c r="H1535" s="1">
        <v>9.841E8</v>
      </c>
      <c r="I1535" s="1">
        <v>1.2291E9</v>
      </c>
      <c r="J1535" s="1">
        <v>2.45E8</v>
      </c>
      <c r="K1535" s="1">
        <v>2.45E8</v>
      </c>
      <c r="L1535" s="1">
        <v>-3.05E7</v>
      </c>
      <c r="M1535" s="1">
        <v>6.83E7</v>
      </c>
      <c r="N1535" s="1">
        <v>2.0793E9</v>
      </c>
      <c r="O1535" s="1">
        <v>1.8343E9</v>
      </c>
      <c r="P1535" s="1">
        <v>8.502E8</v>
      </c>
      <c r="Q1535" s="1">
        <v>-7.7E7</v>
      </c>
      <c r="R1535" s="1">
        <v>9.97E7</v>
      </c>
      <c r="S1535" s="1">
        <v>9.99E7</v>
      </c>
    </row>
    <row r="1536">
      <c r="A1536" s="1">
        <v>1534.0</v>
      </c>
      <c r="B1536" s="11">
        <v>44227.0</v>
      </c>
      <c r="C1536" s="1" t="s">
        <v>803</v>
      </c>
      <c r="D1536" s="1" t="s">
        <v>803</v>
      </c>
      <c r="F1536" s="1">
        <v>-8200000.0</v>
      </c>
      <c r="G1536" s="1">
        <v>-5.77E7</v>
      </c>
      <c r="H1536" s="1">
        <v>1.1112E9</v>
      </c>
      <c r="I1536" s="1">
        <v>1.0583E9</v>
      </c>
      <c r="J1536" s="1">
        <v>-5.29E7</v>
      </c>
      <c r="K1536" s="1">
        <v>-5.29E7</v>
      </c>
      <c r="L1536" s="1">
        <v>-3.59E7</v>
      </c>
      <c r="M1536" s="1">
        <v>4.99E7</v>
      </c>
      <c r="N1536" s="1">
        <v>2.0898E9</v>
      </c>
      <c r="O1536" s="1">
        <v>2.1427E9</v>
      </c>
      <c r="P1536" s="1">
        <v>1.0315E9</v>
      </c>
      <c r="Q1536" s="1">
        <v>4.47E7</v>
      </c>
      <c r="R1536" s="1">
        <v>-5.81E7</v>
      </c>
      <c r="S1536" s="1">
        <v>-5.77E7</v>
      </c>
    </row>
    <row r="1537">
      <c r="A1537" s="1">
        <v>1535.0</v>
      </c>
      <c r="B1537" s="11">
        <v>44136.0</v>
      </c>
      <c r="C1537" s="1" t="s">
        <v>803</v>
      </c>
      <c r="D1537" s="1" t="s">
        <v>803</v>
      </c>
      <c r="F1537" s="1">
        <v>8.86E7</v>
      </c>
      <c r="G1537" s="1">
        <v>6.98E7</v>
      </c>
      <c r="H1537" s="1">
        <v>9.829E8</v>
      </c>
      <c r="I1537" s="1">
        <v>1.1013E9</v>
      </c>
      <c r="J1537" s="1">
        <v>1.184E8</v>
      </c>
      <c r="K1537" s="1">
        <v>1.184E8</v>
      </c>
      <c r="L1537" s="1">
        <v>-3.44E7</v>
      </c>
      <c r="M1537" s="1">
        <v>1.91E7</v>
      </c>
      <c r="N1537" s="1">
        <v>2.1181E9</v>
      </c>
      <c r="O1537" s="1">
        <v>1.9997E9</v>
      </c>
      <c r="P1537" s="1">
        <v>1.0168E9</v>
      </c>
      <c r="Q1537" s="1">
        <v>-2.98E7</v>
      </c>
      <c r="R1537" s="1">
        <v>6.95E7</v>
      </c>
      <c r="S1537" s="1">
        <v>6.98E7</v>
      </c>
    </row>
    <row r="1538">
      <c r="A1538" s="1">
        <v>1536.0</v>
      </c>
      <c r="B1538" s="11">
        <v>44471.0</v>
      </c>
      <c r="C1538" s="1" t="s">
        <v>804</v>
      </c>
      <c r="D1538" s="1" t="s">
        <v>805</v>
      </c>
      <c r="E1538" s="1">
        <v>1.58377E8</v>
      </c>
      <c r="F1538" s="1">
        <v>3.51787E8</v>
      </c>
      <c r="G1538" s="1">
        <v>3.19189E8</v>
      </c>
      <c r="H1538" s="1">
        <v>9.3489E7</v>
      </c>
      <c r="I1538" s="1">
        <v>6.21553E8</v>
      </c>
      <c r="J1538" s="1">
        <v>3.6286E8</v>
      </c>
      <c r="K1538" s="1">
        <v>3.6286E8</v>
      </c>
      <c r="L1538" s="1">
        <v>-1.5327E7</v>
      </c>
      <c r="M1538" s="1">
        <v>3.2598E7</v>
      </c>
      <c r="N1538" s="1">
        <v>1.255248E9</v>
      </c>
      <c r="O1538" s="1">
        <v>8.92388E8</v>
      </c>
      <c r="P1538" s="1">
        <v>6.33695E8</v>
      </c>
      <c r="Q1538" s="1">
        <v>-1.1073E7</v>
      </c>
      <c r="R1538" s="1">
        <v>3.19189E8</v>
      </c>
      <c r="S1538" s="1">
        <v>3.19189E8</v>
      </c>
    </row>
    <row r="1539">
      <c r="A1539" s="1">
        <v>1537.0</v>
      </c>
      <c r="B1539" s="11">
        <v>44380.0</v>
      </c>
      <c r="C1539" s="1" t="s">
        <v>804</v>
      </c>
      <c r="D1539" s="1" t="s">
        <v>805</v>
      </c>
      <c r="E1539" s="1">
        <v>1.52079E8</v>
      </c>
      <c r="F1539" s="1">
        <v>2.98614E8</v>
      </c>
      <c r="G1539" s="1">
        <v>2.85626E8</v>
      </c>
      <c r="H1539" s="1">
        <v>9.0299E7</v>
      </c>
      <c r="I1539" s="1">
        <v>5.46183E8</v>
      </c>
      <c r="J1539" s="1">
        <v>2.98302E8</v>
      </c>
      <c r="K1539" s="1">
        <v>2.98302E8</v>
      </c>
      <c r="L1539" s="1">
        <v>-1.5279E7</v>
      </c>
      <c r="M1539" s="1">
        <v>1.2988E7</v>
      </c>
      <c r="N1539" s="1">
        <v>1.110351E9</v>
      </c>
      <c r="O1539" s="1">
        <v>8.12049E8</v>
      </c>
      <c r="P1539" s="1">
        <v>5.64168E8</v>
      </c>
      <c r="Q1539" s="1">
        <v>312000.0</v>
      </c>
      <c r="R1539" s="1">
        <v>2.85626E8</v>
      </c>
      <c r="S1539" s="1">
        <v>2.85626E8</v>
      </c>
    </row>
    <row r="1540">
      <c r="A1540" s="1">
        <v>1538.0</v>
      </c>
      <c r="B1540" s="11">
        <v>44289.0</v>
      </c>
      <c r="C1540" s="1" t="s">
        <v>804</v>
      </c>
      <c r="D1540" s="1" t="s">
        <v>805</v>
      </c>
      <c r="E1540" s="1">
        <v>1.47285E8</v>
      </c>
      <c r="F1540" s="1">
        <v>2.86786E8</v>
      </c>
      <c r="G1540" s="1">
        <v>2.98737E8</v>
      </c>
      <c r="H1540" s="1">
        <v>7.8123E7</v>
      </c>
      <c r="I1540" s="1">
        <v>5.28475E8</v>
      </c>
      <c r="J1540" s="1">
        <v>3.22258E8</v>
      </c>
      <c r="K1540" s="1">
        <v>3.22258E8</v>
      </c>
      <c r="L1540" s="1">
        <v>-1.8339E7</v>
      </c>
      <c r="M1540" s="1">
        <v>-1.1951E7</v>
      </c>
      <c r="N1540" s="1">
        <v>1.07273E9</v>
      </c>
      <c r="O1540" s="1">
        <v>7.50472E8</v>
      </c>
      <c r="P1540" s="1">
        <v>5.44255E8</v>
      </c>
      <c r="Q1540" s="1">
        <v>-3.5472E7</v>
      </c>
      <c r="R1540" s="1">
        <v>2.98737E8</v>
      </c>
      <c r="S1540" s="1">
        <v>2.98737E8</v>
      </c>
    </row>
    <row r="1541">
      <c r="A1541" s="1">
        <v>1539.0</v>
      </c>
      <c r="B1541" s="11">
        <v>44198.0</v>
      </c>
      <c r="C1541" s="1" t="s">
        <v>804</v>
      </c>
      <c r="D1541" s="1" t="s">
        <v>805</v>
      </c>
      <c r="E1541" s="1">
        <v>1.36697E8</v>
      </c>
      <c r="F1541" s="1">
        <v>2.23516E8</v>
      </c>
      <c r="G1541" s="1">
        <v>2.01035E8</v>
      </c>
      <c r="H1541" s="1">
        <v>9.3139E7</v>
      </c>
      <c r="I1541" s="1">
        <v>5.37752E8</v>
      </c>
      <c r="J1541" s="1">
        <v>3.00198E8</v>
      </c>
      <c r="K1541" s="1">
        <v>3.00198E8</v>
      </c>
      <c r="L1541" s="1">
        <v>-1.7453E7</v>
      </c>
      <c r="M1541" s="1">
        <v>2.2481E7</v>
      </c>
      <c r="N1541" s="1">
        <v>1.094834E9</v>
      </c>
      <c r="O1541" s="1">
        <v>7.94636E8</v>
      </c>
      <c r="P1541" s="1">
        <v>5.57082E8</v>
      </c>
      <c r="Q1541" s="1">
        <v>-7.6682E7</v>
      </c>
      <c r="R1541" s="1">
        <v>2.01035E8</v>
      </c>
      <c r="S1541" s="1">
        <v>2.01035E8</v>
      </c>
    </row>
    <row r="1542">
      <c r="A1542" s="1">
        <v>1540.0</v>
      </c>
      <c r="B1542" s="11">
        <v>44465.0</v>
      </c>
      <c r="C1542" s="1" t="s">
        <v>806</v>
      </c>
      <c r="D1542" s="1" t="s">
        <v>807</v>
      </c>
      <c r="E1542" s="1">
        <v>1.879E9</v>
      </c>
      <c r="F1542" s="1">
        <v>3.285E9</v>
      </c>
      <c r="G1542" s="1">
        <v>2.798E9</v>
      </c>
      <c r="H1542" s="1">
        <v>6.18E8</v>
      </c>
      <c r="I1542" s="1">
        <v>5.399E9</v>
      </c>
      <c r="J1542" s="1">
        <v>2.902E9</v>
      </c>
      <c r="K1542" s="1">
        <v>2.902E9</v>
      </c>
      <c r="L1542" s="1">
        <v>-1.38E8</v>
      </c>
      <c r="M1542" s="1">
        <v>4.87E8</v>
      </c>
      <c r="N1542" s="1">
        <v>9.336E9</v>
      </c>
      <c r="O1542" s="1">
        <v>6.434E9</v>
      </c>
      <c r="P1542" s="1">
        <v>3.937E9</v>
      </c>
      <c r="Q1542" s="1">
        <v>3.83E8</v>
      </c>
      <c r="R1542" s="1">
        <v>2.798E9</v>
      </c>
      <c r="S1542" s="1">
        <v>2.798E9</v>
      </c>
    </row>
    <row r="1543">
      <c r="A1543" s="1">
        <v>1541.0</v>
      </c>
      <c r="B1543" s="11">
        <v>44374.0</v>
      </c>
      <c r="C1543" s="1" t="s">
        <v>806</v>
      </c>
      <c r="D1543" s="1" t="s">
        <v>807</v>
      </c>
      <c r="E1543" s="1">
        <v>1.864E9</v>
      </c>
      <c r="F1543" s="1">
        <v>2.257E9</v>
      </c>
      <c r="G1543" s="1">
        <v>2.027E9</v>
      </c>
      <c r="H1543" s="1">
        <v>5.97E8</v>
      </c>
      <c r="I1543" s="1">
        <v>4.656E9</v>
      </c>
      <c r="J1543" s="1">
        <v>2.195E9</v>
      </c>
      <c r="K1543" s="1">
        <v>2.195E9</v>
      </c>
      <c r="L1543" s="1">
        <v>-1.38E8</v>
      </c>
      <c r="M1543" s="1">
        <v>2.3E8</v>
      </c>
      <c r="N1543" s="1">
        <v>8.06E9</v>
      </c>
      <c r="O1543" s="1">
        <v>5.865E9</v>
      </c>
      <c r="P1543" s="1">
        <v>3.404E9</v>
      </c>
      <c r="Q1543" s="1">
        <v>6.2E7</v>
      </c>
      <c r="R1543" s="1">
        <v>2.027E9</v>
      </c>
      <c r="S1543" s="1">
        <v>2.027E9</v>
      </c>
    </row>
    <row r="1544">
      <c r="A1544" s="1">
        <v>1542.0</v>
      </c>
      <c r="B1544" s="11">
        <v>44283.0</v>
      </c>
      <c r="C1544" s="1" t="s">
        <v>806</v>
      </c>
      <c r="D1544" s="1" t="s">
        <v>807</v>
      </c>
      <c r="E1544" s="1">
        <v>1.78E9</v>
      </c>
      <c r="F1544" s="1">
        <v>2.129E9</v>
      </c>
      <c r="G1544" s="1">
        <v>1.762E9</v>
      </c>
      <c r="H1544" s="1">
        <v>5.57E8</v>
      </c>
      <c r="I1544" s="1">
        <v>4.503E9</v>
      </c>
      <c r="J1544" s="1">
        <v>2.166E9</v>
      </c>
      <c r="K1544" s="1">
        <v>2.166E9</v>
      </c>
      <c r="L1544" s="1">
        <v>-1.41E8</v>
      </c>
      <c r="M1544" s="1">
        <v>3.67E8</v>
      </c>
      <c r="N1544" s="1">
        <v>7.935E9</v>
      </c>
      <c r="O1544" s="1">
        <v>5.769E9</v>
      </c>
      <c r="P1544" s="1">
        <v>3.432E9</v>
      </c>
      <c r="Q1544" s="1">
        <v>-3.7E7</v>
      </c>
      <c r="R1544" s="1">
        <v>1.762E9</v>
      </c>
      <c r="S1544" s="1">
        <v>1.762E9</v>
      </c>
    </row>
    <row r="1545">
      <c r="A1545" s="1">
        <v>1543.0</v>
      </c>
      <c r="B1545" s="11">
        <v>44192.0</v>
      </c>
      <c r="C1545" s="1" t="s">
        <v>806</v>
      </c>
      <c r="D1545" s="1" t="s">
        <v>807</v>
      </c>
      <c r="E1545" s="1">
        <v>1.653E9</v>
      </c>
      <c r="F1545" s="1">
        <v>2.604E9</v>
      </c>
      <c r="G1545" s="1">
        <v>2.455E9</v>
      </c>
      <c r="H1545" s="1">
        <v>5.67E8</v>
      </c>
      <c r="I1545" s="1">
        <v>4.746E9</v>
      </c>
      <c r="J1545" s="1">
        <v>2.526E9</v>
      </c>
      <c r="K1545" s="1">
        <v>2.526E9</v>
      </c>
      <c r="L1545" s="1">
        <v>-1.41E8</v>
      </c>
      <c r="M1545" s="1">
        <v>1.49E8</v>
      </c>
      <c r="N1545" s="1">
        <v>8.235E9</v>
      </c>
      <c r="O1545" s="1">
        <v>5.709E9</v>
      </c>
      <c r="P1545" s="1">
        <v>3.489E9</v>
      </c>
      <c r="Q1545" s="1">
        <v>7.8E7</v>
      </c>
      <c r="R1545" s="1">
        <v>2.455E9</v>
      </c>
      <c r="S1545" s="1">
        <v>2.455E9</v>
      </c>
    </row>
    <row r="1546">
      <c r="A1546" s="1">
        <v>1544.0</v>
      </c>
      <c r="B1546" s="11">
        <v>44469.0</v>
      </c>
      <c r="C1546" s="1" t="s">
        <v>808</v>
      </c>
      <c r="D1546" s="1" t="s">
        <v>809</v>
      </c>
      <c r="F1546" s="1">
        <v>2.36979E8</v>
      </c>
      <c r="G1546" s="1">
        <v>1.74365E8</v>
      </c>
      <c r="H1546" s="1">
        <v>2.74846E8</v>
      </c>
      <c r="I1546" s="1">
        <v>5.34676E8</v>
      </c>
      <c r="J1546" s="1">
        <v>2.37058E8</v>
      </c>
      <c r="K1546" s="1">
        <v>2.37058E8</v>
      </c>
      <c r="L1546" s="1">
        <v>-1.7259E7</v>
      </c>
      <c r="M1546" s="1">
        <v>6.1581E7</v>
      </c>
      <c r="N1546" s="1">
        <v>3.353278E9</v>
      </c>
      <c r="O1546" s="1">
        <v>3.11622E9</v>
      </c>
      <c r="P1546" s="1">
        <v>2.818602E9</v>
      </c>
      <c r="Q1546" s="1">
        <v>-78999.0</v>
      </c>
      <c r="R1546" s="1">
        <v>1.75398E8</v>
      </c>
      <c r="S1546" s="1">
        <v>1.74365E8</v>
      </c>
    </row>
    <row r="1547">
      <c r="A1547" s="1">
        <v>1545.0</v>
      </c>
      <c r="B1547" s="11">
        <v>44377.0</v>
      </c>
      <c r="C1547" s="1" t="s">
        <v>808</v>
      </c>
      <c r="D1547" s="1" t="s">
        <v>809</v>
      </c>
      <c r="F1547" s="1">
        <v>1.59922E8</v>
      </c>
      <c r="G1547" s="1">
        <v>1.17033E8</v>
      </c>
      <c r="H1547" s="1">
        <v>2.7011E8</v>
      </c>
      <c r="I1547" s="1">
        <v>4.47711E8</v>
      </c>
      <c r="J1547" s="1">
        <v>1.5631E8</v>
      </c>
      <c r="K1547" s="1">
        <v>1.5631E8</v>
      </c>
      <c r="L1547" s="1">
        <v>-1.3109E7</v>
      </c>
      <c r="M1547" s="1">
        <v>4.0951E7</v>
      </c>
      <c r="N1547" s="1">
        <v>2.999816E9</v>
      </c>
      <c r="O1547" s="1">
        <v>2.843506E9</v>
      </c>
      <c r="P1547" s="1">
        <v>2.552105E9</v>
      </c>
      <c r="Q1547" s="1">
        <v>3612000.0</v>
      </c>
      <c r="R1547" s="1">
        <v>1.18971E8</v>
      </c>
      <c r="S1547" s="1">
        <v>1.17033E8</v>
      </c>
    </row>
    <row r="1548">
      <c r="A1548" s="1">
        <v>1546.0</v>
      </c>
      <c r="B1548" s="11">
        <v>44286.0</v>
      </c>
      <c r="C1548" s="1" t="s">
        <v>808</v>
      </c>
      <c r="D1548" s="1" t="s">
        <v>809</v>
      </c>
      <c r="F1548" s="1">
        <v>1.05043E8</v>
      </c>
      <c r="G1548" s="1">
        <v>8.9761E7</v>
      </c>
      <c r="H1548" s="1">
        <v>2.43352E8</v>
      </c>
      <c r="I1548" s="1">
        <v>3.7289E8</v>
      </c>
      <c r="J1548" s="1">
        <v>1.08183E8</v>
      </c>
      <c r="K1548" s="1">
        <v>1.08183E8</v>
      </c>
      <c r="L1548" s="1">
        <v>-1.2475E7</v>
      </c>
      <c r="M1548" s="1">
        <v>1.3724E7</v>
      </c>
      <c r="N1548" s="1">
        <v>2.703581E9</v>
      </c>
      <c r="O1548" s="1">
        <v>2.595398E9</v>
      </c>
      <c r="P1548" s="1">
        <v>2.330691E9</v>
      </c>
      <c r="Q1548" s="1">
        <v>-3140000.0</v>
      </c>
      <c r="R1548" s="1">
        <v>9.1319E7</v>
      </c>
      <c r="S1548" s="1">
        <v>8.9761E7</v>
      </c>
    </row>
    <row r="1549">
      <c r="A1549" s="1">
        <v>1547.0</v>
      </c>
      <c r="B1549" s="11">
        <v>44196.0</v>
      </c>
      <c r="C1549" s="1" t="s">
        <v>808</v>
      </c>
      <c r="D1549" s="1" t="s">
        <v>809</v>
      </c>
      <c r="F1549" s="1">
        <v>1.71722E8</v>
      </c>
      <c r="G1549" s="1">
        <v>1.70051E8</v>
      </c>
      <c r="H1549" s="1">
        <v>2.65775E8</v>
      </c>
      <c r="I1549" s="1">
        <v>4.65873E8</v>
      </c>
      <c r="J1549" s="1">
        <v>1.78768E8</v>
      </c>
      <c r="K1549" s="1">
        <v>1.78768E8</v>
      </c>
      <c r="L1549" s="1">
        <v>-1.1304E7</v>
      </c>
      <c r="M1549" s="1">
        <v>-239000.0</v>
      </c>
      <c r="N1549" s="1">
        <v>2.912185E9</v>
      </c>
      <c r="O1549" s="1">
        <v>2.733417E9</v>
      </c>
      <c r="P1549" s="1">
        <v>2.446312E9</v>
      </c>
      <c r="Q1549" s="1">
        <v>-7046000.0</v>
      </c>
      <c r="R1549" s="1">
        <v>1.71961E8</v>
      </c>
      <c r="S1549" s="1">
        <v>1.70051E8</v>
      </c>
    </row>
    <row r="1550">
      <c r="A1550" s="1">
        <v>1548.0</v>
      </c>
      <c r="B1550" s="11">
        <v>44469.0</v>
      </c>
      <c r="C1550" s="1" t="s">
        <v>810</v>
      </c>
      <c r="D1550" s="1" t="s">
        <v>811</v>
      </c>
      <c r="F1550" s="1">
        <v>6.8E8</v>
      </c>
      <c r="G1550" s="1">
        <v>5.05E8</v>
      </c>
      <c r="H1550" s="1">
        <v>4.21E8</v>
      </c>
      <c r="I1550" s="1">
        <v>1.111E9</v>
      </c>
      <c r="J1550" s="1">
        <v>6.65E8</v>
      </c>
      <c r="K1550" s="1">
        <v>6.65E8</v>
      </c>
      <c r="L1550" s="1">
        <v>-3.8E7</v>
      </c>
      <c r="M1550" s="1">
        <v>1.53E8</v>
      </c>
      <c r="N1550" s="1">
        <v>2.774E9</v>
      </c>
      <c r="O1550" s="1">
        <v>2.109E9</v>
      </c>
      <c r="P1550" s="1">
        <v>1.663E9</v>
      </c>
      <c r="Q1550" s="1">
        <v>1.5E7</v>
      </c>
      <c r="R1550" s="1">
        <v>5.27E8</v>
      </c>
      <c r="S1550" s="1">
        <v>5.03E8</v>
      </c>
    </row>
    <row r="1551">
      <c r="A1551" s="1">
        <v>1549.0</v>
      </c>
      <c r="B1551" s="11">
        <v>44377.0</v>
      </c>
      <c r="C1551" s="1" t="s">
        <v>810</v>
      </c>
      <c r="D1551" s="1" t="s">
        <v>811</v>
      </c>
      <c r="F1551" s="1">
        <v>8.27E8</v>
      </c>
      <c r="G1551" s="1">
        <v>6.31E8</v>
      </c>
      <c r="H1551" s="1">
        <v>4.2E8</v>
      </c>
      <c r="I1551" s="1">
        <v>9.97E8</v>
      </c>
      <c r="J1551" s="1">
        <v>5.54E8</v>
      </c>
      <c r="K1551" s="1">
        <v>5.54E8</v>
      </c>
      <c r="L1551" s="1">
        <v>-3.8E7</v>
      </c>
      <c r="M1551" s="1">
        <v>1.77E8</v>
      </c>
      <c r="N1551" s="1">
        <v>2.55E9</v>
      </c>
      <c r="O1551" s="1">
        <v>1.996E9</v>
      </c>
      <c r="P1551" s="1">
        <v>1.553E9</v>
      </c>
      <c r="Q1551" s="1">
        <v>2.73E8</v>
      </c>
      <c r="R1551" s="1">
        <v>6.5E8</v>
      </c>
      <c r="S1551" s="1">
        <v>6.28E8</v>
      </c>
    </row>
    <row r="1552">
      <c r="A1552" s="1">
        <v>1550.0</v>
      </c>
      <c r="B1552" s="11">
        <v>44286.0</v>
      </c>
      <c r="C1552" s="1" t="s">
        <v>810</v>
      </c>
      <c r="D1552" s="1" t="s">
        <v>811</v>
      </c>
      <c r="F1552" s="1">
        <v>6.43E8</v>
      </c>
      <c r="G1552" s="1">
        <v>4.69E8</v>
      </c>
      <c r="H1552" s="1">
        <v>3.97E8</v>
      </c>
      <c r="I1552" s="1">
        <v>1.105E9</v>
      </c>
      <c r="J1552" s="1">
        <v>6.81E8</v>
      </c>
      <c r="K1552" s="1">
        <v>6.81E8</v>
      </c>
      <c r="L1552" s="1">
        <v>-3.8E7</v>
      </c>
      <c r="M1552" s="1">
        <v>1.53E8</v>
      </c>
      <c r="N1552" s="1">
        <v>2.72E9</v>
      </c>
      <c r="O1552" s="1">
        <v>2.039E9</v>
      </c>
      <c r="P1552" s="1">
        <v>1.615E9</v>
      </c>
      <c r="Q1552" s="1">
        <v>-3.8E7</v>
      </c>
      <c r="R1552" s="1">
        <v>4.9E8</v>
      </c>
      <c r="S1552" s="1">
        <v>4.68E8</v>
      </c>
    </row>
    <row r="1553">
      <c r="A1553" s="1">
        <v>1551.0</v>
      </c>
      <c r="B1553" s="11">
        <v>44196.0</v>
      </c>
      <c r="C1553" s="1" t="s">
        <v>810</v>
      </c>
      <c r="D1553" s="1" t="s">
        <v>811</v>
      </c>
      <c r="F1553" s="1">
        <v>8.0E8</v>
      </c>
      <c r="G1553" s="1">
        <v>5.79E8</v>
      </c>
      <c r="H1553" s="1">
        <v>4.36E8</v>
      </c>
      <c r="I1553" s="1">
        <v>1.294E9</v>
      </c>
      <c r="J1553" s="1">
        <v>8.35E8</v>
      </c>
      <c r="K1553" s="1">
        <v>8.35E8</v>
      </c>
      <c r="L1553" s="1">
        <v>-4.0E7</v>
      </c>
      <c r="M1553" s="1">
        <v>1.91E8</v>
      </c>
      <c r="N1553" s="1">
        <v>3.002E9</v>
      </c>
      <c r="O1553" s="1">
        <v>2.167E9</v>
      </c>
      <c r="P1553" s="1">
        <v>1.708E9</v>
      </c>
      <c r="Q1553" s="1">
        <v>-3.5E7</v>
      </c>
      <c r="R1553" s="1">
        <v>6.09E8</v>
      </c>
      <c r="S1553" s="1">
        <v>5.76E8</v>
      </c>
    </row>
    <row r="1554">
      <c r="A1554" s="1">
        <v>1552.0</v>
      </c>
      <c r="B1554" s="11">
        <v>44464.0</v>
      </c>
      <c r="C1554" s="1" t="s">
        <v>812</v>
      </c>
      <c r="D1554" s="1" t="s">
        <v>813</v>
      </c>
      <c r="F1554" s="1">
        <v>2.381E8</v>
      </c>
      <c r="G1554" s="1">
        <v>1.933E8</v>
      </c>
      <c r="H1554" s="1">
        <v>7.551E8</v>
      </c>
      <c r="I1554" s="1">
        <v>1.0117E9</v>
      </c>
      <c r="J1554" s="1">
        <v>2.515E8</v>
      </c>
      <c r="K1554" s="1">
        <v>2.515E8</v>
      </c>
      <c r="L1554" s="1">
        <v>-1.36E7</v>
      </c>
      <c r="M1554" s="1">
        <v>4.48E7</v>
      </c>
      <c r="N1554" s="1">
        <v>1.5041E9</v>
      </c>
      <c r="O1554" s="1">
        <v>1.2526E9</v>
      </c>
      <c r="P1554" s="1">
        <v>4.924E8</v>
      </c>
      <c r="Q1554" s="1">
        <v>-1.34E7</v>
      </c>
      <c r="R1554" s="1">
        <v>1.933E8</v>
      </c>
      <c r="S1554" s="1">
        <v>1.933E8</v>
      </c>
    </row>
    <row r="1555">
      <c r="A1555" s="1">
        <v>1553.0</v>
      </c>
      <c r="B1555" s="11">
        <v>44373.0</v>
      </c>
      <c r="C1555" s="1" t="s">
        <v>812</v>
      </c>
      <c r="D1555" s="1" t="s">
        <v>813</v>
      </c>
      <c r="F1555" s="1">
        <v>2.1E8</v>
      </c>
      <c r="G1555" s="1">
        <v>1.647E8</v>
      </c>
      <c r="H1555" s="1">
        <v>6.774E8</v>
      </c>
      <c r="I1555" s="1">
        <v>9.601E8</v>
      </c>
      <c r="J1555" s="1">
        <v>2.302E8</v>
      </c>
      <c r="K1555" s="1">
        <v>2.302E8</v>
      </c>
      <c r="L1555" s="1">
        <v>-1.33E7</v>
      </c>
      <c r="M1555" s="1">
        <v>4.53E7</v>
      </c>
      <c r="N1555" s="1">
        <v>1.3763E9</v>
      </c>
      <c r="O1555" s="1">
        <v>1.1461E9</v>
      </c>
      <c r="P1555" s="1">
        <v>4.162E8</v>
      </c>
      <c r="Q1555" s="1">
        <v>-2.02E7</v>
      </c>
      <c r="R1555" s="1">
        <v>1.647E8</v>
      </c>
      <c r="S1555" s="1">
        <v>1.647E8</v>
      </c>
    </row>
    <row r="1556">
      <c r="A1556" s="1">
        <v>1554.0</v>
      </c>
      <c r="B1556" s="11">
        <v>44282.0</v>
      </c>
      <c r="C1556" s="1" t="s">
        <v>812</v>
      </c>
      <c r="D1556" s="1" t="s">
        <v>813</v>
      </c>
      <c r="F1556" s="1">
        <v>-3.53E7</v>
      </c>
      <c r="G1556" s="1">
        <v>-7.41E7</v>
      </c>
      <c r="H1556" s="1">
        <v>9.017E8</v>
      </c>
      <c r="I1556" s="1">
        <v>8.093E8</v>
      </c>
      <c r="J1556" s="1">
        <v>4.1E7</v>
      </c>
      <c r="K1556" s="1">
        <v>4.1E7</v>
      </c>
      <c r="L1556" s="1">
        <v>-1.39E7</v>
      </c>
      <c r="M1556" s="1">
        <v>3.88E7</v>
      </c>
      <c r="N1556" s="1">
        <v>1.287E9</v>
      </c>
      <c r="O1556" s="1">
        <v>1.246E9</v>
      </c>
      <c r="P1556" s="1">
        <v>4.777E8</v>
      </c>
      <c r="Q1556" s="1">
        <v>-7.63E7</v>
      </c>
      <c r="R1556" s="1">
        <v>-7.41E7</v>
      </c>
      <c r="S1556" s="1">
        <v>-7.41E7</v>
      </c>
    </row>
    <row r="1557">
      <c r="A1557" s="1">
        <v>1555.0</v>
      </c>
      <c r="B1557" s="11">
        <v>44191.0</v>
      </c>
      <c r="C1557" s="1" t="s">
        <v>812</v>
      </c>
      <c r="D1557" s="1" t="s">
        <v>813</v>
      </c>
      <c r="F1557" s="1">
        <v>1.622E8</v>
      </c>
      <c r="G1557" s="1">
        <v>1.198E8</v>
      </c>
      <c r="H1557" s="1">
        <v>6.873E8</v>
      </c>
      <c r="I1557" s="1">
        <v>9.374E8</v>
      </c>
      <c r="J1557" s="1">
        <v>1.889E8</v>
      </c>
      <c r="K1557" s="1">
        <v>1.889E8</v>
      </c>
      <c r="L1557" s="1">
        <v>-1.22E7</v>
      </c>
      <c r="M1557" s="1">
        <v>4.24E7</v>
      </c>
      <c r="N1557" s="1">
        <v>1.4328E9</v>
      </c>
      <c r="O1557" s="1">
        <v>1.2439E9</v>
      </c>
      <c r="P1557" s="1">
        <v>4.954E8</v>
      </c>
      <c r="Q1557" s="1">
        <v>-2.67E7</v>
      </c>
      <c r="R1557" s="1">
        <v>1.198E8</v>
      </c>
      <c r="S1557" s="1">
        <v>1.198E8</v>
      </c>
    </row>
    <row r="1558">
      <c r="A1558" s="1">
        <v>1556.0</v>
      </c>
      <c r="B1558" s="11">
        <v>44469.0</v>
      </c>
      <c r="C1558" s="1" t="s">
        <v>814</v>
      </c>
      <c r="D1558" s="1" t="s">
        <v>815</v>
      </c>
      <c r="F1558" s="1">
        <v>5.6E8</v>
      </c>
      <c r="G1558" s="1">
        <v>4.29E8</v>
      </c>
      <c r="H1558" s="1">
        <v>1.902E9</v>
      </c>
      <c r="I1558" s="1">
        <v>2.539E9</v>
      </c>
      <c r="J1558" s="1">
        <v>0.0</v>
      </c>
      <c r="K1558" s="1">
        <v>5.65E8</v>
      </c>
      <c r="M1558" s="1">
        <v>1.31E8</v>
      </c>
      <c r="N1558" s="1">
        <v>2.69E9</v>
      </c>
      <c r="O1558" s="1">
        <v>2.125E9</v>
      </c>
      <c r="P1558" s="1">
        <v>1.51E8</v>
      </c>
      <c r="Q1558" s="1">
        <v>-5000000.0</v>
      </c>
      <c r="R1558" s="1">
        <v>4.29E8</v>
      </c>
      <c r="S1558" s="1">
        <v>4.29E8</v>
      </c>
    </row>
    <row r="1559">
      <c r="A1559" s="1">
        <v>1557.0</v>
      </c>
      <c r="B1559" s="11">
        <v>44377.0</v>
      </c>
      <c r="C1559" s="1" t="s">
        <v>814</v>
      </c>
      <c r="D1559" s="1" t="s">
        <v>815</v>
      </c>
      <c r="F1559" s="1">
        <v>3.85E8</v>
      </c>
      <c r="G1559" s="1">
        <v>3.07E8</v>
      </c>
      <c r="H1559" s="1">
        <v>1.776E9</v>
      </c>
      <c r="I1559" s="1">
        <v>2.356E9</v>
      </c>
      <c r="J1559" s="1">
        <v>0.0</v>
      </c>
      <c r="K1559" s="1">
        <v>4.89E8</v>
      </c>
      <c r="M1559" s="1">
        <v>7.8E7</v>
      </c>
      <c r="N1559" s="1">
        <v>2.499E9</v>
      </c>
      <c r="O1559" s="1">
        <v>2.01E9</v>
      </c>
      <c r="P1559" s="1">
        <v>1.43E8</v>
      </c>
      <c r="Q1559" s="1">
        <v>-1.04E8</v>
      </c>
      <c r="R1559" s="1">
        <v>3.07E8</v>
      </c>
      <c r="S1559" s="1">
        <v>3.07E8</v>
      </c>
    </row>
    <row r="1560">
      <c r="A1560" s="1">
        <v>1558.0</v>
      </c>
      <c r="B1560" s="11">
        <v>44286.0</v>
      </c>
      <c r="C1560" s="1" t="s">
        <v>814</v>
      </c>
      <c r="D1560" s="1" t="s">
        <v>815</v>
      </c>
      <c r="F1560" s="1">
        <v>4.47E8</v>
      </c>
      <c r="G1560" s="1">
        <v>3.55E8</v>
      </c>
      <c r="H1560" s="1">
        <v>1.75E9</v>
      </c>
      <c r="I1560" s="1">
        <v>2.27E9</v>
      </c>
      <c r="J1560" s="1">
        <v>0.0</v>
      </c>
      <c r="K1560" s="1">
        <v>4.51E8</v>
      </c>
      <c r="M1560" s="1">
        <v>9.2E7</v>
      </c>
      <c r="N1560" s="1">
        <v>2.408E9</v>
      </c>
      <c r="O1560" s="1">
        <v>1.957E9</v>
      </c>
      <c r="P1560" s="1">
        <v>1.38E8</v>
      </c>
      <c r="Q1560" s="1">
        <v>-4000000.0</v>
      </c>
      <c r="R1560" s="1">
        <v>3.55E8</v>
      </c>
      <c r="S1560" s="1">
        <v>3.55E8</v>
      </c>
    </row>
    <row r="1561">
      <c r="A1561" s="1">
        <v>1559.0</v>
      </c>
      <c r="B1561" s="11">
        <v>44196.0</v>
      </c>
      <c r="C1561" s="1" t="s">
        <v>814</v>
      </c>
      <c r="D1561" s="1" t="s">
        <v>815</v>
      </c>
      <c r="F1561" s="1">
        <v>3.99E8</v>
      </c>
      <c r="G1561" s="1">
        <v>3.12E8</v>
      </c>
      <c r="H1561" s="1">
        <v>1.61E9</v>
      </c>
      <c r="I1561" s="1">
        <v>2.107E9</v>
      </c>
      <c r="J1561" s="1">
        <v>0.0</v>
      </c>
      <c r="K1561" s="1">
        <v>4.37E8</v>
      </c>
      <c r="M1561" s="1">
        <v>8.7E7</v>
      </c>
      <c r="N1561" s="1">
        <v>2.234E9</v>
      </c>
      <c r="O1561" s="1">
        <v>1.797E9</v>
      </c>
      <c r="P1561" s="1">
        <v>1.27E8</v>
      </c>
      <c r="Q1561" s="1">
        <v>-3.8E7</v>
      </c>
      <c r="R1561" s="1">
        <v>3.12E8</v>
      </c>
      <c r="S1561" s="1">
        <v>3.11E8</v>
      </c>
    </row>
    <row r="1562">
      <c r="A1562" s="1">
        <v>1560.0</v>
      </c>
      <c r="B1562" s="11">
        <v>44469.0</v>
      </c>
      <c r="C1562" s="1" t="s">
        <v>816</v>
      </c>
      <c r="D1562" s="1" t="s">
        <v>817</v>
      </c>
      <c r="E1562" s="1">
        <v>6.76E8</v>
      </c>
      <c r="F1562" s="1">
        <v>1.476E9</v>
      </c>
      <c r="G1562" s="1">
        <v>1.393E9</v>
      </c>
      <c r="H1562" s="1">
        <v>7.23E8</v>
      </c>
      <c r="I1562" s="1">
        <v>3.128E9</v>
      </c>
      <c r="J1562" s="1">
        <v>1.854E9</v>
      </c>
      <c r="K1562" s="1">
        <v>1.854E9</v>
      </c>
      <c r="L1562" s="1">
        <v>-3.58E8</v>
      </c>
      <c r="M1562" s="1">
        <v>3000000.0</v>
      </c>
      <c r="N1562" s="1">
        <v>1.6213E10</v>
      </c>
      <c r="O1562" s="1">
        <v>1.4359E10</v>
      </c>
      <c r="P1562" s="1">
        <v>1.3085E10</v>
      </c>
      <c r="Q1562" s="1">
        <v>-3.78E8</v>
      </c>
      <c r="R1562" s="1">
        <v>1.473E9</v>
      </c>
      <c r="S1562" s="1">
        <v>1.393E9</v>
      </c>
    </row>
    <row r="1563">
      <c r="A1563" s="1">
        <v>1561.0</v>
      </c>
      <c r="B1563" s="11">
        <v>44377.0</v>
      </c>
      <c r="C1563" s="1" t="s">
        <v>816</v>
      </c>
      <c r="D1563" s="1" t="s">
        <v>817</v>
      </c>
      <c r="E1563" s="1">
        <v>6.57E8</v>
      </c>
      <c r="F1563" s="1">
        <v>1.43E9</v>
      </c>
      <c r="G1563" s="1">
        <v>1.032E9</v>
      </c>
      <c r="H1563" s="1">
        <v>8.23E8</v>
      </c>
      <c r="I1563" s="1">
        <v>3.226E9</v>
      </c>
      <c r="J1563" s="1">
        <v>1.828E9</v>
      </c>
      <c r="K1563" s="1">
        <v>1.828E9</v>
      </c>
      <c r="L1563" s="1">
        <v>-3.46E8</v>
      </c>
      <c r="M1563" s="1">
        <v>3.42E8</v>
      </c>
      <c r="N1563" s="1">
        <v>1.588E10</v>
      </c>
      <c r="O1563" s="1">
        <v>1.4052E10</v>
      </c>
      <c r="P1563" s="1">
        <v>1.2654E10</v>
      </c>
      <c r="Q1563" s="1">
        <v>-3.98E8</v>
      </c>
      <c r="R1563" s="1">
        <v>1.088E9</v>
      </c>
      <c r="S1563" s="1">
        <v>1.032E9</v>
      </c>
    </row>
    <row r="1564">
      <c r="A1564" s="1">
        <v>1562.0</v>
      </c>
      <c r="B1564" s="11">
        <v>44286.0</v>
      </c>
      <c r="C1564" s="1" t="s">
        <v>816</v>
      </c>
      <c r="D1564" s="1" t="s">
        <v>817</v>
      </c>
      <c r="E1564" s="1">
        <v>5.89E8</v>
      </c>
      <c r="F1564" s="1">
        <v>1.158E9</v>
      </c>
      <c r="G1564" s="1">
        <v>7.53E8</v>
      </c>
      <c r="H1564" s="1">
        <v>6.89E8</v>
      </c>
      <c r="I1564" s="1">
        <v>2.734E9</v>
      </c>
      <c r="J1564" s="1">
        <v>1.543E9</v>
      </c>
      <c r="K1564" s="1">
        <v>1.543E9</v>
      </c>
      <c r="L1564" s="1">
        <v>-3.57E8</v>
      </c>
      <c r="M1564" s="1">
        <v>3.45E8</v>
      </c>
      <c r="N1564" s="1">
        <v>1.5251E10</v>
      </c>
      <c r="O1564" s="1">
        <v>1.3708E10</v>
      </c>
      <c r="P1564" s="1">
        <v>1.2517E10</v>
      </c>
      <c r="Q1564" s="1">
        <v>-3.85E8</v>
      </c>
      <c r="R1564" s="1">
        <v>8.13E8</v>
      </c>
      <c r="S1564" s="1">
        <v>7.53E8</v>
      </c>
    </row>
    <row r="1565">
      <c r="A1565" s="1">
        <v>1563.0</v>
      </c>
      <c r="B1565" s="11">
        <v>44196.0</v>
      </c>
      <c r="C1565" s="1" t="s">
        <v>816</v>
      </c>
      <c r="D1565" s="1" t="s">
        <v>817</v>
      </c>
      <c r="E1565" s="1">
        <v>7.1E8</v>
      </c>
      <c r="F1565" s="1">
        <v>3.7E7</v>
      </c>
      <c r="G1565" s="1">
        <v>1.35E8</v>
      </c>
      <c r="H1565" s="1">
        <v>1.065E9</v>
      </c>
      <c r="I1565" s="1">
        <v>2.309E9</v>
      </c>
      <c r="J1565" s="1">
        <v>5.57E8</v>
      </c>
      <c r="K1565" s="1">
        <v>5.57E8</v>
      </c>
      <c r="L1565" s="1">
        <v>-3.67E8</v>
      </c>
      <c r="M1565" s="1">
        <v>-1.78E8</v>
      </c>
      <c r="N1565" s="1">
        <v>1.6419E10</v>
      </c>
      <c r="O1565" s="1">
        <v>1.5862E10</v>
      </c>
      <c r="P1565" s="1">
        <v>1.411E10</v>
      </c>
      <c r="Q1565" s="1">
        <v>-5.2E8</v>
      </c>
      <c r="R1565" s="1">
        <v>2.15E8</v>
      </c>
      <c r="S1565" s="1">
        <v>1.35E8</v>
      </c>
    </row>
    <row r="1566">
      <c r="A1566" s="1">
        <v>1564.0</v>
      </c>
      <c r="B1566" s="11">
        <v>44469.0</v>
      </c>
      <c r="C1566" s="1" t="s">
        <v>818</v>
      </c>
      <c r="D1566" s="1" t="s">
        <v>819</v>
      </c>
      <c r="F1566" s="1">
        <v>1.41355E8</v>
      </c>
      <c r="G1566" s="1">
        <v>1.34996E8</v>
      </c>
      <c r="H1566" s="1">
        <v>2.3813E7</v>
      </c>
      <c r="I1566" s="1">
        <v>4.62213E8</v>
      </c>
      <c r="J1566" s="1">
        <v>2.39568E8</v>
      </c>
      <c r="K1566" s="1">
        <v>2.39568E8</v>
      </c>
      <c r="L1566" s="1">
        <v>-7.6156E7</v>
      </c>
      <c r="M1566" s="1">
        <v>6079000.0</v>
      </c>
      <c r="N1566" s="1">
        <v>4.91875E8</v>
      </c>
      <c r="O1566" s="1">
        <v>2.52307E8</v>
      </c>
      <c r="P1566" s="1">
        <v>2.9662E7</v>
      </c>
      <c r="Q1566" s="1">
        <v>-9.8213E7</v>
      </c>
      <c r="R1566" s="1">
        <v>1.35276E8</v>
      </c>
      <c r="S1566" s="1">
        <v>1.34996E8</v>
      </c>
    </row>
    <row r="1567">
      <c r="A1567" s="1">
        <v>1565.0</v>
      </c>
      <c r="B1567" s="11">
        <v>44377.0</v>
      </c>
      <c r="C1567" s="1" t="s">
        <v>818</v>
      </c>
      <c r="D1567" s="1" t="s">
        <v>819</v>
      </c>
      <c r="F1567" s="1">
        <v>1.33993E8</v>
      </c>
      <c r="G1567" s="1">
        <v>1.24479E8</v>
      </c>
      <c r="H1567" s="1">
        <v>2.1849E7</v>
      </c>
      <c r="I1567" s="1">
        <v>4.32548E8</v>
      </c>
      <c r="J1567" s="1">
        <v>2.2291E8</v>
      </c>
      <c r="K1567" s="1">
        <v>2.2291E8</v>
      </c>
      <c r="L1567" s="1">
        <v>-7.3674E7</v>
      </c>
      <c r="M1567" s="1">
        <v>9225000.0</v>
      </c>
      <c r="N1567" s="1">
        <v>4.64282E8</v>
      </c>
      <c r="O1567" s="1">
        <v>2.41372E8</v>
      </c>
      <c r="P1567" s="1">
        <v>3.1734E7</v>
      </c>
      <c r="Q1567" s="1">
        <v>-8.8917E7</v>
      </c>
      <c r="R1567" s="1">
        <v>1.24768E8</v>
      </c>
      <c r="S1567" s="1">
        <v>1.24479E8</v>
      </c>
    </row>
    <row r="1568">
      <c r="A1568" s="1">
        <v>1566.0</v>
      </c>
      <c r="B1568" s="11">
        <v>44286.0</v>
      </c>
      <c r="C1568" s="1" t="s">
        <v>818</v>
      </c>
      <c r="D1568" s="1" t="s">
        <v>819</v>
      </c>
      <c r="F1568" s="1">
        <v>1.02461E8</v>
      </c>
      <c r="G1568" s="1">
        <v>9.594E7</v>
      </c>
      <c r="H1568" s="1">
        <v>2.0796E7</v>
      </c>
      <c r="I1568" s="1">
        <v>4.14305E8</v>
      </c>
      <c r="J1568" s="1">
        <v>2.15524E8</v>
      </c>
      <c r="K1568" s="1">
        <v>2.15524E8</v>
      </c>
      <c r="L1568" s="1">
        <v>-7.3075E7</v>
      </c>
      <c r="M1568" s="1">
        <v>6225000.0</v>
      </c>
      <c r="N1568" s="1">
        <v>4.42804E8</v>
      </c>
      <c r="O1568" s="1">
        <v>2.2728E8</v>
      </c>
      <c r="P1568" s="1">
        <v>2.8499E7</v>
      </c>
      <c r="Q1568" s="1">
        <v>-1.13063E8</v>
      </c>
      <c r="R1568" s="1">
        <v>9.6236E7</v>
      </c>
      <c r="S1568" s="1">
        <v>9.594E7</v>
      </c>
    </row>
    <row r="1569">
      <c r="A1569" s="1">
        <v>1567.0</v>
      </c>
      <c r="B1569" s="11">
        <v>44196.0</v>
      </c>
      <c r="C1569" s="1" t="s">
        <v>818</v>
      </c>
      <c r="D1569" s="1" t="s">
        <v>819</v>
      </c>
      <c r="F1569" s="1">
        <v>1.2265E8</v>
      </c>
      <c r="G1569" s="1">
        <v>1.17931E8</v>
      </c>
      <c r="H1569" s="1">
        <v>1.6674E7</v>
      </c>
      <c r="I1569" s="1">
        <v>3.90941E8</v>
      </c>
      <c r="J1569" s="1">
        <v>1.99226E8</v>
      </c>
      <c r="K1569" s="1">
        <v>1.99226E8</v>
      </c>
      <c r="L1569" s="1">
        <v>-7.8764E7</v>
      </c>
      <c r="M1569" s="1">
        <v>4500000.0</v>
      </c>
      <c r="N1569" s="1">
        <v>4.18076E8</v>
      </c>
      <c r="O1569" s="1">
        <v>2.1885E8</v>
      </c>
      <c r="P1569" s="1">
        <v>2.7135E7</v>
      </c>
      <c r="Q1569" s="1">
        <v>-7.6576E7</v>
      </c>
      <c r="R1569" s="1">
        <v>1.1815E8</v>
      </c>
      <c r="S1569" s="1">
        <v>1.17931E8</v>
      </c>
    </row>
    <row r="1570">
      <c r="A1570" s="1">
        <v>1568.0</v>
      </c>
      <c r="B1570" s="11">
        <v>44469.0</v>
      </c>
      <c r="C1570" s="1" t="s">
        <v>820</v>
      </c>
      <c r="D1570" s="1" t="s">
        <v>821</v>
      </c>
      <c r="F1570" s="1">
        <v>1.18848E8</v>
      </c>
      <c r="G1570" s="1">
        <v>1.17406E8</v>
      </c>
      <c r="H1570" s="1">
        <v>1.7789E7</v>
      </c>
      <c r="I1570" s="1">
        <v>2.42371E8</v>
      </c>
      <c r="J1570" s="1">
        <v>1.48311E8</v>
      </c>
      <c r="K1570" s="1">
        <v>1.48311E8</v>
      </c>
      <c r="L1570" s="1">
        <v>-3.6148E7</v>
      </c>
      <c r="M1570" s="1">
        <v>0.0</v>
      </c>
      <c r="N1570" s="1">
        <v>3.21618E8</v>
      </c>
      <c r="O1570" s="1">
        <v>1.73307E8</v>
      </c>
      <c r="P1570" s="1">
        <v>7.9247E7</v>
      </c>
      <c r="Q1570" s="1">
        <v>-2.9463E7</v>
      </c>
      <c r="R1570" s="1">
        <v>1.18848E8</v>
      </c>
      <c r="S1570" s="1">
        <v>1.17406E8</v>
      </c>
    </row>
    <row r="1571">
      <c r="A1571" s="1">
        <v>1569.0</v>
      </c>
      <c r="B1571" s="11">
        <v>44377.0</v>
      </c>
      <c r="C1571" s="1" t="s">
        <v>820</v>
      </c>
      <c r="D1571" s="1" t="s">
        <v>821</v>
      </c>
      <c r="F1571" s="1">
        <v>9.6832E7</v>
      </c>
      <c r="G1571" s="1">
        <v>9.549E7</v>
      </c>
      <c r="H1571" s="1">
        <v>1.9187E7</v>
      </c>
      <c r="I1571" s="1">
        <v>2.05581E8</v>
      </c>
      <c r="J1571" s="1">
        <v>1.11E8</v>
      </c>
      <c r="K1571" s="1">
        <v>1.11E8</v>
      </c>
      <c r="L1571" s="1">
        <v>-3.5962E7</v>
      </c>
      <c r="M1571" s="1">
        <v>0.0</v>
      </c>
      <c r="N1571" s="1">
        <v>2.87594E8</v>
      </c>
      <c r="O1571" s="1">
        <v>1.76594E8</v>
      </c>
      <c r="P1571" s="1">
        <v>8.2013E7</v>
      </c>
      <c r="Q1571" s="1">
        <v>-1.4168E7</v>
      </c>
      <c r="R1571" s="1">
        <v>9.6832E7</v>
      </c>
      <c r="S1571" s="1">
        <v>9.549E7</v>
      </c>
    </row>
    <row r="1572">
      <c r="A1572" s="1">
        <v>1570.0</v>
      </c>
      <c r="B1572" s="11">
        <v>44286.0</v>
      </c>
      <c r="C1572" s="1" t="s">
        <v>820</v>
      </c>
      <c r="D1572" s="1" t="s">
        <v>821</v>
      </c>
      <c r="F1572" s="1">
        <v>8.1625E7</v>
      </c>
      <c r="G1572" s="1">
        <v>8.0656E7</v>
      </c>
      <c r="H1572" s="1">
        <v>2.1287E7</v>
      </c>
      <c r="I1572" s="1">
        <v>2.04621E8</v>
      </c>
      <c r="J1572" s="1">
        <v>1.05377E8</v>
      </c>
      <c r="K1572" s="1">
        <v>1.05377E8</v>
      </c>
      <c r="L1572" s="1">
        <v>-3.7094E7</v>
      </c>
      <c r="M1572" s="1">
        <v>0.0</v>
      </c>
      <c r="N1572" s="1">
        <v>2.86369E8</v>
      </c>
      <c r="O1572" s="1">
        <v>1.80992E8</v>
      </c>
      <c r="P1572" s="1">
        <v>8.1748E7</v>
      </c>
      <c r="Q1572" s="1">
        <v>-2.3752E7</v>
      </c>
      <c r="R1572" s="1">
        <v>8.1625E7</v>
      </c>
      <c r="S1572" s="1">
        <v>8.0656E7</v>
      </c>
    </row>
    <row r="1573">
      <c r="A1573" s="1">
        <v>1571.0</v>
      </c>
      <c r="B1573" s="11">
        <v>44196.0</v>
      </c>
      <c r="C1573" s="1" t="s">
        <v>820</v>
      </c>
      <c r="D1573" s="1" t="s">
        <v>821</v>
      </c>
      <c r="F1573" s="1">
        <v>3.8861E7</v>
      </c>
      <c r="G1573" s="1">
        <v>3.8487E7</v>
      </c>
      <c r="H1573" s="1">
        <v>2.0512E7</v>
      </c>
      <c r="I1573" s="1">
        <v>1.87145E8</v>
      </c>
      <c r="J1573" s="1">
        <v>7.1922E7</v>
      </c>
      <c r="K1573" s="1">
        <v>7.1922E7</v>
      </c>
      <c r="L1573" s="1">
        <v>-3.8301E7</v>
      </c>
      <c r="M1573" s="1">
        <v>-355000.0</v>
      </c>
      <c r="N1573" s="1">
        <v>2.67858E8</v>
      </c>
      <c r="O1573" s="1">
        <v>1.95936E8</v>
      </c>
      <c r="P1573" s="1">
        <v>8.0713E7</v>
      </c>
      <c r="Q1573" s="1">
        <v>-3.3061E7</v>
      </c>
      <c r="R1573" s="1">
        <v>3.9216E7</v>
      </c>
      <c r="S1573" s="1">
        <v>3.8487E7</v>
      </c>
    </row>
    <row r="1574">
      <c r="A1574" s="1">
        <v>1572.0</v>
      </c>
      <c r="B1574" s="11">
        <v>44469.0</v>
      </c>
      <c r="C1574" s="1" t="s">
        <v>822</v>
      </c>
      <c r="D1574" s="1" t="s">
        <v>823</v>
      </c>
      <c r="F1574" s="1">
        <v>1.8166E9</v>
      </c>
      <c r="G1574" s="1">
        <v>1.6322E9</v>
      </c>
      <c r="H1574" s="1">
        <v>4.45E8</v>
      </c>
      <c r="I1574" s="1">
        <v>2.3342E9</v>
      </c>
      <c r="J1574" s="1">
        <v>1.8472E9</v>
      </c>
      <c r="K1574" s="1">
        <v>1.8472E9</v>
      </c>
      <c r="L1574" s="1">
        <v>-1.42E7</v>
      </c>
      <c r="M1574" s="1">
        <v>1.844E8</v>
      </c>
      <c r="N1574" s="1">
        <v>3.4528E9</v>
      </c>
      <c r="O1574" s="1">
        <v>1.6056E9</v>
      </c>
      <c r="P1574" s="1">
        <v>1.1186E9</v>
      </c>
      <c r="Q1574" s="1">
        <v>-3.06E7</v>
      </c>
      <c r="R1574" s="1">
        <v>1.6322E9</v>
      </c>
      <c r="S1574" s="1">
        <v>1.6322E9</v>
      </c>
    </row>
    <row r="1575">
      <c r="A1575" s="1">
        <v>1573.0</v>
      </c>
      <c r="B1575" s="11">
        <v>44377.0</v>
      </c>
      <c r="C1575" s="1" t="s">
        <v>822</v>
      </c>
      <c r="D1575" s="1" t="s">
        <v>823</v>
      </c>
      <c r="F1575" s="1">
        <v>3.7528E9</v>
      </c>
      <c r="G1575" s="1">
        <v>3.0989E9</v>
      </c>
      <c r="H1575" s="1">
        <v>4.147E8</v>
      </c>
      <c r="I1575" s="1">
        <v>3.7306E9</v>
      </c>
      <c r="J1575" s="1">
        <v>3.3472E9</v>
      </c>
      <c r="K1575" s="1">
        <v>3.3472E9</v>
      </c>
      <c r="L1575" s="1">
        <v>-1.44E7</v>
      </c>
      <c r="M1575" s="1">
        <v>6.539E8</v>
      </c>
      <c r="N1575" s="1">
        <v>5.1385E9</v>
      </c>
      <c r="O1575" s="1">
        <v>1.7913E9</v>
      </c>
      <c r="P1575" s="1">
        <v>1.4079E9</v>
      </c>
      <c r="Q1575" s="1">
        <v>4.056E8</v>
      </c>
      <c r="R1575" s="1">
        <v>3.0989E9</v>
      </c>
      <c r="S1575" s="1">
        <v>3.0989E9</v>
      </c>
    </row>
    <row r="1576">
      <c r="A1576" s="1">
        <v>1574.0</v>
      </c>
      <c r="B1576" s="11">
        <v>44286.0</v>
      </c>
      <c r="C1576" s="1" t="s">
        <v>822</v>
      </c>
      <c r="D1576" s="1" t="s">
        <v>823</v>
      </c>
      <c r="F1576" s="1">
        <v>1.253E9</v>
      </c>
      <c r="G1576" s="1">
        <v>1.1152E9</v>
      </c>
      <c r="H1576" s="1">
        <v>4.056E8</v>
      </c>
      <c r="I1576" s="1">
        <v>1.4778E9</v>
      </c>
      <c r="J1576" s="1">
        <v>1.1127E9</v>
      </c>
      <c r="K1576" s="1">
        <v>1.1127E9</v>
      </c>
      <c r="L1576" s="1">
        <v>-1.46E7</v>
      </c>
      <c r="M1576" s="1">
        <v>1.378E8</v>
      </c>
      <c r="N1576" s="1">
        <v>2.5287E9</v>
      </c>
      <c r="O1576" s="1">
        <v>1.416E9</v>
      </c>
      <c r="P1576" s="1">
        <v>1.0509E9</v>
      </c>
      <c r="Q1576" s="1">
        <v>1.403E8</v>
      </c>
      <c r="R1576" s="1">
        <v>1.1152E9</v>
      </c>
      <c r="S1576" s="1">
        <v>1.1152E9</v>
      </c>
    </row>
    <row r="1577">
      <c r="A1577" s="1">
        <v>1575.0</v>
      </c>
      <c r="B1577" s="11">
        <v>44196.0</v>
      </c>
      <c r="C1577" s="1" t="s">
        <v>822</v>
      </c>
      <c r="D1577" s="1" t="s">
        <v>823</v>
      </c>
      <c r="F1577" s="1">
        <v>1.2246E9</v>
      </c>
      <c r="G1577" s="1">
        <v>1.1492E9</v>
      </c>
      <c r="H1577" s="1">
        <v>3.985E8</v>
      </c>
      <c r="I1577" s="1">
        <v>1.1386E9</v>
      </c>
      <c r="J1577" s="1">
        <v>8.853E8</v>
      </c>
      <c r="K1577" s="1">
        <v>8.853E8</v>
      </c>
      <c r="L1577" s="1">
        <v>-1.48E7</v>
      </c>
      <c r="M1577" s="1">
        <v>7.54E7</v>
      </c>
      <c r="N1577" s="1">
        <v>2.2362E9</v>
      </c>
      <c r="O1577" s="1">
        <v>1.3509E9</v>
      </c>
      <c r="P1577" s="1">
        <v>1.0976E9</v>
      </c>
      <c r="Q1577" s="1">
        <v>3.393E8</v>
      </c>
      <c r="R1577" s="1">
        <v>1.1492E9</v>
      </c>
      <c r="S1577" s="1">
        <v>1.1492E9</v>
      </c>
    </row>
    <row r="1578">
      <c r="A1578" s="1">
        <v>1576.0</v>
      </c>
      <c r="B1578" s="11">
        <v>44469.0</v>
      </c>
      <c r="C1578" s="1" t="s">
        <v>824</v>
      </c>
      <c r="D1578" s="1" t="s">
        <v>825</v>
      </c>
      <c r="F1578" s="1">
        <v>8.31E8</v>
      </c>
      <c r="G1578" s="1">
        <v>6.51E8</v>
      </c>
      <c r="H1578" s="1">
        <v>7.4E8</v>
      </c>
      <c r="I1578" s="1">
        <v>1.767E9</v>
      </c>
      <c r="J1578" s="1">
        <v>0.0</v>
      </c>
      <c r="K1578" s="1">
        <v>8.49E8</v>
      </c>
      <c r="M1578" s="1">
        <v>1.8E8</v>
      </c>
      <c r="N1578" s="1">
        <v>1.767E9</v>
      </c>
      <c r="O1578" s="1">
        <v>9.18E8</v>
      </c>
      <c r="P1578" s="1">
        <v>0.0</v>
      </c>
      <c r="Q1578" s="1">
        <v>-1.8E7</v>
      </c>
      <c r="R1578" s="1">
        <v>6.51E8</v>
      </c>
      <c r="S1578" s="1">
        <v>6.24E8</v>
      </c>
    </row>
    <row r="1579">
      <c r="A1579" s="1">
        <v>1577.0</v>
      </c>
      <c r="B1579" s="11">
        <v>44377.0</v>
      </c>
      <c r="C1579" s="1" t="s">
        <v>824</v>
      </c>
      <c r="D1579" s="1" t="s">
        <v>825</v>
      </c>
      <c r="F1579" s="1">
        <v>1.021E9</v>
      </c>
      <c r="G1579" s="1">
        <v>7.9E8</v>
      </c>
      <c r="H1579" s="1">
        <v>7.23E8</v>
      </c>
      <c r="I1579" s="1">
        <v>1.919E9</v>
      </c>
      <c r="J1579" s="1">
        <v>0.0</v>
      </c>
      <c r="K1579" s="1">
        <v>1.023E9</v>
      </c>
      <c r="M1579" s="1">
        <v>2.31E8</v>
      </c>
      <c r="N1579" s="1">
        <v>1.919E9</v>
      </c>
      <c r="O1579" s="1">
        <v>8.96E8</v>
      </c>
      <c r="P1579" s="1">
        <v>0.0</v>
      </c>
      <c r="Q1579" s="1">
        <v>-2000000.0</v>
      </c>
      <c r="R1579" s="1">
        <v>7.9E8</v>
      </c>
      <c r="S1579" s="1">
        <v>7.48E8</v>
      </c>
    </row>
    <row r="1580">
      <c r="A1580" s="1">
        <v>1578.0</v>
      </c>
      <c r="B1580" s="11">
        <v>44286.0</v>
      </c>
      <c r="C1580" s="1" t="s">
        <v>824</v>
      </c>
      <c r="D1580" s="1" t="s">
        <v>825</v>
      </c>
      <c r="F1580" s="1">
        <v>8.22E8</v>
      </c>
      <c r="G1580" s="1">
        <v>6.42E8</v>
      </c>
      <c r="H1580" s="1">
        <v>7.32E8</v>
      </c>
      <c r="I1580" s="1">
        <v>1.75E9</v>
      </c>
      <c r="J1580" s="1">
        <v>0.0</v>
      </c>
      <c r="K1580" s="1">
        <v>8.3E8</v>
      </c>
      <c r="M1580" s="1">
        <v>1.8E8</v>
      </c>
      <c r="N1580" s="1">
        <v>1.75E9</v>
      </c>
      <c r="O1580" s="1">
        <v>9.2E8</v>
      </c>
      <c r="P1580" s="1">
        <v>0.0</v>
      </c>
      <c r="Q1580" s="1">
        <v>-8000000.0</v>
      </c>
      <c r="R1580" s="1">
        <v>6.42E8</v>
      </c>
      <c r="S1580" s="1">
        <v>6.14E8</v>
      </c>
    </row>
    <row r="1581">
      <c r="A1581" s="1">
        <v>1579.0</v>
      </c>
      <c r="B1581" s="11">
        <v>44196.0</v>
      </c>
      <c r="C1581" s="1" t="s">
        <v>824</v>
      </c>
      <c r="D1581" s="1" t="s">
        <v>825</v>
      </c>
      <c r="F1581" s="1">
        <v>7.37E8</v>
      </c>
      <c r="G1581" s="1">
        <v>6.16E8</v>
      </c>
      <c r="H1581" s="1">
        <v>7.49E8</v>
      </c>
      <c r="I1581" s="1">
        <v>1.722E9</v>
      </c>
      <c r="J1581" s="1">
        <v>0.0</v>
      </c>
      <c r="K1581" s="1">
        <v>7.82E8</v>
      </c>
      <c r="M1581" s="1">
        <v>1.21E8</v>
      </c>
      <c r="N1581" s="1">
        <v>1.722E9</v>
      </c>
      <c r="O1581" s="1">
        <v>9.4E8</v>
      </c>
      <c r="P1581" s="1">
        <v>0.0</v>
      </c>
      <c r="Q1581" s="1">
        <v>-4.5E7</v>
      </c>
      <c r="R1581" s="1">
        <v>6.16E8</v>
      </c>
      <c r="S1581" s="1">
        <v>5.88E8</v>
      </c>
    </row>
    <row r="1582">
      <c r="A1582" s="1">
        <v>1580.0</v>
      </c>
      <c r="B1582" s="11">
        <v>44469.0</v>
      </c>
      <c r="C1582" s="1" t="s">
        <v>826</v>
      </c>
      <c r="D1582" s="1" t="s">
        <v>827</v>
      </c>
      <c r="F1582" s="1">
        <v>4.707E8</v>
      </c>
      <c r="G1582" s="1">
        <v>3.503E8</v>
      </c>
      <c r="H1582" s="1">
        <v>2.99E8</v>
      </c>
      <c r="I1582" s="1">
        <v>1.1899E9</v>
      </c>
      <c r="J1582" s="1">
        <v>5.688E8</v>
      </c>
      <c r="K1582" s="1">
        <v>5.688E8</v>
      </c>
      <c r="L1582" s="1">
        <v>-7.81E7</v>
      </c>
      <c r="M1582" s="1">
        <v>1.199E8</v>
      </c>
      <c r="N1582" s="1">
        <v>2.9339E9</v>
      </c>
      <c r="O1582" s="1">
        <v>2.3651E9</v>
      </c>
      <c r="P1582" s="1">
        <v>1.744E9</v>
      </c>
      <c r="Q1582" s="1">
        <v>-9.81E7</v>
      </c>
      <c r="R1582" s="1">
        <v>3.508E8</v>
      </c>
      <c r="S1582" s="1">
        <v>3.503E8</v>
      </c>
    </row>
    <row r="1583">
      <c r="A1583" s="1">
        <v>1581.0</v>
      </c>
      <c r="B1583" s="11">
        <v>44377.0</v>
      </c>
      <c r="C1583" s="1" t="s">
        <v>826</v>
      </c>
      <c r="D1583" s="1" t="s">
        <v>827</v>
      </c>
      <c r="F1583" s="1">
        <v>4.274E8</v>
      </c>
      <c r="G1583" s="1">
        <v>3.311E8</v>
      </c>
      <c r="H1583" s="1">
        <v>2.995E8</v>
      </c>
      <c r="I1583" s="1">
        <v>1.1621E9</v>
      </c>
      <c r="J1583" s="1">
        <v>5.389E8</v>
      </c>
      <c r="K1583" s="1">
        <v>5.389E8</v>
      </c>
      <c r="L1583" s="1">
        <v>-7.84E7</v>
      </c>
      <c r="M1583" s="1">
        <v>9.54E7</v>
      </c>
      <c r="N1583" s="1">
        <v>2.8128E9</v>
      </c>
      <c r="O1583" s="1">
        <v>2.2739E9</v>
      </c>
      <c r="P1583" s="1">
        <v>1.6507E9</v>
      </c>
      <c r="Q1583" s="1">
        <v>-1.115E8</v>
      </c>
      <c r="R1583" s="1">
        <v>3.32E8</v>
      </c>
      <c r="S1583" s="1">
        <v>3.311E8</v>
      </c>
    </row>
    <row r="1584">
      <c r="A1584" s="1">
        <v>1582.0</v>
      </c>
      <c r="B1584" s="11">
        <v>44286.0</v>
      </c>
      <c r="C1584" s="1" t="s">
        <v>826</v>
      </c>
      <c r="D1584" s="1" t="s">
        <v>827</v>
      </c>
      <c r="F1584" s="1">
        <v>4.001E8</v>
      </c>
      <c r="G1584" s="1">
        <v>2.959E8</v>
      </c>
      <c r="H1584" s="1">
        <v>2.654E8</v>
      </c>
      <c r="I1584" s="1">
        <v>1.0621E9</v>
      </c>
      <c r="J1584" s="1">
        <v>4.941E8</v>
      </c>
      <c r="K1584" s="1">
        <v>4.941E8</v>
      </c>
      <c r="L1584" s="1">
        <v>-7.84E7</v>
      </c>
      <c r="M1584" s="1">
        <v>1.037E8</v>
      </c>
      <c r="N1584" s="1">
        <v>2.5964E9</v>
      </c>
      <c r="O1584" s="1">
        <v>2.1023E9</v>
      </c>
      <c r="P1584" s="1">
        <v>1.5343E9</v>
      </c>
      <c r="Q1584" s="1">
        <v>-9.4E7</v>
      </c>
      <c r="R1584" s="1">
        <v>2.964E8</v>
      </c>
      <c r="S1584" s="1">
        <v>2.959E8</v>
      </c>
    </row>
    <row r="1585">
      <c r="A1585" s="1">
        <v>1583.0</v>
      </c>
      <c r="B1585" s="11">
        <v>44196.0</v>
      </c>
      <c r="C1585" s="1" t="s">
        <v>826</v>
      </c>
      <c r="D1585" s="1" t="s">
        <v>827</v>
      </c>
      <c r="F1585" s="1">
        <v>2.013E8</v>
      </c>
      <c r="G1585" s="1">
        <v>2.354E8</v>
      </c>
      <c r="H1585" s="1">
        <v>3.437E8</v>
      </c>
      <c r="I1585" s="1">
        <v>1.112E9</v>
      </c>
      <c r="J1585" s="1">
        <v>4.803E8</v>
      </c>
      <c r="K1585" s="1">
        <v>4.803E8</v>
      </c>
      <c r="L1585" s="1">
        <v>-7.06E7</v>
      </c>
      <c r="M1585" s="1">
        <v>-3.5E7</v>
      </c>
      <c r="N1585" s="1">
        <v>2.5732E9</v>
      </c>
      <c r="O1585" s="1">
        <v>2.0929E9</v>
      </c>
      <c r="P1585" s="1">
        <v>1.4612E9</v>
      </c>
      <c r="Q1585" s="1">
        <v>-2.79E8</v>
      </c>
      <c r="R1585" s="1">
        <v>2.363E8</v>
      </c>
      <c r="S1585" s="1">
        <v>2.354E8</v>
      </c>
    </row>
    <row r="1586">
      <c r="A1586" s="1">
        <v>1584.0</v>
      </c>
      <c r="B1586" s="11">
        <v>44469.0</v>
      </c>
      <c r="C1586" s="1" t="s">
        <v>828</v>
      </c>
      <c r="D1586" s="1" t="s">
        <v>829</v>
      </c>
      <c r="E1586" s="1">
        <v>5.995E7</v>
      </c>
      <c r="F1586" s="1">
        <v>2.58788E8</v>
      </c>
      <c r="G1586" s="1">
        <v>2.03613E8</v>
      </c>
      <c r="H1586" s="1">
        <v>1.76719E8</v>
      </c>
      <c r="I1586" s="1">
        <v>5.17348E8</v>
      </c>
      <c r="J1586" s="1">
        <v>2.61913E8</v>
      </c>
      <c r="K1586" s="1">
        <v>2.61913E8</v>
      </c>
      <c r="L1586" s="1">
        <v>-5360000.0</v>
      </c>
      <c r="M1586" s="1">
        <v>5.5175E7</v>
      </c>
      <c r="N1586" s="1">
        <v>9.04015E8</v>
      </c>
      <c r="O1586" s="1">
        <v>6.42102E8</v>
      </c>
      <c r="P1586" s="1">
        <v>3.86667E8</v>
      </c>
      <c r="Q1586" s="1">
        <v>-3125000.0</v>
      </c>
      <c r="R1586" s="1">
        <v>2.03613E8</v>
      </c>
      <c r="S1586" s="1">
        <v>2.03613E8</v>
      </c>
    </row>
    <row r="1587">
      <c r="A1587" s="1">
        <v>1585.0</v>
      </c>
      <c r="B1587" s="11">
        <v>44377.0</v>
      </c>
      <c r="C1587" s="1" t="s">
        <v>828</v>
      </c>
      <c r="D1587" s="1" t="s">
        <v>829</v>
      </c>
      <c r="E1587" s="1">
        <v>5.9875E7</v>
      </c>
      <c r="F1587" s="1">
        <v>2.39211E8</v>
      </c>
      <c r="G1587" s="1">
        <v>1.951E8</v>
      </c>
      <c r="H1587" s="1">
        <v>1.81483E8</v>
      </c>
      <c r="I1587" s="1">
        <v>5.01758E8</v>
      </c>
      <c r="J1587" s="1">
        <v>2.41638E8</v>
      </c>
      <c r="K1587" s="1">
        <v>2.41638E8</v>
      </c>
      <c r="L1587" s="1">
        <v>-5345000.0</v>
      </c>
      <c r="M1587" s="1">
        <v>4.4111E7</v>
      </c>
      <c r="N1587" s="1">
        <v>8.76103E8</v>
      </c>
      <c r="O1587" s="1">
        <v>6.34465E8</v>
      </c>
      <c r="P1587" s="1">
        <v>3.74345E8</v>
      </c>
      <c r="Q1587" s="1">
        <v>-2427000.0</v>
      </c>
      <c r="R1587" s="1">
        <v>1.951E8</v>
      </c>
      <c r="S1587" s="1">
        <v>1.951E8</v>
      </c>
    </row>
    <row r="1588">
      <c r="A1588" s="1">
        <v>1586.0</v>
      </c>
      <c r="B1588" s="11">
        <v>44286.0</v>
      </c>
      <c r="C1588" s="1" t="s">
        <v>828</v>
      </c>
      <c r="D1588" s="1" t="s">
        <v>829</v>
      </c>
      <c r="E1588" s="1">
        <v>5.5941E7</v>
      </c>
      <c r="F1588" s="1">
        <v>2.18005E8</v>
      </c>
      <c r="G1588" s="1">
        <v>-7.8481E7</v>
      </c>
      <c r="H1588" s="1">
        <v>1.60446E8</v>
      </c>
      <c r="I1588" s="1">
        <v>4.58182E8</v>
      </c>
      <c r="J1588" s="1">
        <v>2.23426E8</v>
      </c>
      <c r="K1588" s="1">
        <v>2.23426E8</v>
      </c>
      <c r="L1588" s="1">
        <v>-5878000.0</v>
      </c>
      <c r="M1588" s="1">
        <v>2.96486E8</v>
      </c>
      <c r="N1588" s="1">
        <v>7.68767E8</v>
      </c>
      <c r="O1588" s="1">
        <v>5.45341E8</v>
      </c>
      <c r="P1588" s="1">
        <v>3.10585E8</v>
      </c>
      <c r="Q1588" s="1">
        <v>-5421000.0</v>
      </c>
      <c r="R1588" s="1">
        <v>-7.8481E7</v>
      </c>
      <c r="S1588" s="1">
        <v>-7.8481E7</v>
      </c>
    </row>
    <row r="1589">
      <c r="A1589" s="1">
        <v>1587.0</v>
      </c>
      <c r="B1589" s="11">
        <v>44196.0</v>
      </c>
      <c r="C1589" s="1" t="s">
        <v>828</v>
      </c>
      <c r="D1589" s="1" t="s">
        <v>829</v>
      </c>
      <c r="E1589" s="1">
        <v>5.4935E7</v>
      </c>
      <c r="F1589" s="1">
        <v>2.10592E8</v>
      </c>
      <c r="G1589" s="1">
        <v>1.79514E8</v>
      </c>
      <c r="H1589" s="1">
        <v>1.6947E8</v>
      </c>
      <c r="I1589" s="1">
        <v>4.78879E8</v>
      </c>
      <c r="J1589" s="1">
        <v>2.35621E8</v>
      </c>
      <c r="K1589" s="1">
        <v>2.35621E8</v>
      </c>
      <c r="L1589" s="1">
        <v>-5924000.0</v>
      </c>
      <c r="M1589" s="1">
        <v>3.1078E7</v>
      </c>
      <c r="N1589" s="1">
        <v>8.00011E8</v>
      </c>
      <c r="O1589" s="1">
        <v>5.6439E8</v>
      </c>
      <c r="P1589" s="1">
        <v>3.21132E8</v>
      </c>
      <c r="Q1589" s="1">
        <v>-2.5029E7</v>
      </c>
      <c r="R1589" s="1">
        <v>1.79514E8</v>
      </c>
      <c r="S1589" s="1">
        <v>1.79514E8</v>
      </c>
    </row>
    <row r="1590">
      <c r="A1590" s="1">
        <v>1588.0</v>
      </c>
      <c r="B1590" s="11">
        <v>44469.0</v>
      </c>
      <c r="C1590" s="1" t="s">
        <v>830</v>
      </c>
      <c r="D1590" s="1" t="s">
        <v>831</v>
      </c>
      <c r="F1590" s="1">
        <v>2.27658E8</v>
      </c>
      <c r="G1590" s="1">
        <v>1.70871E8</v>
      </c>
      <c r="H1590" s="1">
        <v>4.95576E8</v>
      </c>
      <c r="I1590" s="1">
        <v>7.25327E8</v>
      </c>
      <c r="J1590" s="1">
        <v>2.29179E8</v>
      </c>
      <c r="K1590" s="1">
        <v>2.29179E8</v>
      </c>
      <c r="M1590" s="1">
        <v>5.6787E7</v>
      </c>
      <c r="N1590" s="1">
        <v>1.712566E9</v>
      </c>
      <c r="O1590" s="1">
        <v>1.483387E9</v>
      </c>
      <c r="P1590" s="1">
        <v>9.87239E8</v>
      </c>
      <c r="Q1590" s="1">
        <v>-1521000.0</v>
      </c>
      <c r="R1590" s="1">
        <v>1.70871E8</v>
      </c>
      <c r="S1590" s="1">
        <v>1.70871E8</v>
      </c>
    </row>
    <row r="1591">
      <c r="A1591" s="1">
        <v>1589.0</v>
      </c>
      <c r="B1591" s="11">
        <v>44377.0</v>
      </c>
      <c r="C1591" s="1" t="s">
        <v>830</v>
      </c>
      <c r="D1591" s="1" t="s">
        <v>831</v>
      </c>
      <c r="F1591" s="1">
        <v>2.03862E8</v>
      </c>
      <c r="G1591" s="1">
        <v>1.49213E8</v>
      </c>
      <c r="H1591" s="1">
        <v>4.88093E8</v>
      </c>
      <c r="I1591" s="1">
        <v>6.64872E8</v>
      </c>
      <c r="J1591" s="1">
        <v>1.76203E8</v>
      </c>
      <c r="K1591" s="1">
        <v>1.76203E8</v>
      </c>
      <c r="L1591" s="1">
        <v>-151000.0</v>
      </c>
      <c r="M1591" s="1">
        <v>5.4649E7</v>
      </c>
      <c r="N1591" s="1">
        <v>1.580581E9</v>
      </c>
      <c r="O1591" s="1">
        <v>1.404378E9</v>
      </c>
      <c r="P1591" s="1">
        <v>9.15709E8</v>
      </c>
      <c r="Q1591" s="1">
        <v>2.7659E7</v>
      </c>
      <c r="R1591" s="1">
        <v>1.49213E8</v>
      </c>
      <c r="S1591" s="1">
        <v>1.49213E8</v>
      </c>
    </row>
    <row r="1592">
      <c r="A1592" s="1">
        <v>1590.0</v>
      </c>
      <c r="B1592" s="11">
        <v>44286.0</v>
      </c>
      <c r="C1592" s="1" t="s">
        <v>830</v>
      </c>
      <c r="D1592" s="1" t="s">
        <v>831</v>
      </c>
      <c r="F1592" s="1">
        <v>1.50106E8</v>
      </c>
      <c r="G1592" s="1">
        <v>1.10598E8</v>
      </c>
      <c r="H1592" s="1">
        <v>4.23062E8</v>
      </c>
      <c r="I1592" s="1">
        <v>5.61711E8</v>
      </c>
      <c r="J1592" s="1">
        <v>1.38073E8</v>
      </c>
      <c r="K1592" s="1">
        <v>1.38073E8</v>
      </c>
      <c r="L1592" s="1">
        <v>-151000.0</v>
      </c>
      <c r="M1592" s="1">
        <v>3.9508E7</v>
      </c>
      <c r="N1592" s="1">
        <v>1.39838E9</v>
      </c>
      <c r="O1592" s="1">
        <v>1.260307E9</v>
      </c>
      <c r="P1592" s="1">
        <v>8.36669E8</v>
      </c>
      <c r="Q1592" s="1">
        <v>1.2033E7</v>
      </c>
      <c r="R1592" s="1">
        <v>1.10598E8</v>
      </c>
      <c r="S1592" s="1">
        <v>1.10598E8</v>
      </c>
    </row>
    <row r="1593">
      <c r="A1593" s="1">
        <v>1591.0</v>
      </c>
      <c r="B1593" s="11">
        <v>44196.0</v>
      </c>
      <c r="C1593" s="1" t="s">
        <v>830</v>
      </c>
      <c r="D1593" s="1" t="s">
        <v>831</v>
      </c>
      <c r="F1593" s="1">
        <v>1.29585E8</v>
      </c>
      <c r="G1593" s="1">
        <v>9.4416E7</v>
      </c>
      <c r="H1593" s="1">
        <v>4.25162E8</v>
      </c>
      <c r="I1593" s="1">
        <v>5.14327E8</v>
      </c>
      <c r="J1593" s="1">
        <v>8.8948E7</v>
      </c>
      <c r="K1593" s="1">
        <v>8.8948E7</v>
      </c>
      <c r="L1593" s="1">
        <v>-151000.0</v>
      </c>
      <c r="M1593" s="1">
        <v>3.5169E7</v>
      </c>
      <c r="N1593" s="1">
        <v>1.304086E9</v>
      </c>
      <c r="O1593" s="1">
        <v>1.215138E9</v>
      </c>
      <c r="P1593" s="1">
        <v>7.89759E8</v>
      </c>
      <c r="Q1593" s="1">
        <v>4.0637E7</v>
      </c>
      <c r="R1593" s="1">
        <v>9.4416E7</v>
      </c>
      <c r="S1593" s="1">
        <v>9.4416E7</v>
      </c>
    </row>
    <row r="1594">
      <c r="A1594" s="1">
        <v>1592.0</v>
      </c>
      <c r="B1594" s="11">
        <v>44469.0</v>
      </c>
      <c r="C1594" s="1" t="s">
        <v>832</v>
      </c>
      <c r="D1594" s="1" t="s">
        <v>833</v>
      </c>
      <c r="F1594" s="1">
        <v>4300000.0</v>
      </c>
      <c r="G1594" s="1">
        <v>7.85E7</v>
      </c>
      <c r="H1594" s="1">
        <v>4.627E8</v>
      </c>
      <c r="I1594" s="1">
        <v>7.194E8</v>
      </c>
      <c r="J1594" s="1">
        <v>2.567E8</v>
      </c>
      <c r="K1594" s="1">
        <v>2.567E8</v>
      </c>
      <c r="L1594" s="1">
        <v>-2.63E7</v>
      </c>
      <c r="M1594" s="1">
        <v>-7.03E7</v>
      </c>
      <c r="N1594" s="1">
        <v>1.8078E9</v>
      </c>
      <c r="O1594" s="1">
        <v>1.5511E9</v>
      </c>
      <c r="P1594" s="1">
        <v>1.0884E9</v>
      </c>
      <c r="Q1594" s="1">
        <v>-2.524E8</v>
      </c>
      <c r="R1594" s="1">
        <v>7.46E7</v>
      </c>
      <c r="S1594" s="1">
        <v>7.85E7</v>
      </c>
    </row>
    <row r="1595">
      <c r="A1595" s="1">
        <v>1593.0</v>
      </c>
      <c r="B1595" s="11">
        <v>44377.0</v>
      </c>
      <c r="C1595" s="1" t="s">
        <v>832</v>
      </c>
      <c r="D1595" s="1" t="s">
        <v>833</v>
      </c>
      <c r="F1595" s="1">
        <v>3.135E8</v>
      </c>
      <c r="G1595" s="1">
        <v>2.713E8</v>
      </c>
      <c r="H1595" s="1">
        <v>4.716E8</v>
      </c>
      <c r="I1595" s="1">
        <v>7.644E8</v>
      </c>
      <c r="J1595" s="1">
        <v>2.928E8</v>
      </c>
      <c r="K1595" s="1">
        <v>2.928E8</v>
      </c>
      <c r="L1595" s="1">
        <v>-2.24E7</v>
      </c>
      <c r="M1595" s="1">
        <v>4.45E7</v>
      </c>
      <c r="N1595" s="1">
        <v>1.8482E9</v>
      </c>
      <c r="O1595" s="1">
        <v>1.5554E9</v>
      </c>
      <c r="P1595" s="1">
        <v>1.0838E9</v>
      </c>
      <c r="Q1595" s="1">
        <v>2.07E7</v>
      </c>
      <c r="R1595" s="1">
        <v>2.69E8</v>
      </c>
      <c r="S1595" s="1">
        <v>2.709E8</v>
      </c>
    </row>
    <row r="1596">
      <c r="A1596" s="1">
        <v>1594.0</v>
      </c>
      <c r="B1596" s="11">
        <v>44286.0</v>
      </c>
      <c r="C1596" s="1" t="s">
        <v>832</v>
      </c>
      <c r="D1596" s="1" t="s">
        <v>833</v>
      </c>
      <c r="F1596" s="1">
        <v>5.077E8</v>
      </c>
      <c r="G1596" s="1">
        <v>4.15E8</v>
      </c>
      <c r="H1596" s="1">
        <v>4.288E8</v>
      </c>
      <c r="I1596" s="1">
        <v>7.674E8</v>
      </c>
      <c r="J1596" s="1">
        <v>3.386E8</v>
      </c>
      <c r="K1596" s="1">
        <v>3.386E8</v>
      </c>
      <c r="L1596" s="1">
        <v>-2.33E7</v>
      </c>
      <c r="M1596" s="1">
        <v>9.74E7</v>
      </c>
      <c r="N1596" s="1">
        <v>1.7761E9</v>
      </c>
      <c r="O1596" s="1">
        <v>1.4375E9</v>
      </c>
      <c r="P1596" s="1">
        <v>1.0087E9</v>
      </c>
      <c r="Q1596" s="1">
        <v>1.691E8</v>
      </c>
      <c r="R1596" s="1">
        <v>4.103E8</v>
      </c>
      <c r="S1596" s="1">
        <v>4.141E8</v>
      </c>
    </row>
    <row r="1597">
      <c r="A1597" s="1">
        <v>1595.0</v>
      </c>
      <c r="B1597" s="11">
        <v>44196.0</v>
      </c>
      <c r="C1597" s="1" t="s">
        <v>832</v>
      </c>
      <c r="D1597" s="1" t="s">
        <v>833</v>
      </c>
      <c r="F1597" s="1">
        <v>7.007E8</v>
      </c>
      <c r="G1597" s="1">
        <v>5.933E8</v>
      </c>
      <c r="H1597" s="1">
        <v>3.82E8</v>
      </c>
      <c r="I1597" s="1">
        <v>6.465E8</v>
      </c>
      <c r="J1597" s="1">
        <v>2.645E8</v>
      </c>
      <c r="K1597" s="1">
        <v>2.645E8</v>
      </c>
      <c r="L1597" s="1">
        <v>-2.26E7</v>
      </c>
      <c r="M1597" s="1">
        <v>1.103E8</v>
      </c>
      <c r="N1597" s="1">
        <v>1.5653E9</v>
      </c>
      <c r="O1597" s="1">
        <v>1.3008E9</v>
      </c>
      <c r="P1597" s="1">
        <v>9.188E8</v>
      </c>
      <c r="Q1597" s="1">
        <v>4.362E8</v>
      </c>
      <c r="R1597" s="1">
        <v>5.904E8</v>
      </c>
      <c r="S1597" s="1">
        <v>5.926E8</v>
      </c>
    </row>
    <row r="1598">
      <c r="A1598" s="1">
        <v>1596.0</v>
      </c>
      <c r="B1598" s="11">
        <v>44469.0</v>
      </c>
      <c r="C1598" s="1" t="s">
        <v>834</v>
      </c>
      <c r="D1598" s="1" t="s">
        <v>835</v>
      </c>
      <c r="F1598" s="1">
        <v>1.27072E8</v>
      </c>
      <c r="G1598" s="1">
        <v>9.3853E7</v>
      </c>
      <c r="H1598" s="1">
        <v>1.94261E8</v>
      </c>
      <c r="I1598" s="1">
        <v>3.44725E8</v>
      </c>
      <c r="J1598" s="1">
        <v>1.26847E8</v>
      </c>
      <c r="K1598" s="1">
        <v>1.26847E8</v>
      </c>
      <c r="L1598" s="1">
        <v>-222000.0</v>
      </c>
      <c r="M1598" s="1">
        <v>3.3219E7</v>
      </c>
      <c r="N1598" s="1">
        <v>6.50199E8</v>
      </c>
      <c r="O1598" s="1">
        <v>5.23352E8</v>
      </c>
      <c r="P1598" s="1">
        <v>3.05474E8</v>
      </c>
      <c r="Q1598" s="1">
        <v>225000.0</v>
      </c>
      <c r="R1598" s="1">
        <v>9.3853E7</v>
      </c>
      <c r="S1598" s="1">
        <v>9.3853E7</v>
      </c>
    </row>
    <row r="1599">
      <c r="A1599" s="1">
        <v>1597.0</v>
      </c>
      <c r="B1599" s="11">
        <v>44377.0</v>
      </c>
      <c r="C1599" s="1" t="s">
        <v>834</v>
      </c>
      <c r="D1599" s="1" t="s">
        <v>835</v>
      </c>
      <c r="F1599" s="1">
        <v>1.33939E8</v>
      </c>
      <c r="G1599" s="1">
        <v>9.8854E7</v>
      </c>
      <c r="H1599" s="1">
        <v>1.83482E8</v>
      </c>
      <c r="I1599" s="1">
        <v>3.40342E8</v>
      </c>
      <c r="J1599" s="1">
        <v>1.33554E8</v>
      </c>
      <c r="K1599" s="1">
        <v>1.33554E8</v>
      </c>
      <c r="L1599" s="1">
        <v>-506000.0</v>
      </c>
      <c r="M1599" s="1">
        <v>3.5085E7</v>
      </c>
      <c r="N1599" s="1">
        <v>6.38204E8</v>
      </c>
      <c r="O1599" s="1">
        <v>5.0465E8</v>
      </c>
      <c r="P1599" s="1">
        <v>2.97862E8</v>
      </c>
      <c r="Q1599" s="1">
        <v>385000.0</v>
      </c>
      <c r="R1599" s="1">
        <v>9.8854E7</v>
      </c>
      <c r="S1599" s="1">
        <v>9.8854E7</v>
      </c>
    </row>
    <row r="1600">
      <c r="A1600" s="1">
        <v>1598.0</v>
      </c>
      <c r="B1600" s="11">
        <v>44286.0</v>
      </c>
      <c r="C1600" s="1" t="s">
        <v>834</v>
      </c>
      <c r="D1600" s="1" t="s">
        <v>835</v>
      </c>
      <c r="F1600" s="1">
        <v>1.19852E8</v>
      </c>
      <c r="G1600" s="1">
        <v>9.2643E7</v>
      </c>
      <c r="H1600" s="1">
        <v>1.62208E8</v>
      </c>
      <c r="I1600" s="1">
        <v>2.74002E8</v>
      </c>
      <c r="J1600" s="1">
        <v>8.8198E7</v>
      </c>
      <c r="K1600" s="1">
        <v>8.8198E7</v>
      </c>
      <c r="L1600" s="1">
        <v>-606000.0</v>
      </c>
      <c r="M1600" s="1">
        <v>2.7209E7</v>
      </c>
      <c r="N1600" s="1">
        <v>5.35554E8</v>
      </c>
      <c r="O1600" s="1">
        <v>4.47356E8</v>
      </c>
      <c r="P1600" s="1">
        <v>2.61552E8</v>
      </c>
      <c r="Q1600" s="1">
        <v>3.1654E7</v>
      </c>
      <c r="R1600" s="1">
        <v>9.2643E7</v>
      </c>
      <c r="S1600" s="1">
        <v>9.2643E7</v>
      </c>
    </row>
    <row r="1601">
      <c r="A1601" s="1">
        <v>1599.0</v>
      </c>
      <c r="B1601" s="11">
        <v>44196.0</v>
      </c>
      <c r="C1601" s="1" t="s">
        <v>834</v>
      </c>
      <c r="D1601" s="1" t="s">
        <v>835</v>
      </c>
      <c r="F1601" s="1">
        <v>8.6898E7</v>
      </c>
      <c r="G1601" s="1">
        <v>6.2619E7</v>
      </c>
      <c r="H1601" s="1">
        <v>1.59086E8</v>
      </c>
      <c r="I1601" s="1">
        <v>2.69948E8</v>
      </c>
      <c r="J1601" s="1">
        <v>8.8459E7</v>
      </c>
      <c r="K1601" s="1">
        <v>8.8459E7</v>
      </c>
      <c r="L1601" s="1">
        <v>-591000.0</v>
      </c>
      <c r="M1601" s="1">
        <v>2.4279E7</v>
      </c>
      <c r="N1601" s="1">
        <v>5.36292E8</v>
      </c>
      <c r="O1601" s="1">
        <v>4.47833E8</v>
      </c>
      <c r="P1601" s="1">
        <v>2.66344E8</v>
      </c>
      <c r="Q1601" s="1">
        <v>-1561000.0</v>
      </c>
      <c r="R1601" s="1">
        <v>6.2619E7</v>
      </c>
      <c r="S1601" s="1">
        <v>6.2619E7</v>
      </c>
    </row>
    <row r="1602">
      <c r="A1602" s="1">
        <v>1600.0</v>
      </c>
      <c r="B1602" s="11">
        <v>44469.0</v>
      </c>
      <c r="C1602" s="1" t="s">
        <v>836</v>
      </c>
      <c r="D1602" s="1" t="s">
        <v>837</v>
      </c>
      <c r="F1602" s="1">
        <v>3.436E8</v>
      </c>
      <c r="G1602" s="1">
        <v>2.895E8</v>
      </c>
      <c r="H1602" s="1">
        <v>5.926E8</v>
      </c>
      <c r="I1602" s="1">
        <v>9.961E8</v>
      </c>
      <c r="J1602" s="1">
        <v>4.035E8</v>
      </c>
      <c r="K1602" s="1">
        <v>4.035E8</v>
      </c>
      <c r="L1602" s="1">
        <v>-5.82E7</v>
      </c>
      <c r="M1602" s="1">
        <v>8.38E7</v>
      </c>
      <c r="N1602" s="1">
        <v>1.4628E9</v>
      </c>
      <c r="O1602" s="1">
        <v>1.0593E9</v>
      </c>
      <c r="P1602" s="1">
        <v>4.667E8</v>
      </c>
      <c r="Q1602" s="1">
        <v>-5.99E7</v>
      </c>
      <c r="R1602" s="1">
        <v>2.598E8</v>
      </c>
      <c r="S1602" s="1">
        <v>2.895E8</v>
      </c>
    </row>
    <row r="1603">
      <c r="A1603" s="1">
        <v>1601.0</v>
      </c>
      <c r="B1603" s="11">
        <v>44377.0</v>
      </c>
      <c r="C1603" s="1" t="s">
        <v>836</v>
      </c>
      <c r="D1603" s="1" t="s">
        <v>837</v>
      </c>
      <c r="F1603" s="1">
        <v>3.436E8</v>
      </c>
      <c r="G1603" s="1">
        <v>0.0</v>
      </c>
      <c r="H1603" s="1">
        <v>5.926E8</v>
      </c>
      <c r="I1603" s="1">
        <v>0.0</v>
      </c>
      <c r="J1603" s="1">
        <v>0.0</v>
      </c>
      <c r="K1603" s="1">
        <v>4.035E8</v>
      </c>
      <c r="L1603" s="1">
        <v>-5.82E7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2.598E8</v>
      </c>
      <c r="S1603" s="1">
        <v>2.895E8</v>
      </c>
    </row>
    <row r="1604">
      <c r="A1604" s="1">
        <v>1602.0</v>
      </c>
      <c r="B1604" s="11">
        <v>44286.0</v>
      </c>
      <c r="C1604" s="1" t="s">
        <v>836</v>
      </c>
      <c r="D1604" s="1" t="s">
        <v>837</v>
      </c>
      <c r="F1604" s="1">
        <v>3.669E8</v>
      </c>
      <c r="G1604" s="1">
        <v>2.89E8</v>
      </c>
      <c r="H1604" s="1">
        <v>5.933E8</v>
      </c>
      <c r="I1604" s="1">
        <v>9.938E8</v>
      </c>
      <c r="J1604" s="1">
        <v>4.005E8</v>
      </c>
      <c r="K1604" s="1">
        <v>4.005E8</v>
      </c>
      <c r="L1604" s="1">
        <v>-6.06E7</v>
      </c>
      <c r="M1604" s="1">
        <v>7.79E7</v>
      </c>
      <c r="N1604" s="1">
        <v>1.5286E9</v>
      </c>
      <c r="O1604" s="1">
        <v>1.1281E9</v>
      </c>
      <c r="P1604" s="1">
        <v>5.348E8</v>
      </c>
      <c r="Q1604" s="1">
        <v>-3.36E7</v>
      </c>
      <c r="R1604" s="1">
        <v>2.89E8</v>
      </c>
      <c r="S1604" s="1">
        <v>2.89E8</v>
      </c>
    </row>
    <row r="1605">
      <c r="A1605" s="1">
        <v>1603.0</v>
      </c>
      <c r="B1605" s="11">
        <v>44196.0</v>
      </c>
      <c r="C1605" s="1" t="s">
        <v>836</v>
      </c>
      <c r="D1605" s="1" t="s">
        <v>837</v>
      </c>
      <c r="E1605" s="1">
        <v>4.461E8</v>
      </c>
      <c r="F1605" s="1">
        <v>3.175E8</v>
      </c>
      <c r="G1605" s="1">
        <v>2.558E8</v>
      </c>
      <c r="H1605" s="1">
        <v>1.534E8</v>
      </c>
      <c r="I1605" s="1">
        <v>9.666E8</v>
      </c>
      <c r="J1605" s="1">
        <v>3.671E8</v>
      </c>
      <c r="K1605" s="1">
        <v>3.671E8</v>
      </c>
      <c r="L1605" s="1">
        <v>-6.37E7</v>
      </c>
      <c r="M1605" s="1">
        <v>6.17E7</v>
      </c>
      <c r="N1605" s="1">
        <v>1.5053E9</v>
      </c>
      <c r="O1605" s="1">
        <v>1.1382E9</v>
      </c>
      <c r="P1605" s="1">
        <v>5.387E8</v>
      </c>
      <c r="Q1605" s="1">
        <v>-4.96E7</v>
      </c>
      <c r="R1605" s="1">
        <v>2.558E8</v>
      </c>
      <c r="S1605" s="1">
        <v>2.558E8</v>
      </c>
    </row>
    <row r="1606">
      <c r="A1606" s="1">
        <v>1604.0</v>
      </c>
      <c r="B1606" s="11">
        <v>44408.0</v>
      </c>
      <c r="C1606" s="1" t="s">
        <v>838</v>
      </c>
      <c r="D1606" s="1" t="s">
        <v>839</v>
      </c>
      <c r="F1606" s="1">
        <v>6.57608E8</v>
      </c>
      <c r="G1606" s="1">
        <v>4.94258E8</v>
      </c>
      <c r="H1606" s="1">
        <v>7.17788E8</v>
      </c>
      <c r="I1606" s="1">
        <v>1.394103E9</v>
      </c>
      <c r="J1606" s="1">
        <v>6.76315E8</v>
      </c>
      <c r="K1606" s="1">
        <v>6.76315E8</v>
      </c>
      <c r="L1606" s="1">
        <v>-1.8906E7</v>
      </c>
      <c r="M1606" s="1">
        <v>1.6335E8</v>
      </c>
      <c r="N1606" s="1">
        <v>4.804974E9</v>
      </c>
      <c r="O1606" s="1">
        <v>4.128659E9</v>
      </c>
      <c r="P1606" s="1">
        <v>3.410871E9</v>
      </c>
      <c r="Q1606" s="1">
        <v>-1.8707E7</v>
      </c>
      <c r="R1606" s="1">
        <v>4.94258E8</v>
      </c>
      <c r="S1606" s="1">
        <v>4.94258E8</v>
      </c>
    </row>
    <row r="1607">
      <c r="A1607" s="1">
        <v>1605.0</v>
      </c>
      <c r="B1607" s="11">
        <v>44317.0</v>
      </c>
      <c r="C1607" s="1" t="s">
        <v>838</v>
      </c>
      <c r="D1607" s="1" t="s">
        <v>839</v>
      </c>
      <c r="F1607" s="1">
        <v>6.23582E8</v>
      </c>
      <c r="G1607" s="1">
        <v>4.76479E8</v>
      </c>
      <c r="H1607" s="1">
        <v>6.75053E8</v>
      </c>
      <c r="I1607" s="1">
        <v>1.317684E9</v>
      </c>
      <c r="J1607" s="1">
        <v>6.42631E8</v>
      </c>
      <c r="K1607" s="1">
        <v>6.42631E8</v>
      </c>
      <c r="L1607" s="1">
        <v>-1.9285E7</v>
      </c>
      <c r="M1607" s="1">
        <v>1.47103E8</v>
      </c>
      <c r="N1607" s="1">
        <v>4.51608E9</v>
      </c>
      <c r="O1607" s="1">
        <v>3.873449E9</v>
      </c>
      <c r="P1607" s="1">
        <v>3.198396E9</v>
      </c>
      <c r="Q1607" s="1">
        <v>-1.9049E7</v>
      </c>
      <c r="R1607" s="1">
        <v>4.76479E8</v>
      </c>
      <c r="S1607" s="1">
        <v>4.76479E8</v>
      </c>
    </row>
    <row r="1608">
      <c r="A1608" s="1">
        <v>1606.0</v>
      </c>
      <c r="B1608" s="11">
        <v>44226.0</v>
      </c>
      <c r="C1608" s="1" t="s">
        <v>838</v>
      </c>
      <c r="D1608" s="1" t="s">
        <v>839</v>
      </c>
      <c r="F1608" s="1">
        <v>3.82851E8</v>
      </c>
      <c r="G1608" s="1">
        <v>2.3798E8</v>
      </c>
      <c r="H1608" s="1">
        <v>1.291999E9</v>
      </c>
      <c r="I1608" s="1">
        <v>1.934002E9</v>
      </c>
      <c r="J1608" s="1">
        <v>6.42003E8</v>
      </c>
      <c r="K1608" s="1">
        <v>6.42003E8</v>
      </c>
      <c r="L1608" s="1">
        <v>-1.938E7</v>
      </c>
      <c r="M1608" s="1">
        <v>1.44871E8</v>
      </c>
      <c r="N1608" s="1">
        <v>4.249671E9</v>
      </c>
      <c r="O1608" s="1">
        <v>3.607668E9</v>
      </c>
      <c r="P1608" s="1">
        <v>2.315669E9</v>
      </c>
      <c r="Q1608" s="1">
        <v>-2.59152E8</v>
      </c>
      <c r="R1608" s="1">
        <v>2.3798E8</v>
      </c>
      <c r="S1608" s="1">
        <v>2.3798E8</v>
      </c>
    </row>
    <row r="1609">
      <c r="A1609" s="1">
        <v>1607.0</v>
      </c>
      <c r="B1609" s="11">
        <v>44135.0</v>
      </c>
      <c r="C1609" s="1" t="s">
        <v>838</v>
      </c>
      <c r="D1609" s="1" t="s">
        <v>839</v>
      </c>
      <c r="F1609" s="1">
        <v>1.36493E8</v>
      </c>
      <c r="G1609" s="1">
        <v>1.31197E8</v>
      </c>
      <c r="H1609" s="1">
        <v>8.77857E8</v>
      </c>
      <c r="I1609" s="1">
        <v>1.04309E9</v>
      </c>
      <c r="J1609" s="1">
        <v>1.65233E8</v>
      </c>
      <c r="K1609" s="1">
        <v>1.65233E8</v>
      </c>
      <c r="L1609" s="1">
        <v>-2.907E7</v>
      </c>
      <c r="M1609" s="1">
        <v>5296000.0</v>
      </c>
      <c r="N1609" s="1">
        <v>3.754509E9</v>
      </c>
      <c r="O1609" s="1">
        <v>3.589276E9</v>
      </c>
      <c r="P1609" s="1">
        <v>2.711419E9</v>
      </c>
      <c r="Q1609" s="1">
        <v>-2.874E7</v>
      </c>
      <c r="R1609" s="1">
        <v>1.31197E8</v>
      </c>
      <c r="S1609" s="1">
        <v>1.31197E8</v>
      </c>
    </row>
    <row r="1610">
      <c r="A1610" s="1">
        <v>1608.0</v>
      </c>
      <c r="B1610" s="11">
        <v>44469.0</v>
      </c>
      <c r="C1610" s="1" t="s">
        <v>840</v>
      </c>
      <c r="D1610" s="1" t="s">
        <v>841</v>
      </c>
      <c r="F1610" s="1">
        <v>-1.424554E9</v>
      </c>
      <c r="G1610" s="1">
        <v>-1.424554E9</v>
      </c>
      <c r="H1610" s="1">
        <v>3.30472E8</v>
      </c>
      <c r="I1610" s="1">
        <v>-3.49683E8</v>
      </c>
      <c r="J1610" s="1">
        <v>-1.006062E9</v>
      </c>
      <c r="K1610" s="1">
        <v>-1.006062E9</v>
      </c>
      <c r="L1610" s="1">
        <v>-4.30661E8</v>
      </c>
      <c r="M1610" s="1">
        <v>0.0</v>
      </c>
      <c r="N1610" s="1">
        <v>4.56958E8</v>
      </c>
      <c r="O1610" s="1">
        <v>1.46302E9</v>
      </c>
      <c r="P1610" s="1">
        <v>8.06641E8</v>
      </c>
      <c r="Q1610" s="1">
        <v>-4.18492E8</v>
      </c>
      <c r="R1610" s="1">
        <v>-1.424554E9</v>
      </c>
      <c r="S1610" s="1">
        <v>-1.424554E9</v>
      </c>
    </row>
    <row r="1611">
      <c r="A1611" s="1">
        <v>1609.0</v>
      </c>
      <c r="B1611" s="11">
        <v>44377.0</v>
      </c>
      <c r="C1611" s="1" t="s">
        <v>840</v>
      </c>
      <c r="D1611" s="1" t="s">
        <v>841</v>
      </c>
      <c r="F1611" s="1">
        <v>-1.347255E9</v>
      </c>
      <c r="G1611" s="1">
        <v>-1.347255E9</v>
      </c>
      <c r="H1611" s="1">
        <v>2.90369E8</v>
      </c>
      <c r="I1611" s="1">
        <v>-3.69105E8</v>
      </c>
      <c r="J1611" s="1">
        <v>-9.82913E8</v>
      </c>
      <c r="K1611" s="1">
        <v>-9.82913E8</v>
      </c>
      <c r="L1611" s="1">
        <v>-3.04811E8</v>
      </c>
      <c r="M1611" s="1">
        <v>0.0</v>
      </c>
      <c r="N1611" s="1">
        <v>5.0914E7</v>
      </c>
      <c r="O1611" s="1">
        <v>1.033827E9</v>
      </c>
      <c r="P1611" s="1">
        <v>4.20019E8</v>
      </c>
      <c r="Q1611" s="1">
        <v>-3.64342E8</v>
      </c>
      <c r="R1611" s="1">
        <v>-1.347255E9</v>
      </c>
      <c r="S1611" s="1">
        <v>-1.347255E9</v>
      </c>
    </row>
    <row r="1612">
      <c r="A1612" s="1">
        <v>1610.0</v>
      </c>
      <c r="B1612" s="11">
        <v>44286.0</v>
      </c>
      <c r="C1612" s="1" t="s">
        <v>840</v>
      </c>
      <c r="D1612" s="1" t="s">
        <v>841</v>
      </c>
      <c r="F1612" s="1">
        <v>-1.131722E9</v>
      </c>
      <c r="G1612" s="1">
        <v>-1.131722E9</v>
      </c>
      <c r="H1612" s="1">
        <v>2.63171E8</v>
      </c>
      <c r="I1612" s="1">
        <v>-2.36343E8</v>
      </c>
      <c r="J1612" s="1">
        <v>-8.0968E8</v>
      </c>
      <c r="K1612" s="1">
        <v>-8.0968E8</v>
      </c>
      <c r="L1612" s="1">
        <v>-2.72514E8</v>
      </c>
      <c r="M1612" s="1">
        <v>0.0</v>
      </c>
      <c r="N1612" s="1">
        <v>4.2014E7</v>
      </c>
      <c r="O1612" s="1">
        <v>8.51694E8</v>
      </c>
      <c r="P1612" s="1">
        <v>2.78357E8</v>
      </c>
      <c r="Q1612" s="1">
        <v>-3.22042E8</v>
      </c>
      <c r="R1612" s="1">
        <v>-1.131722E9</v>
      </c>
      <c r="S1612" s="1">
        <v>-1.131722E9</v>
      </c>
    </row>
    <row r="1613">
      <c r="A1613" s="1">
        <v>1611.0</v>
      </c>
      <c r="B1613" s="11">
        <v>44196.0</v>
      </c>
      <c r="C1613" s="1" t="s">
        <v>840</v>
      </c>
      <c r="D1613" s="1" t="s">
        <v>841</v>
      </c>
      <c r="F1613" s="1">
        <v>-1.381935E9</v>
      </c>
      <c r="G1613" s="1">
        <v>-1.366935E9</v>
      </c>
      <c r="H1613" s="1">
        <v>2.51349E8</v>
      </c>
      <c r="I1613" s="1">
        <v>-2.35306E8</v>
      </c>
      <c r="J1613" s="1">
        <v>-8.04683E8</v>
      </c>
      <c r="K1613" s="1">
        <v>-8.04683E8</v>
      </c>
      <c r="L1613" s="1">
        <v>-2.73089E8</v>
      </c>
      <c r="M1613" s="1">
        <v>-1.5E7</v>
      </c>
      <c r="N1613" s="1">
        <v>3.4138E7</v>
      </c>
      <c r="O1613" s="1">
        <v>8.38821E8</v>
      </c>
      <c r="P1613" s="1">
        <v>2.69444E8</v>
      </c>
      <c r="Q1613" s="1">
        <v>-5.77252E8</v>
      </c>
      <c r="R1613" s="1">
        <v>-1.366935E9</v>
      </c>
      <c r="S1613" s="1">
        <v>-1.366935E9</v>
      </c>
    </row>
    <row r="1614">
      <c r="A1614" s="1">
        <v>1612.0</v>
      </c>
      <c r="B1614" s="11">
        <v>44469.0</v>
      </c>
      <c r="C1614" s="1" t="s">
        <v>842</v>
      </c>
      <c r="D1614" s="1" t="s">
        <v>843</v>
      </c>
      <c r="F1614" s="1">
        <v>1.074E9</v>
      </c>
      <c r="G1614" s="1">
        <v>7.97E8</v>
      </c>
      <c r="H1614" s="1">
        <v>3.58E8</v>
      </c>
      <c r="I1614" s="1">
        <v>1.544E9</v>
      </c>
      <c r="J1614" s="1">
        <v>1.145E9</v>
      </c>
      <c r="K1614" s="1">
        <v>1.145E9</v>
      </c>
      <c r="L1614" s="1">
        <v>-3.1E7</v>
      </c>
      <c r="M1614" s="1">
        <v>2.13E8</v>
      </c>
      <c r="N1614" s="1">
        <v>2.087E9</v>
      </c>
      <c r="O1614" s="1">
        <v>9.42E8</v>
      </c>
      <c r="P1614" s="1">
        <v>5.43E8</v>
      </c>
      <c r="Q1614" s="1">
        <v>-7.1E7</v>
      </c>
      <c r="R1614" s="1">
        <v>8.61E8</v>
      </c>
      <c r="S1614" s="1">
        <v>7.97E8</v>
      </c>
    </row>
    <row r="1615">
      <c r="A1615" s="1">
        <v>1613.0</v>
      </c>
      <c r="B1615" s="11">
        <v>44377.0</v>
      </c>
      <c r="C1615" s="1" t="s">
        <v>842</v>
      </c>
      <c r="D1615" s="1" t="s">
        <v>843</v>
      </c>
      <c r="F1615" s="1">
        <v>1.144E9</v>
      </c>
      <c r="G1615" s="1">
        <v>7.98E8</v>
      </c>
      <c r="H1615" s="1">
        <v>3.1E8</v>
      </c>
      <c r="I1615" s="1">
        <v>1.573E9</v>
      </c>
      <c r="J1615" s="1">
        <v>1.218E9</v>
      </c>
      <c r="K1615" s="1">
        <v>1.218E9</v>
      </c>
      <c r="L1615" s="1">
        <v>-3.2E7</v>
      </c>
      <c r="M1615" s="1">
        <v>2.87E8</v>
      </c>
      <c r="N1615" s="1">
        <v>2.106E9</v>
      </c>
      <c r="O1615" s="1">
        <v>8.88E8</v>
      </c>
      <c r="P1615" s="1">
        <v>5.33E8</v>
      </c>
      <c r="Q1615" s="1">
        <v>-7.4E7</v>
      </c>
      <c r="R1615" s="1">
        <v>8.57E8</v>
      </c>
      <c r="S1615" s="1">
        <v>7.98E8</v>
      </c>
    </row>
    <row r="1616">
      <c r="A1616" s="1">
        <v>1614.0</v>
      </c>
      <c r="B1616" s="11">
        <v>44286.0</v>
      </c>
      <c r="C1616" s="1" t="s">
        <v>842</v>
      </c>
      <c r="D1616" s="1" t="s">
        <v>843</v>
      </c>
      <c r="F1616" s="1">
        <v>1.056E9</v>
      </c>
      <c r="G1616" s="1">
        <v>7.55E8</v>
      </c>
      <c r="H1616" s="1">
        <v>2.98E8</v>
      </c>
      <c r="I1616" s="1">
        <v>1.489E9</v>
      </c>
      <c r="J1616" s="1">
        <v>1.141E9</v>
      </c>
      <c r="K1616" s="1">
        <v>1.141E9</v>
      </c>
      <c r="L1616" s="1">
        <v>-3.2E7</v>
      </c>
      <c r="M1616" s="1">
        <v>2.48E8</v>
      </c>
      <c r="N1616" s="1">
        <v>2.016E9</v>
      </c>
      <c r="O1616" s="1">
        <v>8.75E8</v>
      </c>
      <c r="P1616" s="1">
        <v>5.27E8</v>
      </c>
      <c r="Q1616" s="1">
        <v>-8.5E7</v>
      </c>
      <c r="R1616" s="1">
        <v>8.08E8</v>
      </c>
      <c r="S1616" s="1">
        <v>7.55E8</v>
      </c>
    </row>
    <row r="1617">
      <c r="A1617" s="1">
        <v>1615.0</v>
      </c>
      <c r="B1617" s="11">
        <v>44196.0</v>
      </c>
      <c r="C1617" s="1" t="s">
        <v>842</v>
      </c>
      <c r="D1617" s="1" t="s">
        <v>843</v>
      </c>
      <c r="F1617" s="1">
        <v>6.4E8</v>
      </c>
      <c r="G1617" s="1">
        <v>4.54E8</v>
      </c>
      <c r="H1617" s="1">
        <v>3.84E8</v>
      </c>
      <c r="I1617" s="1">
        <v>1.308E9</v>
      </c>
      <c r="J1617" s="1">
        <v>8.72E8</v>
      </c>
      <c r="K1617" s="1">
        <v>8.72E8</v>
      </c>
      <c r="L1617" s="1">
        <v>-3.2E7</v>
      </c>
      <c r="M1617" s="1">
        <v>1.35E8</v>
      </c>
      <c r="N1617" s="1">
        <v>1.867E9</v>
      </c>
      <c r="O1617" s="1">
        <v>9.95E8</v>
      </c>
      <c r="P1617" s="1">
        <v>5.59E8</v>
      </c>
      <c r="Q1617" s="1">
        <v>-2.32E8</v>
      </c>
      <c r="R1617" s="1">
        <v>5.05E8</v>
      </c>
      <c r="S1617" s="1">
        <v>4.54E8</v>
      </c>
    </row>
    <row r="1618">
      <c r="A1618" s="1">
        <v>1616.0</v>
      </c>
      <c r="B1618" s="11">
        <v>44408.0</v>
      </c>
      <c r="C1618" s="1" t="s">
        <v>844</v>
      </c>
      <c r="D1618" s="1" t="s">
        <v>845</v>
      </c>
      <c r="E1618" s="1">
        <v>1.02E9</v>
      </c>
      <c r="F1618" s="1">
        <v>8.26E8</v>
      </c>
      <c r="G1618" s="1">
        <v>5.35E8</v>
      </c>
      <c r="H1618" s="1">
        <v>3.321E9</v>
      </c>
      <c r="I1618" s="1">
        <v>4.727E9</v>
      </c>
      <c r="J1618" s="1">
        <v>3.86E8</v>
      </c>
      <c r="K1618" s="1">
        <v>3.86E8</v>
      </c>
      <c r="L1618" s="1">
        <v>-4.1E7</v>
      </c>
      <c r="M1618" s="1">
        <v>2.91E8</v>
      </c>
      <c r="N1618" s="1">
        <v>6.34E9</v>
      </c>
      <c r="O1618" s="1">
        <v>5.954E9</v>
      </c>
      <c r="P1618" s="1">
        <v>1.613E9</v>
      </c>
      <c r="Q1618" s="1">
        <v>4.4E8</v>
      </c>
      <c r="R1618" s="1">
        <v>5.35E8</v>
      </c>
      <c r="S1618" s="1">
        <v>5.35E8</v>
      </c>
    </row>
    <row r="1619">
      <c r="A1619" s="1">
        <v>1617.0</v>
      </c>
      <c r="B1619" s="11">
        <v>44316.0</v>
      </c>
      <c r="C1619" s="1" t="s">
        <v>844</v>
      </c>
      <c r="D1619" s="1" t="s">
        <v>845</v>
      </c>
      <c r="E1619" s="1">
        <v>9.51E8</v>
      </c>
      <c r="F1619" s="1">
        <v>6.04E8</v>
      </c>
      <c r="G1619" s="1">
        <v>4.69E8</v>
      </c>
      <c r="H1619" s="1">
        <v>3.103E9</v>
      </c>
      <c r="I1619" s="1">
        <v>4.408E9</v>
      </c>
      <c r="J1619" s="1">
        <v>3.54E8</v>
      </c>
      <c r="K1619" s="1">
        <v>3.54E8</v>
      </c>
      <c r="L1619" s="1">
        <v>-3.4E7</v>
      </c>
      <c r="M1619" s="1">
        <v>1.35E8</v>
      </c>
      <c r="N1619" s="1">
        <v>5.963E9</v>
      </c>
      <c r="O1619" s="1">
        <v>5.609E9</v>
      </c>
      <c r="P1619" s="1">
        <v>1.555E9</v>
      </c>
      <c r="Q1619" s="1">
        <v>2.5E8</v>
      </c>
      <c r="R1619" s="1">
        <v>4.69E8</v>
      </c>
      <c r="S1619" s="1">
        <v>4.69E8</v>
      </c>
    </row>
    <row r="1620">
      <c r="A1620" s="1">
        <v>1618.0</v>
      </c>
      <c r="B1620" s="11">
        <v>44227.0</v>
      </c>
      <c r="C1620" s="1" t="s">
        <v>844</v>
      </c>
      <c r="D1620" s="1" t="s">
        <v>845</v>
      </c>
      <c r="E1620" s="1">
        <v>9.39E8</v>
      </c>
      <c r="F1620" s="1">
        <v>4.25E8</v>
      </c>
      <c r="G1620" s="1">
        <v>2.67E8</v>
      </c>
      <c r="H1620" s="1">
        <v>3.206E9</v>
      </c>
      <c r="I1620" s="1">
        <v>4.338E9</v>
      </c>
      <c r="J1620" s="1">
        <v>1.93E8</v>
      </c>
      <c r="K1620" s="1">
        <v>1.93E8</v>
      </c>
      <c r="L1620" s="1">
        <v>-1.02E8</v>
      </c>
      <c r="M1620" s="1">
        <v>1.58E8</v>
      </c>
      <c r="N1620" s="1">
        <v>5.817E9</v>
      </c>
      <c r="O1620" s="1">
        <v>5.624E9</v>
      </c>
      <c r="P1620" s="1">
        <v>1.479E9</v>
      </c>
      <c r="Q1620" s="1">
        <v>2.32E8</v>
      </c>
      <c r="R1620" s="1">
        <v>2.67E8</v>
      </c>
      <c r="S1620" s="1">
        <v>2.67E8</v>
      </c>
    </row>
    <row r="1621">
      <c r="A1621" s="1">
        <v>1619.0</v>
      </c>
      <c r="B1621" s="11">
        <v>44135.0</v>
      </c>
      <c r="C1621" s="1" t="s">
        <v>844</v>
      </c>
      <c r="D1621" s="1" t="s">
        <v>845</v>
      </c>
      <c r="E1621" s="1">
        <v>9.02E8</v>
      </c>
      <c r="F1621" s="1">
        <v>1.25E9</v>
      </c>
      <c r="G1621" s="1">
        <v>1.081E9</v>
      </c>
      <c r="H1621" s="1">
        <v>2.899E9</v>
      </c>
      <c r="I1621" s="1">
        <v>4.025E9</v>
      </c>
      <c r="J1621" s="1">
        <v>2.24E8</v>
      </c>
      <c r="K1621" s="1">
        <v>2.24E8</v>
      </c>
      <c r="L1621" s="1">
        <v>-2.9E7</v>
      </c>
      <c r="M1621" s="1">
        <v>1.69E8</v>
      </c>
      <c r="N1621" s="1">
        <v>5.419E9</v>
      </c>
      <c r="O1621" s="1">
        <v>5.195E9</v>
      </c>
      <c r="P1621" s="1">
        <v>1.394E9</v>
      </c>
      <c r="Q1621" s="1">
        <v>1.026E9</v>
      </c>
      <c r="R1621" s="1">
        <v>1.081E9</v>
      </c>
      <c r="S1621" s="1">
        <v>1.081E9</v>
      </c>
    </row>
    <row r="1622">
      <c r="A1622" s="1">
        <v>1620.0</v>
      </c>
      <c r="B1622" s="11">
        <v>44469.0</v>
      </c>
      <c r="C1622" s="1" t="s">
        <v>846</v>
      </c>
      <c r="D1622" s="1" t="s">
        <v>847</v>
      </c>
      <c r="F1622" s="1">
        <v>3.6964E7</v>
      </c>
      <c r="G1622" s="1">
        <v>4.7798E7</v>
      </c>
      <c r="H1622" s="1">
        <v>5.0771E7</v>
      </c>
      <c r="I1622" s="1">
        <v>4.43552E8</v>
      </c>
      <c r="J1622" s="1">
        <v>2.21229E8</v>
      </c>
      <c r="K1622" s="1">
        <v>2.21229E8</v>
      </c>
      <c r="L1622" s="1">
        <v>-1.05953E8</v>
      </c>
      <c r="M1622" s="1">
        <v>-1.0834E7</v>
      </c>
      <c r="N1622" s="1">
        <v>5.89305E8</v>
      </c>
      <c r="O1622" s="1">
        <v>3.68076E8</v>
      </c>
      <c r="P1622" s="1">
        <v>1.45753E8</v>
      </c>
      <c r="Q1622" s="1">
        <v>-1.84265E8</v>
      </c>
      <c r="R1622" s="1">
        <v>4.7798E7</v>
      </c>
      <c r="S1622" s="1">
        <v>4.7798E7</v>
      </c>
    </row>
    <row r="1623">
      <c r="A1623" s="1">
        <v>1621.0</v>
      </c>
      <c r="B1623" s="11">
        <v>44377.0</v>
      </c>
      <c r="C1623" s="1" t="s">
        <v>846</v>
      </c>
      <c r="D1623" s="1" t="s">
        <v>847</v>
      </c>
      <c r="F1623" s="1">
        <v>1.99919E8</v>
      </c>
      <c r="G1623" s="1">
        <v>1.52669E8</v>
      </c>
      <c r="H1623" s="1">
        <v>5.371E7</v>
      </c>
      <c r="I1623" s="1">
        <v>4.32975E8</v>
      </c>
      <c r="J1623" s="1">
        <v>2.03239E8</v>
      </c>
      <c r="K1623" s="1">
        <v>2.03239E8</v>
      </c>
      <c r="L1623" s="1">
        <v>-1.07221E8</v>
      </c>
      <c r="M1623" s="1">
        <v>4.725E7</v>
      </c>
      <c r="N1623" s="1">
        <v>5.75528E8</v>
      </c>
      <c r="O1623" s="1">
        <v>3.72289E8</v>
      </c>
      <c r="P1623" s="1">
        <v>1.42553E8</v>
      </c>
      <c r="Q1623" s="1">
        <v>-3320000.0</v>
      </c>
      <c r="R1623" s="1">
        <v>1.52669E8</v>
      </c>
      <c r="S1623" s="1">
        <v>1.52669E8</v>
      </c>
    </row>
    <row r="1624">
      <c r="A1624" s="1">
        <v>1622.0</v>
      </c>
      <c r="B1624" s="11">
        <v>44286.0</v>
      </c>
      <c r="C1624" s="1" t="s">
        <v>846</v>
      </c>
      <c r="D1624" s="1" t="s">
        <v>847</v>
      </c>
      <c r="F1624" s="1">
        <v>-3.2667E7</v>
      </c>
      <c r="G1624" s="1">
        <v>-1.1745E7</v>
      </c>
      <c r="H1624" s="1">
        <v>5.1381E7</v>
      </c>
      <c r="I1624" s="1">
        <v>4.13964E8</v>
      </c>
      <c r="J1624" s="1">
        <v>1.78062E8</v>
      </c>
      <c r="K1624" s="1">
        <v>1.78062E8</v>
      </c>
      <c r="L1624" s="1">
        <v>-1.0679E8</v>
      </c>
      <c r="M1624" s="1">
        <v>-2.0922E7</v>
      </c>
      <c r="N1624" s="1">
        <v>5.48739E8</v>
      </c>
      <c r="O1624" s="1">
        <v>3.70677E8</v>
      </c>
      <c r="P1624" s="1">
        <v>1.34775E8</v>
      </c>
      <c r="Q1624" s="1">
        <v>-2.10729E8</v>
      </c>
      <c r="R1624" s="1">
        <v>-1.1745E7</v>
      </c>
      <c r="S1624" s="1">
        <v>-1.1745E7</v>
      </c>
    </row>
    <row r="1625">
      <c r="A1625" s="1">
        <v>1623.0</v>
      </c>
      <c r="B1625" s="11">
        <v>44196.0</v>
      </c>
      <c r="C1625" s="1" t="s">
        <v>846</v>
      </c>
      <c r="D1625" s="1" t="s">
        <v>847</v>
      </c>
      <c r="F1625" s="1">
        <v>1.40533E8</v>
      </c>
      <c r="G1625" s="1">
        <v>1.05782E8</v>
      </c>
      <c r="H1625" s="1">
        <v>4.7192E7</v>
      </c>
      <c r="I1625" s="1">
        <v>4.03891E8</v>
      </c>
      <c r="J1625" s="1">
        <v>1.7592E8</v>
      </c>
      <c r="K1625" s="1">
        <v>1.7592E8</v>
      </c>
      <c r="L1625" s="1">
        <v>-1.03196E8</v>
      </c>
      <c r="M1625" s="1">
        <v>3.4347E7</v>
      </c>
      <c r="N1625" s="1">
        <v>5.35907E8</v>
      </c>
      <c r="O1625" s="1">
        <v>3.59987E8</v>
      </c>
      <c r="P1625" s="1">
        <v>1.32016E8</v>
      </c>
      <c r="Q1625" s="1">
        <v>-3.5387E7</v>
      </c>
      <c r="R1625" s="1">
        <v>1.06186E8</v>
      </c>
      <c r="S1625" s="1">
        <v>1.05782E8</v>
      </c>
    </row>
    <row r="1626">
      <c r="A1626" s="1">
        <v>1624.0</v>
      </c>
      <c r="B1626" s="11">
        <v>44469.0</v>
      </c>
      <c r="C1626" s="1" t="s">
        <v>848</v>
      </c>
      <c r="D1626" s="1" t="s">
        <v>849</v>
      </c>
      <c r="E1626" s="1">
        <v>1.4E8</v>
      </c>
      <c r="F1626" s="1">
        <v>6.91E8</v>
      </c>
      <c r="G1626" s="1">
        <v>5.5E8</v>
      </c>
      <c r="H1626" s="1">
        <v>8.0E7</v>
      </c>
      <c r="I1626" s="1">
        <v>9.85E8</v>
      </c>
      <c r="J1626" s="1">
        <v>7.65E8</v>
      </c>
      <c r="K1626" s="1">
        <v>7.65E8</v>
      </c>
      <c r="L1626" s="1">
        <v>-1.3E8</v>
      </c>
      <c r="M1626" s="1">
        <v>1.29E8</v>
      </c>
      <c r="N1626" s="1">
        <v>5.847E9</v>
      </c>
      <c r="O1626" s="1">
        <v>5.082E9</v>
      </c>
      <c r="P1626" s="1">
        <v>4.862E9</v>
      </c>
      <c r="Q1626" s="1">
        <v>-7.4E7</v>
      </c>
      <c r="R1626" s="1">
        <v>5.62E8</v>
      </c>
      <c r="S1626" s="1">
        <v>5.5E8</v>
      </c>
    </row>
    <row r="1627">
      <c r="A1627" s="1">
        <v>1625.0</v>
      </c>
      <c r="B1627" s="11">
        <v>44377.0</v>
      </c>
      <c r="C1627" s="1" t="s">
        <v>848</v>
      </c>
      <c r="D1627" s="1" t="s">
        <v>849</v>
      </c>
      <c r="E1627" s="1">
        <v>1.34E8</v>
      </c>
      <c r="F1627" s="1">
        <v>5.42E8</v>
      </c>
      <c r="G1627" s="1">
        <v>4.31E8</v>
      </c>
      <c r="H1627" s="1">
        <v>7.0E7</v>
      </c>
      <c r="I1627" s="1">
        <v>8.66E8</v>
      </c>
      <c r="J1627" s="1">
        <v>6.62E8</v>
      </c>
      <c r="K1627" s="1">
        <v>6.62E8</v>
      </c>
      <c r="L1627" s="1">
        <v>-1.36E8</v>
      </c>
      <c r="M1627" s="1">
        <v>9.9E7</v>
      </c>
      <c r="N1627" s="1">
        <v>5.634E9</v>
      </c>
      <c r="O1627" s="1">
        <v>4.972E9</v>
      </c>
      <c r="P1627" s="1">
        <v>4.768E9</v>
      </c>
      <c r="Q1627" s="1">
        <v>-1.2E8</v>
      </c>
      <c r="R1627" s="1">
        <v>4.43E8</v>
      </c>
      <c r="S1627" s="1">
        <v>4.31E8</v>
      </c>
    </row>
    <row r="1628">
      <c r="A1628" s="1">
        <v>1626.0</v>
      </c>
      <c r="B1628" s="11">
        <v>44286.0</v>
      </c>
      <c r="C1628" s="1" t="s">
        <v>848</v>
      </c>
      <c r="D1628" s="1" t="s">
        <v>849</v>
      </c>
      <c r="E1628" s="1">
        <v>1.35E8</v>
      </c>
      <c r="F1628" s="1">
        <v>3.86E8</v>
      </c>
      <c r="G1628" s="1">
        <v>2.99E8</v>
      </c>
      <c r="H1628" s="1">
        <v>8.1E7</v>
      </c>
      <c r="I1628" s="1">
        <v>7.19E8</v>
      </c>
      <c r="J1628" s="1">
        <v>5.03E8</v>
      </c>
      <c r="K1628" s="1">
        <v>5.03E8</v>
      </c>
      <c r="L1628" s="1">
        <v>-1.36E8</v>
      </c>
      <c r="M1628" s="1">
        <v>7.4E7</v>
      </c>
      <c r="N1628" s="1">
        <v>5.223E9</v>
      </c>
      <c r="O1628" s="1">
        <v>4.72E9</v>
      </c>
      <c r="P1628" s="1">
        <v>4.504E9</v>
      </c>
      <c r="Q1628" s="1">
        <v>-1.17E8</v>
      </c>
      <c r="R1628" s="1">
        <v>3.12E8</v>
      </c>
      <c r="S1628" s="1">
        <v>2.99E8</v>
      </c>
    </row>
    <row r="1629">
      <c r="A1629" s="1">
        <v>1627.0</v>
      </c>
      <c r="B1629" s="11">
        <v>44196.0</v>
      </c>
      <c r="C1629" s="1" t="s">
        <v>848</v>
      </c>
      <c r="D1629" s="1" t="s">
        <v>849</v>
      </c>
      <c r="E1629" s="1">
        <v>1.28E8</v>
      </c>
      <c r="F1629" s="1">
        <v>4.71E8</v>
      </c>
      <c r="G1629" s="1">
        <v>3.74E8</v>
      </c>
      <c r="H1629" s="1">
        <v>7.2E7</v>
      </c>
      <c r="I1629" s="1">
        <v>7.04E8</v>
      </c>
      <c r="J1629" s="1">
        <v>5.04E8</v>
      </c>
      <c r="K1629" s="1">
        <v>5.04E8</v>
      </c>
      <c r="L1629" s="1">
        <v>-1.44E8</v>
      </c>
      <c r="M1629" s="1">
        <v>8.9E7</v>
      </c>
      <c r="N1629" s="1">
        <v>5.532E9</v>
      </c>
      <c r="O1629" s="1">
        <v>5.028E9</v>
      </c>
      <c r="P1629" s="1">
        <v>4.828E9</v>
      </c>
      <c r="Q1629" s="1">
        <v>-3.3E7</v>
      </c>
      <c r="R1629" s="1">
        <v>3.82E8</v>
      </c>
      <c r="S1629" s="1">
        <v>3.74E8</v>
      </c>
    </row>
    <row r="1630">
      <c r="A1630" s="1">
        <v>1628.0</v>
      </c>
      <c r="B1630" s="11">
        <v>44470.0</v>
      </c>
      <c r="C1630" s="1" t="s">
        <v>850</v>
      </c>
      <c r="D1630" s="1" t="s">
        <v>851</v>
      </c>
      <c r="E1630" s="1">
        <v>2.33E8</v>
      </c>
      <c r="F1630" s="1">
        <v>5.33E8</v>
      </c>
      <c r="G1630" s="1">
        <v>5.26E8</v>
      </c>
      <c r="H1630" s="1">
        <v>1.33E8</v>
      </c>
      <c r="I1630" s="1">
        <v>9.56E8</v>
      </c>
      <c r="J1630" s="1">
        <v>5.87E8</v>
      </c>
      <c r="K1630" s="1">
        <v>5.87E8</v>
      </c>
      <c r="L1630" s="1">
        <v>-5.9E7</v>
      </c>
      <c r="M1630" s="1">
        <v>7000000.0</v>
      </c>
      <c r="N1630" s="1">
        <v>3.115E9</v>
      </c>
      <c r="O1630" s="1">
        <v>2.528E9</v>
      </c>
      <c r="P1630" s="1">
        <v>2.159E9</v>
      </c>
      <c r="Q1630" s="1">
        <v>-5.4E7</v>
      </c>
      <c r="R1630" s="1">
        <v>5.26E8</v>
      </c>
      <c r="S1630" s="1">
        <v>5.26E8</v>
      </c>
    </row>
    <row r="1631">
      <c r="A1631" s="1">
        <v>1629.0</v>
      </c>
      <c r="B1631" s="11">
        <v>44379.0</v>
      </c>
      <c r="C1631" s="1" t="s">
        <v>850</v>
      </c>
      <c r="D1631" s="1" t="s">
        <v>851</v>
      </c>
      <c r="E1631" s="1">
        <v>2.32E8</v>
      </c>
      <c r="F1631" s="1">
        <v>4.97E8</v>
      </c>
      <c r="G1631" s="1">
        <v>4.82E8</v>
      </c>
      <c r="H1631" s="1">
        <v>1.36E8</v>
      </c>
      <c r="I1631" s="1">
        <v>8.85E8</v>
      </c>
      <c r="J1631" s="1">
        <v>5.14E8</v>
      </c>
      <c r="K1631" s="1">
        <v>5.14E8</v>
      </c>
      <c r="L1631" s="1">
        <v>-5.9E7</v>
      </c>
      <c r="M1631" s="1">
        <v>1.5E7</v>
      </c>
      <c r="N1631" s="1">
        <v>3.013E9</v>
      </c>
      <c r="O1631" s="1">
        <v>2.499E9</v>
      </c>
      <c r="P1631" s="1">
        <v>2.128E9</v>
      </c>
      <c r="Q1631" s="1">
        <v>-1.7E7</v>
      </c>
      <c r="R1631" s="1">
        <v>4.82E8</v>
      </c>
      <c r="S1631" s="1">
        <v>4.82E8</v>
      </c>
    </row>
    <row r="1632">
      <c r="A1632" s="1">
        <v>1630.0</v>
      </c>
      <c r="B1632" s="11">
        <v>44288.0</v>
      </c>
      <c r="C1632" s="1" t="s">
        <v>850</v>
      </c>
      <c r="D1632" s="1" t="s">
        <v>851</v>
      </c>
      <c r="E1632" s="1">
        <v>2.27E8</v>
      </c>
      <c r="F1632" s="1">
        <v>3.39E8</v>
      </c>
      <c r="G1632" s="1">
        <v>3.29E8</v>
      </c>
      <c r="H1632" s="1">
        <v>1.26E8</v>
      </c>
      <c r="I1632" s="1">
        <v>7.4E8</v>
      </c>
      <c r="J1632" s="1">
        <v>3.84E8</v>
      </c>
      <c r="K1632" s="1">
        <v>3.84E8</v>
      </c>
      <c r="L1632" s="1">
        <v>-5.9E7</v>
      </c>
      <c r="M1632" s="1">
        <v>1.0E7</v>
      </c>
      <c r="N1632" s="1">
        <v>2.731E9</v>
      </c>
      <c r="O1632" s="1">
        <v>2.347E9</v>
      </c>
      <c r="P1632" s="1">
        <v>1.991E9</v>
      </c>
      <c r="Q1632" s="1">
        <v>-4.5E7</v>
      </c>
      <c r="R1632" s="1">
        <v>3.29E8</v>
      </c>
      <c r="S1632" s="1">
        <v>3.29E8</v>
      </c>
    </row>
    <row r="1633">
      <c r="A1633" s="1">
        <v>1631.0</v>
      </c>
      <c r="B1633" s="11">
        <v>44197.0</v>
      </c>
      <c r="C1633" s="1" t="s">
        <v>850</v>
      </c>
      <c r="D1633" s="1" t="s">
        <v>851</v>
      </c>
      <c r="E1633" s="1">
        <v>2.21E8</v>
      </c>
      <c r="F1633" s="1">
        <v>2.91E8</v>
      </c>
      <c r="G1633" s="1">
        <v>2.8E8</v>
      </c>
      <c r="H1633" s="1">
        <v>1.22E8</v>
      </c>
      <c r="I1633" s="1">
        <v>6.96E8</v>
      </c>
      <c r="J1633" s="1">
        <v>3.5E8</v>
      </c>
      <c r="K1633" s="1">
        <v>3.5E8</v>
      </c>
      <c r="L1633" s="1">
        <v>-5.2E7</v>
      </c>
      <c r="M1633" s="1">
        <v>1.1E7</v>
      </c>
      <c r="N1633" s="1">
        <v>2.623E9</v>
      </c>
      <c r="O1633" s="1">
        <v>2.273E9</v>
      </c>
      <c r="P1633" s="1">
        <v>1.927E9</v>
      </c>
      <c r="Q1633" s="1">
        <v>-5.9E7</v>
      </c>
      <c r="R1633" s="1">
        <v>2.8E8</v>
      </c>
      <c r="S1633" s="1">
        <v>2.8E8</v>
      </c>
    </row>
    <row r="1634">
      <c r="A1634" s="1">
        <v>1632.0</v>
      </c>
      <c r="B1634" s="11">
        <v>44469.0</v>
      </c>
      <c r="C1634" s="1" t="s">
        <v>852</v>
      </c>
      <c r="D1634" s="1" t="s">
        <v>853</v>
      </c>
      <c r="F1634" s="1">
        <v>1.544E8</v>
      </c>
      <c r="G1634" s="1">
        <v>1.077E8</v>
      </c>
      <c r="H1634" s="1">
        <v>1.896E8</v>
      </c>
      <c r="I1634" s="1">
        <v>4.037E8</v>
      </c>
      <c r="J1634" s="1">
        <v>2.044E8</v>
      </c>
      <c r="K1634" s="1">
        <v>2.044E8</v>
      </c>
      <c r="L1634" s="1">
        <v>-4.44E7</v>
      </c>
      <c r="M1634" s="1">
        <v>4.66E7</v>
      </c>
      <c r="N1634" s="1">
        <v>1.4067E9</v>
      </c>
      <c r="O1634" s="1">
        <v>1.2023E9</v>
      </c>
      <c r="P1634" s="1">
        <v>1.003E9</v>
      </c>
      <c r="Q1634" s="1">
        <v>-5.0E7</v>
      </c>
      <c r="R1634" s="1">
        <v>1.078E8</v>
      </c>
      <c r="S1634" s="1">
        <v>1.077E8</v>
      </c>
    </row>
    <row r="1635">
      <c r="A1635" s="1">
        <v>1633.0</v>
      </c>
      <c r="B1635" s="11">
        <v>44377.0</v>
      </c>
      <c r="C1635" s="1" t="s">
        <v>852</v>
      </c>
      <c r="D1635" s="1" t="s">
        <v>853</v>
      </c>
      <c r="F1635" s="1">
        <v>1.544E8</v>
      </c>
      <c r="G1635" s="1">
        <v>1.081E8</v>
      </c>
      <c r="H1635" s="1">
        <v>1.906E8</v>
      </c>
      <c r="I1635" s="1">
        <v>4.007E8</v>
      </c>
      <c r="J1635" s="1">
        <v>2.004E8</v>
      </c>
      <c r="K1635" s="1">
        <v>2.004E8</v>
      </c>
      <c r="L1635" s="1">
        <v>-4.41E7</v>
      </c>
      <c r="M1635" s="1">
        <v>4.58E7</v>
      </c>
      <c r="N1635" s="1">
        <v>1.3285E9</v>
      </c>
      <c r="O1635" s="1">
        <v>1.1281E9</v>
      </c>
      <c r="P1635" s="1">
        <v>9.278E8</v>
      </c>
      <c r="Q1635" s="1">
        <v>-4.6E7</v>
      </c>
      <c r="R1635" s="1">
        <v>1.086E8</v>
      </c>
      <c r="S1635" s="1">
        <v>1.081E8</v>
      </c>
    </row>
    <row r="1636">
      <c r="A1636" s="1">
        <v>1634.0</v>
      </c>
      <c r="B1636" s="11">
        <v>44286.0</v>
      </c>
      <c r="C1636" s="1" t="s">
        <v>852</v>
      </c>
      <c r="D1636" s="1" t="s">
        <v>853</v>
      </c>
      <c r="F1636" s="1">
        <v>1.604E8</v>
      </c>
      <c r="G1636" s="1">
        <v>1.101E8</v>
      </c>
      <c r="H1636" s="1">
        <v>1.877E8</v>
      </c>
      <c r="I1636" s="1">
        <v>4.011E8</v>
      </c>
      <c r="J1636" s="1">
        <v>2.037E8</v>
      </c>
      <c r="K1636" s="1">
        <v>2.037E8</v>
      </c>
      <c r="L1636" s="1">
        <v>-4.51E7</v>
      </c>
      <c r="M1636" s="1">
        <v>5.46E7</v>
      </c>
      <c r="N1636" s="1">
        <v>1.2671E9</v>
      </c>
      <c r="O1636" s="1">
        <v>1.0634E9</v>
      </c>
      <c r="P1636" s="1">
        <v>8.66E8</v>
      </c>
      <c r="Q1636" s="1">
        <v>-4.33E7</v>
      </c>
      <c r="R1636" s="1">
        <v>1.058E8</v>
      </c>
      <c r="S1636" s="1">
        <v>1.101E8</v>
      </c>
    </row>
    <row r="1637">
      <c r="A1637" s="1">
        <v>1635.0</v>
      </c>
      <c r="B1637" s="11">
        <v>44196.0</v>
      </c>
      <c r="C1637" s="1" t="s">
        <v>852</v>
      </c>
      <c r="D1637" s="1" t="s">
        <v>853</v>
      </c>
      <c r="F1637" s="1">
        <v>1.849E8</v>
      </c>
      <c r="G1637" s="1">
        <v>1.422E8</v>
      </c>
      <c r="H1637" s="1">
        <v>1.95E8</v>
      </c>
      <c r="I1637" s="1">
        <v>4.244E8</v>
      </c>
      <c r="J1637" s="1">
        <v>2.199E8</v>
      </c>
      <c r="K1637" s="1">
        <v>2.199E8</v>
      </c>
      <c r="L1637" s="1">
        <v>-4.61E7</v>
      </c>
      <c r="M1637" s="1">
        <v>4.74E7</v>
      </c>
      <c r="N1637" s="1">
        <v>1.3409E9</v>
      </c>
      <c r="O1637" s="1">
        <v>1.121E9</v>
      </c>
      <c r="P1637" s="1">
        <v>9.165E8</v>
      </c>
      <c r="Q1637" s="1">
        <v>-3.5E7</v>
      </c>
      <c r="R1637" s="1">
        <v>1.375E8</v>
      </c>
      <c r="S1637" s="1">
        <v>1.421E8</v>
      </c>
    </row>
    <row r="1638">
      <c r="A1638" s="1">
        <v>1636.0</v>
      </c>
      <c r="B1638" s="11">
        <v>44469.0</v>
      </c>
      <c r="C1638" s="1" t="s">
        <v>854</v>
      </c>
      <c r="D1638" s="1" t="s">
        <v>855</v>
      </c>
      <c r="F1638" s="1">
        <v>-9.74E8</v>
      </c>
      <c r="G1638" s="1">
        <v>-6.37E8</v>
      </c>
      <c r="H1638" s="1">
        <v>6.6E7</v>
      </c>
      <c r="I1638" s="1">
        <v>9.75E8</v>
      </c>
      <c r="J1638" s="1">
        <v>4.38E8</v>
      </c>
      <c r="K1638" s="1">
        <v>4.38E8</v>
      </c>
      <c r="L1638" s="1">
        <v>-2.59E8</v>
      </c>
      <c r="M1638" s="1">
        <v>-3.42E8</v>
      </c>
      <c r="N1638" s="1">
        <v>3.013E9</v>
      </c>
      <c r="O1638" s="1">
        <v>2.575E9</v>
      </c>
      <c r="P1638" s="1">
        <v>2.038E9</v>
      </c>
      <c r="Q1638" s="1">
        <v>-1.412E9</v>
      </c>
      <c r="R1638" s="1">
        <v>-6.32E8</v>
      </c>
      <c r="S1638" s="1">
        <v>-6.48E8</v>
      </c>
    </row>
    <row r="1639">
      <c r="A1639" s="1">
        <v>1637.0</v>
      </c>
      <c r="B1639" s="11">
        <v>44377.0</v>
      </c>
      <c r="C1639" s="1" t="s">
        <v>854</v>
      </c>
      <c r="D1639" s="1" t="s">
        <v>855</v>
      </c>
      <c r="F1639" s="1">
        <v>5.93E8</v>
      </c>
      <c r="G1639" s="1">
        <v>4.44E8</v>
      </c>
      <c r="H1639" s="1">
        <v>1.5E7</v>
      </c>
      <c r="I1639" s="1">
        <v>9.15E8</v>
      </c>
      <c r="J1639" s="1">
        <v>4.37E8</v>
      </c>
      <c r="K1639" s="1">
        <v>4.37E8</v>
      </c>
      <c r="L1639" s="1">
        <v>-2.59E8</v>
      </c>
      <c r="M1639" s="1">
        <v>1.39E8</v>
      </c>
      <c r="N1639" s="1">
        <v>2.741E9</v>
      </c>
      <c r="O1639" s="1">
        <v>2.304E9</v>
      </c>
      <c r="P1639" s="1">
        <v>1.826E9</v>
      </c>
      <c r="Q1639" s="1">
        <v>1.56E8</v>
      </c>
      <c r="R1639" s="1">
        <v>4.54E8</v>
      </c>
      <c r="S1639" s="1">
        <v>4.24E8</v>
      </c>
    </row>
    <row r="1640">
      <c r="A1640" s="1">
        <v>1638.0</v>
      </c>
      <c r="B1640" s="11">
        <v>44286.0</v>
      </c>
      <c r="C1640" s="1" t="s">
        <v>854</v>
      </c>
      <c r="D1640" s="1" t="s">
        <v>855</v>
      </c>
      <c r="F1640" s="1">
        <v>1.086E9</v>
      </c>
      <c r="G1640" s="1">
        <v>8.95E8</v>
      </c>
      <c r="H1640" s="1">
        <v>-2.9E7</v>
      </c>
      <c r="I1640" s="1">
        <v>1.415E9</v>
      </c>
      <c r="J1640" s="1">
        <v>1.002E9</v>
      </c>
      <c r="K1640" s="1">
        <v>1.002E9</v>
      </c>
      <c r="L1640" s="1">
        <v>-2.59E8</v>
      </c>
      <c r="M1640" s="1">
        <v>1.58E8</v>
      </c>
      <c r="N1640" s="1">
        <v>3.259E9</v>
      </c>
      <c r="O1640" s="1">
        <v>2.257E9</v>
      </c>
      <c r="P1640" s="1">
        <v>1.844E9</v>
      </c>
      <c r="Q1640" s="1">
        <v>8.4E7</v>
      </c>
      <c r="R1640" s="1">
        <v>9.28E8</v>
      </c>
      <c r="S1640" s="1">
        <v>8.74E8</v>
      </c>
    </row>
    <row r="1641">
      <c r="A1641" s="1">
        <v>1639.0</v>
      </c>
      <c r="B1641" s="11">
        <v>44196.0</v>
      </c>
      <c r="C1641" s="1" t="s">
        <v>854</v>
      </c>
      <c r="D1641" s="1" t="s">
        <v>855</v>
      </c>
      <c r="F1641" s="1">
        <v>6.21E8</v>
      </c>
      <c r="G1641" s="1">
        <v>4.61E8</v>
      </c>
      <c r="H1641" s="1">
        <v>5.7E7</v>
      </c>
      <c r="I1641" s="1">
        <v>1.163E9</v>
      </c>
      <c r="J1641" s="1">
        <v>6.82E8</v>
      </c>
      <c r="K1641" s="1">
        <v>6.82E8</v>
      </c>
      <c r="L1641" s="1">
        <v>-2.63E8</v>
      </c>
      <c r="M1641" s="1">
        <v>1.89E8</v>
      </c>
      <c r="N1641" s="1">
        <v>3.171E9</v>
      </c>
      <c r="O1641" s="1">
        <v>2.489E9</v>
      </c>
      <c r="P1641" s="1">
        <v>2.008E9</v>
      </c>
      <c r="Q1641" s="1">
        <v>-6.1E7</v>
      </c>
      <c r="R1641" s="1">
        <v>4.32E8</v>
      </c>
      <c r="S1641" s="1">
        <v>4.14E8</v>
      </c>
    </row>
    <row r="1642">
      <c r="A1642" s="1">
        <v>1640.0</v>
      </c>
      <c r="B1642" s="11">
        <v>44469.0</v>
      </c>
      <c r="C1642" s="1" t="s">
        <v>856</v>
      </c>
      <c r="D1642" s="1" t="s">
        <v>857</v>
      </c>
      <c r="E1642" s="1">
        <v>3.58E8</v>
      </c>
      <c r="F1642" s="1">
        <v>6.8E7</v>
      </c>
      <c r="G1642" s="1">
        <v>6.3E7</v>
      </c>
      <c r="H1642" s="1">
        <v>7.3E8</v>
      </c>
      <c r="I1642" s="1">
        <v>1.162E9</v>
      </c>
      <c r="J1642" s="1">
        <v>7.4E7</v>
      </c>
      <c r="K1642" s="1">
        <v>7.4E7</v>
      </c>
      <c r="L1642" s="1">
        <v>-7000000.0</v>
      </c>
      <c r="M1642" s="1">
        <v>5000000.0</v>
      </c>
      <c r="N1642" s="1">
        <v>1.512E9</v>
      </c>
      <c r="O1642" s="1">
        <v>1.438E9</v>
      </c>
      <c r="P1642" s="1">
        <v>3.5E8</v>
      </c>
      <c r="Q1642" s="1">
        <v>-6000000.0</v>
      </c>
      <c r="R1642" s="1">
        <v>6.3E7</v>
      </c>
      <c r="S1642" s="1">
        <v>6.3E7</v>
      </c>
    </row>
    <row r="1643">
      <c r="A1643" s="1">
        <v>1641.0</v>
      </c>
      <c r="B1643" s="11">
        <v>44377.0</v>
      </c>
      <c r="C1643" s="1" t="s">
        <v>856</v>
      </c>
      <c r="D1643" s="1" t="s">
        <v>857</v>
      </c>
      <c r="E1643" s="1">
        <v>3.33E8</v>
      </c>
      <c r="F1643" s="1">
        <v>5.0E7</v>
      </c>
      <c r="G1643" s="1">
        <v>5.9E7</v>
      </c>
      <c r="H1643" s="1">
        <v>6.96E8</v>
      </c>
      <c r="I1643" s="1">
        <v>1.08E9</v>
      </c>
      <c r="J1643" s="1">
        <v>5.1E7</v>
      </c>
      <c r="K1643" s="1">
        <v>5.1E7</v>
      </c>
      <c r="L1643" s="1">
        <v>-7000000.0</v>
      </c>
      <c r="M1643" s="1">
        <v>-9000000.0</v>
      </c>
      <c r="N1643" s="1">
        <v>1.409E9</v>
      </c>
      <c r="O1643" s="1">
        <v>1.358E9</v>
      </c>
      <c r="P1643" s="1">
        <v>3.29E8</v>
      </c>
      <c r="Q1643" s="1">
        <v>-1000000.0</v>
      </c>
      <c r="R1643" s="1">
        <v>5.9E7</v>
      </c>
      <c r="S1643" s="1">
        <v>5.9E7</v>
      </c>
    </row>
    <row r="1644">
      <c r="A1644" s="1">
        <v>1642.0</v>
      </c>
      <c r="B1644" s="11">
        <v>44286.0</v>
      </c>
      <c r="C1644" s="1" t="s">
        <v>856</v>
      </c>
      <c r="D1644" s="1" t="s">
        <v>857</v>
      </c>
      <c r="E1644" s="1">
        <v>3.14E8</v>
      </c>
      <c r="F1644" s="1">
        <v>9.9E7</v>
      </c>
      <c r="G1644" s="1">
        <v>8.2E7</v>
      </c>
      <c r="H1644" s="1">
        <v>6.5E8</v>
      </c>
      <c r="I1644" s="1">
        <v>1.061E9</v>
      </c>
      <c r="J1644" s="1">
        <v>9.7E7</v>
      </c>
      <c r="K1644" s="1">
        <v>9.7E7</v>
      </c>
      <c r="L1644" s="1">
        <v>-7000000.0</v>
      </c>
      <c r="M1644" s="1">
        <v>1.7E7</v>
      </c>
      <c r="N1644" s="1">
        <v>1.36E9</v>
      </c>
      <c r="O1644" s="1">
        <v>1.263E9</v>
      </c>
      <c r="P1644" s="1">
        <v>2.99E8</v>
      </c>
      <c r="Q1644" s="1">
        <v>2000000.0</v>
      </c>
      <c r="R1644" s="1">
        <v>8.2E7</v>
      </c>
      <c r="S1644" s="1">
        <v>8.2E7</v>
      </c>
    </row>
    <row r="1645">
      <c r="A1645" s="1">
        <v>1643.0</v>
      </c>
      <c r="B1645" s="11">
        <v>44196.0</v>
      </c>
      <c r="C1645" s="1" t="s">
        <v>856</v>
      </c>
      <c r="D1645" s="1" t="s">
        <v>857</v>
      </c>
      <c r="E1645" s="1">
        <v>2.84297E8</v>
      </c>
      <c r="F1645" s="1">
        <v>1.336E7</v>
      </c>
      <c r="G1645" s="1">
        <v>1.6648E7</v>
      </c>
      <c r="H1645" s="1">
        <v>6.68999E8</v>
      </c>
      <c r="I1645" s="1">
        <v>9.71226E8</v>
      </c>
      <c r="J1645" s="1">
        <v>1.793E7</v>
      </c>
      <c r="K1645" s="1">
        <v>1.793E7</v>
      </c>
      <c r="L1645" s="1">
        <v>-7708000.0</v>
      </c>
      <c r="M1645" s="1">
        <v>-3288000.0</v>
      </c>
      <c r="N1645" s="1">
        <v>1.25033E9</v>
      </c>
      <c r="O1645" s="1">
        <v>1.2324E9</v>
      </c>
      <c r="P1645" s="1">
        <v>2.79104E8</v>
      </c>
      <c r="Q1645" s="1">
        <v>-4570000.0</v>
      </c>
      <c r="R1645" s="1">
        <v>1.6648E7</v>
      </c>
      <c r="S1645" s="1">
        <v>1.6648E7</v>
      </c>
    </row>
    <row r="1646">
      <c r="A1646" s="1">
        <v>1644.0</v>
      </c>
      <c r="B1646" s="11">
        <v>44469.0</v>
      </c>
      <c r="C1646" s="1" t="s">
        <v>858</v>
      </c>
      <c r="D1646" s="1" t="s">
        <v>859</v>
      </c>
      <c r="F1646" s="1">
        <v>6.115E8</v>
      </c>
      <c r="G1646" s="1">
        <v>5.022E8</v>
      </c>
      <c r="H1646" s="1">
        <v>1.37E9</v>
      </c>
      <c r="I1646" s="1">
        <v>2.1396E9</v>
      </c>
      <c r="J1646" s="1">
        <v>6.929E8</v>
      </c>
      <c r="K1646" s="1">
        <v>6.929E8</v>
      </c>
      <c r="L1646" s="1">
        <v>-8.31E7</v>
      </c>
      <c r="M1646" s="1">
        <v>1.093E8</v>
      </c>
      <c r="N1646" s="1">
        <v>5.1467E9</v>
      </c>
      <c r="O1646" s="1">
        <v>4.4538E9</v>
      </c>
      <c r="P1646" s="1">
        <v>3.0071E9</v>
      </c>
      <c r="Q1646" s="1">
        <v>-8.14E7</v>
      </c>
      <c r="R1646" s="1">
        <v>5.022E8</v>
      </c>
      <c r="S1646" s="1">
        <v>5.022E8</v>
      </c>
    </row>
    <row r="1647">
      <c r="A1647" s="1">
        <v>1645.0</v>
      </c>
      <c r="B1647" s="11">
        <v>44377.0</v>
      </c>
      <c r="C1647" s="1" t="s">
        <v>858</v>
      </c>
      <c r="D1647" s="1" t="s">
        <v>859</v>
      </c>
      <c r="F1647" s="1">
        <v>8.192E8</v>
      </c>
      <c r="G1647" s="1">
        <v>6.486E8</v>
      </c>
      <c r="H1647" s="1">
        <v>1.4389E9</v>
      </c>
      <c r="I1647" s="1">
        <v>2.4114E9</v>
      </c>
      <c r="J1647" s="1">
        <v>8.922E8</v>
      </c>
      <c r="K1647" s="1">
        <v>8.922E8</v>
      </c>
      <c r="L1647" s="1">
        <v>-8.35E7</v>
      </c>
      <c r="M1647" s="1">
        <v>1.706E8</v>
      </c>
      <c r="N1647" s="1">
        <v>5.3798E9</v>
      </c>
      <c r="O1647" s="1">
        <v>4.4876E9</v>
      </c>
      <c r="P1647" s="1">
        <v>2.9684E9</v>
      </c>
      <c r="Q1647" s="1">
        <v>-7.3E7</v>
      </c>
      <c r="R1647" s="1">
        <v>6.486E8</v>
      </c>
      <c r="S1647" s="1">
        <v>6.486E8</v>
      </c>
    </row>
    <row r="1648">
      <c r="A1648" s="1">
        <v>1646.0</v>
      </c>
      <c r="B1648" s="11">
        <v>44286.0</v>
      </c>
      <c r="C1648" s="1" t="s">
        <v>858</v>
      </c>
      <c r="D1648" s="1" t="s">
        <v>859</v>
      </c>
      <c r="F1648" s="1">
        <v>5.09E8</v>
      </c>
      <c r="G1648" s="1">
        <v>4.096E8</v>
      </c>
      <c r="H1648" s="1">
        <v>1.3268E9</v>
      </c>
      <c r="I1648" s="1">
        <v>2.112E9</v>
      </c>
      <c r="J1648" s="1">
        <v>7.035E8</v>
      </c>
      <c r="K1648" s="1">
        <v>7.035E8</v>
      </c>
      <c r="L1648" s="1">
        <v>-8.32E7</v>
      </c>
      <c r="M1648" s="1">
        <v>9.94E7</v>
      </c>
      <c r="N1648" s="1">
        <v>4.656E9</v>
      </c>
      <c r="O1648" s="1">
        <v>3.9525E9</v>
      </c>
      <c r="P1648" s="1">
        <v>2.544E9</v>
      </c>
      <c r="Q1648" s="1">
        <v>-1.945E8</v>
      </c>
      <c r="R1648" s="1">
        <v>4.096E8</v>
      </c>
      <c r="S1648" s="1">
        <v>4.096E8</v>
      </c>
    </row>
    <row r="1649">
      <c r="A1649" s="1">
        <v>1647.0</v>
      </c>
      <c r="B1649" s="11">
        <v>44196.0</v>
      </c>
      <c r="C1649" s="1" t="s">
        <v>858</v>
      </c>
      <c r="D1649" s="1" t="s">
        <v>859</v>
      </c>
      <c r="F1649" s="1">
        <v>5.039E8</v>
      </c>
      <c r="G1649" s="1">
        <v>4.07E8</v>
      </c>
      <c r="H1649" s="1">
        <v>1.465E9</v>
      </c>
      <c r="I1649" s="1">
        <v>2.1287E9</v>
      </c>
      <c r="J1649" s="1">
        <v>5.682E8</v>
      </c>
      <c r="K1649" s="1">
        <v>5.682E8</v>
      </c>
      <c r="L1649" s="1">
        <v>-8.28E7</v>
      </c>
      <c r="M1649" s="1">
        <v>9.69E7</v>
      </c>
      <c r="N1649" s="1">
        <v>4.4888E9</v>
      </c>
      <c r="O1649" s="1">
        <v>3.9206E9</v>
      </c>
      <c r="P1649" s="1">
        <v>2.3601E9</v>
      </c>
      <c r="Q1649" s="1">
        <v>-6.43E7</v>
      </c>
      <c r="R1649" s="1">
        <v>4.07E8</v>
      </c>
      <c r="S1649" s="1">
        <v>4.07E8</v>
      </c>
    </row>
    <row r="1650">
      <c r="A1650" s="1">
        <v>1648.0</v>
      </c>
      <c r="B1650" s="11">
        <v>44469.0</v>
      </c>
      <c r="C1650" s="1" t="s">
        <v>860</v>
      </c>
      <c r="D1650" s="1" t="s">
        <v>861</v>
      </c>
      <c r="F1650" s="1">
        <v>8.4591E8</v>
      </c>
      <c r="G1650" s="1">
        <v>6.8077E8</v>
      </c>
      <c r="H1650" s="1">
        <v>9.4211E7</v>
      </c>
      <c r="I1650" s="1">
        <v>1.049169E9</v>
      </c>
      <c r="J1650" s="1">
        <v>6.12324E8</v>
      </c>
      <c r="K1650" s="1">
        <v>6.12324E8</v>
      </c>
      <c r="L1650" s="1">
        <v>-1.99772E8</v>
      </c>
      <c r="M1650" s="1">
        <v>6.7262E7</v>
      </c>
      <c r="N1650" s="1">
        <v>1.296554E9</v>
      </c>
      <c r="O1650" s="1">
        <v>6.8423E8</v>
      </c>
      <c r="P1650" s="1">
        <v>2.47385E8</v>
      </c>
      <c r="Q1650" s="1">
        <v>2.33586E8</v>
      </c>
      <c r="R1650" s="1">
        <v>7.78648E8</v>
      </c>
      <c r="S1650" s="1">
        <v>6.79936E8</v>
      </c>
    </row>
    <row r="1651">
      <c r="A1651" s="1">
        <v>1649.0</v>
      </c>
      <c r="B1651" s="11">
        <v>44377.0</v>
      </c>
      <c r="C1651" s="1" t="s">
        <v>860</v>
      </c>
      <c r="D1651" s="1" t="s">
        <v>861</v>
      </c>
      <c r="F1651" s="1">
        <v>7.52872E8</v>
      </c>
      <c r="G1651" s="1">
        <v>6.18091E8</v>
      </c>
      <c r="H1651" s="1">
        <v>7.4518E7</v>
      </c>
      <c r="I1651" s="1">
        <v>1.024342E9</v>
      </c>
      <c r="J1651" s="1">
        <v>6.04723E8</v>
      </c>
      <c r="K1651" s="1">
        <v>6.04723E8</v>
      </c>
      <c r="L1651" s="1">
        <v>-2.00419E8</v>
      </c>
      <c r="M1651" s="1">
        <v>4.7003E7</v>
      </c>
      <c r="N1651" s="1">
        <v>1.254146E9</v>
      </c>
      <c r="O1651" s="1">
        <v>6.49423E8</v>
      </c>
      <c r="P1651" s="1">
        <v>2.29804E8</v>
      </c>
      <c r="Q1651" s="1">
        <v>1.48149E8</v>
      </c>
      <c r="R1651" s="1">
        <v>7.05869E8</v>
      </c>
      <c r="S1651" s="1">
        <v>6.17257E8</v>
      </c>
    </row>
    <row r="1652">
      <c r="A1652" s="1">
        <v>1650.0</v>
      </c>
      <c r="B1652" s="11">
        <v>44286.0</v>
      </c>
      <c r="C1652" s="1" t="s">
        <v>860</v>
      </c>
      <c r="D1652" s="1" t="s">
        <v>861</v>
      </c>
      <c r="F1652" s="1">
        <v>5.04562E8</v>
      </c>
      <c r="G1652" s="1">
        <v>4.46694E8</v>
      </c>
      <c r="H1652" s="1">
        <v>7.2061E7</v>
      </c>
      <c r="I1652" s="1">
        <v>1.015965E9</v>
      </c>
      <c r="J1652" s="1">
        <v>6.04612E8</v>
      </c>
      <c r="K1652" s="1">
        <v>6.04612E8</v>
      </c>
      <c r="L1652" s="1">
        <v>-2.02016E8</v>
      </c>
      <c r="M1652" s="1">
        <v>-5898000.0</v>
      </c>
      <c r="N1652" s="1">
        <v>1.239951E9</v>
      </c>
      <c r="O1652" s="1">
        <v>6.35339E8</v>
      </c>
      <c r="P1652" s="1">
        <v>2.23986E8</v>
      </c>
      <c r="Q1652" s="1">
        <v>-1.0005E8</v>
      </c>
      <c r="R1652" s="1">
        <v>5.1046E8</v>
      </c>
      <c r="S1652" s="1">
        <v>4.4586E8</v>
      </c>
    </row>
    <row r="1653">
      <c r="A1653" s="1">
        <v>1651.0</v>
      </c>
      <c r="B1653" s="11">
        <v>44196.0</v>
      </c>
      <c r="C1653" s="1" t="s">
        <v>860</v>
      </c>
      <c r="D1653" s="1" t="s">
        <v>861</v>
      </c>
      <c r="F1653" s="1">
        <v>3.11154E8</v>
      </c>
      <c r="G1653" s="1">
        <v>2.72317E8</v>
      </c>
      <c r="H1653" s="1">
        <v>8.426E7</v>
      </c>
      <c r="I1653" s="1">
        <v>9.1745E8</v>
      </c>
      <c r="J1653" s="1">
        <v>4.63187E8</v>
      </c>
      <c r="K1653" s="1">
        <v>4.63187E8</v>
      </c>
      <c r="L1653" s="1">
        <v>-1.97855E8</v>
      </c>
      <c r="M1653" s="1">
        <v>-1572000.0</v>
      </c>
      <c r="N1653" s="1">
        <v>1.132568E9</v>
      </c>
      <c r="O1653" s="1">
        <v>6.69381E8</v>
      </c>
      <c r="P1653" s="1">
        <v>2.15118E8</v>
      </c>
      <c r="Q1653" s="1">
        <v>-1.52033E8</v>
      </c>
      <c r="R1653" s="1">
        <v>3.12726E8</v>
      </c>
      <c r="S1653" s="1">
        <v>2.71483E8</v>
      </c>
    </row>
    <row r="1654">
      <c r="A1654" s="1">
        <v>1652.0</v>
      </c>
      <c r="B1654" s="11">
        <v>44470.0</v>
      </c>
      <c r="C1654" s="1" t="s">
        <v>862</v>
      </c>
      <c r="D1654" s="1" t="s">
        <v>863</v>
      </c>
      <c r="E1654" s="1">
        <v>1.492E8</v>
      </c>
      <c r="F1654" s="1">
        <v>3.162E8</v>
      </c>
      <c r="G1654" s="1">
        <v>3.263E8</v>
      </c>
      <c r="H1654" s="1">
        <v>1.005E8</v>
      </c>
      <c r="I1654" s="1">
        <v>6.137E8</v>
      </c>
      <c r="J1654" s="1">
        <v>3.359E8</v>
      </c>
      <c r="K1654" s="1">
        <v>3.359E8</v>
      </c>
      <c r="L1654" s="1">
        <v>-1.08E7</v>
      </c>
      <c r="M1654" s="1">
        <v>-1.01E7</v>
      </c>
      <c r="N1654" s="1">
        <v>1.3109E9</v>
      </c>
      <c r="O1654" s="1">
        <v>9.75E8</v>
      </c>
      <c r="P1654" s="1">
        <v>6.972E8</v>
      </c>
      <c r="Q1654" s="1">
        <v>-1.97E7</v>
      </c>
      <c r="R1654" s="1">
        <v>3.263E8</v>
      </c>
      <c r="S1654" s="1">
        <v>3.263E8</v>
      </c>
    </row>
    <row r="1655">
      <c r="A1655" s="1">
        <v>1653.0</v>
      </c>
      <c r="B1655" s="11">
        <v>44379.0</v>
      </c>
      <c r="C1655" s="1" t="s">
        <v>862</v>
      </c>
      <c r="D1655" s="1" t="s">
        <v>863</v>
      </c>
      <c r="E1655" s="1">
        <v>1.308E8</v>
      </c>
      <c r="F1655" s="1">
        <v>3.362E8</v>
      </c>
      <c r="G1655" s="1">
        <v>3.378E8</v>
      </c>
      <c r="H1655" s="1">
        <v>8.51E7</v>
      </c>
      <c r="I1655" s="1">
        <v>5.586E8</v>
      </c>
      <c r="J1655" s="1">
        <v>3.403E8</v>
      </c>
      <c r="K1655" s="1">
        <v>3.403E8</v>
      </c>
      <c r="L1655" s="1">
        <v>-2600000.0</v>
      </c>
      <c r="M1655" s="1">
        <v>-1600000.0</v>
      </c>
      <c r="N1655" s="1">
        <v>1.1164E9</v>
      </c>
      <c r="O1655" s="1">
        <v>7.761E8</v>
      </c>
      <c r="P1655" s="1">
        <v>5.578E8</v>
      </c>
      <c r="Q1655" s="1">
        <v>-4100000.0</v>
      </c>
      <c r="R1655" s="1">
        <v>3.378E8</v>
      </c>
      <c r="S1655" s="1">
        <v>3.378E8</v>
      </c>
    </row>
    <row r="1656">
      <c r="A1656" s="1">
        <v>1654.0</v>
      </c>
      <c r="B1656" s="11">
        <v>44288.0</v>
      </c>
      <c r="C1656" s="1" t="s">
        <v>862</v>
      </c>
      <c r="D1656" s="1" t="s">
        <v>863</v>
      </c>
      <c r="E1656" s="1">
        <v>1.307E8</v>
      </c>
      <c r="F1656" s="1">
        <v>3.755E8</v>
      </c>
      <c r="G1656" s="1">
        <v>3.25E8</v>
      </c>
      <c r="H1656" s="1">
        <v>7.02E7</v>
      </c>
      <c r="I1656" s="1">
        <v>5.784E8</v>
      </c>
      <c r="J1656" s="1">
        <v>3.747E8</v>
      </c>
      <c r="K1656" s="1">
        <v>3.747E8</v>
      </c>
      <c r="L1656" s="1">
        <v>-2600000.0</v>
      </c>
      <c r="M1656" s="1">
        <v>5.05E7</v>
      </c>
      <c r="N1656" s="1">
        <v>1.1718E9</v>
      </c>
      <c r="O1656" s="1">
        <v>7.971E8</v>
      </c>
      <c r="P1656" s="1">
        <v>5.934E8</v>
      </c>
      <c r="Q1656" s="1">
        <v>800000.0</v>
      </c>
      <c r="R1656" s="1">
        <v>3.25E8</v>
      </c>
      <c r="S1656" s="1">
        <v>3.25E8</v>
      </c>
    </row>
    <row r="1657">
      <c r="A1657" s="1">
        <v>1655.0</v>
      </c>
      <c r="B1657" s="11">
        <v>44197.0</v>
      </c>
      <c r="C1657" s="1" t="s">
        <v>862</v>
      </c>
      <c r="D1657" s="1" t="s">
        <v>863</v>
      </c>
      <c r="E1657" s="1">
        <v>1.216E8</v>
      </c>
      <c r="F1657" s="1">
        <v>5.709E8</v>
      </c>
      <c r="G1657" s="1">
        <v>5.093E8</v>
      </c>
      <c r="H1657" s="1">
        <v>6.66E7</v>
      </c>
      <c r="I1657" s="1">
        <v>7.617E8</v>
      </c>
      <c r="J1657" s="1">
        <v>5.707E8</v>
      </c>
      <c r="K1657" s="1">
        <v>5.707E8</v>
      </c>
      <c r="L1657" s="1">
        <v>-2600000.0</v>
      </c>
      <c r="M1657" s="1">
        <v>6.16E7</v>
      </c>
      <c r="N1657" s="1">
        <v>1.51E9</v>
      </c>
      <c r="O1657" s="1">
        <v>9.393E8</v>
      </c>
      <c r="P1657" s="1">
        <v>7.483E8</v>
      </c>
      <c r="Q1657" s="1">
        <v>200000.0</v>
      </c>
      <c r="R1657" s="1">
        <v>5.093E8</v>
      </c>
      <c r="S1657" s="1">
        <v>5.093E8</v>
      </c>
    </row>
    <row r="1658">
      <c r="A1658" s="1">
        <v>1656.0</v>
      </c>
      <c r="B1658" s="11">
        <v>44471.0</v>
      </c>
      <c r="C1658" s="1" t="s">
        <v>864</v>
      </c>
      <c r="D1658" s="1" t="s">
        <v>865</v>
      </c>
      <c r="F1658" s="1">
        <v>2.624E8</v>
      </c>
      <c r="G1658" s="1">
        <v>1.962E8</v>
      </c>
      <c r="H1658" s="1">
        <v>3.156E8</v>
      </c>
      <c r="I1658" s="1">
        <v>5.913E8</v>
      </c>
      <c r="J1658" s="1">
        <v>2.757E8</v>
      </c>
      <c r="K1658" s="1">
        <v>2.757E8</v>
      </c>
      <c r="L1658" s="1">
        <v>-1.32E7</v>
      </c>
      <c r="M1658" s="1">
        <v>6.09E7</v>
      </c>
      <c r="N1658" s="1">
        <v>1.125E9</v>
      </c>
      <c r="O1658" s="1">
        <v>8.493E8</v>
      </c>
      <c r="P1658" s="1">
        <v>5.337E8</v>
      </c>
      <c r="Q1658" s="1">
        <v>-1.33E7</v>
      </c>
      <c r="R1658" s="1">
        <v>2.015E8</v>
      </c>
      <c r="S1658" s="1">
        <v>1.962E8</v>
      </c>
    </row>
    <row r="1659">
      <c r="A1659" s="1">
        <v>1657.0</v>
      </c>
      <c r="B1659" s="11">
        <v>44380.0</v>
      </c>
      <c r="C1659" s="1" t="s">
        <v>864</v>
      </c>
      <c r="D1659" s="1" t="s">
        <v>865</v>
      </c>
      <c r="F1659" s="1">
        <v>2.761E8</v>
      </c>
      <c r="G1659" s="1">
        <v>2.08E8</v>
      </c>
      <c r="H1659" s="1">
        <v>3.222E8</v>
      </c>
      <c r="I1659" s="1">
        <v>6.119E8</v>
      </c>
      <c r="J1659" s="1">
        <v>2.897E8</v>
      </c>
      <c r="K1659" s="1">
        <v>2.897E8</v>
      </c>
      <c r="L1659" s="1">
        <v>-1.42E7</v>
      </c>
      <c r="M1659" s="1">
        <v>6.29E7</v>
      </c>
      <c r="N1659" s="1">
        <v>1.1683E9</v>
      </c>
      <c r="O1659" s="1">
        <v>8.786E8</v>
      </c>
      <c r="P1659" s="1">
        <v>5.564E8</v>
      </c>
      <c r="Q1659" s="1">
        <v>-1.36E7</v>
      </c>
      <c r="R1659" s="1">
        <v>2.132E8</v>
      </c>
      <c r="S1659" s="1">
        <v>2.08E8</v>
      </c>
    </row>
    <row r="1660">
      <c r="A1660" s="1">
        <v>1658.0</v>
      </c>
      <c r="B1660" s="11">
        <v>44289.0</v>
      </c>
      <c r="C1660" s="1" t="s">
        <v>864</v>
      </c>
      <c r="D1660" s="1" t="s">
        <v>865</v>
      </c>
      <c r="F1660" s="1">
        <v>2.567E8</v>
      </c>
      <c r="G1660" s="1">
        <v>1.926E8</v>
      </c>
      <c r="H1660" s="1">
        <v>3.089E8</v>
      </c>
      <c r="I1660" s="1">
        <v>5.789E8</v>
      </c>
      <c r="J1660" s="1">
        <v>2.7E8</v>
      </c>
      <c r="K1660" s="1">
        <v>2.7E8</v>
      </c>
      <c r="L1660" s="1">
        <v>-1.43E7</v>
      </c>
      <c r="M1660" s="1">
        <v>5.91E7</v>
      </c>
      <c r="N1660" s="1">
        <v>1.1132E9</v>
      </c>
      <c r="O1660" s="1">
        <v>8.432E8</v>
      </c>
      <c r="P1660" s="1">
        <v>5.343E8</v>
      </c>
      <c r="Q1660" s="1">
        <v>-1.33E7</v>
      </c>
      <c r="R1660" s="1">
        <v>1.976E8</v>
      </c>
      <c r="S1660" s="1">
        <v>1.926E8</v>
      </c>
    </row>
    <row r="1661">
      <c r="A1661" s="1">
        <v>1659.0</v>
      </c>
      <c r="B1661" s="11">
        <v>44198.0</v>
      </c>
      <c r="C1661" s="1" t="s">
        <v>864</v>
      </c>
      <c r="D1661" s="1" t="s">
        <v>865</v>
      </c>
      <c r="F1661" s="1">
        <v>2.72E8</v>
      </c>
      <c r="G1661" s="1">
        <v>2.089E8</v>
      </c>
      <c r="H1661" s="1">
        <v>2.945E8</v>
      </c>
      <c r="I1661" s="1">
        <v>5.857E8</v>
      </c>
      <c r="J1661" s="1">
        <v>2.912E8</v>
      </c>
      <c r="K1661" s="1">
        <v>2.912E8</v>
      </c>
      <c r="L1661" s="1">
        <v>-1.53E7</v>
      </c>
      <c r="M1661" s="1">
        <v>5.82E7</v>
      </c>
      <c r="N1661" s="1">
        <v>1.1678E9</v>
      </c>
      <c r="O1661" s="1">
        <v>8.766E8</v>
      </c>
      <c r="P1661" s="1">
        <v>5.821E8</v>
      </c>
      <c r="Q1661" s="1">
        <v>-1.92E7</v>
      </c>
      <c r="R1661" s="1">
        <v>2.138E8</v>
      </c>
      <c r="S1661" s="1">
        <v>2.089E8</v>
      </c>
    </row>
    <row r="1662">
      <c r="A1662" s="1">
        <v>1660.0</v>
      </c>
      <c r="B1662" s="11">
        <v>44469.0</v>
      </c>
      <c r="C1662" s="1" t="s">
        <v>866</v>
      </c>
      <c r="D1662" s="1" t="s">
        <v>867</v>
      </c>
      <c r="F1662" s="1">
        <v>1.478E9</v>
      </c>
      <c r="G1662" s="1">
        <v>1.101E9</v>
      </c>
      <c r="H1662" s="1">
        <v>-1.42E8</v>
      </c>
      <c r="I1662" s="1">
        <v>3.07E9</v>
      </c>
      <c r="J1662" s="1">
        <v>1.74E9</v>
      </c>
      <c r="K1662" s="1">
        <v>1.74E9</v>
      </c>
      <c r="L1662" s="1">
        <v>-4.55E8</v>
      </c>
      <c r="M1662" s="1">
        <v>3.72E8</v>
      </c>
      <c r="N1662" s="1">
        <v>6.238E9</v>
      </c>
      <c r="O1662" s="1">
        <v>4.498E9</v>
      </c>
      <c r="P1662" s="1">
        <v>3.168E9</v>
      </c>
      <c r="Q1662" s="1">
        <v>-2.62E8</v>
      </c>
      <c r="R1662" s="1">
        <v>1.106E9</v>
      </c>
      <c r="S1662" s="1">
        <v>1.101E9</v>
      </c>
    </row>
    <row r="1663">
      <c r="A1663" s="1">
        <v>1661.0</v>
      </c>
      <c r="B1663" s="11">
        <v>44377.0</v>
      </c>
      <c r="C1663" s="1" t="s">
        <v>866</v>
      </c>
      <c r="D1663" s="1" t="s">
        <v>867</v>
      </c>
      <c r="F1663" s="1">
        <v>3.6E8</v>
      </c>
      <c r="G1663" s="1">
        <v>3.72E8</v>
      </c>
      <c r="H1663" s="1">
        <v>-1.42E8</v>
      </c>
      <c r="I1663" s="1">
        <v>2.361E9</v>
      </c>
      <c r="J1663" s="1">
        <v>8.39E8</v>
      </c>
      <c r="K1663" s="1">
        <v>8.39E8</v>
      </c>
      <c r="L1663" s="1">
        <v>-4.54E8</v>
      </c>
      <c r="M1663" s="1">
        <v>-1.2E7</v>
      </c>
      <c r="N1663" s="1">
        <v>5.198E9</v>
      </c>
      <c r="O1663" s="1">
        <v>4.359E9</v>
      </c>
      <c r="P1663" s="1">
        <v>2.837E9</v>
      </c>
      <c r="Q1663" s="1">
        <v>-4.79E8</v>
      </c>
      <c r="R1663" s="1">
        <v>3.72E8</v>
      </c>
      <c r="S1663" s="1">
        <v>3.72E8</v>
      </c>
    </row>
    <row r="1664">
      <c r="A1664" s="1">
        <v>1662.0</v>
      </c>
      <c r="B1664" s="11">
        <v>44286.0</v>
      </c>
      <c r="C1664" s="1" t="s">
        <v>866</v>
      </c>
      <c r="D1664" s="1" t="s">
        <v>867</v>
      </c>
      <c r="F1664" s="1">
        <v>1.293E9</v>
      </c>
      <c r="G1664" s="1">
        <v>1.135E9</v>
      </c>
      <c r="H1664" s="1">
        <v>-1.43E8</v>
      </c>
      <c r="I1664" s="1">
        <v>2.818E9</v>
      </c>
      <c r="J1664" s="1">
        <v>1.745E9</v>
      </c>
      <c r="K1664" s="1">
        <v>1.745E9</v>
      </c>
      <c r="L1664" s="1">
        <v>-4.54E8</v>
      </c>
      <c r="M1664" s="1">
        <v>1.9E8</v>
      </c>
      <c r="N1664" s="1">
        <v>5.91E9</v>
      </c>
      <c r="O1664" s="1">
        <v>4.165E9</v>
      </c>
      <c r="P1664" s="1">
        <v>3.092E9</v>
      </c>
      <c r="Q1664" s="1">
        <v>-4.52E8</v>
      </c>
      <c r="R1664" s="1">
        <v>1.103E9</v>
      </c>
      <c r="S1664" s="1">
        <v>1.135E9</v>
      </c>
    </row>
    <row r="1665">
      <c r="A1665" s="1">
        <v>1663.0</v>
      </c>
      <c r="B1665" s="11">
        <v>44196.0</v>
      </c>
      <c r="C1665" s="1" t="s">
        <v>866</v>
      </c>
      <c r="D1665" s="1" t="s">
        <v>867</v>
      </c>
      <c r="F1665" s="1">
        <v>3.03E8</v>
      </c>
      <c r="G1665" s="1">
        <v>3.87E8</v>
      </c>
      <c r="H1665" s="1">
        <v>-1.04E8</v>
      </c>
      <c r="I1665" s="1">
        <v>2.08E9</v>
      </c>
      <c r="J1665" s="1">
        <v>8.07E8</v>
      </c>
      <c r="K1665" s="1">
        <v>8.07E8</v>
      </c>
      <c r="L1665" s="1">
        <v>-4.82E8</v>
      </c>
      <c r="M1665" s="1">
        <v>-5.0E7</v>
      </c>
      <c r="N1665" s="1">
        <v>5.117E9</v>
      </c>
      <c r="O1665" s="1">
        <v>4.31E9</v>
      </c>
      <c r="P1665" s="1">
        <v>3.037E9</v>
      </c>
      <c r="Q1665" s="1">
        <v>-5.04E8</v>
      </c>
      <c r="R1665" s="1">
        <v>3.53E8</v>
      </c>
      <c r="S1665" s="1">
        <v>3.87E8</v>
      </c>
    </row>
    <row r="1666">
      <c r="A1666" s="1">
        <v>1664.0</v>
      </c>
      <c r="B1666" s="11">
        <v>44469.0</v>
      </c>
      <c r="C1666" s="1" t="s">
        <v>868</v>
      </c>
      <c r="D1666" s="1" t="s">
        <v>869</v>
      </c>
      <c r="F1666" s="1">
        <v>6.0E8</v>
      </c>
      <c r="G1666" s="1">
        <v>4.46E8</v>
      </c>
      <c r="I1666" s="1">
        <v>8.72E8</v>
      </c>
      <c r="J1666" s="1">
        <v>-5.9E7</v>
      </c>
      <c r="K1666" s="1">
        <v>-5.9E7</v>
      </c>
      <c r="L1666" s="1">
        <v>-1.06E8</v>
      </c>
      <c r="M1666" s="1">
        <v>1.54E8</v>
      </c>
      <c r="N1666" s="1">
        <v>4.679E9</v>
      </c>
      <c r="O1666" s="1">
        <v>4.738E9</v>
      </c>
      <c r="P1666" s="1">
        <v>3.807E9</v>
      </c>
      <c r="Q1666" s="1">
        <v>6.59E8</v>
      </c>
      <c r="R1666" s="1">
        <v>4.46E8</v>
      </c>
      <c r="S1666" s="1">
        <v>4.46E8</v>
      </c>
    </row>
    <row r="1667">
      <c r="A1667" s="1">
        <v>1665.0</v>
      </c>
      <c r="B1667" s="11">
        <v>44377.0</v>
      </c>
      <c r="C1667" s="1" t="s">
        <v>868</v>
      </c>
      <c r="D1667" s="1" t="s">
        <v>869</v>
      </c>
      <c r="F1667" s="1">
        <v>5.02E8</v>
      </c>
      <c r="G1667" s="1">
        <v>3.48E8</v>
      </c>
      <c r="I1667" s="1">
        <v>6.88E8</v>
      </c>
      <c r="J1667" s="1">
        <v>-1.61E8</v>
      </c>
      <c r="K1667" s="1">
        <v>-1.61E8</v>
      </c>
      <c r="L1667" s="1">
        <v>-1.08E8</v>
      </c>
      <c r="M1667" s="1">
        <v>1.54E8</v>
      </c>
      <c r="N1667" s="1">
        <v>4.008E9</v>
      </c>
      <c r="O1667" s="1">
        <v>4.169E9</v>
      </c>
      <c r="P1667" s="1">
        <v>3.32E9</v>
      </c>
      <c r="Q1667" s="1">
        <v>6.63E8</v>
      </c>
      <c r="R1667" s="1">
        <v>3.48E8</v>
      </c>
      <c r="S1667" s="1">
        <v>3.48E8</v>
      </c>
    </row>
    <row r="1668">
      <c r="A1668" s="1">
        <v>1666.0</v>
      </c>
      <c r="B1668" s="11">
        <v>44286.0</v>
      </c>
      <c r="C1668" s="1" t="s">
        <v>868</v>
      </c>
      <c r="D1668" s="1" t="s">
        <v>869</v>
      </c>
      <c r="F1668" s="1">
        <v>1.46E8</v>
      </c>
      <c r="G1668" s="1">
        <v>1.16E8</v>
      </c>
      <c r="I1668" s="1">
        <v>-5.44E8</v>
      </c>
      <c r="J1668" s="1">
        <v>-1.268E9</v>
      </c>
      <c r="K1668" s="1">
        <v>-1.268E9</v>
      </c>
      <c r="L1668" s="1">
        <v>-1.03E8</v>
      </c>
      <c r="M1668" s="1">
        <v>3.0E7</v>
      </c>
      <c r="N1668" s="1">
        <v>2.052E9</v>
      </c>
      <c r="O1668" s="1">
        <v>3.32E9</v>
      </c>
      <c r="P1668" s="1">
        <v>2.596E9</v>
      </c>
      <c r="Q1668" s="1">
        <v>1.414E9</v>
      </c>
      <c r="R1668" s="1">
        <v>1.16E8</v>
      </c>
      <c r="S1668" s="1">
        <v>1.16E8</v>
      </c>
    </row>
    <row r="1669">
      <c r="A1669" s="1">
        <v>1667.0</v>
      </c>
      <c r="B1669" s="11">
        <v>44196.0</v>
      </c>
      <c r="C1669" s="1" t="s">
        <v>868</v>
      </c>
      <c r="D1669" s="1" t="s">
        <v>869</v>
      </c>
      <c r="F1669" s="1">
        <v>-1.331E9</v>
      </c>
      <c r="G1669" s="1">
        <v>-9.08E8</v>
      </c>
      <c r="H1669" s="1">
        <v>1.68E8</v>
      </c>
      <c r="I1669" s="1">
        <v>-6.01E8</v>
      </c>
      <c r="J1669" s="1">
        <v>-1.2E9</v>
      </c>
      <c r="K1669" s="1">
        <v>-1.2E9</v>
      </c>
      <c r="L1669" s="1">
        <v>-1.02E8</v>
      </c>
      <c r="M1669" s="1">
        <v>-4.23E8</v>
      </c>
      <c r="N1669" s="1">
        <v>2.013E9</v>
      </c>
      <c r="O1669" s="1">
        <v>3.213E9</v>
      </c>
      <c r="P1669" s="1">
        <v>2.614E9</v>
      </c>
      <c r="Q1669" s="1">
        <v>-1.31E8</v>
      </c>
      <c r="R1669" s="1">
        <v>-9.08E8</v>
      </c>
      <c r="S1669" s="1">
        <v>-9.08E8</v>
      </c>
    </row>
    <row r="1670">
      <c r="A1670" s="1">
        <v>1668.0</v>
      </c>
      <c r="B1670" s="11">
        <v>44380.0</v>
      </c>
      <c r="C1670" s="1" t="s">
        <v>870</v>
      </c>
      <c r="D1670" s="1" t="s">
        <v>871</v>
      </c>
      <c r="F1670" s="1">
        <v>5.322E8</v>
      </c>
      <c r="G1670" s="1">
        <v>4.595E8</v>
      </c>
      <c r="H1670" s="1">
        <v>8.789E8</v>
      </c>
      <c r="I1670" s="1">
        <v>1.5457E9</v>
      </c>
      <c r="J1670" s="1">
        <v>6.211E8</v>
      </c>
      <c r="K1670" s="1">
        <v>6.211E8</v>
      </c>
      <c r="L1670" s="1">
        <v>-4.65E7</v>
      </c>
      <c r="M1670" s="1">
        <v>7.37E7</v>
      </c>
      <c r="N1670" s="1">
        <v>4.3009E9</v>
      </c>
      <c r="O1670" s="1">
        <v>3.6798E9</v>
      </c>
      <c r="P1670" s="1">
        <v>2.7552E9</v>
      </c>
      <c r="Q1670" s="1">
        <v>-8.89E7</v>
      </c>
      <c r="R1670" s="1">
        <v>4.585E8</v>
      </c>
      <c r="S1670" s="1">
        <v>4.547E8</v>
      </c>
    </row>
    <row r="1671">
      <c r="A1671" s="1">
        <v>1669.0</v>
      </c>
      <c r="B1671" s="11">
        <v>44289.0</v>
      </c>
      <c r="C1671" s="1" t="s">
        <v>870</v>
      </c>
      <c r="D1671" s="1" t="s">
        <v>871</v>
      </c>
      <c r="F1671" s="1">
        <v>6.063E8</v>
      </c>
      <c r="G1671" s="1">
        <v>4.874E8</v>
      </c>
      <c r="H1671" s="1">
        <v>8.274E8</v>
      </c>
      <c r="I1671" s="1">
        <v>1.5695E9</v>
      </c>
      <c r="J1671" s="1">
        <v>7.492E8</v>
      </c>
      <c r="K1671" s="1">
        <v>7.492E8</v>
      </c>
      <c r="L1671" s="1">
        <v>-4.75E7</v>
      </c>
      <c r="M1671" s="1">
        <v>1.195E8</v>
      </c>
      <c r="N1671" s="1">
        <v>4.1971E9</v>
      </c>
      <c r="O1671" s="1">
        <v>3.4479E9</v>
      </c>
      <c r="P1671" s="1">
        <v>2.6276E9</v>
      </c>
      <c r="Q1671" s="1">
        <v>-1.429E8</v>
      </c>
      <c r="R1671" s="1">
        <v>4.868E8</v>
      </c>
      <c r="S1671" s="1">
        <v>4.78E8</v>
      </c>
    </row>
    <row r="1672">
      <c r="A1672" s="1">
        <v>1670.0</v>
      </c>
      <c r="B1672" s="11">
        <v>44198.0</v>
      </c>
      <c r="C1672" s="1" t="s">
        <v>870</v>
      </c>
      <c r="D1672" s="1" t="s">
        <v>871</v>
      </c>
      <c r="F1672" s="1">
        <v>5.351E8</v>
      </c>
      <c r="G1672" s="1">
        <v>4.673E8</v>
      </c>
      <c r="H1672" s="1">
        <v>8.353E8</v>
      </c>
      <c r="I1672" s="1">
        <v>1.5683E9</v>
      </c>
      <c r="J1672" s="1">
        <v>7.531E8</v>
      </c>
      <c r="K1672" s="1">
        <v>7.531E8</v>
      </c>
      <c r="L1672" s="1">
        <v>-5.34E7</v>
      </c>
      <c r="M1672" s="1">
        <v>6.74E7</v>
      </c>
      <c r="N1672" s="1">
        <v>4.4076E9</v>
      </c>
      <c r="O1672" s="1">
        <v>3.6545E9</v>
      </c>
      <c r="P1672" s="1">
        <v>2.8393E9</v>
      </c>
      <c r="Q1672" s="1">
        <v>-2.18E8</v>
      </c>
      <c r="R1672" s="1">
        <v>4.677E8</v>
      </c>
      <c r="S1672" s="1">
        <v>4.58E8</v>
      </c>
    </row>
    <row r="1673">
      <c r="A1673" s="1">
        <v>1671.0</v>
      </c>
      <c r="B1673" s="11">
        <v>44100.0</v>
      </c>
      <c r="C1673" s="1" t="s">
        <v>870</v>
      </c>
      <c r="D1673" s="1" t="s">
        <v>871</v>
      </c>
      <c r="F1673" s="1">
        <v>4.736E8</v>
      </c>
      <c r="G1673" s="1">
        <v>3.949E8</v>
      </c>
      <c r="H1673" s="1">
        <v>6.953E8</v>
      </c>
      <c r="I1673" s="1">
        <v>1.3833E9</v>
      </c>
      <c r="J1673" s="1">
        <v>6.143E8</v>
      </c>
      <c r="K1673" s="1">
        <v>6.143E8</v>
      </c>
      <c r="L1673" s="1">
        <v>-5.27E7</v>
      </c>
      <c r="M1673" s="1">
        <v>7.84E7</v>
      </c>
      <c r="N1673" s="1">
        <v>3.8502E9</v>
      </c>
      <c r="O1673" s="1">
        <v>3.2359E9</v>
      </c>
      <c r="P1673" s="1">
        <v>2.4669E9</v>
      </c>
      <c r="Q1673" s="1">
        <v>-1.407E8</v>
      </c>
      <c r="R1673" s="1">
        <v>3.952E8</v>
      </c>
      <c r="S1673" s="1">
        <v>3.855E8</v>
      </c>
    </row>
    <row r="1674">
      <c r="A1674" s="1">
        <v>1672.0</v>
      </c>
      <c r="B1674" s="11">
        <v>44374.0</v>
      </c>
      <c r="C1674" s="1" t="s">
        <v>872</v>
      </c>
      <c r="D1674" s="1" t="s">
        <v>873</v>
      </c>
      <c r="F1674" s="1">
        <v>1.4113E9</v>
      </c>
      <c r="G1674" s="1">
        <v>1.1534E9</v>
      </c>
      <c r="H1674" s="1">
        <v>4.949E8</v>
      </c>
      <c r="I1674" s="1">
        <v>2.3236E9</v>
      </c>
      <c r="J1674" s="1">
        <v>1.403E9</v>
      </c>
      <c r="K1674" s="1">
        <v>1.403E9</v>
      </c>
      <c r="L1674" s="1">
        <v>-1.134E8</v>
      </c>
      <c r="M1674" s="1">
        <v>2.571E8</v>
      </c>
      <c r="N1674" s="1">
        <v>7.4965E9</v>
      </c>
      <c r="O1674" s="1">
        <v>6.0935E9</v>
      </c>
      <c r="P1674" s="1">
        <v>5.1729E9</v>
      </c>
      <c r="Q1674" s="1">
        <v>8300000.0</v>
      </c>
      <c r="R1674" s="1">
        <v>1.1542E9</v>
      </c>
      <c r="S1674" s="1">
        <v>1.1534E9</v>
      </c>
    </row>
    <row r="1675">
      <c r="A1675" s="1">
        <v>1673.0</v>
      </c>
      <c r="B1675" s="11">
        <v>44283.0</v>
      </c>
      <c r="C1675" s="1" t="s">
        <v>872</v>
      </c>
      <c r="D1675" s="1" t="s">
        <v>873</v>
      </c>
      <c r="F1675" s="1">
        <v>8.899E8</v>
      </c>
      <c r="G1675" s="1">
        <v>6.594E8</v>
      </c>
      <c r="H1675" s="1">
        <v>4.644E8</v>
      </c>
      <c r="I1675" s="1">
        <v>1.8523E9</v>
      </c>
      <c r="J1675" s="1">
        <v>9.335E8</v>
      </c>
      <c r="K1675" s="1">
        <v>9.335E8</v>
      </c>
      <c r="L1675" s="1">
        <v>-1.186E8</v>
      </c>
      <c r="M1675" s="1">
        <v>2.305E8</v>
      </c>
      <c r="N1675" s="1">
        <v>6.668E9</v>
      </c>
      <c r="O1675" s="1">
        <v>5.7345E9</v>
      </c>
      <c r="P1675" s="1">
        <v>4.8157E9</v>
      </c>
      <c r="Q1675" s="1">
        <v>-4.36E7</v>
      </c>
      <c r="R1675" s="1">
        <v>6.594E8</v>
      </c>
      <c r="S1675" s="1">
        <v>6.594E8</v>
      </c>
    </row>
    <row r="1676">
      <c r="A1676" s="1">
        <v>1674.0</v>
      </c>
      <c r="B1676" s="11">
        <v>44192.0</v>
      </c>
      <c r="C1676" s="1" t="s">
        <v>872</v>
      </c>
      <c r="D1676" s="1" t="s">
        <v>873</v>
      </c>
      <c r="F1676" s="1">
        <v>8.083E8</v>
      </c>
      <c r="G1676" s="1">
        <v>6.222E8</v>
      </c>
      <c r="H1676" s="1">
        <v>4.721E8</v>
      </c>
      <c r="I1676" s="1">
        <v>1.833E9</v>
      </c>
      <c r="J1676" s="1">
        <v>9.03E8</v>
      </c>
      <c r="K1676" s="1">
        <v>9.03E8</v>
      </c>
      <c r="L1676" s="1">
        <v>-1.207E8</v>
      </c>
      <c r="M1676" s="1">
        <v>1.861E8</v>
      </c>
      <c r="N1676" s="1">
        <v>6.7494E9</v>
      </c>
      <c r="O1676" s="1">
        <v>5.8464E9</v>
      </c>
      <c r="P1676" s="1">
        <v>4.9164E9</v>
      </c>
      <c r="Q1676" s="1">
        <v>-9.47E7</v>
      </c>
      <c r="R1676" s="1">
        <v>6.222E8</v>
      </c>
      <c r="S1676" s="1">
        <v>6.222E8</v>
      </c>
    </row>
    <row r="1677">
      <c r="A1677" s="1">
        <v>1675.0</v>
      </c>
      <c r="B1677" s="11">
        <v>44101.0</v>
      </c>
      <c r="C1677" s="1" t="s">
        <v>872</v>
      </c>
      <c r="D1677" s="1" t="s">
        <v>873</v>
      </c>
      <c r="F1677" s="1">
        <v>4.424E8</v>
      </c>
      <c r="G1677" s="1">
        <v>3.926E8</v>
      </c>
      <c r="H1677" s="1">
        <v>4.39E8</v>
      </c>
      <c r="I1677" s="1">
        <v>1.6251E9</v>
      </c>
      <c r="J1677" s="1">
        <v>7.231E8</v>
      </c>
      <c r="K1677" s="1">
        <v>7.231E8</v>
      </c>
      <c r="L1677" s="1">
        <v>-1.249E8</v>
      </c>
      <c r="M1677" s="1">
        <v>4.97E7</v>
      </c>
      <c r="N1677" s="1">
        <v>6.2031E9</v>
      </c>
      <c r="O1677" s="1">
        <v>5.48E9</v>
      </c>
      <c r="P1677" s="1">
        <v>4.578E9</v>
      </c>
      <c r="Q1677" s="1">
        <v>-2.807E8</v>
      </c>
      <c r="R1677" s="1">
        <v>3.927E8</v>
      </c>
      <c r="S1677" s="1">
        <v>3.926E8</v>
      </c>
    </row>
    <row r="1678">
      <c r="A1678" s="1">
        <v>1676.0</v>
      </c>
      <c r="B1678" s="11">
        <v>44377.0</v>
      </c>
      <c r="C1678" s="1" t="s">
        <v>874</v>
      </c>
      <c r="D1678" s="1" t="s">
        <v>875</v>
      </c>
      <c r="F1678" s="1">
        <v>9.38E8</v>
      </c>
      <c r="G1678" s="1">
        <v>7.63E8</v>
      </c>
      <c r="H1678" s="1">
        <v>1.591E9</v>
      </c>
      <c r="I1678" s="1">
        <v>3.049E9</v>
      </c>
      <c r="J1678" s="1">
        <v>0.0</v>
      </c>
      <c r="K1678" s="1">
        <v>1.012E9</v>
      </c>
      <c r="M1678" s="1">
        <v>1.75E8</v>
      </c>
      <c r="N1678" s="1">
        <v>3.049E9</v>
      </c>
      <c r="O1678" s="1">
        <v>2.037E9</v>
      </c>
      <c r="P1678" s="1">
        <v>0.0</v>
      </c>
      <c r="Q1678" s="1">
        <v>-7.4E7</v>
      </c>
      <c r="R1678" s="1">
        <v>7.63E8</v>
      </c>
      <c r="S1678" s="1">
        <v>7.28E8</v>
      </c>
    </row>
    <row r="1679">
      <c r="A1679" s="1">
        <v>1677.0</v>
      </c>
      <c r="B1679" s="11">
        <v>44286.0</v>
      </c>
      <c r="C1679" s="1" t="s">
        <v>874</v>
      </c>
      <c r="D1679" s="1" t="s">
        <v>875</v>
      </c>
      <c r="F1679" s="1">
        <v>6.27E8</v>
      </c>
      <c r="G1679" s="1">
        <v>5.19E8</v>
      </c>
      <c r="H1679" s="1">
        <v>1.789E9</v>
      </c>
      <c r="I1679" s="1">
        <v>2.959E9</v>
      </c>
      <c r="J1679" s="1">
        <v>0.0</v>
      </c>
      <c r="K1679" s="1">
        <v>6.95E8</v>
      </c>
      <c r="M1679" s="1">
        <v>1.08E8</v>
      </c>
      <c r="N1679" s="1">
        <v>2.959E9</v>
      </c>
      <c r="O1679" s="1">
        <v>2.264E9</v>
      </c>
      <c r="P1679" s="1">
        <v>0.0</v>
      </c>
      <c r="Q1679" s="1">
        <v>-6.8E7</v>
      </c>
      <c r="R1679" s="1">
        <v>5.19E8</v>
      </c>
      <c r="S1679" s="1">
        <v>4.89E8</v>
      </c>
    </row>
    <row r="1680">
      <c r="A1680" s="1">
        <v>1678.0</v>
      </c>
      <c r="B1680" s="11">
        <v>44196.0</v>
      </c>
      <c r="C1680" s="1" t="s">
        <v>874</v>
      </c>
      <c r="D1680" s="1" t="s">
        <v>875</v>
      </c>
      <c r="F1680" s="1">
        <v>6.41E8</v>
      </c>
      <c r="G1680" s="1">
        <v>5.37E8</v>
      </c>
      <c r="H1680" s="1">
        <v>1.579E9</v>
      </c>
      <c r="I1680" s="1">
        <v>2.917E9</v>
      </c>
      <c r="J1680" s="1">
        <v>0.0</v>
      </c>
      <c r="K1680" s="1">
        <v>8.45E8</v>
      </c>
      <c r="M1680" s="1">
        <v>1.04E8</v>
      </c>
      <c r="N1680" s="1">
        <v>2.917E9</v>
      </c>
      <c r="O1680" s="1">
        <v>2.072E9</v>
      </c>
      <c r="P1680" s="1">
        <v>0.0</v>
      </c>
      <c r="Q1680" s="1">
        <v>-2.04E8</v>
      </c>
      <c r="R1680" s="1">
        <v>5.37E8</v>
      </c>
      <c r="S1680" s="1">
        <v>4.98E8</v>
      </c>
    </row>
    <row r="1681">
      <c r="A1681" s="1">
        <v>1679.0</v>
      </c>
      <c r="B1681" s="11">
        <v>44104.0</v>
      </c>
      <c r="C1681" s="1" t="s">
        <v>874</v>
      </c>
      <c r="D1681" s="1" t="s">
        <v>875</v>
      </c>
      <c r="F1681" s="1">
        <v>6.81E8</v>
      </c>
      <c r="G1681" s="1">
        <v>5.55E8</v>
      </c>
      <c r="H1681" s="1">
        <v>1.586E9</v>
      </c>
      <c r="I1681" s="1">
        <v>2.784E9</v>
      </c>
      <c r="J1681" s="1">
        <v>0.0</v>
      </c>
      <c r="K1681" s="1">
        <v>7.55E8</v>
      </c>
      <c r="M1681" s="1">
        <v>1.26E8</v>
      </c>
      <c r="N1681" s="1">
        <v>2.784E9</v>
      </c>
      <c r="O1681" s="1">
        <v>2.029E9</v>
      </c>
      <c r="P1681" s="1">
        <v>0.0</v>
      </c>
      <c r="Q1681" s="1">
        <v>-7.4E7</v>
      </c>
      <c r="R1681" s="1">
        <v>5.55E8</v>
      </c>
      <c r="S1681" s="1">
        <v>5.17E8</v>
      </c>
    </row>
    <row r="1682">
      <c r="A1682" s="1">
        <v>1680.0</v>
      </c>
      <c r="B1682" s="11">
        <v>44377.0</v>
      </c>
      <c r="C1682" s="1" t="s">
        <v>876</v>
      </c>
      <c r="D1682" s="1" t="s">
        <v>877</v>
      </c>
      <c r="E1682" s="1">
        <v>1.8192E7</v>
      </c>
      <c r="F1682" s="1">
        <v>-2.8977E7</v>
      </c>
      <c r="G1682" s="1">
        <v>-2.1807E7</v>
      </c>
      <c r="H1682" s="1">
        <v>2.52756E8</v>
      </c>
      <c r="I1682" s="1">
        <v>4.26282E8</v>
      </c>
      <c r="J1682" s="1">
        <v>1.55334E8</v>
      </c>
      <c r="K1682" s="1">
        <v>1.55334E8</v>
      </c>
      <c r="L1682" s="1">
        <v>-2.1812E7</v>
      </c>
      <c r="M1682" s="1">
        <v>-7075000.0</v>
      </c>
      <c r="N1682" s="1">
        <v>9.68422E8</v>
      </c>
      <c r="O1682" s="1">
        <v>8.13088E8</v>
      </c>
      <c r="P1682" s="1">
        <v>5.4214E8</v>
      </c>
      <c r="Q1682" s="1">
        <v>-1.84311E8</v>
      </c>
      <c r="R1682" s="1">
        <v>-2.1902E7</v>
      </c>
      <c r="S1682" s="1">
        <v>-2.1807E7</v>
      </c>
    </row>
    <row r="1683">
      <c r="A1683" s="1">
        <v>1681.0</v>
      </c>
      <c r="B1683" s="11">
        <v>44286.0</v>
      </c>
      <c r="C1683" s="1" t="s">
        <v>876</v>
      </c>
      <c r="D1683" s="1" t="s">
        <v>877</v>
      </c>
      <c r="E1683" s="1">
        <v>1.7514E7</v>
      </c>
      <c r="F1683" s="1">
        <v>1.37519E8</v>
      </c>
      <c r="G1683" s="1">
        <v>8.8851E7</v>
      </c>
      <c r="H1683" s="1">
        <v>1.9942E8</v>
      </c>
      <c r="I1683" s="1">
        <v>3.86852E8</v>
      </c>
      <c r="J1683" s="1">
        <v>1.69918E8</v>
      </c>
      <c r="K1683" s="1">
        <v>1.69918E8</v>
      </c>
      <c r="L1683" s="1">
        <v>-1.0124E7</v>
      </c>
      <c r="M1683" s="1">
        <v>4.9369E7</v>
      </c>
      <c r="N1683" s="1">
        <v>8.73531E8</v>
      </c>
      <c r="O1683" s="1">
        <v>7.03613E8</v>
      </c>
      <c r="P1683" s="1">
        <v>4.86679E8</v>
      </c>
      <c r="Q1683" s="1">
        <v>-3.2399E7</v>
      </c>
      <c r="R1683" s="1">
        <v>8.815E7</v>
      </c>
      <c r="S1683" s="1">
        <v>8.8851E7</v>
      </c>
    </row>
    <row r="1684">
      <c r="A1684" s="1">
        <v>1682.0</v>
      </c>
      <c r="B1684" s="11">
        <v>44196.0</v>
      </c>
      <c r="C1684" s="1" t="s">
        <v>876</v>
      </c>
      <c r="D1684" s="1" t="s">
        <v>877</v>
      </c>
      <c r="E1684" s="1">
        <v>1.6438E7</v>
      </c>
      <c r="F1684" s="1">
        <v>1.3943E8</v>
      </c>
      <c r="G1684" s="1">
        <v>1.14501E8</v>
      </c>
      <c r="H1684" s="1">
        <v>1.7081E8</v>
      </c>
      <c r="I1684" s="1">
        <v>3.53112E8</v>
      </c>
      <c r="J1684" s="1">
        <v>1.65864E8</v>
      </c>
      <c r="K1684" s="1">
        <v>1.65864E8</v>
      </c>
      <c r="L1684" s="1">
        <v>-8899000.0</v>
      </c>
      <c r="M1684" s="1">
        <v>2.4842E7</v>
      </c>
      <c r="N1684" s="1">
        <v>8.08924E8</v>
      </c>
      <c r="O1684" s="1">
        <v>6.4306E8</v>
      </c>
      <c r="P1684" s="1">
        <v>4.55812E8</v>
      </c>
      <c r="Q1684" s="1">
        <v>-2.6434E7</v>
      </c>
      <c r="R1684" s="1">
        <v>1.14588E8</v>
      </c>
      <c r="S1684" s="1">
        <v>1.14501E8</v>
      </c>
    </row>
    <row r="1685">
      <c r="A1685" s="1">
        <v>1683.0</v>
      </c>
      <c r="B1685" s="11">
        <v>44104.0</v>
      </c>
      <c r="C1685" s="1" t="s">
        <v>876</v>
      </c>
      <c r="D1685" s="1" t="s">
        <v>877</v>
      </c>
      <c r="E1685" s="1">
        <v>1.6143E7</v>
      </c>
      <c r="F1685" s="1">
        <v>1.33786E8</v>
      </c>
      <c r="G1685" s="1">
        <v>1.05858E8</v>
      </c>
      <c r="H1685" s="1">
        <v>1.71572E8</v>
      </c>
      <c r="I1685" s="1">
        <v>3.34576E8</v>
      </c>
      <c r="J1685" s="1">
        <v>1.46861E8</v>
      </c>
      <c r="K1685" s="1">
        <v>1.46861E8</v>
      </c>
      <c r="L1685" s="1">
        <v>-8665000.0</v>
      </c>
      <c r="M1685" s="1">
        <v>2.7778E7</v>
      </c>
      <c r="N1685" s="1">
        <v>7.56132E8</v>
      </c>
      <c r="O1685" s="1">
        <v>6.09271E8</v>
      </c>
      <c r="P1685" s="1">
        <v>4.21556E8</v>
      </c>
      <c r="Q1685" s="1">
        <v>-1.3075E7</v>
      </c>
      <c r="R1685" s="1">
        <v>1.06008E8</v>
      </c>
      <c r="S1685" s="1">
        <v>1.05858E8</v>
      </c>
    </row>
    <row r="1686">
      <c r="A1686" s="1">
        <v>1684.0</v>
      </c>
      <c r="B1686" s="11">
        <v>44377.0</v>
      </c>
      <c r="C1686" s="1" t="s">
        <v>878</v>
      </c>
      <c r="D1686" s="1" t="s">
        <v>879</v>
      </c>
      <c r="E1686" s="1">
        <v>3.1E8</v>
      </c>
      <c r="F1686" s="1">
        <v>6.62E8</v>
      </c>
      <c r="G1686" s="1">
        <v>5.92E8</v>
      </c>
      <c r="H1686" s="1">
        <v>1.505E9</v>
      </c>
      <c r="I1686" s="1">
        <v>2.772E9</v>
      </c>
      <c r="J1686" s="1">
        <v>8.08E8</v>
      </c>
      <c r="K1686" s="1">
        <v>8.08E8</v>
      </c>
      <c r="M1686" s="1">
        <v>7.0E7</v>
      </c>
      <c r="N1686" s="1">
        <v>4.294E9</v>
      </c>
      <c r="O1686" s="1">
        <v>3.486E9</v>
      </c>
      <c r="P1686" s="1">
        <v>1.522E9</v>
      </c>
      <c r="Q1686" s="1">
        <v>-1.46E8</v>
      </c>
      <c r="R1686" s="1">
        <v>5.92E8</v>
      </c>
      <c r="S1686" s="1">
        <v>5.92E8</v>
      </c>
    </row>
    <row r="1687">
      <c r="A1687" s="1">
        <v>1685.0</v>
      </c>
      <c r="B1687" s="11">
        <v>44286.0</v>
      </c>
      <c r="C1687" s="1" t="s">
        <v>878</v>
      </c>
      <c r="D1687" s="1" t="s">
        <v>879</v>
      </c>
      <c r="E1687" s="1">
        <v>2.88E8</v>
      </c>
      <c r="F1687" s="1">
        <v>3.67E8</v>
      </c>
      <c r="G1687" s="1">
        <v>3.02E8</v>
      </c>
      <c r="H1687" s="1">
        <v>1.394E9</v>
      </c>
      <c r="I1687" s="1">
        <v>2.586E9</v>
      </c>
      <c r="J1687" s="1">
        <v>7.23E8</v>
      </c>
      <c r="K1687" s="1">
        <v>7.23E8</v>
      </c>
      <c r="M1687" s="1">
        <v>6.5E7</v>
      </c>
      <c r="N1687" s="1">
        <v>3.953E9</v>
      </c>
      <c r="O1687" s="1">
        <v>3.23E9</v>
      </c>
      <c r="P1687" s="1">
        <v>1.367E9</v>
      </c>
      <c r="Q1687" s="1">
        <v>-3.56E8</v>
      </c>
      <c r="R1687" s="1">
        <v>3.02E8</v>
      </c>
      <c r="S1687" s="1">
        <v>3.02E8</v>
      </c>
    </row>
    <row r="1688">
      <c r="A1688" s="1">
        <v>1686.0</v>
      </c>
      <c r="B1688" s="11">
        <v>44196.0</v>
      </c>
      <c r="C1688" s="1" t="s">
        <v>878</v>
      </c>
      <c r="D1688" s="1" t="s">
        <v>879</v>
      </c>
      <c r="E1688" s="1">
        <v>2.55E8</v>
      </c>
      <c r="F1688" s="1">
        <v>6.71E8</v>
      </c>
      <c r="G1688" s="1">
        <v>5.68E8</v>
      </c>
      <c r="H1688" s="1">
        <v>1.284E9</v>
      </c>
      <c r="I1688" s="1">
        <v>2.773E9</v>
      </c>
      <c r="J1688" s="1">
        <v>1.104E9</v>
      </c>
      <c r="K1688" s="1">
        <v>1.104E9</v>
      </c>
      <c r="L1688" s="1">
        <v>-3.99E8</v>
      </c>
      <c r="M1688" s="1">
        <v>1.03E8</v>
      </c>
      <c r="N1688" s="1">
        <v>4.262E9</v>
      </c>
      <c r="O1688" s="1">
        <v>3.158E9</v>
      </c>
      <c r="P1688" s="1">
        <v>1.489E9</v>
      </c>
      <c r="Q1688" s="1">
        <v>-4.33E8</v>
      </c>
      <c r="R1688" s="1">
        <v>5.68E8</v>
      </c>
      <c r="S1688" s="1">
        <v>5.68E8</v>
      </c>
    </row>
    <row r="1689">
      <c r="A1689" s="1">
        <v>1687.0</v>
      </c>
      <c r="B1689" s="11">
        <v>44104.0</v>
      </c>
      <c r="C1689" s="1" t="s">
        <v>878</v>
      </c>
      <c r="D1689" s="1" t="s">
        <v>879</v>
      </c>
      <c r="E1689" s="1">
        <v>2.42E8</v>
      </c>
      <c r="F1689" s="1">
        <v>7.8E8</v>
      </c>
      <c r="G1689" s="1">
        <v>6.21E8</v>
      </c>
      <c r="H1689" s="1">
        <v>1.188E9</v>
      </c>
      <c r="I1689" s="1">
        <v>2.461E9</v>
      </c>
      <c r="J1689" s="1">
        <v>9.17E8</v>
      </c>
      <c r="K1689" s="1">
        <v>9.17E8</v>
      </c>
      <c r="L1689" s="1">
        <v>-3.99E8</v>
      </c>
      <c r="M1689" s="1">
        <v>1.59E8</v>
      </c>
      <c r="N1689" s="1">
        <v>3.737E9</v>
      </c>
      <c r="O1689" s="1">
        <v>2.82E9</v>
      </c>
      <c r="P1689" s="1">
        <v>1.276E9</v>
      </c>
      <c r="Q1689" s="1">
        <v>-1.37E8</v>
      </c>
      <c r="R1689" s="1">
        <v>6.21E8</v>
      </c>
      <c r="S1689" s="1">
        <v>6.21E8</v>
      </c>
    </row>
    <row r="1690">
      <c r="A1690" s="1">
        <v>1688.0</v>
      </c>
      <c r="B1690" s="11">
        <v>44286.0</v>
      </c>
      <c r="C1690" s="1" t="s">
        <v>880</v>
      </c>
      <c r="D1690" s="1" t="s">
        <v>881</v>
      </c>
      <c r="F1690" s="1">
        <v>7.49079E8</v>
      </c>
      <c r="G1690" s="1">
        <v>5.36814E8</v>
      </c>
      <c r="H1690" s="1">
        <v>5.81082E8</v>
      </c>
      <c r="I1690" s="1">
        <v>1.38508E9</v>
      </c>
      <c r="J1690" s="1">
        <v>0.0</v>
      </c>
      <c r="K1690" s="1">
        <v>7.58542E8</v>
      </c>
      <c r="M1690" s="1">
        <v>1.87315E8</v>
      </c>
      <c r="N1690" s="1">
        <v>1.38508E9</v>
      </c>
      <c r="O1690" s="1">
        <v>6.26538E8</v>
      </c>
      <c r="P1690" s="1">
        <v>0.0</v>
      </c>
      <c r="Q1690" s="1">
        <v>-9463000.0</v>
      </c>
      <c r="R1690" s="1">
        <v>5.61764E8</v>
      </c>
      <c r="S1690" s="1">
        <v>5.3222E8</v>
      </c>
    </row>
    <row r="1691">
      <c r="A1691" s="1">
        <v>1689.0</v>
      </c>
      <c r="B1691" s="11">
        <v>44196.0</v>
      </c>
      <c r="C1691" s="1" t="s">
        <v>880</v>
      </c>
      <c r="D1691" s="1" t="s">
        <v>881</v>
      </c>
      <c r="F1691" s="1">
        <v>5.86897E8</v>
      </c>
      <c r="G1691" s="1">
        <v>3.9291E8</v>
      </c>
      <c r="H1691" s="1">
        <v>5.54026E8</v>
      </c>
      <c r="I1691" s="1">
        <v>1.251696E9</v>
      </c>
      <c r="J1691" s="1">
        <v>0.0</v>
      </c>
      <c r="K1691" s="1">
        <v>6.25398E8</v>
      </c>
      <c r="M1691" s="1">
        <v>1.48096E8</v>
      </c>
      <c r="N1691" s="1">
        <v>1.251696E9</v>
      </c>
      <c r="O1691" s="1">
        <v>6.26298E8</v>
      </c>
      <c r="P1691" s="1">
        <v>0.0</v>
      </c>
      <c r="Q1691" s="1">
        <v>-3.8501E7</v>
      </c>
      <c r="R1691" s="1">
        <v>4.38801E8</v>
      </c>
      <c r="S1691" s="1">
        <v>3.88316E8</v>
      </c>
    </row>
    <row r="1692">
      <c r="A1692" s="1">
        <v>1690.0</v>
      </c>
      <c r="B1692" s="11">
        <v>44104.0</v>
      </c>
      <c r="C1692" s="1" t="s">
        <v>880</v>
      </c>
      <c r="D1692" s="1" t="s">
        <v>881</v>
      </c>
      <c r="F1692" s="1">
        <v>6.3632E8</v>
      </c>
      <c r="G1692" s="1">
        <v>4.46307E8</v>
      </c>
      <c r="H1692" s="1">
        <v>4.46535E8</v>
      </c>
      <c r="I1692" s="1">
        <v>1.097323E9</v>
      </c>
      <c r="J1692" s="1">
        <v>0.0</v>
      </c>
      <c r="K1692" s="1">
        <v>6.13235E8</v>
      </c>
      <c r="M1692" s="1">
        <v>1.62265E8</v>
      </c>
      <c r="N1692" s="1">
        <v>1.097323E9</v>
      </c>
      <c r="O1692" s="1">
        <v>4.84088E8</v>
      </c>
      <c r="P1692" s="1">
        <v>0.0</v>
      </c>
      <c r="Q1692" s="1">
        <v>2.3085E7</v>
      </c>
      <c r="R1692" s="1">
        <v>4.74055E8</v>
      </c>
      <c r="S1692" s="1">
        <v>4.41713E8</v>
      </c>
    </row>
    <row r="1693">
      <c r="A1693" s="1">
        <v>1691.0</v>
      </c>
      <c r="B1693" s="11">
        <v>44012.0</v>
      </c>
      <c r="C1693" s="1" t="s">
        <v>880</v>
      </c>
      <c r="D1693" s="1" t="s">
        <v>881</v>
      </c>
      <c r="F1693" s="1">
        <v>3.35658E8</v>
      </c>
      <c r="G1693" s="1">
        <v>2.33529E8</v>
      </c>
      <c r="H1693" s="1">
        <v>4.3317E8</v>
      </c>
      <c r="I1693" s="1">
        <v>8.15294E8</v>
      </c>
      <c r="J1693" s="1">
        <v>0.0</v>
      </c>
      <c r="K1693" s="1">
        <v>3.42477E8</v>
      </c>
      <c r="M1693" s="1">
        <v>8.7869E7</v>
      </c>
      <c r="N1693" s="1">
        <v>8.15294E8</v>
      </c>
      <c r="O1693" s="1">
        <v>4.72817E8</v>
      </c>
      <c r="P1693" s="1">
        <v>0.0</v>
      </c>
      <c r="Q1693" s="1">
        <v>-6819000.0</v>
      </c>
      <c r="R1693" s="1">
        <v>2.47789E8</v>
      </c>
      <c r="S1693" s="1">
        <v>2.28935E8</v>
      </c>
    </row>
    <row r="1694">
      <c r="A1694" s="1">
        <v>1692.0</v>
      </c>
      <c r="B1694" s="11">
        <v>44377.0</v>
      </c>
      <c r="C1694" s="1" t="s">
        <v>882</v>
      </c>
      <c r="D1694" s="1" t="s">
        <v>883</v>
      </c>
      <c r="F1694" s="1">
        <v>1.641E9</v>
      </c>
      <c r="G1694" s="1">
        <v>1.242E9</v>
      </c>
      <c r="H1694" s="1">
        <v>7.99E8</v>
      </c>
      <c r="I1694" s="1">
        <v>2.589E9</v>
      </c>
      <c r="J1694" s="1">
        <v>0.0</v>
      </c>
      <c r="K1694" s="1">
        <v>1.641E9</v>
      </c>
      <c r="M1694" s="1">
        <v>3.99E8</v>
      </c>
      <c r="N1694" s="1">
        <v>2.589E9</v>
      </c>
      <c r="O1694" s="1">
        <v>9.48E8</v>
      </c>
      <c r="P1694" s="1">
        <v>0.0</v>
      </c>
      <c r="Q1694" s="1">
        <v>0.0</v>
      </c>
      <c r="R1694" s="1">
        <v>1.242E9</v>
      </c>
      <c r="S1694" s="1">
        <v>1.232E9</v>
      </c>
    </row>
    <row r="1695">
      <c r="A1695" s="1">
        <v>1693.0</v>
      </c>
      <c r="B1695" s="11">
        <v>44286.0</v>
      </c>
      <c r="C1695" s="1" t="s">
        <v>882</v>
      </c>
      <c r="D1695" s="1" t="s">
        <v>883</v>
      </c>
      <c r="F1695" s="1">
        <v>1.315E9</v>
      </c>
      <c r="G1695" s="1">
        <v>1.025E9</v>
      </c>
      <c r="H1695" s="1">
        <v>7.8E8</v>
      </c>
      <c r="I1695" s="1">
        <v>2.247E9</v>
      </c>
      <c r="J1695" s="1">
        <v>0.0</v>
      </c>
      <c r="K1695" s="1">
        <v>1.315E9</v>
      </c>
      <c r="M1695" s="1">
        <v>2.9E8</v>
      </c>
      <c r="N1695" s="1">
        <v>2.247E9</v>
      </c>
      <c r="O1695" s="1">
        <v>9.32E8</v>
      </c>
      <c r="P1695" s="1">
        <v>0.0</v>
      </c>
      <c r="Q1695" s="1">
        <v>0.0</v>
      </c>
      <c r="R1695" s="1">
        <v>1.025E9</v>
      </c>
      <c r="S1695" s="1">
        <v>1.014E9</v>
      </c>
    </row>
    <row r="1696">
      <c r="A1696" s="1">
        <v>1694.0</v>
      </c>
      <c r="B1696" s="11">
        <v>44196.0</v>
      </c>
      <c r="C1696" s="1" t="s">
        <v>882</v>
      </c>
      <c r="D1696" s="1" t="s">
        <v>883</v>
      </c>
      <c r="F1696" s="1">
        <v>9.44E8</v>
      </c>
      <c r="G1696" s="1">
        <v>7.38E8</v>
      </c>
      <c r="H1696" s="1">
        <v>8.03E8</v>
      </c>
      <c r="I1696" s="1">
        <v>1.944E9</v>
      </c>
      <c r="J1696" s="1">
        <v>0.0</v>
      </c>
      <c r="K1696" s="1">
        <v>1.321E9</v>
      </c>
      <c r="M1696" s="1">
        <v>2.06E8</v>
      </c>
      <c r="N1696" s="1">
        <v>1.944E9</v>
      </c>
      <c r="O1696" s="1">
        <v>6.23E8</v>
      </c>
      <c r="P1696" s="1">
        <v>0.0</v>
      </c>
      <c r="Q1696" s="1">
        <v>-3.77E8</v>
      </c>
      <c r="R1696" s="1">
        <v>7.38E8</v>
      </c>
      <c r="S1696" s="1">
        <v>7.28E8</v>
      </c>
    </row>
    <row r="1697">
      <c r="A1697" s="1">
        <v>1695.0</v>
      </c>
      <c r="B1697" s="11">
        <v>44104.0</v>
      </c>
      <c r="C1697" s="1" t="s">
        <v>882</v>
      </c>
      <c r="D1697" s="1" t="s">
        <v>883</v>
      </c>
      <c r="F1697" s="1">
        <v>4.12E8</v>
      </c>
      <c r="G1697" s="1">
        <v>3.13E8</v>
      </c>
      <c r="H1697" s="1">
        <v>7.57E8</v>
      </c>
      <c r="I1697" s="1">
        <v>1.479E9</v>
      </c>
      <c r="J1697" s="1">
        <v>0.0</v>
      </c>
      <c r="K1697" s="1">
        <v>4.56E8</v>
      </c>
      <c r="M1697" s="1">
        <v>9.9E7</v>
      </c>
      <c r="N1697" s="1">
        <v>1.479E9</v>
      </c>
      <c r="O1697" s="1">
        <v>1.023E9</v>
      </c>
      <c r="P1697" s="1">
        <v>0.0</v>
      </c>
      <c r="Q1697" s="1">
        <v>-4.4E7</v>
      </c>
      <c r="R1697" s="1">
        <v>3.13E8</v>
      </c>
      <c r="S1697" s="1">
        <v>3.03E8</v>
      </c>
    </row>
    <row r="1698">
      <c r="A1698" s="1">
        <v>1696.0</v>
      </c>
      <c r="B1698" s="11">
        <v>44408.0</v>
      </c>
      <c r="C1698" s="1" t="s">
        <v>884</v>
      </c>
      <c r="D1698" s="1" t="s">
        <v>885</v>
      </c>
      <c r="E1698" s="1">
        <v>3.71146E8</v>
      </c>
      <c r="F1698" s="1">
        <v>2.13337E8</v>
      </c>
      <c r="G1698" s="1">
        <v>1.98646E8</v>
      </c>
      <c r="H1698" s="1">
        <v>2.55274E8</v>
      </c>
      <c r="I1698" s="1">
        <v>8.63934E8</v>
      </c>
      <c r="J1698" s="1">
        <v>2.17074E8</v>
      </c>
      <c r="K1698" s="1">
        <v>2.17074E8</v>
      </c>
      <c r="L1698" s="1">
        <v>-757000.0</v>
      </c>
      <c r="M1698" s="1">
        <v>1.4945E7</v>
      </c>
      <c r="N1698" s="1">
        <v>1.05713E9</v>
      </c>
      <c r="O1698" s="1">
        <v>8.40056E8</v>
      </c>
      <c r="P1698" s="1">
        <v>1.93196E8</v>
      </c>
      <c r="Q1698" s="1">
        <v>-3737000.0</v>
      </c>
      <c r="R1698" s="1">
        <v>1.98392E8</v>
      </c>
      <c r="S1698" s="1">
        <v>1.98646E8</v>
      </c>
    </row>
    <row r="1699">
      <c r="A1699" s="1">
        <v>1697.0</v>
      </c>
      <c r="B1699" s="11">
        <v>44316.0</v>
      </c>
      <c r="C1699" s="1" t="s">
        <v>884</v>
      </c>
      <c r="D1699" s="1" t="s">
        <v>885</v>
      </c>
      <c r="E1699" s="1">
        <v>3.62345E8</v>
      </c>
      <c r="F1699" s="1">
        <v>2.15995E8</v>
      </c>
      <c r="G1699" s="1">
        <v>1.95078E8</v>
      </c>
      <c r="H1699" s="1">
        <v>2.45448E8</v>
      </c>
      <c r="I1699" s="1">
        <v>8.21745E8</v>
      </c>
      <c r="J1699" s="1">
        <v>1.94231E8</v>
      </c>
      <c r="K1699" s="1">
        <v>1.94231E8</v>
      </c>
      <c r="L1699" s="1">
        <v>-807000.0</v>
      </c>
      <c r="M1699" s="1">
        <v>2.1193E7</v>
      </c>
      <c r="N1699" s="1">
        <v>1.024323E9</v>
      </c>
      <c r="O1699" s="1">
        <v>8.30092E8</v>
      </c>
      <c r="P1699" s="1">
        <v>2.02578E8</v>
      </c>
      <c r="Q1699" s="1">
        <v>2.1764E7</v>
      </c>
      <c r="R1699" s="1">
        <v>1.94802E8</v>
      </c>
      <c r="S1699" s="1">
        <v>1.95078E8</v>
      </c>
    </row>
    <row r="1700">
      <c r="A1700" s="1">
        <v>1698.0</v>
      </c>
      <c r="B1700" s="11">
        <v>44227.0</v>
      </c>
      <c r="C1700" s="1" t="s">
        <v>884</v>
      </c>
      <c r="D1700" s="1" t="s">
        <v>885</v>
      </c>
      <c r="E1700" s="1">
        <v>3.57468E8</v>
      </c>
      <c r="F1700" s="1">
        <v>1.77104E8</v>
      </c>
      <c r="G1700" s="1">
        <v>1.62345E8</v>
      </c>
      <c r="H1700" s="1">
        <v>2.48116E8</v>
      </c>
      <c r="I1700" s="1">
        <v>7.74208E8</v>
      </c>
      <c r="J1700" s="1">
        <v>1.48348E8</v>
      </c>
      <c r="K1700" s="1">
        <v>1.48348E8</v>
      </c>
      <c r="L1700" s="1">
        <v>-739000.0</v>
      </c>
      <c r="M1700" s="1">
        <v>1.5076E7</v>
      </c>
      <c r="N1700" s="1">
        <v>9.70321E8</v>
      </c>
      <c r="O1700" s="1">
        <v>8.21973E8</v>
      </c>
      <c r="P1700" s="1">
        <v>1.96113E8</v>
      </c>
      <c r="Q1700" s="1">
        <v>2.8756E7</v>
      </c>
      <c r="R1700" s="1">
        <v>1.62028E8</v>
      </c>
      <c r="S1700" s="1">
        <v>1.62345E8</v>
      </c>
    </row>
    <row r="1701">
      <c r="A1701" s="1">
        <v>1699.0</v>
      </c>
      <c r="B1701" s="11">
        <v>44135.0</v>
      </c>
      <c r="C1701" s="1" t="s">
        <v>884</v>
      </c>
      <c r="D1701" s="1" t="s">
        <v>885</v>
      </c>
      <c r="E1701" s="1">
        <v>3.39566E8</v>
      </c>
      <c r="F1701" s="1">
        <v>1.91566E8</v>
      </c>
      <c r="G1701" s="1">
        <v>1.97455E8</v>
      </c>
      <c r="H1701" s="1">
        <v>2.56295E8</v>
      </c>
      <c r="I1701" s="1">
        <v>8.1261E8</v>
      </c>
      <c r="J1701" s="1">
        <v>1.95745E8</v>
      </c>
      <c r="K1701" s="1">
        <v>1.95745E8</v>
      </c>
      <c r="L1701" s="1">
        <v>-750000.0</v>
      </c>
      <c r="M1701" s="1">
        <v>-4989000.0</v>
      </c>
      <c r="N1701" s="1">
        <v>1.025439E9</v>
      </c>
      <c r="O1701" s="1">
        <v>8.29694E8</v>
      </c>
      <c r="P1701" s="1">
        <v>2.12829E8</v>
      </c>
      <c r="Q1701" s="1">
        <v>-4179000.0</v>
      </c>
      <c r="R1701" s="1">
        <v>1.96555E8</v>
      </c>
      <c r="S1701" s="1">
        <v>1.97455E8</v>
      </c>
    </row>
    <row r="1702">
      <c r="A1702" s="1">
        <v>1700.0</v>
      </c>
      <c r="B1702" s="11">
        <v>44282.0</v>
      </c>
      <c r="C1702" s="1" t="s">
        <v>886</v>
      </c>
      <c r="D1702" s="1" t="s">
        <v>887</v>
      </c>
      <c r="F1702" s="1">
        <v>1.02852E8</v>
      </c>
      <c r="G1702" s="1">
        <v>8.8927E7</v>
      </c>
      <c r="H1702" s="1">
        <v>1.908018E9</v>
      </c>
      <c r="I1702" s="1">
        <v>2.122668E9</v>
      </c>
      <c r="J1702" s="1">
        <v>2.26793E8</v>
      </c>
      <c r="K1702" s="1">
        <v>2.26793E8</v>
      </c>
      <c r="L1702" s="1">
        <v>-1.45773E8</v>
      </c>
      <c r="M1702" s="1">
        <v>1.3925E7</v>
      </c>
      <c r="N1702" s="1">
        <v>1.1824589E10</v>
      </c>
      <c r="O1702" s="1">
        <v>1.1597796E10</v>
      </c>
      <c r="P1702" s="1">
        <v>9.701921E9</v>
      </c>
      <c r="Q1702" s="1">
        <v>-1.23941E8</v>
      </c>
      <c r="R1702" s="1">
        <v>8.8927E7</v>
      </c>
      <c r="S1702" s="1">
        <v>8.8927E7</v>
      </c>
    </row>
    <row r="1703">
      <c r="A1703" s="1">
        <v>1701.0</v>
      </c>
      <c r="B1703" s="11">
        <v>44191.0</v>
      </c>
      <c r="C1703" s="1" t="s">
        <v>886</v>
      </c>
      <c r="D1703" s="1" t="s">
        <v>887</v>
      </c>
      <c r="F1703" s="1">
        <v>8.112E7</v>
      </c>
      <c r="G1703" s="1">
        <v>6.7289E7</v>
      </c>
      <c r="H1703" s="1">
        <v>1.923229E9</v>
      </c>
      <c r="I1703" s="1">
        <v>2.098458E9</v>
      </c>
      <c r="J1703" s="1">
        <v>1.75229E8</v>
      </c>
      <c r="K1703" s="1">
        <v>1.75229E8</v>
      </c>
      <c r="L1703" s="1">
        <v>-1.46498E8</v>
      </c>
      <c r="M1703" s="1">
        <v>1.3831E7</v>
      </c>
      <c r="N1703" s="1">
        <v>1.1558982E10</v>
      </c>
      <c r="O1703" s="1">
        <v>1.1383753E10</v>
      </c>
      <c r="P1703" s="1">
        <v>9.460524E9</v>
      </c>
      <c r="Q1703" s="1">
        <v>-9.4109E7</v>
      </c>
      <c r="R1703" s="1">
        <v>6.7289E7</v>
      </c>
      <c r="S1703" s="1">
        <v>6.7289E7</v>
      </c>
    </row>
    <row r="1704">
      <c r="A1704" s="1">
        <v>1702.0</v>
      </c>
      <c r="B1704" s="11">
        <v>44100.0</v>
      </c>
      <c r="C1704" s="1" t="s">
        <v>886</v>
      </c>
      <c r="D1704" s="1" t="s">
        <v>887</v>
      </c>
      <c r="F1704" s="1">
        <v>2.58738E8</v>
      </c>
      <c r="G1704" s="1">
        <v>2.169E8</v>
      </c>
      <c r="H1704" s="1">
        <v>1.784838E9</v>
      </c>
      <c r="I1704" s="1">
        <v>2.219845E9</v>
      </c>
      <c r="J1704" s="1">
        <v>4.35007E8</v>
      </c>
      <c r="K1704" s="1">
        <v>4.35007E8</v>
      </c>
      <c r="L1704" s="1">
        <v>-1.46717E8</v>
      </c>
      <c r="M1704" s="1">
        <v>4.1838E7</v>
      </c>
      <c r="N1704" s="1">
        <v>1.1777379E10</v>
      </c>
      <c r="O1704" s="1">
        <v>1.1342372E10</v>
      </c>
      <c r="P1704" s="1">
        <v>9.557534E9</v>
      </c>
      <c r="Q1704" s="1">
        <v>-1.76269E8</v>
      </c>
      <c r="R1704" s="1">
        <v>2.169E8</v>
      </c>
      <c r="S1704" s="1">
        <v>2.169E8</v>
      </c>
    </row>
    <row r="1705">
      <c r="A1705" s="1">
        <v>1703.0</v>
      </c>
      <c r="B1705" s="11">
        <v>44009.0</v>
      </c>
      <c r="C1705" s="1" t="s">
        <v>886</v>
      </c>
      <c r="D1705" s="1" t="s">
        <v>887</v>
      </c>
      <c r="F1705" s="1">
        <v>-7.36245E8</v>
      </c>
      <c r="G1705" s="1">
        <v>-6.18419E8</v>
      </c>
      <c r="H1705" s="1">
        <v>1.589107E9</v>
      </c>
      <c r="I1705" s="1">
        <v>1.565655E9</v>
      </c>
      <c r="J1705" s="1">
        <v>-3.4124E7</v>
      </c>
      <c r="K1705" s="1">
        <v>-3.4124E7</v>
      </c>
      <c r="L1705" s="1">
        <v>-1.64269E8</v>
      </c>
      <c r="M1705" s="1">
        <v>-1.17826E8</v>
      </c>
      <c r="N1705" s="1">
        <v>8.866564E9</v>
      </c>
      <c r="O1705" s="1">
        <v>8.900688E9</v>
      </c>
      <c r="P1705" s="1">
        <v>7.300909E9</v>
      </c>
      <c r="Q1705" s="1">
        <v>-7.02121E8</v>
      </c>
      <c r="R1705" s="1">
        <v>-6.18419E8</v>
      </c>
      <c r="S1705" s="1">
        <v>-6.18419E8</v>
      </c>
    </row>
    <row r="1706">
      <c r="A1706" s="1">
        <v>1704.0</v>
      </c>
      <c r="B1706" s="11">
        <v>44377.0</v>
      </c>
      <c r="C1706" s="1" t="s">
        <v>888</v>
      </c>
      <c r="D1706" s="1" t="s">
        <v>889</v>
      </c>
      <c r="F1706" s="1">
        <v>1.255E9</v>
      </c>
      <c r="G1706" s="1">
        <v>9.78E8</v>
      </c>
      <c r="H1706" s="1">
        <v>4.572E9</v>
      </c>
      <c r="I1706" s="1">
        <v>1.1366E10</v>
      </c>
      <c r="J1706" s="1">
        <v>2.717E9</v>
      </c>
      <c r="K1706" s="1">
        <v>2.717E9</v>
      </c>
      <c r="L1706" s="1">
        <v>-8.52E8</v>
      </c>
      <c r="M1706" s="1">
        <v>2.77E8</v>
      </c>
      <c r="N1706" s="1">
        <v>1.995E10</v>
      </c>
      <c r="O1706" s="1">
        <v>1.7233E10</v>
      </c>
      <c r="P1706" s="1">
        <v>8.584E9</v>
      </c>
      <c r="Q1706" s="1">
        <v>-1.462E9</v>
      </c>
      <c r="R1706" s="1">
        <v>9.78E8</v>
      </c>
      <c r="S1706" s="1">
        <v>9.78E8</v>
      </c>
    </row>
    <row r="1707">
      <c r="A1707" s="1">
        <v>1705.0</v>
      </c>
      <c r="B1707" s="11">
        <v>44286.0</v>
      </c>
      <c r="C1707" s="1" t="s">
        <v>888</v>
      </c>
      <c r="D1707" s="1" t="s">
        <v>889</v>
      </c>
      <c r="F1707" s="1">
        <v>1.179E9</v>
      </c>
      <c r="G1707" s="1">
        <v>9.33E8</v>
      </c>
      <c r="H1707" s="1">
        <v>4.66E9</v>
      </c>
      <c r="I1707" s="1">
        <v>1.1386E10</v>
      </c>
      <c r="J1707" s="1">
        <v>2.437E9</v>
      </c>
      <c r="K1707" s="1">
        <v>2.437E9</v>
      </c>
      <c r="L1707" s="1">
        <v>-8.38E8</v>
      </c>
      <c r="M1707" s="1">
        <v>2.46E8</v>
      </c>
      <c r="N1707" s="1">
        <v>1.9759E10</v>
      </c>
      <c r="O1707" s="1">
        <v>1.7322E10</v>
      </c>
      <c r="P1707" s="1">
        <v>8.373E9</v>
      </c>
      <c r="Q1707" s="1">
        <v>-1.258E9</v>
      </c>
      <c r="R1707" s="1">
        <v>9.33E8</v>
      </c>
      <c r="S1707" s="1">
        <v>9.33E8</v>
      </c>
    </row>
    <row r="1708">
      <c r="A1708" s="1">
        <v>1706.0</v>
      </c>
      <c r="B1708" s="11">
        <v>44196.0</v>
      </c>
      <c r="C1708" s="1" t="s">
        <v>888</v>
      </c>
      <c r="D1708" s="1" t="s">
        <v>889</v>
      </c>
      <c r="F1708" s="1">
        <v>8.21E8</v>
      </c>
      <c r="G1708" s="1">
        <v>7.5E8</v>
      </c>
      <c r="H1708" s="1">
        <v>4.607E9</v>
      </c>
      <c r="I1708" s="1">
        <v>1.1222E10</v>
      </c>
      <c r="J1708" s="1">
        <v>2.396E9</v>
      </c>
      <c r="K1708" s="1">
        <v>2.396E9</v>
      </c>
      <c r="L1708" s="1">
        <v>-7.98E8</v>
      </c>
      <c r="M1708" s="1">
        <v>7.1E7</v>
      </c>
      <c r="N1708" s="1">
        <v>2.0341E10</v>
      </c>
      <c r="O1708" s="1">
        <v>1.7945E10</v>
      </c>
      <c r="P1708" s="1">
        <v>9.119E9</v>
      </c>
      <c r="Q1708" s="1">
        <v>-1.575E9</v>
      </c>
      <c r="R1708" s="1">
        <v>7.5E8</v>
      </c>
      <c r="S1708" s="1">
        <v>7.5E8</v>
      </c>
    </row>
    <row r="1709">
      <c r="A1709" s="1">
        <v>1707.0</v>
      </c>
      <c r="B1709" s="11">
        <v>44104.0</v>
      </c>
      <c r="C1709" s="1" t="s">
        <v>888</v>
      </c>
      <c r="D1709" s="1" t="s">
        <v>889</v>
      </c>
      <c r="F1709" s="1">
        <v>1.66E9</v>
      </c>
      <c r="G1709" s="1">
        <v>1.253E9</v>
      </c>
      <c r="H1709" s="1">
        <v>4.67E9</v>
      </c>
      <c r="I1709" s="1">
        <v>1.167E10</v>
      </c>
      <c r="J1709" s="1">
        <v>2.85E9</v>
      </c>
      <c r="K1709" s="1">
        <v>2.85E9</v>
      </c>
      <c r="L1709" s="1">
        <v>-8.09E8</v>
      </c>
      <c r="M1709" s="1">
        <v>4.07E8</v>
      </c>
      <c r="N1709" s="1">
        <v>1.9272E10</v>
      </c>
      <c r="O1709" s="1">
        <v>1.6422E10</v>
      </c>
      <c r="P1709" s="1">
        <v>7.602E9</v>
      </c>
      <c r="Q1709" s="1">
        <v>-1.19E9</v>
      </c>
      <c r="R1709" s="1">
        <v>1.253E9</v>
      </c>
      <c r="S1709" s="1">
        <v>1.253E9</v>
      </c>
    </row>
    <row r="1710">
      <c r="A1710" s="1">
        <v>1708.0</v>
      </c>
      <c r="B1710" s="11">
        <v>44377.0</v>
      </c>
      <c r="C1710" s="1" t="s">
        <v>890</v>
      </c>
      <c r="D1710" s="1" t="s">
        <v>891</v>
      </c>
      <c r="F1710" s="1">
        <v>1.102E9</v>
      </c>
      <c r="G1710" s="1">
        <v>8.157E8</v>
      </c>
      <c r="H1710" s="1">
        <v>2.314E8</v>
      </c>
      <c r="I1710" s="1">
        <v>1.1895E9</v>
      </c>
      <c r="J1710" s="1">
        <v>9.581E8</v>
      </c>
      <c r="K1710" s="1">
        <v>9.581E8</v>
      </c>
      <c r="M1710" s="1">
        <v>2.593E8</v>
      </c>
      <c r="N1710" s="1">
        <v>1.9293E9</v>
      </c>
      <c r="O1710" s="1">
        <v>9.712E8</v>
      </c>
      <c r="P1710" s="1">
        <v>7.398E8</v>
      </c>
      <c r="Q1710" s="1">
        <v>1.439E8</v>
      </c>
      <c r="R1710" s="1">
        <v>8.427E8</v>
      </c>
      <c r="S1710" s="1">
        <v>7.935E8</v>
      </c>
    </row>
    <row r="1711">
      <c r="A1711" s="1">
        <v>1709.0</v>
      </c>
      <c r="B1711" s="11">
        <v>44286.0</v>
      </c>
      <c r="C1711" s="1" t="s">
        <v>890</v>
      </c>
      <c r="D1711" s="1" t="s">
        <v>891</v>
      </c>
      <c r="F1711" s="1">
        <v>9.953E8</v>
      </c>
      <c r="G1711" s="1">
        <v>7.494E8</v>
      </c>
      <c r="H1711" s="1">
        <v>2.235E8</v>
      </c>
      <c r="I1711" s="1">
        <v>1.1167E9</v>
      </c>
      <c r="J1711" s="1">
        <v>8.932E8</v>
      </c>
      <c r="K1711" s="1">
        <v>8.932E8</v>
      </c>
      <c r="M1711" s="1">
        <v>2.305E8</v>
      </c>
      <c r="N1711" s="1">
        <v>1.8268E9</v>
      </c>
      <c r="O1711" s="1">
        <v>9.336E8</v>
      </c>
      <c r="P1711" s="1">
        <v>7.101E8</v>
      </c>
      <c r="Q1711" s="1">
        <v>1.021E8</v>
      </c>
      <c r="R1711" s="1">
        <v>7.648E8</v>
      </c>
      <c r="S1711" s="1">
        <v>7.295E8</v>
      </c>
    </row>
    <row r="1712">
      <c r="A1712" s="1">
        <v>1710.0</v>
      </c>
      <c r="B1712" s="11">
        <v>44196.0</v>
      </c>
      <c r="C1712" s="1" t="s">
        <v>890</v>
      </c>
      <c r="D1712" s="1" t="s">
        <v>891</v>
      </c>
      <c r="F1712" s="1">
        <v>1.146E9</v>
      </c>
      <c r="G1712" s="1">
        <v>7.834E8</v>
      </c>
      <c r="H1712" s="1">
        <v>2.218E8</v>
      </c>
      <c r="I1712" s="1">
        <v>9.777E8</v>
      </c>
      <c r="J1712" s="1">
        <v>7.559E8</v>
      </c>
      <c r="K1712" s="1">
        <v>7.559E8</v>
      </c>
      <c r="M1712" s="1">
        <v>2.164E8</v>
      </c>
      <c r="N1712" s="1">
        <v>1.7329E9</v>
      </c>
      <c r="O1712" s="1">
        <v>9.77E8</v>
      </c>
      <c r="P1712" s="1">
        <v>7.552E8</v>
      </c>
      <c r="Q1712" s="1">
        <v>3.901E8</v>
      </c>
      <c r="R1712" s="1">
        <v>9.296E8</v>
      </c>
      <c r="S1712" s="1">
        <v>7.622E8</v>
      </c>
    </row>
    <row r="1713">
      <c r="A1713" s="1">
        <v>1711.0</v>
      </c>
      <c r="B1713" s="11">
        <v>44104.0</v>
      </c>
      <c r="C1713" s="1" t="s">
        <v>890</v>
      </c>
      <c r="D1713" s="1" t="s">
        <v>891</v>
      </c>
      <c r="F1713" s="1">
        <v>9.205E8</v>
      </c>
      <c r="G1713" s="1">
        <v>6.432E8</v>
      </c>
      <c r="H1713" s="1">
        <v>2.043E8</v>
      </c>
      <c r="I1713" s="1">
        <v>9.332E8</v>
      </c>
      <c r="J1713" s="1">
        <v>7.289E8</v>
      </c>
      <c r="K1713" s="1">
        <v>7.289E8</v>
      </c>
      <c r="M1713" s="1">
        <v>2.219E8</v>
      </c>
      <c r="N1713" s="1">
        <v>1.5958E9</v>
      </c>
      <c r="O1713" s="1">
        <v>8.669E8</v>
      </c>
      <c r="P1713" s="1">
        <v>6.626E8</v>
      </c>
      <c r="Q1713" s="1">
        <v>1.916E8</v>
      </c>
      <c r="R1713" s="1">
        <v>6.986E8</v>
      </c>
      <c r="S1713" s="1">
        <v>6.253E8</v>
      </c>
    </row>
    <row r="1714">
      <c r="A1714" s="1">
        <v>1712.0</v>
      </c>
      <c r="B1714" s="11">
        <v>44469.0</v>
      </c>
      <c r="C1714" s="1" t="s">
        <v>892</v>
      </c>
      <c r="D1714" s="1" t="s">
        <v>893</v>
      </c>
      <c r="E1714" s="1">
        <v>1.01508E8</v>
      </c>
      <c r="F1714" s="1">
        <v>1.9974E7</v>
      </c>
      <c r="G1714" s="1">
        <v>1.0297E7</v>
      </c>
      <c r="H1714" s="1">
        <v>2.40401E8</v>
      </c>
      <c r="I1714" s="1">
        <v>4.56794E8</v>
      </c>
      <c r="J1714" s="1">
        <v>9.8704E7</v>
      </c>
      <c r="K1714" s="1">
        <v>9.8704E7</v>
      </c>
      <c r="L1714" s="1">
        <v>-113000.0</v>
      </c>
      <c r="M1714" s="1">
        <v>9677000.0</v>
      </c>
      <c r="N1714" s="1">
        <v>8.58198E8</v>
      </c>
      <c r="O1714" s="1">
        <v>7.59494E8</v>
      </c>
      <c r="P1714" s="1">
        <v>4.01404E8</v>
      </c>
      <c r="Q1714" s="1">
        <v>-7.873E7</v>
      </c>
      <c r="R1714" s="1">
        <v>1.0297E7</v>
      </c>
      <c r="S1714" s="1">
        <v>1.0297E7</v>
      </c>
    </row>
    <row r="1715">
      <c r="A1715" s="1">
        <v>1713.0</v>
      </c>
      <c r="B1715" s="11">
        <v>44377.0</v>
      </c>
      <c r="C1715" s="1" t="s">
        <v>892</v>
      </c>
      <c r="D1715" s="1" t="s">
        <v>893</v>
      </c>
      <c r="E1715" s="1">
        <v>9.2294E7</v>
      </c>
      <c r="F1715" s="1">
        <v>1.71444E8</v>
      </c>
      <c r="G1715" s="1">
        <v>1.52256E8</v>
      </c>
      <c r="H1715" s="1">
        <v>2.06298E8</v>
      </c>
      <c r="I1715" s="1">
        <v>4.93402E8</v>
      </c>
      <c r="J1715" s="1">
        <v>1.82345E8</v>
      </c>
      <c r="K1715" s="1">
        <v>1.82345E8</v>
      </c>
      <c r="L1715" s="1">
        <v>-145000.0</v>
      </c>
      <c r="M1715" s="1">
        <v>1.9188E7</v>
      </c>
      <c r="N1715" s="1">
        <v>8.13346E8</v>
      </c>
      <c r="O1715" s="1">
        <v>6.31001E8</v>
      </c>
      <c r="P1715" s="1">
        <v>3.19944E8</v>
      </c>
      <c r="Q1715" s="1">
        <v>-1.0901E7</v>
      </c>
      <c r="R1715" s="1">
        <v>1.52256E8</v>
      </c>
      <c r="S1715" s="1">
        <v>1.52256E8</v>
      </c>
    </row>
    <row r="1716">
      <c r="A1716" s="1">
        <v>1714.0</v>
      </c>
      <c r="B1716" s="11">
        <v>44286.0</v>
      </c>
      <c r="C1716" s="1" t="s">
        <v>892</v>
      </c>
      <c r="D1716" s="1" t="s">
        <v>893</v>
      </c>
      <c r="E1716" s="1">
        <v>8.3559E7</v>
      </c>
      <c r="F1716" s="1">
        <v>2.53591E8</v>
      </c>
      <c r="G1716" s="1">
        <v>2.18812E8</v>
      </c>
      <c r="H1716" s="1">
        <v>2.05062E8</v>
      </c>
      <c r="I1716" s="1">
        <v>5.7363E8</v>
      </c>
      <c r="J1716" s="1">
        <v>2.69529E8</v>
      </c>
      <c r="K1716" s="1">
        <v>2.69529E8</v>
      </c>
      <c r="L1716" s="1">
        <v>-5902000.0</v>
      </c>
      <c r="M1716" s="1">
        <v>3.4779E7</v>
      </c>
      <c r="N1716" s="1">
        <v>8.39431E8</v>
      </c>
      <c r="O1716" s="1">
        <v>5.69902E8</v>
      </c>
      <c r="P1716" s="1">
        <v>2.65801E8</v>
      </c>
      <c r="Q1716" s="1">
        <v>-1.5938E7</v>
      </c>
      <c r="R1716" s="1">
        <v>2.18812E8</v>
      </c>
      <c r="S1716" s="1">
        <v>2.18812E8</v>
      </c>
    </row>
    <row r="1717">
      <c r="A1717" s="1">
        <v>1715.0</v>
      </c>
      <c r="B1717" s="11">
        <v>44196.0</v>
      </c>
      <c r="C1717" s="1" t="s">
        <v>892</v>
      </c>
      <c r="D1717" s="1" t="s">
        <v>893</v>
      </c>
      <c r="E1717" s="1">
        <v>8.6428E7</v>
      </c>
      <c r="F1717" s="1">
        <v>2.16446E8</v>
      </c>
      <c r="G1717" s="1">
        <v>1.82248E8</v>
      </c>
      <c r="H1717" s="1">
        <v>2.38489E8</v>
      </c>
      <c r="I1717" s="1">
        <v>5.20177E8</v>
      </c>
      <c r="J1717" s="1">
        <v>1.81253E8</v>
      </c>
      <c r="K1717" s="1">
        <v>1.81253E8</v>
      </c>
      <c r="L1717" s="1">
        <v>-141000.0</v>
      </c>
      <c r="M1717" s="1">
        <v>3.4198E7</v>
      </c>
      <c r="N1717" s="1">
        <v>8.60889E8</v>
      </c>
      <c r="O1717" s="1">
        <v>6.79636E8</v>
      </c>
      <c r="P1717" s="1">
        <v>3.40712E8</v>
      </c>
      <c r="Q1717" s="1">
        <v>3.5193E7</v>
      </c>
      <c r="R1717" s="1">
        <v>1.82248E8</v>
      </c>
      <c r="S1717" s="1">
        <v>1.82248E8</v>
      </c>
    </row>
    <row r="1718">
      <c r="A1718" s="1">
        <v>1716.0</v>
      </c>
      <c r="B1718" s="11">
        <v>44380.0</v>
      </c>
      <c r="C1718" s="1" t="s">
        <v>894</v>
      </c>
      <c r="D1718" s="1" t="s">
        <v>895</v>
      </c>
      <c r="F1718" s="1">
        <v>2.422E8</v>
      </c>
      <c r="G1718" s="1">
        <v>1.998E8</v>
      </c>
      <c r="H1718" s="1">
        <v>8.855E8</v>
      </c>
      <c r="I1718" s="1">
        <v>1.158E9</v>
      </c>
      <c r="J1718" s="1">
        <v>2.725E8</v>
      </c>
      <c r="K1718" s="1">
        <v>2.725E8</v>
      </c>
      <c r="L1718" s="1">
        <v>-1.71E7</v>
      </c>
      <c r="M1718" s="1">
        <v>4.24E7</v>
      </c>
      <c r="N1718" s="1">
        <v>1.6154E9</v>
      </c>
      <c r="O1718" s="1">
        <v>1.3429E9</v>
      </c>
      <c r="P1718" s="1">
        <v>4.574E8</v>
      </c>
      <c r="Q1718" s="1">
        <v>-3.03E7</v>
      </c>
      <c r="R1718" s="1">
        <v>1.998E8</v>
      </c>
      <c r="S1718" s="1">
        <v>1.998E8</v>
      </c>
    </row>
    <row r="1719">
      <c r="A1719" s="1">
        <v>1717.0</v>
      </c>
      <c r="B1719" s="11">
        <v>44282.0</v>
      </c>
      <c r="C1719" s="1" t="s">
        <v>894</v>
      </c>
      <c r="D1719" s="1" t="s">
        <v>895</v>
      </c>
      <c r="F1719" s="1">
        <v>9.54E7</v>
      </c>
      <c r="G1719" s="1">
        <v>9.17E7</v>
      </c>
      <c r="H1719" s="1">
        <v>7.29E8</v>
      </c>
      <c r="I1719" s="1">
        <v>9.119E8</v>
      </c>
      <c r="J1719" s="1">
        <v>1.829E8</v>
      </c>
      <c r="K1719" s="1">
        <v>1.829E8</v>
      </c>
      <c r="L1719" s="1">
        <v>-1.74E7</v>
      </c>
      <c r="M1719" s="1">
        <v>3700000.0</v>
      </c>
      <c r="N1719" s="1">
        <v>1.2733E9</v>
      </c>
      <c r="O1719" s="1">
        <v>1.0904E9</v>
      </c>
      <c r="P1719" s="1">
        <v>3.614E8</v>
      </c>
      <c r="Q1719" s="1">
        <v>-8.75E7</v>
      </c>
      <c r="R1719" s="1">
        <v>9.17E7</v>
      </c>
      <c r="S1719" s="1">
        <v>9.17E7</v>
      </c>
    </row>
    <row r="1720">
      <c r="A1720" s="1">
        <v>1718.0</v>
      </c>
      <c r="B1720" s="11">
        <v>44191.0</v>
      </c>
      <c r="C1720" s="1" t="s">
        <v>894</v>
      </c>
      <c r="D1720" s="1" t="s">
        <v>895</v>
      </c>
      <c r="F1720" s="1">
        <v>3.743E8</v>
      </c>
      <c r="G1720" s="1">
        <v>3.11E8</v>
      </c>
      <c r="H1720" s="1">
        <v>7.626E8</v>
      </c>
      <c r="I1720" s="1">
        <v>1.1737E9</v>
      </c>
      <c r="J1720" s="1">
        <v>4.111E8</v>
      </c>
      <c r="K1720" s="1">
        <v>4.111E8</v>
      </c>
      <c r="L1720" s="1">
        <v>-1.94E7</v>
      </c>
      <c r="M1720" s="1">
        <v>6.33E7</v>
      </c>
      <c r="N1720" s="1">
        <v>1.6854E9</v>
      </c>
      <c r="O1720" s="1">
        <v>1.2743E9</v>
      </c>
      <c r="P1720" s="1">
        <v>5.117E8</v>
      </c>
      <c r="Q1720" s="1">
        <v>-3.68E7</v>
      </c>
      <c r="R1720" s="1">
        <v>3.11E8</v>
      </c>
      <c r="S1720" s="1">
        <v>3.11E8</v>
      </c>
    </row>
    <row r="1721">
      <c r="A1721" s="1">
        <v>1719.0</v>
      </c>
      <c r="B1721" s="11">
        <v>44100.0</v>
      </c>
      <c r="C1721" s="1" t="s">
        <v>894</v>
      </c>
      <c r="D1721" s="1" t="s">
        <v>895</v>
      </c>
      <c r="F1721" s="1">
        <v>1.854E8</v>
      </c>
      <c r="G1721" s="1">
        <v>2.317E8</v>
      </c>
      <c r="H1721" s="1">
        <v>6.014E8</v>
      </c>
      <c r="I1721" s="1">
        <v>8.302E8</v>
      </c>
      <c r="J1721" s="1">
        <v>2.288E8</v>
      </c>
      <c r="K1721" s="1">
        <v>2.288E8</v>
      </c>
      <c r="L1721" s="1">
        <v>-2.02E7</v>
      </c>
      <c r="M1721" s="1">
        <v>-4.63E7</v>
      </c>
      <c r="N1721" s="1">
        <v>1.1722E9</v>
      </c>
      <c r="O1721" s="1">
        <v>9.434E8</v>
      </c>
      <c r="P1721" s="1">
        <v>3.42E8</v>
      </c>
      <c r="Q1721" s="1">
        <v>-4.34E7</v>
      </c>
      <c r="R1721" s="1">
        <v>2.317E8</v>
      </c>
      <c r="S1721" s="1">
        <v>2.317E8</v>
      </c>
    </row>
    <row r="1722">
      <c r="A1722" s="1">
        <v>1720.0</v>
      </c>
      <c r="B1722" s="11">
        <v>44408.0</v>
      </c>
      <c r="C1722" s="1" t="s">
        <v>896</v>
      </c>
      <c r="D1722" s="1" t="s">
        <v>897</v>
      </c>
      <c r="F1722" s="1">
        <v>2.37E9</v>
      </c>
      <c r="G1722" s="1">
        <v>1.817E9</v>
      </c>
      <c r="H1722" s="1">
        <v>4.802E9</v>
      </c>
      <c r="I1722" s="1">
        <v>7.88E9</v>
      </c>
      <c r="J1722" s="1">
        <v>2.514E9</v>
      </c>
      <c r="K1722" s="1">
        <v>2.514E9</v>
      </c>
      <c r="L1722" s="1">
        <v>-1.04E8</v>
      </c>
      <c r="M1722" s="1">
        <v>5.53E8</v>
      </c>
      <c r="N1722" s="1">
        <v>2.516E10</v>
      </c>
      <c r="O1722" s="1">
        <v>2.2646E10</v>
      </c>
      <c r="P1722" s="1">
        <v>1.728E10</v>
      </c>
      <c r="Q1722" s="1">
        <v>-1.44E8</v>
      </c>
      <c r="R1722" s="1">
        <v>1.817E9</v>
      </c>
      <c r="S1722" s="1">
        <v>1.817E9</v>
      </c>
    </row>
    <row r="1723">
      <c r="A1723" s="1">
        <v>1721.0</v>
      </c>
      <c r="B1723" s="11">
        <v>44317.0</v>
      </c>
      <c r="C1723" s="1" t="s">
        <v>896</v>
      </c>
      <c r="D1723" s="1" t="s">
        <v>897</v>
      </c>
      <c r="F1723" s="1">
        <v>2.609E9</v>
      </c>
      <c r="G1723" s="1">
        <v>2.097E9</v>
      </c>
      <c r="H1723" s="1">
        <v>4.462E9</v>
      </c>
      <c r="I1723" s="1">
        <v>7.481E9</v>
      </c>
      <c r="J1723" s="1">
        <v>2.421E9</v>
      </c>
      <c r="K1723" s="1">
        <v>2.421E9</v>
      </c>
      <c r="L1723" s="1">
        <v>-1.08E8</v>
      </c>
      <c r="M1723" s="1">
        <v>5.12E8</v>
      </c>
      <c r="N1723" s="1">
        <v>2.4197E10</v>
      </c>
      <c r="O1723" s="1">
        <v>2.1776E10</v>
      </c>
      <c r="P1723" s="1">
        <v>1.6716E10</v>
      </c>
      <c r="Q1723" s="1">
        <v>1.88E8</v>
      </c>
      <c r="R1723" s="1">
        <v>2.097E9</v>
      </c>
      <c r="S1723" s="1">
        <v>2.097E9</v>
      </c>
    </row>
    <row r="1724">
      <c r="A1724" s="1">
        <v>1722.0</v>
      </c>
      <c r="B1724" s="11">
        <v>44226.0</v>
      </c>
      <c r="C1724" s="1" t="s">
        <v>896</v>
      </c>
      <c r="D1724" s="1" t="s">
        <v>897</v>
      </c>
      <c r="F1724" s="1">
        <v>1.73E9</v>
      </c>
      <c r="G1724" s="1">
        <v>1.38E9</v>
      </c>
      <c r="H1724" s="1">
        <v>5.446E9</v>
      </c>
      <c r="I1724" s="1">
        <v>7.638E9</v>
      </c>
      <c r="J1724" s="1">
        <v>1.622E9</v>
      </c>
      <c r="K1724" s="1">
        <v>1.622E9</v>
      </c>
      <c r="L1724" s="1">
        <v>-1.06E8</v>
      </c>
      <c r="M1724" s="1">
        <v>3.5E8</v>
      </c>
      <c r="N1724" s="1">
        <v>2.8339E10</v>
      </c>
      <c r="O1724" s="1">
        <v>2.6717E10</v>
      </c>
      <c r="P1724" s="1">
        <v>2.0701E10</v>
      </c>
      <c r="Q1724" s="1">
        <v>1.08E8</v>
      </c>
      <c r="R1724" s="1">
        <v>1.38E9</v>
      </c>
      <c r="S1724" s="1">
        <v>1.38E9</v>
      </c>
    </row>
    <row r="1725">
      <c r="A1725" s="1">
        <v>1723.0</v>
      </c>
      <c r="B1725" s="11">
        <v>44135.0</v>
      </c>
      <c r="C1725" s="1" t="s">
        <v>896</v>
      </c>
      <c r="D1725" s="1" t="s">
        <v>897</v>
      </c>
      <c r="F1725" s="1">
        <v>1.298E9</v>
      </c>
      <c r="G1725" s="1">
        <v>1.014E9</v>
      </c>
      <c r="H1725" s="1">
        <v>4.644E9</v>
      </c>
      <c r="I1725" s="1">
        <v>7.123E9</v>
      </c>
      <c r="J1725" s="1">
        <v>1.938E9</v>
      </c>
      <c r="K1725" s="1">
        <v>1.938E9</v>
      </c>
      <c r="L1725" s="1">
        <v>-1.2E8</v>
      </c>
      <c r="M1725" s="1">
        <v>2.84E8</v>
      </c>
      <c r="N1725" s="1">
        <v>2.2632E10</v>
      </c>
      <c r="O1725" s="1">
        <v>2.0694E10</v>
      </c>
      <c r="P1725" s="1">
        <v>1.5509E10</v>
      </c>
      <c r="Q1725" s="1">
        <v>-6.4E8</v>
      </c>
      <c r="R1725" s="1">
        <v>1.014E9</v>
      </c>
      <c r="S1725" s="1">
        <v>1.014E9</v>
      </c>
    </row>
    <row r="1726">
      <c r="A1726" s="1">
        <v>1724.0</v>
      </c>
      <c r="B1726" s="11">
        <v>44372.0</v>
      </c>
      <c r="C1726" s="1" t="s">
        <v>898</v>
      </c>
      <c r="D1726" s="1" t="s">
        <v>899</v>
      </c>
      <c r="E1726" s="1">
        <v>1.68E8</v>
      </c>
      <c r="F1726" s="1">
        <v>7.05E8</v>
      </c>
      <c r="G1726" s="1">
        <v>5.8E8</v>
      </c>
      <c r="H1726" s="1">
        <v>3.62E8</v>
      </c>
      <c r="I1726" s="1">
        <v>1.268E9</v>
      </c>
      <c r="J1726" s="1">
        <v>7.37E8</v>
      </c>
      <c r="K1726" s="1">
        <v>7.37E8</v>
      </c>
      <c r="L1726" s="1">
        <v>-1.4E7</v>
      </c>
      <c r="M1726" s="1">
        <v>1.24E8</v>
      </c>
      <c r="N1726" s="1">
        <v>3.845E9</v>
      </c>
      <c r="O1726" s="1">
        <v>3.108E9</v>
      </c>
      <c r="P1726" s="1">
        <v>2.577E9</v>
      </c>
      <c r="Q1726" s="1">
        <v>-3.2E7</v>
      </c>
      <c r="R1726" s="1">
        <v>5.81E8</v>
      </c>
      <c r="S1726" s="1">
        <v>5.8E8</v>
      </c>
    </row>
    <row r="1727">
      <c r="A1727" s="1">
        <v>1725.0</v>
      </c>
      <c r="B1727" s="11">
        <v>44281.0</v>
      </c>
      <c r="C1727" s="1" t="s">
        <v>898</v>
      </c>
      <c r="D1727" s="1" t="s">
        <v>899</v>
      </c>
      <c r="E1727" s="1">
        <v>1.74E8</v>
      </c>
      <c r="F1727" s="1">
        <v>6.11E8</v>
      </c>
      <c r="G1727" s="1">
        <v>5.06E8</v>
      </c>
      <c r="H1727" s="1">
        <v>3.97E8</v>
      </c>
      <c r="I1727" s="1">
        <v>1.21E9</v>
      </c>
      <c r="J1727" s="1">
        <v>6.37E8</v>
      </c>
      <c r="K1727" s="1">
        <v>6.37E8</v>
      </c>
      <c r="L1727" s="1">
        <v>-1.3E7</v>
      </c>
      <c r="M1727" s="1">
        <v>1.06E8</v>
      </c>
      <c r="N1727" s="1">
        <v>3.738E9</v>
      </c>
      <c r="O1727" s="1">
        <v>3.101E9</v>
      </c>
      <c r="P1727" s="1">
        <v>2.528E9</v>
      </c>
      <c r="Q1727" s="1">
        <v>-2.6E7</v>
      </c>
      <c r="R1727" s="1">
        <v>5.05E8</v>
      </c>
      <c r="S1727" s="1">
        <v>5.06E8</v>
      </c>
    </row>
    <row r="1728">
      <c r="A1728" s="1">
        <v>1726.0</v>
      </c>
      <c r="B1728" s="11">
        <v>44190.0</v>
      </c>
      <c r="C1728" s="1" t="s">
        <v>898</v>
      </c>
      <c r="D1728" s="1" t="s">
        <v>899</v>
      </c>
      <c r="E1728" s="1">
        <v>1.62E8</v>
      </c>
      <c r="F1728" s="1">
        <v>4.35E8</v>
      </c>
      <c r="G1728" s="1">
        <v>3.81E8</v>
      </c>
      <c r="H1728" s="1">
        <v>3.58E8</v>
      </c>
      <c r="I1728" s="1">
        <v>1.146E9</v>
      </c>
      <c r="J1728" s="1">
        <v>6.08E8</v>
      </c>
      <c r="K1728" s="1">
        <v>6.08E8</v>
      </c>
      <c r="L1728" s="1">
        <v>-1.5E7</v>
      </c>
      <c r="M1728" s="1">
        <v>6.0E7</v>
      </c>
      <c r="N1728" s="1">
        <v>3.522E9</v>
      </c>
      <c r="O1728" s="1">
        <v>2.914E9</v>
      </c>
      <c r="P1728" s="1">
        <v>2.376E9</v>
      </c>
      <c r="Q1728" s="1">
        <v>-1.73E8</v>
      </c>
      <c r="R1728" s="1">
        <v>3.75E8</v>
      </c>
      <c r="S1728" s="1">
        <v>3.81E8</v>
      </c>
    </row>
    <row r="1729">
      <c r="A1729" s="1">
        <v>1727.0</v>
      </c>
      <c r="B1729" s="11">
        <v>44099.0</v>
      </c>
      <c r="C1729" s="1" t="s">
        <v>898</v>
      </c>
      <c r="D1729" s="1" t="s">
        <v>899</v>
      </c>
      <c r="E1729" s="1">
        <v>1.48E8</v>
      </c>
      <c r="F1729" s="1">
        <v>3.37E8</v>
      </c>
      <c r="G1729" s="1">
        <v>2.3E8</v>
      </c>
      <c r="H1729" s="1">
        <v>3.52E8</v>
      </c>
      <c r="I1729" s="1">
        <v>9.69E8</v>
      </c>
      <c r="J1729" s="1">
        <v>4.69E8</v>
      </c>
      <c r="K1729" s="1">
        <v>4.69E8</v>
      </c>
      <c r="L1729" s="1">
        <v>-1.2E7</v>
      </c>
      <c r="M1729" s="1">
        <v>1.09E8</v>
      </c>
      <c r="N1729" s="1">
        <v>3.261E9</v>
      </c>
      <c r="O1729" s="1">
        <v>2.792E9</v>
      </c>
      <c r="P1729" s="1">
        <v>2.292E9</v>
      </c>
      <c r="Q1729" s="1">
        <v>-1.32E8</v>
      </c>
      <c r="R1729" s="1">
        <v>2.28E8</v>
      </c>
      <c r="S1729" s="1">
        <v>2.3E8</v>
      </c>
    </row>
    <row r="1730">
      <c r="A1730" s="1">
        <v>1728.0</v>
      </c>
      <c r="B1730" s="11">
        <v>44381.0</v>
      </c>
      <c r="C1730" s="1" t="s">
        <v>900</v>
      </c>
      <c r="D1730" s="1" t="s">
        <v>901</v>
      </c>
      <c r="F1730" s="1">
        <v>9.21E7</v>
      </c>
      <c r="G1730" s="1">
        <v>6.47E7</v>
      </c>
      <c r="H1730" s="1">
        <v>2.237E8</v>
      </c>
      <c r="I1730" s="1">
        <v>4.816E8</v>
      </c>
      <c r="J1730" s="1">
        <v>2.251E8</v>
      </c>
      <c r="K1730" s="1">
        <v>2.251E8</v>
      </c>
      <c r="L1730" s="1">
        <v>-2.12E7</v>
      </c>
      <c r="M1730" s="1">
        <v>2.74E7</v>
      </c>
      <c r="N1730" s="1">
        <v>1.121E9</v>
      </c>
      <c r="O1730" s="1">
        <v>8.959E8</v>
      </c>
      <c r="P1730" s="1">
        <v>6.394E8</v>
      </c>
      <c r="Q1730" s="1">
        <v>-1.33E8</v>
      </c>
      <c r="R1730" s="1">
        <v>6.47E7</v>
      </c>
      <c r="S1730" s="1">
        <v>6.47E7</v>
      </c>
    </row>
    <row r="1731">
      <c r="A1731" s="1">
        <v>1729.0</v>
      </c>
      <c r="B1731" s="11">
        <v>44290.0</v>
      </c>
      <c r="C1731" s="1" t="s">
        <v>900</v>
      </c>
      <c r="D1731" s="1" t="s">
        <v>901</v>
      </c>
      <c r="F1731" s="1">
        <v>1.013E8</v>
      </c>
      <c r="G1731" s="1">
        <v>8.47E7</v>
      </c>
      <c r="H1731" s="1">
        <v>1.683E8</v>
      </c>
      <c r="I1731" s="1">
        <v>3.132E8</v>
      </c>
      <c r="J1731" s="1">
        <v>1.449E8</v>
      </c>
      <c r="K1731" s="1">
        <v>1.449E8</v>
      </c>
      <c r="L1731" s="1">
        <v>-3.57E7</v>
      </c>
      <c r="M1731" s="1">
        <v>1.66E7</v>
      </c>
      <c r="N1731" s="1">
        <v>8.057E8</v>
      </c>
      <c r="O1731" s="1">
        <v>6.608E8</v>
      </c>
      <c r="P1731" s="1">
        <v>4.925E8</v>
      </c>
      <c r="Q1731" s="1">
        <v>-4.36E7</v>
      </c>
      <c r="R1731" s="1">
        <v>8.47E7</v>
      </c>
      <c r="S1731" s="1">
        <v>8.47E7</v>
      </c>
    </row>
    <row r="1732">
      <c r="A1732" s="1">
        <v>1730.0</v>
      </c>
      <c r="B1732" s="11">
        <v>44199.0</v>
      </c>
      <c r="C1732" s="1" t="s">
        <v>900</v>
      </c>
      <c r="D1732" s="1" t="s">
        <v>901</v>
      </c>
      <c r="F1732" s="1">
        <v>1.411E8</v>
      </c>
      <c r="G1732" s="1">
        <v>1.321E8</v>
      </c>
      <c r="H1732" s="1">
        <v>1.582E8</v>
      </c>
      <c r="I1732" s="1">
        <v>3.031E8</v>
      </c>
      <c r="J1732" s="1">
        <v>1.449E8</v>
      </c>
      <c r="K1732" s="1">
        <v>1.449E8</v>
      </c>
      <c r="L1732" s="1">
        <v>-3400000.0</v>
      </c>
      <c r="M1732" s="1">
        <v>9000000.0</v>
      </c>
      <c r="N1732" s="1">
        <v>8.093E8</v>
      </c>
      <c r="O1732" s="1">
        <v>6.644E8</v>
      </c>
      <c r="P1732" s="1">
        <v>5.062E8</v>
      </c>
      <c r="Q1732" s="1">
        <v>-3800000.0</v>
      </c>
      <c r="R1732" s="1">
        <v>1.321E8</v>
      </c>
      <c r="S1732" s="1">
        <v>1.321E8</v>
      </c>
    </row>
    <row r="1733">
      <c r="A1733" s="1">
        <v>1731.0</v>
      </c>
      <c r="B1733" s="11">
        <v>44101.0</v>
      </c>
      <c r="C1733" s="1" t="s">
        <v>900</v>
      </c>
      <c r="D1733" s="1" t="s">
        <v>901</v>
      </c>
      <c r="F1733" s="1">
        <v>1.197E8</v>
      </c>
      <c r="G1733" s="1">
        <v>9.39E7</v>
      </c>
      <c r="H1733" s="1">
        <v>1.648E8</v>
      </c>
      <c r="I1733" s="1">
        <v>2.905E8</v>
      </c>
      <c r="J1733" s="1">
        <v>1.257E8</v>
      </c>
      <c r="K1733" s="1">
        <v>1.257E8</v>
      </c>
      <c r="L1733" s="1">
        <v>-4100000.0</v>
      </c>
      <c r="M1733" s="1">
        <v>2.58E7</v>
      </c>
      <c r="N1733" s="1">
        <v>7.49E8</v>
      </c>
      <c r="O1733" s="1">
        <v>6.233E8</v>
      </c>
      <c r="P1733" s="1">
        <v>4.585E8</v>
      </c>
      <c r="Q1733" s="1">
        <v>-6000000.0</v>
      </c>
      <c r="R1733" s="1">
        <v>9.39E7</v>
      </c>
      <c r="S1733" s="1">
        <v>9.39E7</v>
      </c>
    </row>
    <row r="1734">
      <c r="A1734" s="1">
        <v>1732.0</v>
      </c>
      <c r="B1734" s="11">
        <v>44374.0</v>
      </c>
      <c r="C1734" s="1" t="s">
        <v>902</v>
      </c>
      <c r="D1734" s="1" t="s">
        <v>903</v>
      </c>
      <c r="E1734" s="1">
        <v>3.3283E7</v>
      </c>
      <c r="F1734" s="1">
        <v>9.9695E7</v>
      </c>
      <c r="G1734" s="1">
        <v>8.3248E7</v>
      </c>
      <c r="H1734" s="1">
        <v>2.24159E8</v>
      </c>
      <c r="I1734" s="1">
        <v>3.97556E8</v>
      </c>
      <c r="J1734" s="1">
        <v>1.40114E8</v>
      </c>
      <c r="K1734" s="1">
        <v>1.40114E8</v>
      </c>
      <c r="L1734" s="1">
        <v>-1.6171E7</v>
      </c>
      <c r="M1734" s="1">
        <v>1.6412E7</v>
      </c>
      <c r="N1734" s="1">
        <v>7.13473E8</v>
      </c>
      <c r="O1734" s="1">
        <v>5.73359E8</v>
      </c>
      <c r="P1734" s="1">
        <v>3.15917E8</v>
      </c>
      <c r="Q1734" s="1">
        <v>-4.0419E7</v>
      </c>
      <c r="R1734" s="1">
        <v>8.3283E7</v>
      </c>
      <c r="S1734" s="1">
        <v>8.3248E7</v>
      </c>
    </row>
    <row r="1735">
      <c r="A1735" s="1">
        <v>1733.0</v>
      </c>
      <c r="B1735" s="11">
        <v>44283.0</v>
      </c>
      <c r="C1735" s="1" t="s">
        <v>902</v>
      </c>
      <c r="D1735" s="1" t="s">
        <v>903</v>
      </c>
      <c r="E1735" s="1">
        <v>2.9947E7</v>
      </c>
      <c r="F1735" s="1">
        <v>8.7295E7</v>
      </c>
      <c r="G1735" s="1">
        <v>7.4866E7</v>
      </c>
      <c r="H1735" s="1">
        <v>1.96794E8</v>
      </c>
      <c r="I1735" s="1">
        <v>3.44527E8</v>
      </c>
      <c r="J1735" s="1">
        <v>1.17786E8</v>
      </c>
      <c r="K1735" s="1">
        <v>1.17786E8</v>
      </c>
      <c r="L1735" s="1">
        <v>-1.6798E7</v>
      </c>
      <c r="M1735" s="1">
        <v>1.2428E7</v>
      </c>
      <c r="N1735" s="1">
        <v>6.33925E8</v>
      </c>
      <c r="O1735" s="1">
        <v>5.16139E8</v>
      </c>
      <c r="P1735" s="1">
        <v>2.89398E8</v>
      </c>
      <c r="Q1735" s="1">
        <v>-3.0491E7</v>
      </c>
      <c r="R1735" s="1">
        <v>7.4867E7</v>
      </c>
      <c r="S1735" s="1">
        <v>7.4866E7</v>
      </c>
    </row>
    <row r="1736">
      <c r="A1736" s="1">
        <v>1734.0</v>
      </c>
      <c r="B1736" s="11">
        <v>44196.0</v>
      </c>
      <c r="C1736" s="1" t="s">
        <v>902</v>
      </c>
      <c r="D1736" s="1" t="s">
        <v>903</v>
      </c>
      <c r="E1736" s="1">
        <v>3.3769E7</v>
      </c>
      <c r="F1736" s="1">
        <v>7.6561E7</v>
      </c>
      <c r="G1736" s="1">
        <v>7.6131E7</v>
      </c>
      <c r="H1736" s="1">
        <v>2.09885E8</v>
      </c>
      <c r="I1736" s="1">
        <v>3.83554E8</v>
      </c>
      <c r="J1736" s="1">
        <v>1.399E8</v>
      </c>
      <c r="K1736" s="1">
        <v>1.399E8</v>
      </c>
      <c r="L1736" s="1">
        <v>-1.8721E7</v>
      </c>
      <c r="M1736" s="1">
        <v>-40000.0</v>
      </c>
      <c r="N1736" s="1">
        <v>7.11179E8</v>
      </c>
      <c r="O1736" s="1">
        <v>5.71279E8</v>
      </c>
      <c r="P1736" s="1">
        <v>3.27625E8</v>
      </c>
      <c r="Q1736" s="1">
        <v>-6.3339E7</v>
      </c>
      <c r="R1736" s="1">
        <v>7.6601E7</v>
      </c>
      <c r="S1736" s="1">
        <v>7.6131E7</v>
      </c>
    </row>
    <row r="1737">
      <c r="A1737" s="1">
        <v>1735.0</v>
      </c>
      <c r="B1737" s="11">
        <v>44101.0</v>
      </c>
      <c r="C1737" s="1" t="s">
        <v>902</v>
      </c>
      <c r="D1737" s="1" t="s">
        <v>903</v>
      </c>
      <c r="E1737" s="1">
        <v>2.9218E7</v>
      </c>
      <c r="F1737" s="1">
        <v>1.15654E8</v>
      </c>
      <c r="G1737" s="1">
        <v>1.16587E8</v>
      </c>
      <c r="H1737" s="1">
        <v>1.71673E8</v>
      </c>
      <c r="I1737" s="1">
        <v>3.29324E8</v>
      </c>
      <c r="J1737" s="1">
        <v>1.28433E8</v>
      </c>
      <c r="K1737" s="1">
        <v>1.28433E8</v>
      </c>
      <c r="L1737" s="1">
        <v>-1.6652E7</v>
      </c>
      <c r="M1737" s="1">
        <v>-951000.0</v>
      </c>
      <c r="N1737" s="1">
        <v>6.28301E8</v>
      </c>
      <c r="O1737" s="1">
        <v>4.99868E8</v>
      </c>
      <c r="P1737" s="1">
        <v>2.98977E8</v>
      </c>
      <c r="Q1737" s="1">
        <v>-1.2779E7</v>
      </c>
      <c r="R1737" s="1">
        <v>1.16605E8</v>
      </c>
      <c r="S1737" s="1">
        <v>1.16587E8</v>
      </c>
    </row>
    <row r="1738">
      <c r="A1738" s="1">
        <v>1736.0</v>
      </c>
      <c r="B1738" s="11">
        <v>44381.0</v>
      </c>
      <c r="C1738" s="1" t="s">
        <v>904</v>
      </c>
      <c r="D1738" s="1" t="s">
        <v>905</v>
      </c>
      <c r="E1738" s="1">
        <v>1.10021E8</v>
      </c>
      <c r="F1738" s="1">
        <v>3.84026E8</v>
      </c>
      <c r="G1738" s="1">
        <v>3.28319E8</v>
      </c>
      <c r="H1738" s="1">
        <v>1.40187E8</v>
      </c>
      <c r="I1738" s="1">
        <v>6.46989E8</v>
      </c>
      <c r="J1738" s="1">
        <v>3.89272E8</v>
      </c>
      <c r="K1738" s="1">
        <v>3.89272E8</v>
      </c>
      <c r="L1738" s="1">
        <v>-5566000.0</v>
      </c>
      <c r="M1738" s="1">
        <v>5.5707E7</v>
      </c>
      <c r="N1738" s="1">
        <v>1.085728E9</v>
      </c>
      <c r="O1738" s="1">
        <v>6.96456E8</v>
      </c>
      <c r="P1738" s="1">
        <v>4.38739E8</v>
      </c>
      <c r="Q1738" s="1">
        <v>-5246000.0</v>
      </c>
      <c r="R1738" s="1">
        <v>3.28319E8</v>
      </c>
      <c r="S1738" s="1">
        <v>3.28319E8</v>
      </c>
    </row>
    <row r="1739">
      <c r="A1739" s="1">
        <v>1737.0</v>
      </c>
      <c r="B1739" s="11">
        <v>44290.0</v>
      </c>
      <c r="C1739" s="1" t="s">
        <v>904</v>
      </c>
      <c r="D1739" s="1" t="s">
        <v>905</v>
      </c>
      <c r="E1739" s="1">
        <v>1.00402E8</v>
      </c>
      <c r="F1739" s="1">
        <v>2.23993E8</v>
      </c>
      <c r="G1739" s="1">
        <v>2.05512E8</v>
      </c>
      <c r="H1739" s="1">
        <v>1.29797E8</v>
      </c>
      <c r="I1739" s="1">
        <v>4.61618E8</v>
      </c>
      <c r="J1739" s="1">
        <v>2.25473E8</v>
      </c>
      <c r="K1739" s="1">
        <v>2.25473E8</v>
      </c>
      <c r="L1739" s="1">
        <v>-6004000.0</v>
      </c>
      <c r="M1739" s="1">
        <v>1.8481E7</v>
      </c>
      <c r="N1739" s="1">
        <v>7.81606E8</v>
      </c>
      <c r="O1739" s="1">
        <v>5.56133E8</v>
      </c>
      <c r="P1739" s="1">
        <v>3.19988E8</v>
      </c>
      <c r="Q1739" s="1">
        <v>-1480000.0</v>
      </c>
      <c r="R1739" s="1">
        <v>2.05512E8</v>
      </c>
      <c r="S1739" s="1">
        <v>2.05512E8</v>
      </c>
    </row>
    <row r="1740">
      <c r="A1740" s="1">
        <v>1738.0</v>
      </c>
      <c r="B1740" s="11">
        <v>44196.0</v>
      </c>
      <c r="C1740" s="1" t="s">
        <v>904</v>
      </c>
      <c r="D1740" s="1" t="s">
        <v>905</v>
      </c>
      <c r="E1740" s="1">
        <v>1.00794E8</v>
      </c>
      <c r="F1740" s="1">
        <v>2.22926E8</v>
      </c>
      <c r="G1740" s="1">
        <v>1.96332E8</v>
      </c>
      <c r="H1740" s="1">
        <v>1.35525E8</v>
      </c>
      <c r="I1740" s="1">
        <v>4.4979E8</v>
      </c>
      <c r="J1740" s="1">
        <v>2.07212E8</v>
      </c>
      <c r="K1740" s="1">
        <v>2.07212E8</v>
      </c>
      <c r="L1740" s="1">
        <v>-6351000.0</v>
      </c>
      <c r="M1740" s="1">
        <v>2.6594E7</v>
      </c>
      <c r="N1740" s="1">
        <v>7.58969E8</v>
      </c>
      <c r="O1740" s="1">
        <v>5.51757E8</v>
      </c>
      <c r="P1740" s="1">
        <v>3.09179E8</v>
      </c>
      <c r="Q1740" s="1">
        <v>1.5714E7</v>
      </c>
      <c r="R1740" s="1">
        <v>1.96332E8</v>
      </c>
      <c r="S1740" s="1">
        <v>1.96332E8</v>
      </c>
    </row>
    <row r="1741">
      <c r="A1741" s="1">
        <v>1739.0</v>
      </c>
      <c r="B1741" s="11">
        <v>44101.0</v>
      </c>
      <c r="C1741" s="1" t="s">
        <v>904</v>
      </c>
      <c r="D1741" s="1" t="s">
        <v>905</v>
      </c>
      <c r="E1741" s="1">
        <v>9.4909E7</v>
      </c>
      <c r="F1741" s="1">
        <v>2.63731E8</v>
      </c>
      <c r="G1741" s="1">
        <v>2.22718E8</v>
      </c>
      <c r="H1741" s="1">
        <v>1.1584E8</v>
      </c>
      <c r="I1741" s="1">
        <v>4.58928E8</v>
      </c>
      <c r="J1741" s="1">
        <v>2.41869E8</v>
      </c>
      <c r="K1741" s="1">
        <v>2.41869E8</v>
      </c>
      <c r="L1741" s="1">
        <v>-6237000.0</v>
      </c>
      <c r="M1741" s="1">
        <v>4.1013E7</v>
      </c>
      <c r="N1741" s="1">
        <v>8.19484E8</v>
      </c>
      <c r="O1741" s="1">
        <v>5.77615E8</v>
      </c>
      <c r="P1741" s="1">
        <v>3.60556E8</v>
      </c>
      <c r="Q1741" s="1">
        <v>2.1862E7</v>
      </c>
      <c r="R1741" s="1">
        <v>2.22718E8</v>
      </c>
      <c r="S1741" s="1">
        <v>2.22718E8</v>
      </c>
    </row>
    <row r="1742">
      <c r="A1742" s="1">
        <v>1740.0</v>
      </c>
      <c r="B1742" s="11">
        <v>44286.0</v>
      </c>
      <c r="C1742" s="1" t="s">
        <v>906</v>
      </c>
      <c r="D1742" s="1" t="s">
        <v>907</v>
      </c>
      <c r="E1742" s="1">
        <v>6.66E8</v>
      </c>
      <c r="F1742" s="1">
        <v>5.33E8</v>
      </c>
      <c r="G1742" s="1">
        <v>4.38E8</v>
      </c>
      <c r="H1742" s="1">
        <v>1.056E9</v>
      </c>
      <c r="I1742" s="1">
        <v>2.215E9</v>
      </c>
      <c r="J1742" s="1">
        <v>4.93E8</v>
      </c>
      <c r="K1742" s="1">
        <v>4.93E8</v>
      </c>
      <c r="L1742" s="1">
        <v>-7.9E7</v>
      </c>
      <c r="M1742" s="1">
        <v>6.9E7</v>
      </c>
      <c r="N1742" s="1">
        <v>1.0389E10</v>
      </c>
      <c r="O1742" s="1">
        <v>9.896E9</v>
      </c>
      <c r="P1742" s="1">
        <v>8.174E9</v>
      </c>
      <c r="Q1742" s="1">
        <v>4.0E7</v>
      </c>
      <c r="R1742" s="1">
        <v>4.64E8</v>
      </c>
      <c r="S1742" s="1">
        <v>4.38E8</v>
      </c>
    </row>
    <row r="1743">
      <c r="A1743" s="1">
        <v>1741.0</v>
      </c>
      <c r="B1743" s="11">
        <v>44196.0</v>
      </c>
      <c r="C1743" s="1" t="s">
        <v>906</v>
      </c>
      <c r="D1743" s="1" t="s">
        <v>907</v>
      </c>
      <c r="E1743" s="1">
        <v>5.22E8</v>
      </c>
      <c r="F1743" s="1">
        <v>3.79E8</v>
      </c>
      <c r="G1743" s="1">
        <v>2.7E8</v>
      </c>
      <c r="H1743" s="1">
        <v>9.69E8</v>
      </c>
      <c r="I1743" s="1">
        <v>2.066E9</v>
      </c>
      <c r="J1743" s="1">
        <v>5.75E8</v>
      </c>
      <c r="K1743" s="1">
        <v>5.75E8</v>
      </c>
      <c r="L1743" s="1">
        <v>-2.41E8</v>
      </c>
      <c r="M1743" s="1">
        <v>8.3E7</v>
      </c>
      <c r="N1743" s="1">
        <v>1.0744E10</v>
      </c>
      <c r="O1743" s="1">
        <v>1.0169E10</v>
      </c>
      <c r="P1743" s="1">
        <v>8.678E9</v>
      </c>
      <c r="Q1743" s="1">
        <v>-1.96E8</v>
      </c>
      <c r="R1743" s="1">
        <v>2.96E8</v>
      </c>
      <c r="S1743" s="1">
        <v>2.7E8</v>
      </c>
    </row>
    <row r="1744">
      <c r="A1744" s="1">
        <v>1742.0</v>
      </c>
      <c r="B1744" s="11">
        <v>44104.0</v>
      </c>
      <c r="C1744" s="1" t="s">
        <v>906</v>
      </c>
      <c r="D1744" s="1" t="s">
        <v>907</v>
      </c>
      <c r="E1744" s="1">
        <v>3.66E8</v>
      </c>
      <c r="F1744" s="1">
        <v>5.55E8</v>
      </c>
      <c r="G1744" s="1">
        <v>3.31E8</v>
      </c>
      <c r="H1744" s="1">
        <v>9.31E8</v>
      </c>
      <c r="I1744" s="1">
        <v>2.063E9</v>
      </c>
      <c r="J1744" s="1">
        <v>7.66E8</v>
      </c>
      <c r="K1744" s="1">
        <v>7.66E8</v>
      </c>
      <c r="L1744" s="1">
        <v>-1.62E8</v>
      </c>
      <c r="M1744" s="1">
        <v>1.86E8</v>
      </c>
      <c r="N1744" s="1">
        <v>8.771E9</v>
      </c>
      <c r="O1744" s="1">
        <v>8.005E9</v>
      </c>
      <c r="P1744" s="1">
        <v>6.708E9</v>
      </c>
      <c r="Q1744" s="1">
        <v>-2.11E8</v>
      </c>
      <c r="R1744" s="1">
        <v>3.69E8</v>
      </c>
      <c r="S1744" s="1">
        <v>3.0E8</v>
      </c>
    </row>
    <row r="1745">
      <c r="A1745" s="1">
        <v>1743.0</v>
      </c>
      <c r="B1745" s="11">
        <v>44012.0</v>
      </c>
      <c r="C1745" s="1" t="s">
        <v>906</v>
      </c>
      <c r="D1745" s="1" t="s">
        <v>907</v>
      </c>
      <c r="E1745" s="1">
        <v>2.79E8</v>
      </c>
      <c r="F1745" s="1">
        <v>1.5E8</v>
      </c>
      <c r="G1745" s="1">
        <v>1.04E8</v>
      </c>
      <c r="H1745" s="1">
        <v>6.61E8</v>
      </c>
      <c r="I1745" s="1">
        <v>1.267E9</v>
      </c>
      <c r="J1745" s="1">
        <v>3.27E8</v>
      </c>
      <c r="K1745" s="1">
        <v>3.27E8</v>
      </c>
      <c r="L1745" s="1">
        <v>-1.73E8</v>
      </c>
      <c r="M1745" s="1">
        <v>2.1E7</v>
      </c>
      <c r="N1745" s="1">
        <v>6.036E9</v>
      </c>
      <c r="O1745" s="1">
        <v>5.709E9</v>
      </c>
      <c r="P1745" s="1">
        <v>4.769E9</v>
      </c>
      <c r="Q1745" s="1">
        <v>-1.77E8</v>
      </c>
      <c r="R1745" s="1">
        <v>1.29E8</v>
      </c>
      <c r="S1745" s="1">
        <v>1.04E8</v>
      </c>
    </row>
    <row r="1746">
      <c r="A1746" s="1">
        <v>1744.0</v>
      </c>
      <c r="B1746" s="11">
        <v>44377.0</v>
      </c>
      <c r="C1746" s="1" t="s">
        <v>908</v>
      </c>
      <c r="D1746" s="1" t="s">
        <v>909</v>
      </c>
      <c r="E1746" s="1">
        <v>3.91E8</v>
      </c>
      <c r="F1746" s="1">
        <v>2.242E9</v>
      </c>
      <c r="G1746" s="1">
        <v>1.931E9</v>
      </c>
      <c r="H1746" s="1">
        <v>4.35E8</v>
      </c>
      <c r="I1746" s="1">
        <v>3.077E9</v>
      </c>
      <c r="J1746" s="1">
        <v>2.203E9</v>
      </c>
      <c r="K1746" s="1">
        <v>2.203E9</v>
      </c>
      <c r="L1746" s="1">
        <v>-4.4E7</v>
      </c>
      <c r="M1746" s="1">
        <v>3.11E8</v>
      </c>
      <c r="N1746" s="1">
        <v>4.58E9</v>
      </c>
      <c r="O1746" s="1">
        <v>2.377E9</v>
      </c>
      <c r="P1746" s="1">
        <v>1.503E9</v>
      </c>
      <c r="Q1746" s="1">
        <v>3.9E7</v>
      </c>
      <c r="R1746" s="1">
        <v>1.931E9</v>
      </c>
      <c r="S1746" s="1">
        <v>1.924E9</v>
      </c>
    </row>
    <row r="1747">
      <c r="A1747" s="1">
        <v>1745.0</v>
      </c>
      <c r="B1747" s="11">
        <v>44286.0</v>
      </c>
      <c r="C1747" s="1" t="s">
        <v>908</v>
      </c>
      <c r="D1747" s="1" t="s">
        <v>909</v>
      </c>
      <c r="E1747" s="1">
        <v>3.86E8</v>
      </c>
      <c r="F1747" s="1">
        <v>1.939E9</v>
      </c>
      <c r="G1747" s="1">
        <v>1.753E9</v>
      </c>
      <c r="H1747" s="1">
        <v>4.36E8</v>
      </c>
      <c r="I1747" s="1">
        <v>2.797E9</v>
      </c>
      <c r="J1747" s="1">
        <v>1.928E9</v>
      </c>
      <c r="K1747" s="1">
        <v>1.928E9</v>
      </c>
      <c r="L1747" s="1">
        <v>-4.6E7</v>
      </c>
      <c r="M1747" s="1">
        <v>1.86E8</v>
      </c>
      <c r="N1747" s="1">
        <v>4.289E9</v>
      </c>
      <c r="O1747" s="1">
        <v>2.361E9</v>
      </c>
      <c r="P1747" s="1">
        <v>1.492E9</v>
      </c>
      <c r="Q1747" s="1">
        <v>1.1E7</v>
      </c>
      <c r="R1747" s="1">
        <v>1.753E9</v>
      </c>
      <c r="S1747" s="1">
        <v>1.745E9</v>
      </c>
    </row>
    <row r="1748">
      <c r="A1748" s="1">
        <v>1746.0</v>
      </c>
      <c r="B1748" s="11">
        <v>44196.0</v>
      </c>
      <c r="C1748" s="1" t="s">
        <v>908</v>
      </c>
      <c r="D1748" s="1" t="s">
        <v>909</v>
      </c>
      <c r="E1748" s="1">
        <v>3.88E8</v>
      </c>
      <c r="F1748" s="1">
        <v>1.927E9</v>
      </c>
      <c r="G1748" s="1">
        <v>1.688E9</v>
      </c>
      <c r="H1748" s="1">
        <v>3.64E8</v>
      </c>
      <c r="I1748" s="1">
        <v>2.646E9</v>
      </c>
      <c r="J1748" s="1">
        <v>1.847E9</v>
      </c>
      <c r="K1748" s="1">
        <v>1.847E9</v>
      </c>
      <c r="L1748" s="1">
        <v>-4.8E7</v>
      </c>
      <c r="M1748" s="1">
        <v>2.39E8</v>
      </c>
      <c r="N1748" s="1">
        <v>4.076E9</v>
      </c>
      <c r="O1748" s="1">
        <v>2.229E9</v>
      </c>
      <c r="P1748" s="1">
        <v>1.43E9</v>
      </c>
      <c r="Q1748" s="1">
        <v>8.0E7</v>
      </c>
      <c r="R1748" s="1">
        <v>1.688E9</v>
      </c>
      <c r="S1748" s="1">
        <v>1.68E9</v>
      </c>
    </row>
    <row r="1749">
      <c r="A1749" s="1">
        <v>1747.0</v>
      </c>
      <c r="B1749" s="11">
        <v>44104.0</v>
      </c>
      <c r="C1749" s="1" t="s">
        <v>908</v>
      </c>
      <c r="D1749" s="1" t="s">
        <v>909</v>
      </c>
      <c r="E1749" s="1">
        <v>3.86E8</v>
      </c>
      <c r="F1749" s="1">
        <v>1.587E9</v>
      </c>
      <c r="G1749" s="1">
        <v>1.353E9</v>
      </c>
      <c r="H1749" s="1">
        <v>4.15E8</v>
      </c>
      <c r="I1749" s="1">
        <v>2.453E9</v>
      </c>
      <c r="J1749" s="1">
        <v>1.601E9</v>
      </c>
      <c r="K1749" s="1">
        <v>1.601E9</v>
      </c>
      <c r="L1749" s="1">
        <v>-4.9E7</v>
      </c>
      <c r="M1749" s="1">
        <v>2.34E8</v>
      </c>
      <c r="N1749" s="1">
        <v>3.817E9</v>
      </c>
      <c r="O1749" s="1">
        <v>2.216E9</v>
      </c>
      <c r="P1749" s="1">
        <v>1.364E9</v>
      </c>
      <c r="Q1749" s="1">
        <v>-1.4E7</v>
      </c>
      <c r="R1749" s="1">
        <v>1.353E9</v>
      </c>
      <c r="S1749" s="1">
        <v>1.347E9</v>
      </c>
    </row>
    <row r="1750">
      <c r="A1750" s="1">
        <v>1748.0</v>
      </c>
      <c r="B1750" s="11">
        <v>44380.0</v>
      </c>
      <c r="C1750" s="1" t="s">
        <v>910</v>
      </c>
      <c r="D1750" s="1" t="s">
        <v>911</v>
      </c>
      <c r="F1750" s="1">
        <v>2.18E8</v>
      </c>
      <c r="G1750" s="1">
        <v>1.83E8</v>
      </c>
      <c r="H1750" s="1">
        <v>2.75E8</v>
      </c>
      <c r="I1750" s="1">
        <v>5.27E8</v>
      </c>
      <c r="J1750" s="1">
        <v>2.52E8</v>
      </c>
      <c r="K1750" s="1">
        <v>2.52E8</v>
      </c>
      <c r="L1750" s="1">
        <v>-3.2E7</v>
      </c>
      <c r="M1750" s="1">
        <v>3.4E7</v>
      </c>
      <c r="N1750" s="1">
        <v>3.191E9</v>
      </c>
      <c r="O1750" s="1">
        <v>2.939E9</v>
      </c>
      <c r="P1750" s="1">
        <v>2.664E9</v>
      </c>
      <c r="Q1750" s="1">
        <v>-3.4E7</v>
      </c>
      <c r="R1750" s="1">
        <v>1.84E8</v>
      </c>
      <c r="S1750" s="1">
        <v>1.83E8</v>
      </c>
    </row>
    <row r="1751">
      <c r="A1751" s="1">
        <v>1749.0</v>
      </c>
      <c r="B1751" s="11">
        <v>44289.0</v>
      </c>
      <c r="C1751" s="1" t="s">
        <v>910</v>
      </c>
      <c r="D1751" s="1" t="s">
        <v>911</v>
      </c>
      <c r="F1751" s="1">
        <v>1.9E8</v>
      </c>
      <c r="G1751" s="1">
        <v>1.71E8</v>
      </c>
      <c r="H1751" s="1">
        <v>2.58E8</v>
      </c>
      <c r="I1751" s="1">
        <v>4.74E8</v>
      </c>
      <c r="J1751" s="1">
        <v>2.16E8</v>
      </c>
      <c r="K1751" s="1">
        <v>2.16E8</v>
      </c>
      <c r="L1751" s="1">
        <v>-3.5E7</v>
      </c>
      <c r="M1751" s="1">
        <v>1.9E7</v>
      </c>
      <c r="N1751" s="1">
        <v>2.879E9</v>
      </c>
      <c r="O1751" s="1">
        <v>2.663E9</v>
      </c>
      <c r="P1751" s="1">
        <v>2.405E9</v>
      </c>
      <c r="Q1751" s="1">
        <v>-2.6E7</v>
      </c>
      <c r="R1751" s="1">
        <v>1.71E8</v>
      </c>
      <c r="S1751" s="1">
        <v>1.71E8</v>
      </c>
    </row>
    <row r="1752">
      <c r="A1752" s="1">
        <v>1750.0</v>
      </c>
      <c r="B1752" s="11">
        <v>44198.0</v>
      </c>
      <c r="C1752" s="1" t="s">
        <v>910</v>
      </c>
      <c r="D1752" s="1" t="s">
        <v>911</v>
      </c>
      <c r="F1752" s="1">
        <v>2.15E8</v>
      </c>
      <c r="G1752" s="1">
        <v>2.36E8</v>
      </c>
      <c r="H1752" s="1">
        <v>2.64E8</v>
      </c>
      <c r="I1752" s="1">
        <v>5.38E8</v>
      </c>
      <c r="J1752" s="1">
        <v>2.74E8</v>
      </c>
      <c r="K1752" s="1">
        <v>2.74E8</v>
      </c>
      <c r="L1752" s="1">
        <v>-3.6E7</v>
      </c>
      <c r="M1752" s="1">
        <v>-2.1E7</v>
      </c>
      <c r="N1752" s="1">
        <v>3.667E9</v>
      </c>
      <c r="O1752" s="1">
        <v>3.393E9</v>
      </c>
      <c r="P1752" s="1">
        <v>3.129E9</v>
      </c>
      <c r="Q1752" s="1">
        <v>-5.9E7</v>
      </c>
      <c r="R1752" s="1">
        <v>2.36E8</v>
      </c>
      <c r="S1752" s="1">
        <v>2.36E8</v>
      </c>
    </row>
    <row r="1753">
      <c r="A1753" s="1">
        <v>1751.0</v>
      </c>
      <c r="B1753" s="11">
        <v>44107.0</v>
      </c>
      <c r="C1753" s="1" t="s">
        <v>910</v>
      </c>
      <c r="D1753" s="1" t="s">
        <v>911</v>
      </c>
      <c r="F1753" s="1">
        <v>1.16E8</v>
      </c>
      <c r="G1753" s="1">
        <v>1.15E8</v>
      </c>
      <c r="H1753" s="1">
        <v>2.37E8</v>
      </c>
      <c r="I1753" s="1">
        <v>3.98E8</v>
      </c>
      <c r="J1753" s="1">
        <v>1.61E8</v>
      </c>
      <c r="K1753" s="1">
        <v>1.61E8</v>
      </c>
      <c r="L1753" s="1">
        <v>-3.8E7</v>
      </c>
      <c r="M1753" s="1">
        <v>1000000.0</v>
      </c>
      <c r="N1753" s="1">
        <v>2.735E9</v>
      </c>
      <c r="O1753" s="1">
        <v>2.574E9</v>
      </c>
      <c r="P1753" s="1">
        <v>2.337E9</v>
      </c>
      <c r="Q1753" s="1">
        <v>-4.5E7</v>
      </c>
      <c r="R1753" s="1">
        <v>1.15E8</v>
      </c>
      <c r="S1753" s="1">
        <v>1.15E8</v>
      </c>
    </row>
    <row r="1754">
      <c r="A1754" s="1">
        <v>1752.0</v>
      </c>
      <c r="B1754" s="11">
        <v>44408.0</v>
      </c>
      <c r="C1754" s="1" t="s">
        <v>912</v>
      </c>
      <c r="D1754" s="1" t="s">
        <v>913</v>
      </c>
      <c r="E1754" s="1">
        <v>2.48E7</v>
      </c>
      <c r="F1754" s="1">
        <v>9.4E7</v>
      </c>
      <c r="G1754" s="1">
        <v>6.158E8</v>
      </c>
      <c r="H1754" s="1">
        <v>2.938E8</v>
      </c>
      <c r="I1754" s="1">
        <v>5.161E8</v>
      </c>
      <c r="J1754" s="1">
        <v>1.593E8</v>
      </c>
      <c r="K1754" s="1">
        <v>1.593E8</v>
      </c>
      <c r="L1754" s="1">
        <v>-5600000.0</v>
      </c>
      <c r="M1754" s="1">
        <v>-5.218E8</v>
      </c>
      <c r="N1754" s="1">
        <v>7.634E8</v>
      </c>
      <c r="O1754" s="1">
        <v>6.041E8</v>
      </c>
      <c r="P1754" s="1">
        <v>2.473E8</v>
      </c>
      <c r="Q1754" s="1">
        <v>-6.53E7</v>
      </c>
      <c r="R1754" s="1">
        <v>6.158E8</v>
      </c>
      <c r="S1754" s="1">
        <v>6.158E8</v>
      </c>
    </row>
    <row r="1755">
      <c r="A1755" s="1">
        <v>1753.0</v>
      </c>
      <c r="B1755" s="11">
        <v>44316.0</v>
      </c>
      <c r="C1755" s="1" t="s">
        <v>912</v>
      </c>
      <c r="D1755" s="1" t="s">
        <v>913</v>
      </c>
      <c r="E1755" s="1">
        <v>2.1E7</v>
      </c>
      <c r="F1755" s="1">
        <v>1.364E8</v>
      </c>
      <c r="G1755" s="1">
        <v>1.175E8</v>
      </c>
      <c r="H1755" s="1">
        <v>2.791E8</v>
      </c>
      <c r="I1755" s="1">
        <v>4.871E8</v>
      </c>
      <c r="J1755" s="1">
        <v>1.499E8</v>
      </c>
      <c r="K1755" s="1">
        <v>1.499E8</v>
      </c>
      <c r="L1755" s="1">
        <v>-6100000.0</v>
      </c>
      <c r="M1755" s="1">
        <v>1.89E7</v>
      </c>
      <c r="N1755" s="1">
        <v>7.195E8</v>
      </c>
      <c r="O1755" s="1">
        <v>5.696E8</v>
      </c>
      <c r="P1755" s="1">
        <v>2.324E8</v>
      </c>
      <c r="Q1755" s="1">
        <v>-1.35E7</v>
      </c>
      <c r="R1755" s="1">
        <v>1.175E8</v>
      </c>
      <c r="S1755" s="1">
        <v>1.175E8</v>
      </c>
    </row>
    <row r="1756">
      <c r="A1756" s="1">
        <v>1754.0</v>
      </c>
      <c r="B1756" s="11">
        <v>44227.0</v>
      </c>
      <c r="C1756" s="1" t="s">
        <v>912</v>
      </c>
      <c r="D1756" s="1" t="s">
        <v>913</v>
      </c>
      <c r="E1756" s="1">
        <v>2.14E7</v>
      </c>
      <c r="F1756" s="1">
        <v>1.395E8</v>
      </c>
      <c r="G1756" s="1">
        <v>2.1011E9</v>
      </c>
      <c r="H1756" s="1">
        <v>2.576E8</v>
      </c>
      <c r="I1756" s="1">
        <v>4.507E8</v>
      </c>
      <c r="J1756" s="1">
        <v>1.37E8</v>
      </c>
      <c r="K1756" s="1">
        <v>1.37E8</v>
      </c>
      <c r="L1756" s="1">
        <v>-6400000.0</v>
      </c>
      <c r="M1756" s="1">
        <v>-1.9616E9</v>
      </c>
      <c r="N1756" s="1">
        <v>6.805E8</v>
      </c>
      <c r="O1756" s="1">
        <v>5.435E8</v>
      </c>
      <c r="P1756" s="1">
        <v>2.298E8</v>
      </c>
      <c r="Q1756" s="1">
        <v>2500000.0</v>
      </c>
      <c r="R1756" s="1">
        <v>2.1011E9</v>
      </c>
      <c r="S1756" s="1">
        <v>2.1011E9</v>
      </c>
    </row>
    <row r="1757">
      <c r="A1757" s="1">
        <v>1755.0</v>
      </c>
      <c r="B1757" s="11">
        <v>44135.0</v>
      </c>
      <c r="C1757" s="1" t="s">
        <v>912</v>
      </c>
      <c r="D1757" s="1" t="s">
        <v>913</v>
      </c>
      <c r="E1757" s="1">
        <v>2.55E7</v>
      </c>
      <c r="F1757" s="1">
        <v>9.37E7</v>
      </c>
      <c r="G1757" s="1">
        <v>8.12E7</v>
      </c>
      <c r="H1757" s="1">
        <v>2.642E8</v>
      </c>
      <c r="I1757" s="1">
        <v>5.141E8</v>
      </c>
      <c r="J1757" s="1">
        <v>1.902E8</v>
      </c>
      <c r="K1757" s="1">
        <v>1.902E8</v>
      </c>
      <c r="L1757" s="1">
        <v>-6700000.0</v>
      </c>
      <c r="M1757" s="1">
        <v>1.25E7</v>
      </c>
      <c r="N1757" s="1">
        <v>6.816E8</v>
      </c>
      <c r="O1757" s="1">
        <v>4.914E8</v>
      </c>
      <c r="P1757" s="1">
        <v>1.675E8</v>
      </c>
      <c r="Q1757" s="1">
        <v>-9.65E7</v>
      </c>
      <c r="R1757" s="1">
        <v>8.12E7</v>
      </c>
      <c r="S1757" s="1">
        <v>8.12E7</v>
      </c>
    </row>
    <row r="1758">
      <c r="A1758" s="1">
        <v>1756.0</v>
      </c>
      <c r="B1758" s="11">
        <v>44377.0</v>
      </c>
      <c r="C1758" s="1" t="s">
        <v>914</v>
      </c>
      <c r="D1758" s="1" t="s">
        <v>915</v>
      </c>
      <c r="F1758" s="1">
        <v>1.11E9</v>
      </c>
      <c r="G1758" s="1">
        <v>9.05E8</v>
      </c>
      <c r="H1758" s="1">
        <v>1.202E9</v>
      </c>
      <c r="I1758" s="1">
        <v>2.379E9</v>
      </c>
      <c r="J1758" s="1">
        <v>1.169E9</v>
      </c>
      <c r="K1758" s="1">
        <v>1.169E9</v>
      </c>
      <c r="L1758" s="1">
        <v>-4.7E7</v>
      </c>
      <c r="M1758" s="1">
        <v>2.05E8</v>
      </c>
      <c r="N1758" s="1">
        <v>5.579E9</v>
      </c>
      <c r="O1758" s="1">
        <v>4.41E9</v>
      </c>
      <c r="P1758" s="1">
        <v>3.2E9</v>
      </c>
      <c r="Q1758" s="1">
        <v>-5.9E7</v>
      </c>
      <c r="R1758" s="1">
        <v>9.05E8</v>
      </c>
      <c r="S1758" s="1">
        <v>9.0E8</v>
      </c>
    </row>
    <row r="1759">
      <c r="A1759" s="1">
        <v>1757.0</v>
      </c>
      <c r="B1759" s="11">
        <v>44286.0</v>
      </c>
      <c r="C1759" s="1" t="s">
        <v>914</v>
      </c>
      <c r="D1759" s="1" t="s">
        <v>915</v>
      </c>
      <c r="F1759" s="1">
        <v>3.03E8</v>
      </c>
      <c r="G1759" s="1">
        <v>2.49E8</v>
      </c>
      <c r="H1759" s="1">
        <v>1.144E9</v>
      </c>
      <c r="I1759" s="1">
        <v>1.547E9</v>
      </c>
      <c r="J1759" s="1">
        <v>3.74E8</v>
      </c>
      <c r="K1759" s="1">
        <v>3.74E8</v>
      </c>
      <c r="L1759" s="1">
        <v>-4.7E7</v>
      </c>
      <c r="M1759" s="1">
        <v>5.4E7</v>
      </c>
      <c r="N1759" s="1">
        <v>5.289E9</v>
      </c>
      <c r="O1759" s="1">
        <v>4.915E9</v>
      </c>
      <c r="P1759" s="1">
        <v>3.742E9</v>
      </c>
      <c r="Q1759" s="1">
        <v>-7.1E7</v>
      </c>
      <c r="R1759" s="1">
        <v>2.49E8</v>
      </c>
      <c r="S1759" s="1">
        <v>2.44E8</v>
      </c>
    </row>
    <row r="1760">
      <c r="A1760" s="1">
        <v>1758.0</v>
      </c>
      <c r="B1760" s="11">
        <v>44196.0</v>
      </c>
      <c r="C1760" s="1" t="s">
        <v>914</v>
      </c>
      <c r="D1760" s="1" t="s">
        <v>915</v>
      </c>
      <c r="F1760" s="1">
        <v>6.52E8</v>
      </c>
      <c r="G1760" s="1">
        <v>5.37E8</v>
      </c>
      <c r="H1760" s="1">
        <v>1.087E9</v>
      </c>
      <c r="I1760" s="1">
        <v>1.819E9</v>
      </c>
      <c r="J1760" s="1">
        <v>6.84E8</v>
      </c>
      <c r="K1760" s="1">
        <v>6.84E8</v>
      </c>
      <c r="L1760" s="1">
        <v>-4.7E7</v>
      </c>
      <c r="M1760" s="1">
        <v>1.15E8</v>
      </c>
      <c r="N1760" s="1">
        <v>5.318E9</v>
      </c>
      <c r="O1760" s="1">
        <v>4.634E9</v>
      </c>
      <c r="P1760" s="1">
        <v>3.499E9</v>
      </c>
      <c r="Q1760" s="1">
        <v>-3.2E7</v>
      </c>
      <c r="R1760" s="1">
        <v>5.37E8</v>
      </c>
      <c r="S1760" s="1">
        <v>5.32E8</v>
      </c>
    </row>
    <row r="1761">
      <c r="A1761" s="1">
        <v>1759.0</v>
      </c>
      <c r="B1761" s="11">
        <v>44104.0</v>
      </c>
      <c r="C1761" s="1" t="s">
        <v>914</v>
      </c>
      <c r="D1761" s="1" t="s">
        <v>915</v>
      </c>
      <c r="F1761" s="1">
        <v>5.32E8</v>
      </c>
      <c r="G1761" s="1">
        <v>4.59E8</v>
      </c>
      <c r="H1761" s="1">
        <v>1.079E9</v>
      </c>
      <c r="I1761" s="1">
        <v>1.779E9</v>
      </c>
      <c r="J1761" s="1">
        <v>6.82E8</v>
      </c>
      <c r="K1761" s="1">
        <v>6.82E8</v>
      </c>
      <c r="L1761" s="1">
        <v>-4.9E7</v>
      </c>
      <c r="M1761" s="1">
        <v>7.3E7</v>
      </c>
      <c r="N1761" s="1">
        <v>5.162E9</v>
      </c>
      <c r="O1761" s="1">
        <v>4.48E9</v>
      </c>
      <c r="P1761" s="1">
        <v>3.383E9</v>
      </c>
      <c r="Q1761" s="1">
        <v>-1.5E8</v>
      </c>
      <c r="R1761" s="1">
        <v>4.59E8</v>
      </c>
      <c r="S1761" s="1">
        <v>4.53E8</v>
      </c>
    </row>
    <row r="1762">
      <c r="A1762" s="1">
        <v>1760.0</v>
      </c>
      <c r="B1762" s="11">
        <v>44381.0</v>
      </c>
      <c r="C1762" s="1" t="s">
        <v>916</v>
      </c>
      <c r="D1762" s="1" t="s">
        <v>917</v>
      </c>
      <c r="F1762" s="1">
        <v>4.18416E8</v>
      </c>
      <c r="G1762" s="1">
        <v>3.0123E8</v>
      </c>
      <c r="H1762" s="1">
        <v>4.68647E8</v>
      </c>
      <c r="I1762" s="1">
        <v>9.26487E8</v>
      </c>
      <c r="J1762" s="1">
        <v>4.5784E8</v>
      </c>
      <c r="K1762" s="1">
        <v>4.5784E8</v>
      </c>
      <c r="L1762" s="1">
        <v>-3.1684E7</v>
      </c>
      <c r="M1762" s="1">
        <v>1.17186E8</v>
      </c>
      <c r="N1762" s="1">
        <v>1.989422E9</v>
      </c>
      <c r="O1762" s="1">
        <v>1.531582E9</v>
      </c>
      <c r="P1762" s="1">
        <v>1.062935E9</v>
      </c>
      <c r="Q1762" s="1">
        <v>-3.9424E7</v>
      </c>
      <c r="R1762" s="1">
        <v>3.0123E8</v>
      </c>
      <c r="S1762" s="1">
        <v>3.0123E8</v>
      </c>
    </row>
    <row r="1763">
      <c r="A1763" s="1">
        <v>1761.0</v>
      </c>
      <c r="B1763" s="11">
        <v>44290.0</v>
      </c>
      <c r="C1763" s="1" t="s">
        <v>916</v>
      </c>
      <c r="D1763" s="1" t="s">
        <v>917</v>
      </c>
      <c r="F1763" s="1">
        <v>5.14194E8</v>
      </c>
      <c r="G1763" s="1">
        <v>3.95799E8</v>
      </c>
      <c r="H1763" s="1">
        <v>4.94183E8</v>
      </c>
      <c r="I1763" s="1">
        <v>1.052946E9</v>
      </c>
      <c r="J1763" s="1">
        <v>5.58763E8</v>
      </c>
      <c r="K1763" s="1">
        <v>5.58763E8</v>
      </c>
      <c r="L1763" s="1">
        <v>-3.7046E7</v>
      </c>
      <c r="M1763" s="1">
        <v>1.17323E8</v>
      </c>
      <c r="N1763" s="1">
        <v>2.295948E9</v>
      </c>
      <c r="O1763" s="1">
        <v>1.737185E9</v>
      </c>
      <c r="P1763" s="1">
        <v>1.243002E9</v>
      </c>
      <c r="Q1763" s="1">
        <v>-4.4569E7</v>
      </c>
      <c r="R1763" s="1">
        <v>3.96871E8</v>
      </c>
      <c r="S1763" s="1">
        <v>3.95799E8</v>
      </c>
    </row>
    <row r="1764">
      <c r="A1764" s="1">
        <v>1762.0</v>
      </c>
      <c r="B1764" s="11">
        <v>44196.0</v>
      </c>
      <c r="C1764" s="1" t="s">
        <v>916</v>
      </c>
      <c r="D1764" s="1" t="s">
        <v>917</v>
      </c>
      <c r="E1764" s="1">
        <v>3.7577E7</v>
      </c>
      <c r="F1764" s="1">
        <v>2.634E8</v>
      </c>
      <c r="G1764" s="1">
        <v>2.91387E8</v>
      </c>
      <c r="H1764" s="1">
        <v>5.04428E8</v>
      </c>
      <c r="I1764" s="1">
        <v>9.6428E8</v>
      </c>
      <c r="J1764" s="1">
        <v>4.22275E8</v>
      </c>
      <c r="K1764" s="1">
        <v>4.22275E8</v>
      </c>
      <c r="L1764" s="1">
        <v>-3.872E7</v>
      </c>
      <c r="M1764" s="1">
        <v>-2.793E7</v>
      </c>
      <c r="N1764" s="1">
        <v>2.185244E9</v>
      </c>
      <c r="O1764" s="1">
        <v>1.762969E9</v>
      </c>
      <c r="P1764" s="1">
        <v>1.220964E9</v>
      </c>
      <c r="Q1764" s="1">
        <v>-1.58875E8</v>
      </c>
      <c r="R1764" s="1">
        <v>2.9133E8</v>
      </c>
      <c r="S1764" s="1">
        <v>2.91387E8</v>
      </c>
    </row>
    <row r="1765">
      <c r="A1765" s="1">
        <v>1763.0</v>
      </c>
      <c r="B1765" s="11">
        <v>44101.0</v>
      </c>
      <c r="C1765" s="1" t="s">
        <v>916</v>
      </c>
      <c r="D1765" s="1" t="s">
        <v>917</v>
      </c>
      <c r="E1765" s="1">
        <v>3.7577E7</v>
      </c>
      <c r="F1765" s="1">
        <v>5.62508E8</v>
      </c>
      <c r="G1765" s="1">
        <v>4.47283E8</v>
      </c>
      <c r="H1765" s="1">
        <v>4.73395E8</v>
      </c>
      <c r="I1765" s="1">
        <v>1.080024E9</v>
      </c>
      <c r="J1765" s="1">
        <v>6.06629E8</v>
      </c>
      <c r="K1765" s="1">
        <v>6.06629E8</v>
      </c>
      <c r="L1765" s="1">
        <v>-3.8056E7</v>
      </c>
      <c r="M1765" s="1">
        <v>1.1525E8</v>
      </c>
      <c r="N1765" s="1">
        <v>2.219829E9</v>
      </c>
      <c r="O1765" s="1">
        <v>1.6132E9</v>
      </c>
      <c r="P1765" s="1">
        <v>1.139805E9</v>
      </c>
      <c r="Q1765" s="1">
        <v>-4.4121E7</v>
      </c>
      <c r="R1765" s="1">
        <v>4.47258E8</v>
      </c>
      <c r="S1765" s="1">
        <v>4.47283E8</v>
      </c>
    </row>
    <row r="1766">
      <c r="A1766" s="1">
        <v>1764.0</v>
      </c>
      <c r="B1766" s="11">
        <v>44377.0</v>
      </c>
      <c r="C1766" s="1" t="s">
        <v>918</v>
      </c>
      <c r="D1766" s="1" t="s">
        <v>919</v>
      </c>
      <c r="F1766" s="1">
        <v>5.547E8</v>
      </c>
      <c r="G1766" s="1">
        <v>4.372E8</v>
      </c>
      <c r="H1766" s="1">
        <v>1.076E8</v>
      </c>
      <c r="I1766" s="1">
        <v>7.293E8</v>
      </c>
      <c r="J1766" s="1">
        <v>6.191E8</v>
      </c>
      <c r="K1766" s="1">
        <v>6.191E8</v>
      </c>
      <c r="L1766" s="1">
        <v>-4.38E7</v>
      </c>
      <c r="M1766" s="1">
        <v>1.159E8</v>
      </c>
      <c r="N1766" s="1">
        <v>2.8007E9</v>
      </c>
      <c r="O1766" s="1">
        <v>2.1816E9</v>
      </c>
      <c r="P1766" s="1">
        <v>2.0714E9</v>
      </c>
      <c r="Q1766" s="1">
        <v>-6.44E7</v>
      </c>
      <c r="R1766" s="1">
        <v>4.388E8</v>
      </c>
      <c r="S1766" s="1">
        <v>4.372E8</v>
      </c>
    </row>
    <row r="1767">
      <c r="A1767" s="1">
        <v>1765.0</v>
      </c>
      <c r="B1767" s="11">
        <v>44286.0</v>
      </c>
      <c r="C1767" s="1" t="s">
        <v>918</v>
      </c>
      <c r="D1767" s="1" t="s">
        <v>919</v>
      </c>
      <c r="F1767" s="1">
        <v>2.179E8</v>
      </c>
      <c r="G1767" s="1">
        <v>1.567E8</v>
      </c>
      <c r="H1767" s="1">
        <v>1.017E8</v>
      </c>
      <c r="I1767" s="1">
        <v>4.649E8</v>
      </c>
      <c r="J1767" s="1">
        <v>3.582E8</v>
      </c>
      <c r="K1767" s="1">
        <v>3.582E8</v>
      </c>
      <c r="L1767" s="1">
        <v>-4.94E7</v>
      </c>
      <c r="M1767" s="1">
        <v>5.97E7</v>
      </c>
      <c r="N1767" s="1">
        <v>2.2971E9</v>
      </c>
      <c r="O1767" s="1">
        <v>1.9389E9</v>
      </c>
      <c r="P1767" s="1">
        <v>1.8322E9</v>
      </c>
      <c r="Q1767" s="1">
        <v>-1.403E8</v>
      </c>
      <c r="R1767" s="1">
        <v>1.582E8</v>
      </c>
      <c r="S1767" s="1">
        <v>1.567E8</v>
      </c>
    </row>
    <row r="1768">
      <c r="A1768" s="1">
        <v>1766.0</v>
      </c>
      <c r="B1768" s="11">
        <v>44196.0</v>
      </c>
      <c r="C1768" s="1" t="s">
        <v>918</v>
      </c>
      <c r="D1768" s="1" t="s">
        <v>919</v>
      </c>
      <c r="F1768" s="1">
        <v>3.474E8</v>
      </c>
      <c r="G1768" s="1">
        <v>8.279E8</v>
      </c>
      <c r="H1768" s="1">
        <v>1.109E8</v>
      </c>
      <c r="I1768" s="1">
        <v>3.484E8</v>
      </c>
      <c r="J1768" s="1">
        <v>2.641E8</v>
      </c>
      <c r="K1768" s="1">
        <v>2.641E8</v>
      </c>
      <c r="L1768" s="1">
        <v>-5.55E7</v>
      </c>
      <c r="M1768" s="1">
        <v>-4.809E8</v>
      </c>
      <c r="N1768" s="1">
        <v>2.4574E9</v>
      </c>
      <c r="O1768" s="1">
        <v>2.1933E9</v>
      </c>
      <c r="P1768" s="1">
        <v>2.109E9</v>
      </c>
      <c r="Q1768" s="1">
        <v>8.33E7</v>
      </c>
      <c r="R1768" s="1">
        <v>8.283E8</v>
      </c>
      <c r="S1768" s="1">
        <v>8.279E8</v>
      </c>
    </row>
    <row r="1769">
      <c r="A1769" s="1">
        <v>1767.0</v>
      </c>
      <c r="B1769" s="11">
        <v>44104.0</v>
      </c>
      <c r="C1769" s="1" t="s">
        <v>918</v>
      </c>
      <c r="D1769" s="1" t="s">
        <v>919</v>
      </c>
      <c r="F1769" s="1">
        <v>3.35E7</v>
      </c>
      <c r="G1769" s="1">
        <v>-6200000.0</v>
      </c>
      <c r="H1769" s="1">
        <v>9.76E7</v>
      </c>
      <c r="I1769" s="1">
        <v>3.741E8</v>
      </c>
      <c r="J1769" s="1">
        <v>1.495E8</v>
      </c>
      <c r="K1769" s="1">
        <v>1.495E8</v>
      </c>
      <c r="L1769" s="1">
        <v>-5.08E7</v>
      </c>
      <c r="M1769" s="1">
        <v>3.81E7</v>
      </c>
      <c r="N1769" s="1">
        <v>2.3815E9</v>
      </c>
      <c r="O1769" s="1">
        <v>2.232E9</v>
      </c>
      <c r="P1769" s="1">
        <v>2.0074E9</v>
      </c>
      <c r="Q1769" s="1">
        <v>-1.16E8</v>
      </c>
      <c r="R1769" s="1">
        <v>-4600000.0</v>
      </c>
      <c r="S1769" s="1">
        <v>-6200000.0</v>
      </c>
    </row>
    <row r="1770">
      <c r="A1770" s="1">
        <v>1768.0</v>
      </c>
      <c r="B1770" s="11">
        <v>44377.0</v>
      </c>
      <c r="C1770" s="1" t="s">
        <v>920</v>
      </c>
      <c r="D1770" s="1" t="s">
        <v>921</v>
      </c>
      <c r="F1770" s="1">
        <v>1.131E9</v>
      </c>
      <c r="G1770" s="1">
        <v>9.34E8</v>
      </c>
      <c r="H1770" s="1">
        <v>1.174E9</v>
      </c>
      <c r="I1770" s="1">
        <v>2.388E9</v>
      </c>
      <c r="J1770" s="1">
        <v>1.214E9</v>
      </c>
      <c r="K1770" s="1">
        <v>1.214E9</v>
      </c>
      <c r="L1770" s="1">
        <v>-8.3E7</v>
      </c>
      <c r="M1770" s="1">
        <v>1.97E8</v>
      </c>
      <c r="N1770" s="1">
        <v>8.687E9</v>
      </c>
      <c r="O1770" s="1">
        <v>7.473E9</v>
      </c>
      <c r="P1770" s="1">
        <v>6.299E9</v>
      </c>
      <c r="Q1770" s="1">
        <v>-8.3E7</v>
      </c>
      <c r="R1770" s="1">
        <v>9.34E8</v>
      </c>
      <c r="S1770" s="1">
        <v>9.27E8</v>
      </c>
    </row>
    <row r="1771">
      <c r="A1771" s="1">
        <v>1769.0</v>
      </c>
      <c r="B1771" s="11">
        <v>44286.0</v>
      </c>
      <c r="C1771" s="1" t="s">
        <v>920</v>
      </c>
      <c r="D1771" s="1" t="s">
        <v>921</v>
      </c>
      <c r="F1771" s="1">
        <v>8.91E8</v>
      </c>
      <c r="G1771" s="1">
        <v>7.33E8</v>
      </c>
      <c r="H1771" s="1">
        <v>1.163E9</v>
      </c>
      <c r="I1771" s="1">
        <v>2.136E9</v>
      </c>
      <c r="J1771" s="1">
        <v>9.73E8</v>
      </c>
      <c r="K1771" s="1">
        <v>9.73E8</v>
      </c>
      <c r="L1771" s="1">
        <v>-8.2E7</v>
      </c>
      <c r="M1771" s="1">
        <v>1.58E8</v>
      </c>
      <c r="N1771" s="1">
        <v>8.313E9</v>
      </c>
      <c r="O1771" s="1">
        <v>7.34E9</v>
      </c>
      <c r="P1771" s="1">
        <v>6.177E9</v>
      </c>
      <c r="Q1771" s="1">
        <v>-8.2E7</v>
      </c>
      <c r="R1771" s="1">
        <v>7.33E8</v>
      </c>
      <c r="S1771" s="1">
        <v>7.28E8</v>
      </c>
    </row>
    <row r="1772">
      <c r="A1772" s="1">
        <v>1770.0</v>
      </c>
      <c r="B1772" s="11">
        <v>44196.0</v>
      </c>
      <c r="C1772" s="1" t="s">
        <v>920</v>
      </c>
      <c r="D1772" s="1" t="s">
        <v>921</v>
      </c>
      <c r="F1772" s="1">
        <v>1.616E9</v>
      </c>
      <c r="G1772" s="1">
        <v>1.31E9</v>
      </c>
      <c r="H1772" s="1">
        <v>1.142E9</v>
      </c>
      <c r="I1772" s="1">
        <v>2.841E9</v>
      </c>
      <c r="J1772" s="1">
        <v>1.699E9</v>
      </c>
      <c r="K1772" s="1">
        <v>1.699E9</v>
      </c>
      <c r="L1772" s="1">
        <v>-8.3E7</v>
      </c>
      <c r="M1772" s="1">
        <v>3.06E8</v>
      </c>
      <c r="N1772" s="1">
        <v>8.397E9</v>
      </c>
      <c r="O1772" s="1">
        <v>6.698E9</v>
      </c>
      <c r="P1772" s="1">
        <v>5.556E9</v>
      </c>
      <c r="Q1772" s="1">
        <v>-8.3E7</v>
      </c>
      <c r="R1772" s="1">
        <v>1.31E9</v>
      </c>
      <c r="S1772" s="1">
        <v>1.3E9</v>
      </c>
    </row>
    <row r="1773">
      <c r="A1773" s="1">
        <v>1771.0</v>
      </c>
      <c r="B1773" s="11">
        <v>44104.0</v>
      </c>
      <c r="C1773" s="1" t="s">
        <v>920</v>
      </c>
      <c r="D1773" s="1" t="s">
        <v>921</v>
      </c>
      <c r="F1773" s="1">
        <v>9.86E8</v>
      </c>
      <c r="G1773" s="1">
        <v>8.27E8</v>
      </c>
      <c r="H1773" s="1">
        <v>1.109E9</v>
      </c>
      <c r="I1773" s="1">
        <v>2.182E9</v>
      </c>
      <c r="J1773" s="1">
        <v>1.073E9</v>
      </c>
      <c r="K1773" s="1">
        <v>1.073E9</v>
      </c>
      <c r="L1773" s="1">
        <v>-8.7E7</v>
      </c>
      <c r="M1773" s="1">
        <v>1.59E8</v>
      </c>
      <c r="N1773" s="1">
        <v>8.275E9</v>
      </c>
      <c r="O1773" s="1">
        <v>7.202E9</v>
      </c>
      <c r="P1773" s="1">
        <v>6.093E9</v>
      </c>
      <c r="Q1773" s="1">
        <v>-8.7E7</v>
      </c>
      <c r="R1773" s="1">
        <v>8.27E8</v>
      </c>
      <c r="S1773" s="1">
        <v>8.21E8</v>
      </c>
    </row>
    <row r="1774">
      <c r="A1774" s="1">
        <v>1772.0</v>
      </c>
      <c r="B1774" s="11">
        <v>44289.0</v>
      </c>
      <c r="C1774" s="1" t="s">
        <v>922</v>
      </c>
      <c r="D1774" s="1" t="s">
        <v>923</v>
      </c>
      <c r="F1774" s="1">
        <v>1.23E9</v>
      </c>
      <c r="G1774" s="1">
        <v>9.01E8</v>
      </c>
      <c r="H1774" s="1">
        <v>3.149E9</v>
      </c>
      <c r="I1774" s="1">
        <v>5.831E9</v>
      </c>
      <c r="J1774" s="1">
        <v>1.41E9</v>
      </c>
      <c r="K1774" s="1">
        <v>1.41E9</v>
      </c>
      <c r="L1774" s="1">
        <v>-4.15E8</v>
      </c>
      <c r="M1774" s="1">
        <v>1.08E8</v>
      </c>
      <c r="N1774" s="1">
        <v>1.5613E10</v>
      </c>
      <c r="O1774" s="1">
        <v>1.4203E10</v>
      </c>
      <c r="P1774" s="1">
        <v>9.782E9</v>
      </c>
      <c r="Q1774" s="1">
        <v>-1.8E8</v>
      </c>
      <c r="R1774" s="1">
        <v>1.122E9</v>
      </c>
      <c r="S1774" s="1">
        <v>9.01E8</v>
      </c>
    </row>
    <row r="1775">
      <c r="A1775" s="1">
        <v>1773.0</v>
      </c>
      <c r="B1775" s="11">
        <v>44198.0</v>
      </c>
      <c r="C1775" s="1" t="s">
        <v>922</v>
      </c>
      <c r="D1775" s="1" t="s">
        <v>923</v>
      </c>
      <c r="F1775" s="1">
        <v>4.6E7</v>
      </c>
      <c r="G1775" s="1">
        <v>1.7E7</v>
      </c>
      <c r="H1775" s="1">
        <v>2.95E9</v>
      </c>
      <c r="I1775" s="1">
        <v>4.474E9</v>
      </c>
      <c r="J1775" s="1">
        <v>2.26E8</v>
      </c>
      <c r="K1775" s="1">
        <v>2.26E8</v>
      </c>
      <c r="L1775" s="1">
        <v>-4.04E8</v>
      </c>
      <c r="M1775" s="1">
        <v>1.6E7</v>
      </c>
      <c r="N1775" s="1">
        <v>1.6249E10</v>
      </c>
      <c r="O1775" s="1">
        <v>1.6023E10</v>
      </c>
      <c r="P1775" s="1">
        <v>1.1775E10</v>
      </c>
      <c r="Q1775" s="1">
        <v>-1.8E8</v>
      </c>
      <c r="R1775" s="1">
        <v>3.0E7</v>
      </c>
      <c r="S1775" s="1">
        <v>1.7E7</v>
      </c>
    </row>
    <row r="1776">
      <c r="A1776" s="1">
        <v>1774.0</v>
      </c>
      <c r="B1776" s="11">
        <v>44107.0</v>
      </c>
      <c r="C1776" s="1" t="s">
        <v>922</v>
      </c>
      <c r="D1776" s="1" t="s">
        <v>923</v>
      </c>
      <c r="F1776" s="1">
        <v>-5.8E8</v>
      </c>
      <c r="G1776" s="1">
        <v>-7.1E8</v>
      </c>
      <c r="H1776" s="1">
        <v>2.833E9</v>
      </c>
      <c r="I1776" s="1">
        <v>3.694E9</v>
      </c>
      <c r="J1776" s="1">
        <v>-4.74E8</v>
      </c>
      <c r="K1776" s="1">
        <v>-4.74E8</v>
      </c>
      <c r="L1776" s="1">
        <v>-4.75E8</v>
      </c>
      <c r="M1776" s="1">
        <v>4.9E7</v>
      </c>
      <c r="N1776" s="1">
        <v>1.4707E10</v>
      </c>
      <c r="O1776" s="1">
        <v>1.5181E10</v>
      </c>
      <c r="P1776" s="1">
        <v>1.1013E10</v>
      </c>
      <c r="Q1776" s="1">
        <v>-1.06E8</v>
      </c>
      <c r="R1776" s="1">
        <v>-6.29E8</v>
      </c>
      <c r="S1776" s="1">
        <v>-7.1E8</v>
      </c>
    </row>
    <row r="1777">
      <c r="A1777" s="1">
        <v>1775.0</v>
      </c>
      <c r="B1777" s="11">
        <v>44009.0</v>
      </c>
      <c r="C1777" s="1" t="s">
        <v>922</v>
      </c>
      <c r="D1777" s="1" t="s">
        <v>923</v>
      </c>
      <c r="F1777" s="1">
        <v>-4.84E9</v>
      </c>
      <c r="G1777" s="1">
        <v>-4.721E9</v>
      </c>
      <c r="H1777" s="1">
        <v>2.452E9</v>
      </c>
      <c r="I1777" s="1">
        <v>3.883E9</v>
      </c>
      <c r="J1777" s="1">
        <v>5.4E7</v>
      </c>
      <c r="K1777" s="1">
        <v>5.4E7</v>
      </c>
      <c r="L1777" s="1">
        <v>-4.56E8</v>
      </c>
      <c r="M1777" s="1">
        <v>-3.31E8</v>
      </c>
      <c r="N1777" s="1">
        <v>1.1779E10</v>
      </c>
      <c r="O1777" s="1">
        <v>1.1725E10</v>
      </c>
      <c r="P1777" s="1">
        <v>7.896E9</v>
      </c>
      <c r="Q1777" s="1">
        <v>-4.894E9</v>
      </c>
      <c r="R1777" s="1">
        <v>-4.509E9</v>
      </c>
      <c r="S1777" s="1">
        <v>-4.721E9</v>
      </c>
    </row>
    <row r="1778">
      <c r="A1778" s="1">
        <v>1776.0</v>
      </c>
      <c r="B1778" s="11">
        <v>44380.0</v>
      </c>
      <c r="C1778" s="1" t="s">
        <v>924</v>
      </c>
      <c r="D1778" s="1" t="s">
        <v>925</v>
      </c>
      <c r="E1778" s="1">
        <v>3.43E8</v>
      </c>
      <c r="F1778" s="1">
        <v>2.047E9</v>
      </c>
      <c r="G1778" s="1">
        <v>1.828E9</v>
      </c>
      <c r="H1778" s="1">
        <v>1.941E9</v>
      </c>
      <c r="I1778" s="1">
        <v>4.524E9</v>
      </c>
      <c r="J1778" s="1">
        <v>2.24E9</v>
      </c>
      <c r="K1778" s="1">
        <v>2.24E9</v>
      </c>
      <c r="L1778" s="1">
        <v>-1.22E8</v>
      </c>
      <c r="M1778" s="1">
        <v>2.19E8</v>
      </c>
      <c r="N1778" s="1">
        <v>9.273E9</v>
      </c>
      <c r="O1778" s="1">
        <v>7.033E9</v>
      </c>
      <c r="P1778" s="1">
        <v>4.749E9</v>
      </c>
      <c r="Q1778" s="1">
        <v>-1.93E8</v>
      </c>
      <c r="R1778" s="1">
        <v>1.828E9</v>
      </c>
      <c r="S1778" s="1">
        <v>1.828E9</v>
      </c>
    </row>
    <row r="1779">
      <c r="A1779" s="1">
        <v>1777.0</v>
      </c>
      <c r="B1779" s="11">
        <v>44289.0</v>
      </c>
      <c r="C1779" s="1" t="s">
        <v>924</v>
      </c>
      <c r="D1779" s="1" t="s">
        <v>925</v>
      </c>
      <c r="E1779" s="1">
        <v>3.2E8</v>
      </c>
      <c r="F1779" s="1">
        <v>2.753E9</v>
      </c>
      <c r="G1779" s="1">
        <v>2.337E9</v>
      </c>
      <c r="H1779" s="1">
        <v>1.808E9</v>
      </c>
      <c r="I1779" s="1">
        <v>5.217E9</v>
      </c>
      <c r="J1779" s="1">
        <v>3.089E9</v>
      </c>
      <c r="K1779" s="1">
        <v>3.089E9</v>
      </c>
      <c r="L1779" s="1">
        <v>-1.18E8</v>
      </c>
      <c r="M1779" s="1">
        <v>4.16E8</v>
      </c>
      <c r="N1779" s="1">
        <v>9.906E9</v>
      </c>
      <c r="O1779" s="1">
        <v>6.817E9</v>
      </c>
      <c r="P1779" s="1">
        <v>4.689E9</v>
      </c>
      <c r="Q1779" s="1">
        <v>-3.36E8</v>
      </c>
      <c r="R1779" s="1">
        <v>2.337E9</v>
      </c>
      <c r="S1779" s="1">
        <v>2.337E9</v>
      </c>
    </row>
    <row r="1780">
      <c r="A1780" s="1">
        <v>1778.0</v>
      </c>
      <c r="B1780" s="11">
        <v>44196.0</v>
      </c>
      <c r="C1780" s="1" t="s">
        <v>924</v>
      </c>
      <c r="D1780" s="1" t="s">
        <v>925</v>
      </c>
      <c r="E1780" s="1">
        <v>3.76E8</v>
      </c>
      <c r="F1780" s="1">
        <v>2.892E9</v>
      </c>
      <c r="G1780" s="1">
        <v>2.498E9</v>
      </c>
      <c r="H1780" s="1">
        <v>2.096E9</v>
      </c>
      <c r="I1780" s="1">
        <v>5.557E9</v>
      </c>
      <c r="J1780" s="1">
        <v>3.085E9</v>
      </c>
      <c r="K1780" s="1">
        <v>3.085E9</v>
      </c>
      <c r="L1780" s="1">
        <v>-1.32E8</v>
      </c>
      <c r="M1780" s="1">
        <v>3.94E8</v>
      </c>
      <c r="N1780" s="1">
        <v>1.055E10</v>
      </c>
      <c r="O1780" s="1">
        <v>7.465E9</v>
      </c>
      <c r="P1780" s="1">
        <v>4.993E9</v>
      </c>
      <c r="Q1780" s="1">
        <v>-1.93E8</v>
      </c>
      <c r="R1780" s="1">
        <v>2.498E9</v>
      </c>
      <c r="S1780" s="1">
        <v>2.498E9</v>
      </c>
    </row>
    <row r="1781">
      <c r="A1781" s="1">
        <v>1779.0</v>
      </c>
      <c r="B1781" s="11">
        <v>44100.0</v>
      </c>
      <c r="C1781" s="1" t="s">
        <v>924</v>
      </c>
      <c r="D1781" s="1" t="s">
        <v>925</v>
      </c>
      <c r="E1781" s="1">
        <v>2.96E8</v>
      </c>
      <c r="F1781" s="1">
        <v>2.252E9</v>
      </c>
      <c r="G1781" s="1">
        <v>1.933E9</v>
      </c>
      <c r="H1781" s="1">
        <v>1.647E9</v>
      </c>
      <c r="I1781" s="1">
        <v>4.332E9</v>
      </c>
      <c r="J1781" s="1">
        <v>2.389E9</v>
      </c>
      <c r="K1781" s="1">
        <v>2.389E9</v>
      </c>
      <c r="L1781" s="1">
        <v>-1.49E8</v>
      </c>
      <c r="M1781" s="1">
        <v>3.19E8</v>
      </c>
      <c r="N1781" s="1">
        <v>8.521E9</v>
      </c>
      <c r="O1781" s="1">
        <v>6.132E9</v>
      </c>
      <c r="P1781" s="1">
        <v>4.189E9</v>
      </c>
      <c r="Q1781" s="1">
        <v>-1.37E8</v>
      </c>
      <c r="R1781" s="1">
        <v>1.933E9</v>
      </c>
      <c r="S1781" s="1">
        <v>1.933E9</v>
      </c>
    </row>
    <row r="1782">
      <c r="A1782" s="1">
        <v>1780.0</v>
      </c>
      <c r="B1782" s="11">
        <v>44317.0</v>
      </c>
      <c r="C1782" s="1" t="s">
        <v>926</v>
      </c>
      <c r="D1782" s="1" t="s">
        <v>927</v>
      </c>
      <c r="F1782" s="1">
        <v>7.21346E8</v>
      </c>
      <c r="G1782" s="1">
        <v>5.3393E8</v>
      </c>
      <c r="H1782" s="1">
        <v>2.064992E9</v>
      </c>
      <c r="I1782" s="1">
        <v>2.831026E9</v>
      </c>
      <c r="J1782" s="1">
        <v>7.66034E8</v>
      </c>
      <c r="K1782" s="1">
        <v>7.66034E8</v>
      </c>
      <c r="L1782" s="1">
        <v>-4.5888E7</v>
      </c>
      <c r="M1782" s="1">
        <v>1.87416E8</v>
      </c>
      <c r="N1782" s="1">
        <v>1.0086661E10</v>
      </c>
      <c r="O1782" s="1">
        <v>9.320627E9</v>
      </c>
      <c r="P1782" s="1">
        <v>7.255635E9</v>
      </c>
      <c r="Q1782" s="1">
        <v>-4.4688E7</v>
      </c>
      <c r="R1782" s="1">
        <v>5.3393E8</v>
      </c>
      <c r="S1782" s="1">
        <v>5.3393E8</v>
      </c>
    </row>
    <row r="1783">
      <c r="A1783" s="1">
        <v>1781.0</v>
      </c>
      <c r="B1783" s="11">
        <v>44226.0</v>
      </c>
      <c r="C1783" s="1" t="s">
        <v>926</v>
      </c>
      <c r="D1783" s="1" t="s">
        <v>927</v>
      </c>
      <c r="F1783" s="1">
        <v>5.08138E8</v>
      </c>
      <c r="G1783" s="1">
        <v>3.25523E8</v>
      </c>
      <c r="H1783" s="1">
        <v>5.610468E9</v>
      </c>
      <c r="I1783" s="1">
        <v>5.966002E9</v>
      </c>
      <c r="J1783" s="1">
        <v>3.55534E8</v>
      </c>
      <c r="K1783" s="1">
        <v>3.55534E8</v>
      </c>
      <c r="L1783" s="1">
        <v>-4.8854E7</v>
      </c>
      <c r="M1783" s="1">
        <v>1.82615E8</v>
      </c>
      <c r="N1783" s="1">
        <v>1.094321E10</v>
      </c>
      <c r="O1783" s="1">
        <v>1.0587676E10</v>
      </c>
      <c r="P1783" s="1">
        <v>4.977208E9</v>
      </c>
      <c r="Q1783" s="1">
        <v>1.52604E8</v>
      </c>
      <c r="R1783" s="1">
        <v>3.25523E8</v>
      </c>
      <c r="S1783" s="1">
        <v>3.25523E8</v>
      </c>
    </row>
    <row r="1784">
      <c r="A1784" s="1">
        <v>1782.0</v>
      </c>
      <c r="B1784" s="11">
        <v>44135.0</v>
      </c>
      <c r="C1784" s="1" t="s">
        <v>926</v>
      </c>
      <c r="D1784" s="1" t="s">
        <v>927</v>
      </c>
      <c r="F1784" s="1">
        <v>1.015992E9</v>
      </c>
      <c r="G1784" s="1">
        <v>8.66656E8</v>
      </c>
      <c r="H1784" s="1">
        <v>1.986128E9</v>
      </c>
      <c r="I1784" s="1">
        <v>3.055004E9</v>
      </c>
      <c r="J1784" s="1">
        <v>1.068876E9</v>
      </c>
      <c r="K1784" s="1">
        <v>1.068876E9</v>
      </c>
      <c r="L1784" s="1">
        <v>-5.42E7</v>
      </c>
      <c r="M1784" s="1">
        <v>1.49336E8</v>
      </c>
      <c r="N1784" s="1">
        <v>1.0117289E10</v>
      </c>
      <c r="O1784" s="1">
        <v>9.048413E9</v>
      </c>
      <c r="P1784" s="1">
        <v>7.062285E9</v>
      </c>
      <c r="Q1784" s="1">
        <v>-5.2884E7</v>
      </c>
      <c r="R1784" s="1">
        <v>8.66656E8</v>
      </c>
      <c r="S1784" s="1">
        <v>8.66656E8</v>
      </c>
    </row>
    <row r="1785">
      <c r="A1785" s="1">
        <v>1783.0</v>
      </c>
      <c r="B1785" s="11">
        <v>44044.0</v>
      </c>
      <c r="C1785" s="1" t="s">
        <v>926</v>
      </c>
      <c r="D1785" s="1" t="s">
        <v>927</v>
      </c>
      <c r="F1785" s="1">
        <v>-9.2019E7</v>
      </c>
      <c r="G1785" s="1">
        <v>-2.1422E8</v>
      </c>
      <c r="H1785" s="1">
        <v>1.527768E9</v>
      </c>
      <c r="I1785" s="1">
        <v>1.493085E9</v>
      </c>
      <c r="J1785" s="1">
        <v>-3.4683E7</v>
      </c>
      <c r="K1785" s="1">
        <v>-3.4683E7</v>
      </c>
      <c r="L1785" s="1">
        <v>-5.9E7</v>
      </c>
      <c r="M1785" s="1">
        <v>1.22201E8</v>
      </c>
      <c r="N1785" s="1">
        <v>6.667575E9</v>
      </c>
      <c r="O1785" s="1">
        <v>6.702258E9</v>
      </c>
      <c r="P1785" s="1">
        <v>5.17449E9</v>
      </c>
      <c r="Q1785" s="1">
        <v>-5.7336E7</v>
      </c>
      <c r="R1785" s="1">
        <v>-2.1422E8</v>
      </c>
      <c r="S1785" s="1">
        <v>-2.1422E8</v>
      </c>
    </row>
    <row r="1786">
      <c r="A1786" s="1">
        <v>1784.0</v>
      </c>
      <c r="B1786" s="11">
        <v>44373.0</v>
      </c>
      <c r="C1786" s="1" t="s">
        <v>928</v>
      </c>
      <c r="D1786" s="1" t="s">
        <v>929</v>
      </c>
      <c r="F1786" s="1">
        <v>4.79182E8</v>
      </c>
      <c r="G1786" s="1">
        <v>3.70022E8</v>
      </c>
      <c r="H1786" s="1">
        <v>7.23749E8</v>
      </c>
      <c r="I1786" s="1">
        <v>1.287485E9</v>
      </c>
      <c r="J1786" s="1">
        <v>4.98883E8</v>
      </c>
      <c r="K1786" s="1">
        <v>4.98883E8</v>
      </c>
      <c r="L1786" s="1">
        <v>-6701000.0</v>
      </c>
      <c r="M1786" s="1">
        <v>1.0916E8</v>
      </c>
      <c r="N1786" s="1">
        <v>3.601559E9</v>
      </c>
      <c r="O1786" s="1">
        <v>3.102676E9</v>
      </c>
      <c r="P1786" s="1">
        <v>2.314074E9</v>
      </c>
      <c r="Q1786" s="1">
        <v>-1.9701E7</v>
      </c>
      <c r="R1786" s="1">
        <v>3.70022E8</v>
      </c>
      <c r="S1786" s="1">
        <v>3.70022E8</v>
      </c>
    </row>
    <row r="1787">
      <c r="A1787" s="1">
        <v>1785.0</v>
      </c>
      <c r="B1787" s="11">
        <v>44282.0</v>
      </c>
      <c r="C1787" s="1" t="s">
        <v>928</v>
      </c>
      <c r="D1787" s="1" t="s">
        <v>929</v>
      </c>
      <c r="F1787" s="1">
        <v>2.23315E8</v>
      </c>
      <c r="G1787" s="1">
        <v>1.81354E8</v>
      </c>
      <c r="H1787" s="1">
        <v>6.9319E8</v>
      </c>
      <c r="I1787" s="1">
        <v>9.8378E8</v>
      </c>
      <c r="J1787" s="1">
        <v>2.30536E8</v>
      </c>
      <c r="K1787" s="1">
        <v>2.30536E8</v>
      </c>
      <c r="L1787" s="1">
        <v>-7221000.0</v>
      </c>
      <c r="M1787" s="1">
        <v>4.1961E7</v>
      </c>
      <c r="N1787" s="1">
        <v>2.792336E9</v>
      </c>
      <c r="O1787" s="1">
        <v>2.5618E9</v>
      </c>
      <c r="P1787" s="1">
        <v>1.808556E9</v>
      </c>
      <c r="Q1787" s="1">
        <v>-7221000.0</v>
      </c>
      <c r="R1787" s="1">
        <v>1.81354E8</v>
      </c>
      <c r="S1787" s="1">
        <v>1.81354E8</v>
      </c>
    </row>
    <row r="1788">
      <c r="A1788" s="1">
        <v>1786.0</v>
      </c>
      <c r="B1788" s="11">
        <v>44191.0</v>
      </c>
      <c r="C1788" s="1" t="s">
        <v>928</v>
      </c>
      <c r="D1788" s="1" t="s">
        <v>929</v>
      </c>
      <c r="F1788" s="1">
        <v>1.76381E8</v>
      </c>
      <c r="G1788" s="1">
        <v>1.35893E8</v>
      </c>
      <c r="H1788" s="1">
        <v>6.43522E8</v>
      </c>
      <c r="I1788" s="1">
        <v>9.9553E8</v>
      </c>
      <c r="J1788" s="1">
        <v>2.93518E8</v>
      </c>
      <c r="K1788" s="1">
        <v>2.93518E8</v>
      </c>
      <c r="L1788" s="1">
        <v>-8086000.0</v>
      </c>
      <c r="M1788" s="1">
        <v>4.0488E7</v>
      </c>
      <c r="N1788" s="1">
        <v>2.878265E9</v>
      </c>
      <c r="O1788" s="1">
        <v>2.584747E9</v>
      </c>
      <c r="P1788" s="1">
        <v>1.882735E9</v>
      </c>
      <c r="Q1788" s="1">
        <v>-1.17137E8</v>
      </c>
      <c r="R1788" s="1">
        <v>1.35893E8</v>
      </c>
      <c r="S1788" s="1">
        <v>1.35893E8</v>
      </c>
    </row>
    <row r="1789">
      <c r="A1789" s="1">
        <v>1787.0</v>
      </c>
      <c r="B1789" s="11">
        <v>44100.0</v>
      </c>
      <c r="C1789" s="1" t="s">
        <v>928</v>
      </c>
      <c r="D1789" s="1" t="s">
        <v>929</v>
      </c>
      <c r="F1789" s="1">
        <v>2.44969E8</v>
      </c>
      <c r="G1789" s="1">
        <v>1.9061E8</v>
      </c>
      <c r="H1789" s="1">
        <v>6.21129E8</v>
      </c>
      <c r="I1789" s="1">
        <v>9.47957E8</v>
      </c>
      <c r="J1789" s="1">
        <v>2.72177E8</v>
      </c>
      <c r="K1789" s="1">
        <v>2.72177E8</v>
      </c>
      <c r="L1789" s="1">
        <v>-7208000.0</v>
      </c>
      <c r="M1789" s="1">
        <v>5.4359E7</v>
      </c>
      <c r="N1789" s="1">
        <v>2.606572E9</v>
      </c>
      <c r="O1789" s="1">
        <v>2.334395E9</v>
      </c>
      <c r="P1789" s="1">
        <v>1.658615E9</v>
      </c>
      <c r="Q1789" s="1">
        <v>-2.7208E7</v>
      </c>
      <c r="R1789" s="1">
        <v>1.9061E8</v>
      </c>
      <c r="S1789" s="1">
        <v>1.9061E8</v>
      </c>
    </row>
    <row r="1790">
      <c r="A1790" s="1">
        <v>1788.0</v>
      </c>
      <c r="B1790" s="11">
        <v>44377.0</v>
      </c>
      <c r="C1790" s="1" t="s">
        <v>930</v>
      </c>
      <c r="D1790" s="1" t="s">
        <v>931</v>
      </c>
      <c r="F1790" s="1">
        <v>5.92E8</v>
      </c>
      <c r="G1790" s="1">
        <v>4.647E8</v>
      </c>
      <c r="H1790" s="1">
        <v>6.178E8</v>
      </c>
      <c r="I1790" s="1">
        <v>1.2715E9</v>
      </c>
      <c r="J1790" s="1">
        <v>6.537E8</v>
      </c>
      <c r="K1790" s="1">
        <v>6.537E8</v>
      </c>
      <c r="L1790" s="1">
        <v>-5.93E7</v>
      </c>
      <c r="M1790" s="1">
        <v>1.228E8</v>
      </c>
      <c r="N1790" s="1">
        <v>3.8297E9</v>
      </c>
      <c r="O1790" s="1">
        <v>3.176E9</v>
      </c>
      <c r="P1790" s="1">
        <v>2.5582E9</v>
      </c>
      <c r="Q1790" s="1">
        <v>-6.17E7</v>
      </c>
      <c r="R1790" s="1">
        <v>4.692E8</v>
      </c>
      <c r="S1790" s="1">
        <v>4.647E8</v>
      </c>
    </row>
    <row r="1791">
      <c r="A1791" s="1">
        <v>1789.0</v>
      </c>
      <c r="B1791" s="11">
        <v>44286.0</v>
      </c>
      <c r="C1791" s="1" t="s">
        <v>930</v>
      </c>
      <c r="D1791" s="1" t="s">
        <v>931</v>
      </c>
      <c r="F1791" s="1">
        <v>2.853E8</v>
      </c>
      <c r="G1791" s="1">
        <v>2.352E8</v>
      </c>
      <c r="H1791" s="1">
        <v>5.972E8</v>
      </c>
      <c r="I1791" s="1">
        <v>9.55E8</v>
      </c>
      <c r="J1791" s="1">
        <v>3.578E8</v>
      </c>
      <c r="K1791" s="1">
        <v>3.578E8</v>
      </c>
      <c r="L1791" s="1">
        <v>-6.07E7</v>
      </c>
      <c r="M1791" s="1">
        <v>4.84E7</v>
      </c>
      <c r="N1791" s="1">
        <v>3.0176E9</v>
      </c>
      <c r="O1791" s="1">
        <v>2.6598E9</v>
      </c>
      <c r="P1791" s="1">
        <v>2.0626E9</v>
      </c>
      <c r="Q1791" s="1">
        <v>-7.25E7</v>
      </c>
      <c r="R1791" s="1">
        <v>2.369E8</v>
      </c>
      <c r="S1791" s="1">
        <v>2.352E8</v>
      </c>
    </row>
    <row r="1792">
      <c r="A1792" s="1">
        <v>1790.0</v>
      </c>
      <c r="B1792" s="11">
        <v>44196.0</v>
      </c>
      <c r="C1792" s="1" t="s">
        <v>930</v>
      </c>
      <c r="D1792" s="1" t="s">
        <v>931</v>
      </c>
      <c r="F1792" s="1">
        <v>3.226E8</v>
      </c>
      <c r="G1792" s="1">
        <v>2.447E8</v>
      </c>
      <c r="H1792" s="1">
        <v>5.634E8</v>
      </c>
      <c r="I1792" s="1">
        <v>9.501E8</v>
      </c>
      <c r="J1792" s="1">
        <v>3.867E8</v>
      </c>
      <c r="K1792" s="1">
        <v>3.867E8</v>
      </c>
      <c r="L1792" s="1">
        <v>-6.19E7</v>
      </c>
      <c r="M1792" s="1">
        <v>7.24E7</v>
      </c>
      <c r="N1792" s="1">
        <v>3.1791E9</v>
      </c>
      <c r="O1792" s="1">
        <v>2.7924E9</v>
      </c>
      <c r="P1792" s="1">
        <v>2.229E9</v>
      </c>
      <c r="Q1792" s="1">
        <v>-6.41E7</v>
      </c>
      <c r="R1792" s="1">
        <v>2.502E8</v>
      </c>
      <c r="S1792" s="1">
        <v>2.447E8</v>
      </c>
    </row>
    <row r="1793">
      <c r="A1793" s="1">
        <v>1791.0</v>
      </c>
      <c r="B1793" s="11">
        <v>44104.0</v>
      </c>
      <c r="C1793" s="1" t="s">
        <v>930</v>
      </c>
      <c r="D1793" s="1" t="s">
        <v>931</v>
      </c>
      <c r="F1793" s="1">
        <v>5.0E8</v>
      </c>
      <c r="G1793" s="1">
        <v>4.006E8</v>
      </c>
      <c r="H1793" s="1">
        <v>5.668E8</v>
      </c>
      <c r="I1793" s="1">
        <v>1.138E9</v>
      </c>
      <c r="J1793" s="1">
        <v>5.712E8</v>
      </c>
      <c r="K1793" s="1">
        <v>5.712E8</v>
      </c>
      <c r="L1793" s="1">
        <v>-6.24E7</v>
      </c>
      <c r="M1793" s="1">
        <v>8.99E7</v>
      </c>
      <c r="N1793" s="1">
        <v>3.4955E9</v>
      </c>
      <c r="O1793" s="1">
        <v>2.9243E9</v>
      </c>
      <c r="P1793" s="1">
        <v>2.3575E9</v>
      </c>
      <c r="Q1793" s="1">
        <v>-7.12E7</v>
      </c>
      <c r="R1793" s="1">
        <v>4.101E8</v>
      </c>
      <c r="S1793" s="1">
        <v>4.006E8</v>
      </c>
    </row>
    <row r="1794">
      <c r="A1794" s="1">
        <v>1792.0</v>
      </c>
      <c r="B1794" s="11">
        <v>44380.0</v>
      </c>
      <c r="C1794" s="1" t="s">
        <v>932</v>
      </c>
      <c r="D1794" s="1" t="s">
        <v>933</v>
      </c>
      <c r="F1794" s="1">
        <v>2.44E8</v>
      </c>
      <c r="G1794" s="1">
        <v>3.17E8</v>
      </c>
      <c r="H1794" s="1">
        <v>1.65E8</v>
      </c>
      <c r="I1794" s="1">
        <v>6.57E8</v>
      </c>
      <c r="J1794" s="1">
        <v>4.56E8</v>
      </c>
      <c r="K1794" s="1">
        <v>4.56E8</v>
      </c>
      <c r="L1794" s="1">
        <v>-2.63E8</v>
      </c>
      <c r="M1794" s="1">
        <v>-7.3E7</v>
      </c>
      <c r="N1794" s="1">
        <v>1.218E9</v>
      </c>
      <c r="O1794" s="1">
        <v>7.62E8</v>
      </c>
      <c r="P1794" s="1">
        <v>5.61E8</v>
      </c>
      <c r="Q1794" s="1">
        <v>-2.12E8</v>
      </c>
      <c r="R1794" s="1">
        <v>3.17E8</v>
      </c>
      <c r="S1794" s="1">
        <v>3.17E8</v>
      </c>
    </row>
    <row r="1795">
      <c r="A1795" s="1">
        <v>1793.0</v>
      </c>
      <c r="B1795" s="11">
        <v>44289.0</v>
      </c>
      <c r="C1795" s="1" t="s">
        <v>932</v>
      </c>
      <c r="D1795" s="1" t="s">
        <v>933</v>
      </c>
      <c r="F1795" s="1">
        <v>1.3E8</v>
      </c>
      <c r="G1795" s="1">
        <v>1.04E8</v>
      </c>
      <c r="H1795" s="1">
        <v>1.48E8</v>
      </c>
      <c r="I1795" s="1">
        <v>6.15E8</v>
      </c>
      <c r="J1795" s="1">
        <v>4.31E8</v>
      </c>
      <c r="K1795" s="1">
        <v>4.31E8</v>
      </c>
      <c r="L1795" s="1">
        <v>-2.68E8</v>
      </c>
      <c r="M1795" s="1">
        <v>2.5E7</v>
      </c>
      <c r="N1795" s="1">
        <v>1.194E9</v>
      </c>
      <c r="O1795" s="1">
        <v>7.63E8</v>
      </c>
      <c r="P1795" s="1">
        <v>5.79E8</v>
      </c>
      <c r="Q1795" s="1">
        <v>-3.01E8</v>
      </c>
      <c r="R1795" s="1">
        <v>1.05E8</v>
      </c>
      <c r="S1795" s="1">
        <v>1.04E8</v>
      </c>
    </row>
    <row r="1796">
      <c r="A1796" s="1">
        <v>1794.0</v>
      </c>
      <c r="B1796" s="11">
        <v>44198.0</v>
      </c>
      <c r="C1796" s="1" t="s">
        <v>932</v>
      </c>
      <c r="D1796" s="1" t="s">
        <v>933</v>
      </c>
      <c r="F1796" s="1">
        <v>5.3E7</v>
      </c>
      <c r="G1796" s="1">
        <v>5.0E7</v>
      </c>
      <c r="H1796" s="1">
        <v>1.85E8</v>
      </c>
      <c r="I1796" s="1">
        <v>5.54E8</v>
      </c>
      <c r="J1796" s="1">
        <v>3.4E8</v>
      </c>
      <c r="K1796" s="1">
        <v>3.4E8</v>
      </c>
      <c r="L1796" s="1">
        <v>-2.67E8</v>
      </c>
      <c r="M1796" s="1">
        <v>3000000.0</v>
      </c>
      <c r="N1796" s="1">
        <v>1.108E9</v>
      </c>
      <c r="O1796" s="1">
        <v>7.68E8</v>
      </c>
      <c r="P1796" s="1">
        <v>5.54E8</v>
      </c>
      <c r="Q1796" s="1">
        <v>-2.87E8</v>
      </c>
      <c r="R1796" s="1">
        <v>5.0E7</v>
      </c>
      <c r="S1796" s="1">
        <v>-2.3E7</v>
      </c>
    </row>
    <row r="1797">
      <c r="A1797" s="1">
        <v>1795.0</v>
      </c>
      <c r="B1797" s="11">
        <v>44104.0</v>
      </c>
      <c r="C1797" s="1" t="s">
        <v>932</v>
      </c>
      <c r="D1797" s="1" t="s">
        <v>933</v>
      </c>
      <c r="F1797" s="1">
        <v>7.6E7</v>
      </c>
      <c r="G1797" s="1">
        <v>8.2E7</v>
      </c>
      <c r="H1797" s="1">
        <v>1.67E8</v>
      </c>
      <c r="I1797" s="1">
        <v>5.6E8</v>
      </c>
      <c r="J1797" s="1">
        <v>3.52E8</v>
      </c>
      <c r="K1797" s="1">
        <v>3.52E8</v>
      </c>
      <c r="L1797" s="1">
        <v>-2.67E8</v>
      </c>
      <c r="M1797" s="1">
        <v>-2.5E7</v>
      </c>
      <c r="N1797" s="1">
        <v>1.173E9</v>
      </c>
      <c r="O1797" s="1">
        <v>8.21E8</v>
      </c>
      <c r="P1797" s="1">
        <v>6.13E8</v>
      </c>
      <c r="Q1797" s="1">
        <v>-2.76E8</v>
      </c>
      <c r="R1797" s="1">
        <v>1.01E8</v>
      </c>
      <c r="S1797" s="1">
        <v>8.2E7</v>
      </c>
    </row>
    <row r="1798">
      <c r="A1798" s="1">
        <v>1796.0</v>
      </c>
      <c r="B1798" s="11">
        <v>44379.0</v>
      </c>
      <c r="C1798" s="1" t="s">
        <v>934</v>
      </c>
      <c r="D1798" s="1" t="s">
        <v>935</v>
      </c>
      <c r="E1798" s="1">
        <v>1.383E8</v>
      </c>
      <c r="F1798" s="1">
        <v>1.624E8</v>
      </c>
      <c r="G1798" s="1">
        <v>1.389E8</v>
      </c>
      <c r="H1798" s="1">
        <v>2.248E8</v>
      </c>
      <c r="I1798" s="1">
        <v>5.476E8</v>
      </c>
      <c r="J1798" s="1">
        <v>1.495E8</v>
      </c>
      <c r="K1798" s="1">
        <v>1.495E8</v>
      </c>
      <c r="L1798" s="1">
        <v>-1.66E7</v>
      </c>
      <c r="M1798" s="1">
        <v>2.35E7</v>
      </c>
      <c r="N1798" s="1">
        <v>9.452E8</v>
      </c>
      <c r="O1798" s="1">
        <v>7.957E8</v>
      </c>
      <c r="P1798" s="1">
        <v>3.976E8</v>
      </c>
      <c r="Q1798" s="1">
        <v>1.29E7</v>
      </c>
      <c r="R1798" s="1">
        <v>1.389E8</v>
      </c>
      <c r="S1798" s="1">
        <v>1.389E8</v>
      </c>
    </row>
    <row r="1799">
      <c r="A1799" s="1">
        <v>1797.0</v>
      </c>
      <c r="B1799" s="11">
        <v>44288.0</v>
      </c>
      <c r="C1799" s="1" t="s">
        <v>934</v>
      </c>
      <c r="D1799" s="1" t="s">
        <v>935</v>
      </c>
      <c r="E1799" s="1">
        <v>1.294E8</v>
      </c>
      <c r="F1799" s="1">
        <v>1.374E8</v>
      </c>
      <c r="G1799" s="1">
        <v>1.145E8</v>
      </c>
      <c r="H1799" s="1">
        <v>2.078E8</v>
      </c>
      <c r="I1799" s="1">
        <v>5.154E8</v>
      </c>
      <c r="J1799" s="1">
        <v>1.424E8</v>
      </c>
      <c r="K1799" s="1">
        <v>1.424E8</v>
      </c>
      <c r="L1799" s="1">
        <v>-1.69E7</v>
      </c>
      <c r="M1799" s="1">
        <v>2.28E7</v>
      </c>
      <c r="N1799" s="1">
        <v>8.865E8</v>
      </c>
      <c r="O1799" s="1">
        <v>7.441E8</v>
      </c>
      <c r="P1799" s="1">
        <v>3.711E8</v>
      </c>
      <c r="Q1799" s="1">
        <v>-5000000.0</v>
      </c>
      <c r="R1799" s="1">
        <v>1.146E8</v>
      </c>
      <c r="S1799" s="1">
        <v>1.145E8</v>
      </c>
    </row>
    <row r="1800">
      <c r="A1800" s="1">
        <v>1798.0</v>
      </c>
      <c r="B1800" s="11">
        <v>44197.0</v>
      </c>
      <c r="C1800" s="1" t="s">
        <v>934</v>
      </c>
      <c r="D1800" s="1" t="s">
        <v>935</v>
      </c>
      <c r="E1800" s="1">
        <v>1.258E8</v>
      </c>
      <c r="F1800" s="1">
        <v>1.283E8</v>
      </c>
      <c r="G1800" s="1">
        <v>1.803E8</v>
      </c>
      <c r="H1800" s="1">
        <v>1.801E8</v>
      </c>
      <c r="I1800" s="1">
        <v>4.91E8</v>
      </c>
      <c r="J1800" s="1">
        <v>1.475E8</v>
      </c>
      <c r="K1800" s="1">
        <v>1.475E8</v>
      </c>
      <c r="L1800" s="1">
        <v>-1.79E7</v>
      </c>
      <c r="M1800" s="1">
        <v>-5.24E7</v>
      </c>
      <c r="N1800" s="1">
        <v>8.297E8</v>
      </c>
      <c r="O1800" s="1">
        <v>6.822E8</v>
      </c>
      <c r="P1800" s="1">
        <v>3.387E8</v>
      </c>
      <c r="Q1800" s="1">
        <v>-1.92E7</v>
      </c>
      <c r="R1800" s="1">
        <v>1.807E8</v>
      </c>
      <c r="S1800" s="1">
        <v>1.803E8</v>
      </c>
    </row>
    <row r="1801">
      <c r="A1801" s="1">
        <v>1799.0</v>
      </c>
      <c r="B1801" s="11">
        <v>44106.0</v>
      </c>
      <c r="C1801" s="1" t="s">
        <v>934</v>
      </c>
      <c r="D1801" s="1" t="s">
        <v>935</v>
      </c>
      <c r="E1801" s="1">
        <v>1.179E8</v>
      </c>
      <c r="F1801" s="1">
        <v>9.64E7</v>
      </c>
      <c r="G1801" s="1">
        <v>8.47E7</v>
      </c>
      <c r="H1801" s="1">
        <v>1.91E8</v>
      </c>
      <c r="I1801" s="1">
        <v>4.633E8</v>
      </c>
      <c r="J1801" s="1">
        <v>1.144E8</v>
      </c>
      <c r="K1801" s="1">
        <v>1.144E8</v>
      </c>
      <c r="L1801" s="1">
        <v>-1.96E7</v>
      </c>
      <c r="M1801" s="1">
        <v>1.16E7</v>
      </c>
      <c r="N1801" s="1">
        <v>7.921E8</v>
      </c>
      <c r="O1801" s="1">
        <v>6.777E8</v>
      </c>
      <c r="P1801" s="1">
        <v>3.288E8</v>
      </c>
      <c r="Q1801" s="1">
        <v>-1.8E7</v>
      </c>
      <c r="R1801" s="1">
        <v>8.48E7</v>
      </c>
      <c r="S1801" s="1">
        <v>8.47E7</v>
      </c>
    </row>
    <row r="1802">
      <c r="A1802" s="1">
        <v>1800.0</v>
      </c>
      <c r="B1802" s="11">
        <v>44377.0</v>
      </c>
      <c r="C1802" s="1" t="s">
        <v>936</v>
      </c>
      <c r="D1802" s="1" t="s">
        <v>937</v>
      </c>
      <c r="F1802" s="1">
        <v>2.073E9</v>
      </c>
      <c r="G1802" s="1">
        <v>1.657E9</v>
      </c>
      <c r="H1802" s="1">
        <v>3.211E9</v>
      </c>
      <c r="I1802" s="1">
        <v>6.084E9</v>
      </c>
      <c r="J1802" s="1">
        <v>0.0</v>
      </c>
      <c r="K1802" s="1">
        <v>2.543E9</v>
      </c>
      <c r="M1802" s="1">
        <v>4.15E8</v>
      </c>
      <c r="N1802" s="1">
        <v>6.084E9</v>
      </c>
      <c r="O1802" s="1">
        <v>3.541E9</v>
      </c>
      <c r="P1802" s="1">
        <v>0.0</v>
      </c>
      <c r="Q1802" s="1">
        <v>-4.7E8</v>
      </c>
      <c r="R1802" s="1">
        <v>1.658E9</v>
      </c>
      <c r="S1802" s="1">
        <v>1.559E9</v>
      </c>
    </row>
    <row r="1803">
      <c r="A1803" s="1">
        <v>1801.0</v>
      </c>
      <c r="B1803" s="11">
        <v>44286.0</v>
      </c>
      <c r="C1803" s="1" t="s">
        <v>936</v>
      </c>
      <c r="D1803" s="1" t="s">
        <v>937</v>
      </c>
      <c r="F1803" s="1">
        <v>1.824E9</v>
      </c>
      <c r="G1803" s="1">
        <v>1.477E9</v>
      </c>
      <c r="H1803" s="1">
        <v>3.14E9</v>
      </c>
      <c r="I1803" s="1">
        <v>5.434E9</v>
      </c>
      <c r="J1803" s="1">
        <v>0.0</v>
      </c>
      <c r="K1803" s="1">
        <v>2.131E9</v>
      </c>
      <c r="M1803" s="1">
        <v>3.51E8</v>
      </c>
      <c r="N1803" s="1">
        <v>5.434E9</v>
      </c>
      <c r="O1803" s="1">
        <v>3.303E9</v>
      </c>
      <c r="P1803" s="1">
        <v>0.0</v>
      </c>
      <c r="Q1803" s="1">
        <v>-3.07E8</v>
      </c>
      <c r="R1803" s="1">
        <v>1.473E9</v>
      </c>
      <c r="S1803" s="1">
        <v>1.334E9</v>
      </c>
    </row>
    <row r="1804">
      <c r="A1804" s="1">
        <v>1802.0</v>
      </c>
      <c r="B1804" s="11">
        <v>44196.0</v>
      </c>
      <c r="C1804" s="1" t="s">
        <v>936</v>
      </c>
      <c r="D1804" s="1" t="s">
        <v>937</v>
      </c>
      <c r="F1804" s="1">
        <v>1.641E9</v>
      </c>
      <c r="G1804" s="1">
        <v>1.329E9</v>
      </c>
      <c r="H1804" s="1">
        <v>3.156E9</v>
      </c>
      <c r="I1804" s="1">
        <v>5.474E9</v>
      </c>
      <c r="J1804" s="1">
        <v>0.0</v>
      </c>
      <c r="K1804" s="1">
        <v>2.153E9</v>
      </c>
      <c r="M1804" s="1">
        <v>3.11E8</v>
      </c>
      <c r="N1804" s="1">
        <v>5.474E9</v>
      </c>
      <c r="O1804" s="1">
        <v>3.321E9</v>
      </c>
      <c r="P1804" s="1">
        <v>0.0</v>
      </c>
      <c r="Q1804" s="1">
        <v>-5.12E8</v>
      </c>
      <c r="R1804" s="1">
        <v>1.33E9</v>
      </c>
      <c r="S1804" s="1">
        <v>1.228E9</v>
      </c>
    </row>
    <row r="1805">
      <c r="A1805" s="1">
        <v>1803.0</v>
      </c>
      <c r="B1805" s="11">
        <v>44104.0</v>
      </c>
      <c r="C1805" s="1" t="s">
        <v>936</v>
      </c>
      <c r="D1805" s="1" t="s">
        <v>937</v>
      </c>
      <c r="F1805" s="1">
        <v>1.396E9</v>
      </c>
      <c r="G1805" s="1">
        <v>1.138E9</v>
      </c>
      <c r="H1805" s="1">
        <v>3.093E9</v>
      </c>
      <c r="I1805" s="1">
        <v>5.151E9</v>
      </c>
      <c r="J1805" s="1">
        <v>0.0</v>
      </c>
      <c r="K1805" s="1">
        <v>1.836E9</v>
      </c>
      <c r="M1805" s="1">
        <v>2.55E8</v>
      </c>
      <c r="N1805" s="1">
        <v>5.151E9</v>
      </c>
      <c r="O1805" s="1">
        <v>3.315E9</v>
      </c>
      <c r="P1805" s="1">
        <v>0.0</v>
      </c>
      <c r="Q1805" s="1">
        <v>-4.4E8</v>
      </c>
      <c r="R1805" s="1">
        <v>1.141E9</v>
      </c>
      <c r="S1805" s="1">
        <v>1.068E9</v>
      </c>
    </row>
    <row r="1806">
      <c r="A1806" s="1">
        <v>1804.0</v>
      </c>
      <c r="B1806" s="11">
        <v>44377.0</v>
      </c>
      <c r="C1806" s="1" t="s">
        <v>938</v>
      </c>
      <c r="D1806" s="1" t="s">
        <v>939</v>
      </c>
      <c r="E1806" s="1">
        <v>2.99859E8</v>
      </c>
      <c r="F1806" s="1">
        <v>8.13E7</v>
      </c>
      <c r="G1806" s="1">
        <v>6.5649E7</v>
      </c>
      <c r="H1806" s="1">
        <v>4.43384E8</v>
      </c>
      <c r="I1806" s="1">
        <v>7.73495E8</v>
      </c>
      <c r="J1806" s="1">
        <v>3.0252E7</v>
      </c>
      <c r="K1806" s="1">
        <v>3.0252E7</v>
      </c>
      <c r="L1806" s="1">
        <v>-1.3893E7</v>
      </c>
      <c r="M1806" s="1">
        <v>1.5651E7</v>
      </c>
      <c r="N1806" s="1">
        <v>1.190427E9</v>
      </c>
      <c r="O1806" s="1">
        <v>1.160175E9</v>
      </c>
      <c r="P1806" s="1">
        <v>4.16932E8</v>
      </c>
      <c r="Q1806" s="1">
        <v>5.1048E7</v>
      </c>
      <c r="R1806" s="1">
        <v>6.5649E7</v>
      </c>
      <c r="S1806" s="1">
        <v>6.5649E7</v>
      </c>
    </row>
    <row r="1807">
      <c r="A1807" s="1">
        <v>1805.0</v>
      </c>
      <c r="B1807" s="11">
        <v>44286.0</v>
      </c>
      <c r="C1807" s="1" t="s">
        <v>938</v>
      </c>
      <c r="D1807" s="1" t="s">
        <v>939</v>
      </c>
      <c r="E1807" s="1">
        <v>2.50709E8</v>
      </c>
      <c r="F1807" s="1">
        <v>5.0004E7</v>
      </c>
      <c r="G1807" s="1">
        <v>6.8005E7</v>
      </c>
      <c r="H1807" s="1">
        <v>3.52119E8</v>
      </c>
      <c r="I1807" s="1">
        <v>6.5501E8</v>
      </c>
      <c r="J1807" s="1">
        <v>5.2182E7</v>
      </c>
      <c r="K1807" s="1">
        <v>5.2182E7</v>
      </c>
      <c r="L1807" s="1">
        <v>-1.3185E7</v>
      </c>
      <c r="M1807" s="1">
        <v>-1.8001E7</v>
      </c>
      <c r="N1807" s="1">
        <v>1.036018E9</v>
      </c>
      <c r="O1807" s="1">
        <v>9.83836E8</v>
      </c>
      <c r="P1807" s="1">
        <v>3.81008E8</v>
      </c>
      <c r="Q1807" s="1">
        <v>-2178000.0</v>
      </c>
      <c r="R1807" s="1">
        <v>6.8005E7</v>
      </c>
      <c r="S1807" s="1">
        <v>6.8005E7</v>
      </c>
    </row>
    <row r="1808">
      <c r="A1808" s="1">
        <v>1806.0</v>
      </c>
      <c r="B1808" s="11">
        <v>44196.0</v>
      </c>
      <c r="C1808" s="1" t="s">
        <v>938</v>
      </c>
      <c r="D1808" s="1" t="s">
        <v>939</v>
      </c>
      <c r="E1808" s="1">
        <v>2.4794E8</v>
      </c>
      <c r="F1808" s="1">
        <v>2.24019E8</v>
      </c>
      <c r="G1808" s="1">
        <v>2.22116E8</v>
      </c>
      <c r="H1808" s="1">
        <v>2.06403E8</v>
      </c>
      <c r="I1808" s="1">
        <v>8.56117E8</v>
      </c>
      <c r="J1808" s="1">
        <v>4.01774E8</v>
      </c>
      <c r="K1808" s="1">
        <v>4.01774E8</v>
      </c>
      <c r="L1808" s="1">
        <v>-4.0166E7</v>
      </c>
      <c r="M1808" s="1">
        <v>1903000.0</v>
      </c>
      <c r="N1808" s="1">
        <v>1.289041E9</v>
      </c>
      <c r="O1808" s="1">
        <v>8.87267E8</v>
      </c>
      <c r="P1808" s="1">
        <v>4.32924E8</v>
      </c>
      <c r="Q1808" s="1">
        <v>-1.77755E8</v>
      </c>
      <c r="R1808" s="1">
        <v>2.22116E8</v>
      </c>
      <c r="S1808" s="1">
        <v>2.22116E8</v>
      </c>
    </row>
    <row r="1809">
      <c r="A1809" s="1">
        <v>1807.0</v>
      </c>
      <c r="B1809" s="11">
        <v>44104.0</v>
      </c>
      <c r="C1809" s="1" t="s">
        <v>938</v>
      </c>
      <c r="D1809" s="1" t="s">
        <v>939</v>
      </c>
      <c r="E1809" s="1">
        <v>2.08877E8</v>
      </c>
      <c r="F1809" s="1">
        <v>2.9683E7</v>
      </c>
      <c r="G1809" s="1">
        <v>2.8659E7</v>
      </c>
      <c r="H1809" s="1">
        <v>3.09861E8</v>
      </c>
      <c r="I1809" s="1">
        <v>5.74845E8</v>
      </c>
      <c r="J1809" s="1">
        <v>5.6107E7</v>
      </c>
      <c r="K1809" s="1">
        <v>5.6107E7</v>
      </c>
      <c r="L1809" s="1">
        <v>-3.9614E7</v>
      </c>
      <c r="M1809" s="1">
        <v>1024000.0</v>
      </c>
      <c r="N1809" s="1">
        <v>9.36233E8</v>
      </c>
      <c r="O1809" s="1">
        <v>8.80126E8</v>
      </c>
      <c r="P1809" s="1">
        <v>3.61388E8</v>
      </c>
      <c r="Q1809" s="1">
        <v>-2.6424E7</v>
      </c>
      <c r="R1809" s="1">
        <v>2.8659E7</v>
      </c>
      <c r="S1809" s="1">
        <v>2.8659E7</v>
      </c>
    </row>
    <row r="1810">
      <c r="A1810" s="1">
        <v>1808.0</v>
      </c>
      <c r="B1810" s="11">
        <v>44286.0</v>
      </c>
      <c r="C1810" s="1" t="s">
        <v>940</v>
      </c>
      <c r="D1810" s="1" t="s">
        <v>941</v>
      </c>
      <c r="E1810" s="1">
        <v>2.1813E7</v>
      </c>
      <c r="F1810" s="1">
        <v>3.8296E7</v>
      </c>
      <c r="G1810" s="1">
        <v>3.6976E7</v>
      </c>
      <c r="H1810" s="1">
        <v>7.7961E7</v>
      </c>
      <c r="I1810" s="1">
        <v>1.44207E8</v>
      </c>
      <c r="J1810" s="1">
        <v>3.9021E7</v>
      </c>
      <c r="K1810" s="1">
        <v>3.9021E7</v>
      </c>
      <c r="L1810" s="1">
        <v>-379000.0</v>
      </c>
      <c r="M1810" s="1">
        <v>1320000.0</v>
      </c>
      <c r="N1810" s="1">
        <v>2.94802E8</v>
      </c>
      <c r="O1810" s="1">
        <v>2.55781E8</v>
      </c>
      <c r="P1810" s="1">
        <v>1.50595E8</v>
      </c>
      <c r="Q1810" s="1">
        <v>-1104000.0</v>
      </c>
      <c r="R1810" s="1">
        <v>3.6976E7</v>
      </c>
      <c r="S1810" s="1">
        <v>3.6976E7</v>
      </c>
    </row>
    <row r="1811">
      <c r="A1811" s="1">
        <v>1809.0</v>
      </c>
      <c r="B1811" s="11">
        <v>44196.0</v>
      </c>
      <c r="C1811" s="1" t="s">
        <v>940</v>
      </c>
      <c r="D1811" s="1" t="s">
        <v>941</v>
      </c>
      <c r="E1811" s="1">
        <v>2.2411E7</v>
      </c>
      <c r="F1811" s="1">
        <v>4.8412E7</v>
      </c>
      <c r="G1811" s="1">
        <v>5.4094E7</v>
      </c>
      <c r="H1811" s="1">
        <v>6.2736E7</v>
      </c>
      <c r="I1811" s="1">
        <v>1.38669E8</v>
      </c>
      <c r="J1811" s="1">
        <v>4.8036E7</v>
      </c>
      <c r="K1811" s="1">
        <v>4.8036E7</v>
      </c>
      <c r="L1811" s="1">
        <v>-610000.0</v>
      </c>
      <c r="M1811" s="1">
        <v>-5682000.0</v>
      </c>
      <c r="N1811" s="1">
        <v>2.83285E8</v>
      </c>
      <c r="O1811" s="1">
        <v>2.35249E8</v>
      </c>
      <c r="P1811" s="1">
        <v>1.44616E8</v>
      </c>
      <c r="Q1811" s="1">
        <v>376000.0</v>
      </c>
      <c r="R1811" s="1">
        <v>5.4094E7</v>
      </c>
      <c r="S1811" s="1">
        <v>5.4094E7</v>
      </c>
    </row>
    <row r="1812">
      <c r="A1812" s="1">
        <v>1810.0</v>
      </c>
      <c r="B1812" s="11">
        <v>44104.0</v>
      </c>
      <c r="C1812" s="1" t="s">
        <v>940</v>
      </c>
      <c r="D1812" s="1" t="s">
        <v>941</v>
      </c>
      <c r="E1812" s="1">
        <v>2.1642E7</v>
      </c>
      <c r="F1812" s="1">
        <v>4.9936E7</v>
      </c>
      <c r="G1812" s="1">
        <v>3.9284E7</v>
      </c>
      <c r="H1812" s="1">
        <v>6.6819E7</v>
      </c>
      <c r="I1812" s="1">
        <v>1.43509E8</v>
      </c>
      <c r="J1812" s="1">
        <v>4.9656E7</v>
      </c>
      <c r="K1812" s="1">
        <v>4.9656E7</v>
      </c>
      <c r="L1812" s="1">
        <v>-610000.0</v>
      </c>
      <c r="M1812" s="1">
        <v>1.0652E7</v>
      </c>
      <c r="N1812" s="1">
        <v>2.85746E8</v>
      </c>
      <c r="O1812" s="1">
        <v>2.3609E8</v>
      </c>
      <c r="P1812" s="1">
        <v>1.42237E8</v>
      </c>
      <c r="Q1812" s="1">
        <v>280000.0</v>
      </c>
      <c r="R1812" s="1">
        <v>3.9284E7</v>
      </c>
      <c r="S1812" s="1">
        <v>3.9284E7</v>
      </c>
    </row>
    <row r="1813">
      <c r="A1813" s="1">
        <v>1811.0</v>
      </c>
      <c r="B1813" s="11">
        <v>44012.0</v>
      </c>
      <c r="C1813" s="1" t="s">
        <v>940</v>
      </c>
      <c r="D1813" s="1" t="s">
        <v>941</v>
      </c>
      <c r="E1813" s="1">
        <v>2.1949E7</v>
      </c>
      <c r="F1813" s="1">
        <v>4.1811E7</v>
      </c>
      <c r="G1813" s="1">
        <v>5.3892E7</v>
      </c>
      <c r="H1813" s="1">
        <v>6.2521E7</v>
      </c>
      <c r="I1813" s="1">
        <v>1.31203E8</v>
      </c>
      <c r="J1813" s="1">
        <v>4.1341E7</v>
      </c>
      <c r="K1813" s="1">
        <v>4.1341E7</v>
      </c>
      <c r="L1813" s="1">
        <v>-610000.0</v>
      </c>
      <c r="M1813" s="1">
        <v>-1.2081E7</v>
      </c>
      <c r="N1813" s="1">
        <v>2.71091E8</v>
      </c>
      <c r="O1813" s="1">
        <v>2.2975E8</v>
      </c>
      <c r="P1813" s="1">
        <v>1.39888E8</v>
      </c>
      <c r="Q1813" s="1">
        <v>470000.0</v>
      </c>
      <c r="R1813" s="1">
        <v>5.3892E7</v>
      </c>
      <c r="S1813" s="1">
        <v>5.3892E7</v>
      </c>
    </row>
    <row r="1814">
      <c r="A1814" s="1">
        <v>1812.0</v>
      </c>
      <c r="B1814" s="11">
        <v>44380.0</v>
      </c>
      <c r="C1814" s="1" t="s">
        <v>942</v>
      </c>
      <c r="D1814" s="1" t="s">
        <v>943</v>
      </c>
      <c r="F1814" s="1">
        <v>9.66E8</v>
      </c>
      <c r="G1814" s="1">
        <v>7.49E8</v>
      </c>
      <c r="H1814" s="1">
        <v>5.62E8</v>
      </c>
      <c r="I1814" s="1">
        <v>1.675E9</v>
      </c>
      <c r="J1814" s="1">
        <v>1.113E9</v>
      </c>
      <c r="K1814" s="1">
        <v>1.113E9</v>
      </c>
      <c r="L1814" s="1">
        <v>-1.05E8</v>
      </c>
      <c r="M1814" s="1">
        <v>2.13E8</v>
      </c>
      <c r="N1814" s="1">
        <v>1.2478E10</v>
      </c>
      <c r="O1814" s="1">
        <v>1.1365E10</v>
      </c>
      <c r="P1814" s="1">
        <v>1.0803E10</v>
      </c>
      <c r="Q1814" s="1">
        <v>-1.47E8</v>
      </c>
      <c r="R1814" s="1">
        <v>7.53E8</v>
      </c>
      <c r="S1814" s="1">
        <v>7.49E8</v>
      </c>
    </row>
    <row r="1815">
      <c r="A1815" s="1">
        <v>1813.0</v>
      </c>
      <c r="B1815" s="11">
        <v>44289.0</v>
      </c>
      <c r="C1815" s="1" t="s">
        <v>942</v>
      </c>
      <c r="D1815" s="1" t="s">
        <v>943</v>
      </c>
      <c r="F1815" s="1">
        <v>6.24E8</v>
      </c>
      <c r="G1815" s="1">
        <v>4.76E8</v>
      </c>
      <c r="H1815" s="1">
        <v>5.34E8</v>
      </c>
      <c r="I1815" s="1">
        <v>1.348E9</v>
      </c>
      <c r="J1815" s="1">
        <v>8.14E8</v>
      </c>
      <c r="K1815" s="1">
        <v>8.14E8</v>
      </c>
      <c r="L1815" s="1">
        <v>-1.1E8</v>
      </c>
      <c r="M1815" s="1">
        <v>1.47E8</v>
      </c>
      <c r="N1815" s="1">
        <v>1.13E10</v>
      </c>
      <c r="O1815" s="1">
        <v>1.0486E10</v>
      </c>
      <c r="P1815" s="1">
        <v>9.952E9</v>
      </c>
      <c r="Q1815" s="1">
        <v>-1.9E8</v>
      </c>
      <c r="R1815" s="1">
        <v>4.77E8</v>
      </c>
      <c r="S1815" s="1">
        <v>4.76E8</v>
      </c>
    </row>
    <row r="1816">
      <c r="A1816" s="1">
        <v>1814.0</v>
      </c>
      <c r="B1816" s="11">
        <v>44198.0</v>
      </c>
      <c r="C1816" s="1" t="s">
        <v>942</v>
      </c>
      <c r="D1816" s="1" t="s">
        <v>943</v>
      </c>
      <c r="F1816" s="1">
        <v>6.16E8</v>
      </c>
      <c r="G1816" s="1">
        <v>4.67E8</v>
      </c>
      <c r="H1816" s="1">
        <v>4.75E8</v>
      </c>
      <c r="I1816" s="1">
        <v>1.297E9</v>
      </c>
      <c r="J1816" s="1">
        <v>8.22E8</v>
      </c>
      <c r="K1816" s="1">
        <v>8.22E8</v>
      </c>
      <c r="L1816" s="1">
        <v>-1.1E8</v>
      </c>
      <c r="M1816" s="1">
        <v>1.44E8</v>
      </c>
      <c r="N1816" s="1">
        <v>1.046E10</v>
      </c>
      <c r="O1816" s="1">
        <v>9.638E9</v>
      </c>
      <c r="P1816" s="1">
        <v>9.163E9</v>
      </c>
      <c r="Q1816" s="1">
        <v>-2.06E8</v>
      </c>
      <c r="R1816" s="1">
        <v>4.72E8</v>
      </c>
      <c r="S1816" s="1">
        <v>4.67E8</v>
      </c>
    </row>
    <row r="1817">
      <c r="A1817" s="1">
        <v>1815.0</v>
      </c>
      <c r="B1817" s="11">
        <v>44107.0</v>
      </c>
      <c r="C1817" s="1" t="s">
        <v>942</v>
      </c>
      <c r="D1817" s="1" t="s">
        <v>943</v>
      </c>
      <c r="F1817" s="1">
        <v>7.81E8</v>
      </c>
      <c r="G1817" s="1">
        <v>6.13E8</v>
      </c>
      <c r="H1817" s="1">
        <v>5.62E8</v>
      </c>
      <c r="I1817" s="1">
        <v>1.807E9</v>
      </c>
      <c r="J1817" s="1">
        <v>1.245E9</v>
      </c>
      <c r="K1817" s="1">
        <v>1.245E9</v>
      </c>
      <c r="L1817" s="1">
        <v>-1.24E8</v>
      </c>
      <c r="M1817" s="1">
        <v>1.65E8</v>
      </c>
      <c r="N1817" s="1">
        <v>1.146E10</v>
      </c>
      <c r="O1817" s="1">
        <v>1.0215E10</v>
      </c>
      <c r="P1817" s="1">
        <v>9.653E9</v>
      </c>
      <c r="Q1817" s="1">
        <v>-4.64E8</v>
      </c>
      <c r="R1817" s="1">
        <v>6.16E8</v>
      </c>
      <c r="S1817" s="1">
        <v>6.13E8</v>
      </c>
    </row>
    <row r="1818">
      <c r="A1818" s="1">
        <v>1816.0</v>
      </c>
      <c r="B1818" s="11">
        <v>44377.0</v>
      </c>
      <c r="C1818" s="1" t="s">
        <v>944</v>
      </c>
      <c r="D1818" s="1" t="s">
        <v>945</v>
      </c>
      <c r="F1818" s="1">
        <v>2.539E9</v>
      </c>
      <c r="G1818" s="1">
        <v>1.982E9</v>
      </c>
      <c r="H1818" s="1">
        <v>3.018E9</v>
      </c>
      <c r="I1818" s="1">
        <v>5.907E9</v>
      </c>
      <c r="J1818" s="1">
        <v>0.0</v>
      </c>
      <c r="K1818" s="1">
        <v>2.579E9</v>
      </c>
      <c r="M1818" s="1">
        <v>5.51E8</v>
      </c>
      <c r="N1818" s="1">
        <v>5.907E9</v>
      </c>
      <c r="O1818" s="1">
        <v>3.328E9</v>
      </c>
      <c r="P1818" s="1">
        <v>0.0</v>
      </c>
      <c r="Q1818" s="1">
        <v>-4.0E7</v>
      </c>
      <c r="R1818" s="1">
        <v>1.988E9</v>
      </c>
      <c r="S1818" s="1">
        <v>1.914E9</v>
      </c>
    </row>
    <row r="1819">
      <c r="A1819" s="1">
        <v>1817.0</v>
      </c>
      <c r="B1819" s="11">
        <v>44286.0</v>
      </c>
      <c r="C1819" s="1" t="s">
        <v>944</v>
      </c>
      <c r="D1819" s="1" t="s">
        <v>945</v>
      </c>
      <c r="F1819" s="1">
        <v>2.892E9</v>
      </c>
      <c r="G1819" s="1">
        <v>2.28E9</v>
      </c>
      <c r="H1819" s="1">
        <v>3.024E9</v>
      </c>
      <c r="I1819" s="1">
        <v>6.237E9</v>
      </c>
      <c r="J1819" s="1">
        <v>0.0</v>
      </c>
      <c r="K1819" s="1">
        <v>2.93E9</v>
      </c>
      <c r="M1819" s="1">
        <v>6.07E8</v>
      </c>
      <c r="N1819" s="1">
        <v>6.237E9</v>
      </c>
      <c r="O1819" s="1">
        <v>3.307E9</v>
      </c>
      <c r="P1819" s="1">
        <v>0.0</v>
      </c>
      <c r="Q1819" s="1">
        <v>-3.8E7</v>
      </c>
      <c r="R1819" s="1">
        <v>2.285E9</v>
      </c>
      <c r="S1819" s="1">
        <v>2.175E9</v>
      </c>
    </row>
    <row r="1820">
      <c r="A1820" s="1">
        <v>1818.0</v>
      </c>
      <c r="B1820" s="11">
        <v>44196.0</v>
      </c>
      <c r="C1820" s="1" t="s">
        <v>944</v>
      </c>
      <c r="D1820" s="1" t="s">
        <v>945</v>
      </c>
      <c r="F1820" s="1">
        <v>1.92E9</v>
      </c>
      <c r="G1820" s="1">
        <v>1.519E9</v>
      </c>
      <c r="H1820" s="1">
        <v>2.878E9</v>
      </c>
      <c r="I1820" s="1">
        <v>5.238E9</v>
      </c>
      <c r="J1820" s="1">
        <v>0.0</v>
      </c>
      <c r="K1820" s="1">
        <v>1.739E9</v>
      </c>
      <c r="M1820" s="1">
        <v>3.95E8</v>
      </c>
      <c r="N1820" s="1">
        <v>5.238E9</v>
      </c>
      <c r="O1820" s="1">
        <v>3.499E9</v>
      </c>
      <c r="P1820" s="1">
        <v>0.0</v>
      </c>
      <c r="Q1820" s="1">
        <v>1.81E8</v>
      </c>
      <c r="R1820" s="1">
        <v>1.525E9</v>
      </c>
      <c r="S1820" s="1">
        <v>1.425E9</v>
      </c>
    </row>
    <row r="1821">
      <c r="A1821" s="1">
        <v>1819.0</v>
      </c>
      <c r="B1821" s="11">
        <v>44104.0</v>
      </c>
      <c r="C1821" s="1" t="s">
        <v>944</v>
      </c>
      <c r="D1821" s="1" t="s">
        <v>945</v>
      </c>
      <c r="F1821" s="1">
        <v>1.933E9</v>
      </c>
      <c r="G1821" s="1">
        <v>1.58E9</v>
      </c>
      <c r="H1821" s="1">
        <v>2.876E9</v>
      </c>
      <c r="I1821" s="1">
        <v>5.259E9</v>
      </c>
      <c r="J1821" s="1">
        <v>0.0</v>
      </c>
      <c r="K1821" s="1">
        <v>2.026E9</v>
      </c>
      <c r="M1821" s="1">
        <v>3.47E8</v>
      </c>
      <c r="N1821" s="1">
        <v>5.259E9</v>
      </c>
      <c r="O1821" s="1">
        <v>3.233E9</v>
      </c>
      <c r="P1821" s="1">
        <v>0.0</v>
      </c>
      <c r="Q1821" s="1">
        <v>-9.3E7</v>
      </c>
      <c r="R1821" s="1">
        <v>1.586E9</v>
      </c>
      <c r="S1821" s="1">
        <v>1.494E9</v>
      </c>
    </row>
    <row r="1822">
      <c r="A1822" s="1">
        <v>1820.0</v>
      </c>
      <c r="B1822" s="11">
        <v>44408.0</v>
      </c>
      <c r="C1822" s="1" t="s">
        <v>946</v>
      </c>
      <c r="D1822" s="1" t="s">
        <v>947</v>
      </c>
      <c r="F1822" s="1">
        <v>3.31882E8</v>
      </c>
      <c r="G1822" s="1">
        <v>2.50893E8</v>
      </c>
      <c r="H1822" s="1">
        <v>4.65347E8</v>
      </c>
      <c r="I1822" s="1">
        <v>7.97963E8</v>
      </c>
      <c r="J1822" s="1">
        <v>3.31259E8</v>
      </c>
      <c r="K1822" s="1">
        <v>3.31259E8</v>
      </c>
      <c r="L1822" s="1">
        <v>-425000.0</v>
      </c>
      <c r="M1822" s="1">
        <v>8.0989E7</v>
      </c>
      <c r="N1822" s="1">
        <v>1.967207E9</v>
      </c>
      <c r="O1822" s="1">
        <v>1.635948E9</v>
      </c>
      <c r="P1822" s="1">
        <v>1.169244E9</v>
      </c>
      <c r="Q1822" s="1">
        <v>623000.0</v>
      </c>
      <c r="R1822" s="1">
        <v>2.50893E8</v>
      </c>
      <c r="S1822" s="1">
        <v>2.50893E8</v>
      </c>
    </row>
    <row r="1823">
      <c r="A1823" s="1">
        <v>1821.0</v>
      </c>
      <c r="B1823" s="11">
        <v>44317.0</v>
      </c>
      <c r="C1823" s="1" t="s">
        <v>946</v>
      </c>
      <c r="D1823" s="1" t="s">
        <v>947</v>
      </c>
      <c r="F1823" s="1">
        <v>3.04966E8</v>
      </c>
      <c r="G1823" s="1">
        <v>2.30289E8</v>
      </c>
      <c r="H1823" s="1">
        <v>4.46214E8</v>
      </c>
      <c r="I1823" s="1">
        <v>7.53788E8</v>
      </c>
      <c r="J1823" s="1">
        <v>3.02985E8</v>
      </c>
      <c r="K1823" s="1">
        <v>3.02985E8</v>
      </c>
      <c r="L1823" s="1">
        <v>-358000.0</v>
      </c>
      <c r="M1823" s="1">
        <v>7.4677E7</v>
      </c>
      <c r="N1823" s="1">
        <v>1.938519E9</v>
      </c>
      <c r="O1823" s="1">
        <v>1.635534E9</v>
      </c>
      <c r="P1823" s="1">
        <v>1.184731E9</v>
      </c>
      <c r="Q1823" s="1">
        <v>1981000.0</v>
      </c>
      <c r="R1823" s="1">
        <v>2.30289E8</v>
      </c>
      <c r="S1823" s="1">
        <v>2.30289E8</v>
      </c>
    </row>
    <row r="1824">
      <c r="A1824" s="1">
        <v>1822.0</v>
      </c>
      <c r="B1824" s="11">
        <v>44226.0</v>
      </c>
      <c r="C1824" s="1" t="s">
        <v>946</v>
      </c>
      <c r="D1824" s="1" t="s">
        <v>947</v>
      </c>
      <c r="F1824" s="1">
        <v>2.23809E8</v>
      </c>
      <c r="G1824" s="1">
        <v>1.71494E8</v>
      </c>
      <c r="H1824" s="1">
        <v>8.47035E8</v>
      </c>
      <c r="I1824" s="1">
        <v>1.156328E9</v>
      </c>
      <c r="J1824" s="1">
        <v>3.07075E8</v>
      </c>
      <c r="K1824" s="1">
        <v>3.07075E8</v>
      </c>
      <c r="L1824" s="1">
        <v>-463000.0</v>
      </c>
      <c r="M1824" s="1">
        <v>5.2315E7</v>
      </c>
      <c r="N1824" s="1">
        <v>2.198701E9</v>
      </c>
      <c r="O1824" s="1">
        <v>1.891626E9</v>
      </c>
      <c r="P1824" s="1">
        <v>1.042373E9</v>
      </c>
      <c r="Q1824" s="1">
        <v>-8.3266E7</v>
      </c>
      <c r="R1824" s="1">
        <v>1.71494E8</v>
      </c>
      <c r="S1824" s="1">
        <v>1.71494E8</v>
      </c>
    </row>
    <row r="1825">
      <c r="A1825" s="1">
        <v>1823.0</v>
      </c>
      <c r="B1825" s="11">
        <v>44135.0</v>
      </c>
      <c r="C1825" s="1" t="s">
        <v>946</v>
      </c>
      <c r="D1825" s="1" t="s">
        <v>947</v>
      </c>
      <c r="F1825" s="1">
        <v>9.9894E7</v>
      </c>
      <c r="G1825" s="1">
        <v>7.4798E7</v>
      </c>
      <c r="H1825" s="1">
        <v>4.16378E8</v>
      </c>
      <c r="I1825" s="1">
        <v>5.45519E8</v>
      </c>
      <c r="J1825" s="1">
        <v>1.24901E8</v>
      </c>
      <c r="K1825" s="1">
        <v>1.24901E8</v>
      </c>
      <c r="L1825" s="1">
        <v>-1383000.0</v>
      </c>
      <c r="M1825" s="1">
        <v>2.5096E7</v>
      </c>
      <c r="N1825" s="1">
        <v>1.552033E9</v>
      </c>
      <c r="O1825" s="1">
        <v>1.427132E9</v>
      </c>
      <c r="P1825" s="1">
        <v>1.006514E9</v>
      </c>
      <c r="Q1825" s="1">
        <v>-2.5007E7</v>
      </c>
      <c r="R1825" s="1">
        <v>7.4798E7</v>
      </c>
      <c r="S1825" s="1">
        <v>7.4798E7</v>
      </c>
    </row>
    <row r="1826">
      <c r="A1826" s="1">
        <v>1824.0</v>
      </c>
      <c r="B1826" s="11">
        <v>44377.0</v>
      </c>
      <c r="C1826" s="1" t="s">
        <v>948</v>
      </c>
      <c r="D1826" s="1" t="s">
        <v>949</v>
      </c>
      <c r="F1826" s="1">
        <v>6.9234E7</v>
      </c>
      <c r="G1826" s="1">
        <v>5.9207E7</v>
      </c>
      <c r="H1826" s="1">
        <v>5.45503E8</v>
      </c>
      <c r="I1826" s="1">
        <v>6.69229E8</v>
      </c>
      <c r="J1826" s="1">
        <v>1.23726E8</v>
      </c>
      <c r="K1826" s="1">
        <v>1.23726E8</v>
      </c>
      <c r="L1826" s="1">
        <v>-1.3307E7</v>
      </c>
      <c r="M1826" s="1">
        <v>1.0027E7</v>
      </c>
      <c r="N1826" s="1">
        <v>1.351534E9</v>
      </c>
      <c r="O1826" s="1">
        <v>1.227808E9</v>
      </c>
      <c r="P1826" s="1">
        <v>6.82305E8</v>
      </c>
      <c r="Q1826" s="1">
        <v>-5.4492E7</v>
      </c>
      <c r="R1826" s="1">
        <v>5.9207E7</v>
      </c>
      <c r="S1826" s="1">
        <v>5.9207E7</v>
      </c>
    </row>
    <row r="1827">
      <c r="A1827" s="1">
        <v>1825.0</v>
      </c>
      <c r="B1827" s="11">
        <v>44286.0</v>
      </c>
      <c r="C1827" s="1" t="s">
        <v>948</v>
      </c>
      <c r="D1827" s="1" t="s">
        <v>949</v>
      </c>
      <c r="F1827" s="1">
        <v>8.7633E7</v>
      </c>
      <c r="G1827" s="1">
        <v>7.7752E7</v>
      </c>
      <c r="H1827" s="1">
        <v>5.16138E8</v>
      </c>
      <c r="I1827" s="1">
        <v>6.28641E8</v>
      </c>
      <c r="J1827" s="1">
        <v>1.12503E8</v>
      </c>
      <c r="K1827" s="1">
        <v>1.12503E8</v>
      </c>
      <c r="L1827" s="1">
        <v>-1.4137E7</v>
      </c>
      <c r="M1827" s="1">
        <v>9881000.0</v>
      </c>
      <c r="N1827" s="1">
        <v>1.257195E9</v>
      </c>
      <c r="O1827" s="1">
        <v>1.144692E9</v>
      </c>
      <c r="P1827" s="1">
        <v>6.28554E8</v>
      </c>
      <c r="Q1827" s="1">
        <v>-2.487E7</v>
      </c>
      <c r="R1827" s="1">
        <v>7.7752E7</v>
      </c>
      <c r="S1827" s="1">
        <v>7.7752E7</v>
      </c>
    </row>
    <row r="1828">
      <c r="A1828" s="1">
        <v>1826.0</v>
      </c>
      <c r="B1828" s="11">
        <v>44196.0</v>
      </c>
      <c r="C1828" s="1" t="s">
        <v>948</v>
      </c>
      <c r="D1828" s="1" t="s">
        <v>949</v>
      </c>
      <c r="F1828" s="1">
        <v>2.19144E8</v>
      </c>
      <c r="G1828" s="1">
        <v>1.84453E8</v>
      </c>
      <c r="H1828" s="1">
        <v>5.81178E8</v>
      </c>
      <c r="I1828" s="1">
        <v>7.05998E8</v>
      </c>
      <c r="J1828" s="1">
        <v>1.1782E8</v>
      </c>
      <c r="K1828" s="1">
        <v>1.1782E8</v>
      </c>
      <c r="L1828" s="1">
        <v>-1.5008E7</v>
      </c>
      <c r="M1828" s="1">
        <v>3.4691E7</v>
      </c>
      <c r="N1828" s="1">
        <v>1.403766E9</v>
      </c>
      <c r="O1828" s="1">
        <v>1.285946E9</v>
      </c>
      <c r="P1828" s="1">
        <v>6.97768E8</v>
      </c>
      <c r="Q1828" s="1">
        <v>1.01324E8</v>
      </c>
      <c r="R1828" s="1">
        <v>1.84453E8</v>
      </c>
      <c r="S1828" s="1">
        <v>1.84453E8</v>
      </c>
    </row>
    <row r="1829">
      <c r="A1829" s="1">
        <v>1827.0</v>
      </c>
      <c r="B1829" s="11">
        <v>44104.0</v>
      </c>
      <c r="C1829" s="1" t="s">
        <v>948</v>
      </c>
      <c r="D1829" s="1" t="s">
        <v>949</v>
      </c>
      <c r="F1829" s="1">
        <v>3.5232E7</v>
      </c>
      <c r="G1829" s="1">
        <v>3.8946E7</v>
      </c>
      <c r="H1829" s="1">
        <v>5.55049E8</v>
      </c>
      <c r="I1829" s="1">
        <v>6.8632E8</v>
      </c>
      <c r="J1829" s="1">
        <v>1.31271E8</v>
      </c>
      <c r="K1829" s="1">
        <v>1.31271E8</v>
      </c>
      <c r="L1829" s="1">
        <v>-1.4955E7</v>
      </c>
      <c r="M1829" s="1">
        <v>-3714000.0</v>
      </c>
      <c r="N1829" s="1">
        <v>1.433021E9</v>
      </c>
      <c r="O1829" s="1">
        <v>1.30175E9</v>
      </c>
      <c r="P1829" s="1">
        <v>7.46701E8</v>
      </c>
      <c r="Q1829" s="1">
        <v>-9.6039E7</v>
      </c>
      <c r="R1829" s="1">
        <v>3.8946E7</v>
      </c>
      <c r="S1829" s="1">
        <v>3.8946E7</v>
      </c>
    </row>
    <row r="1830">
      <c r="A1830" s="1">
        <v>1828.0</v>
      </c>
      <c r="B1830" s="11">
        <v>44377.0</v>
      </c>
      <c r="C1830" s="1" t="s">
        <v>950</v>
      </c>
      <c r="D1830" s="1" t="s">
        <v>951</v>
      </c>
      <c r="F1830" s="1">
        <v>6.9234E7</v>
      </c>
      <c r="G1830" s="1">
        <v>5.9207E7</v>
      </c>
      <c r="H1830" s="1">
        <v>5.45503E8</v>
      </c>
      <c r="I1830" s="1">
        <v>6.69229E8</v>
      </c>
      <c r="J1830" s="1">
        <v>1.23726E8</v>
      </c>
      <c r="K1830" s="1">
        <v>1.23726E8</v>
      </c>
      <c r="L1830" s="1">
        <v>-1.3307E7</v>
      </c>
      <c r="M1830" s="1">
        <v>1.0027E7</v>
      </c>
      <c r="N1830" s="1">
        <v>1.351534E9</v>
      </c>
      <c r="O1830" s="1">
        <v>1.227808E9</v>
      </c>
      <c r="P1830" s="1">
        <v>6.82305E8</v>
      </c>
      <c r="Q1830" s="1">
        <v>-5.4492E7</v>
      </c>
      <c r="R1830" s="1">
        <v>5.9207E7</v>
      </c>
      <c r="S1830" s="1">
        <v>5.9207E7</v>
      </c>
    </row>
    <row r="1831">
      <c r="A1831" s="1">
        <v>1829.0</v>
      </c>
      <c r="B1831" s="11">
        <v>44286.0</v>
      </c>
      <c r="C1831" s="1" t="s">
        <v>950</v>
      </c>
      <c r="D1831" s="1" t="s">
        <v>951</v>
      </c>
      <c r="F1831" s="1">
        <v>8.7633E7</v>
      </c>
      <c r="G1831" s="1">
        <v>7.7752E7</v>
      </c>
      <c r="H1831" s="1">
        <v>5.16138E8</v>
      </c>
      <c r="I1831" s="1">
        <v>6.28641E8</v>
      </c>
      <c r="J1831" s="1">
        <v>1.12503E8</v>
      </c>
      <c r="K1831" s="1">
        <v>1.12503E8</v>
      </c>
      <c r="L1831" s="1">
        <v>-1.4137E7</v>
      </c>
      <c r="M1831" s="1">
        <v>9881000.0</v>
      </c>
      <c r="N1831" s="1">
        <v>1.257195E9</v>
      </c>
      <c r="O1831" s="1">
        <v>1.144692E9</v>
      </c>
      <c r="P1831" s="1">
        <v>6.28554E8</v>
      </c>
      <c r="Q1831" s="1">
        <v>-2.487E7</v>
      </c>
      <c r="R1831" s="1">
        <v>7.7752E7</v>
      </c>
      <c r="S1831" s="1">
        <v>7.7752E7</v>
      </c>
    </row>
    <row r="1832">
      <c r="A1832" s="1">
        <v>1830.0</v>
      </c>
      <c r="B1832" s="11">
        <v>44196.0</v>
      </c>
      <c r="C1832" s="1" t="s">
        <v>950</v>
      </c>
      <c r="D1832" s="1" t="s">
        <v>951</v>
      </c>
      <c r="F1832" s="1">
        <v>2.19144E8</v>
      </c>
      <c r="G1832" s="1">
        <v>1.84453E8</v>
      </c>
      <c r="H1832" s="1">
        <v>5.81178E8</v>
      </c>
      <c r="I1832" s="1">
        <v>7.05998E8</v>
      </c>
      <c r="J1832" s="1">
        <v>1.1782E8</v>
      </c>
      <c r="K1832" s="1">
        <v>1.1782E8</v>
      </c>
      <c r="L1832" s="1">
        <v>-1.5008E7</v>
      </c>
      <c r="M1832" s="1">
        <v>3.4691E7</v>
      </c>
      <c r="N1832" s="1">
        <v>1.403766E9</v>
      </c>
      <c r="O1832" s="1">
        <v>1.285946E9</v>
      </c>
      <c r="P1832" s="1">
        <v>6.97768E8</v>
      </c>
      <c r="Q1832" s="1">
        <v>1.01324E8</v>
      </c>
      <c r="R1832" s="1">
        <v>1.84453E8</v>
      </c>
      <c r="S1832" s="1">
        <v>1.84453E8</v>
      </c>
    </row>
    <row r="1833">
      <c r="A1833" s="1">
        <v>1831.0</v>
      </c>
      <c r="B1833" s="11">
        <v>44104.0</v>
      </c>
      <c r="C1833" s="1" t="s">
        <v>950</v>
      </c>
      <c r="D1833" s="1" t="s">
        <v>951</v>
      </c>
      <c r="F1833" s="1">
        <v>3.5232E7</v>
      </c>
      <c r="G1833" s="1">
        <v>3.8946E7</v>
      </c>
      <c r="H1833" s="1">
        <v>5.55049E8</v>
      </c>
      <c r="I1833" s="1">
        <v>6.8632E8</v>
      </c>
      <c r="J1833" s="1">
        <v>1.31271E8</v>
      </c>
      <c r="K1833" s="1">
        <v>1.31271E8</v>
      </c>
      <c r="L1833" s="1">
        <v>-1.4955E7</v>
      </c>
      <c r="M1833" s="1">
        <v>-3714000.0</v>
      </c>
      <c r="N1833" s="1">
        <v>1.433021E9</v>
      </c>
      <c r="O1833" s="1">
        <v>1.30175E9</v>
      </c>
      <c r="P1833" s="1">
        <v>7.46701E8</v>
      </c>
      <c r="Q1833" s="1">
        <v>-9.6039E7</v>
      </c>
      <c r="R1833" s="1">
        <v>3.8946E7</v>
      </c>
      <c r="S1833" s="1">
        <v>3.8946E7</v>
      </c>
    </row>
    <row r="1834">
      <c r="A1834" s="1">
        <v>1832.0</v>
      </c>
      <c r="B1834" s="11">
        <v>44377.0</v>
      </c>
      <c r="C1834" s="1" t="s">
        <v>952</v>
      </c>
      <c r="D1834" s="1" t="s">
        <v>953</v>
      </c>
      <c r="F1834" s="1">
        <v>2.316E9</v>
      </c>
      <c r="G1834" s="1">
        <v>1.798E9</v>
      </c>
      <c r="I1834" s="1">
        <v>3.314E9</v>
      </c>
      <c r="J1834" s="1">
        <v>2.48E9</v>
      </c>
      <c r="K1834" s="1">
        <v>2.48E9</v>
      </c>
      <c r="L1834" s="1">
        <v>-2.82E8</v>
      </c>
      <c r="M1834" s="1">
        <v>5.18E8</v>
      </c>
      <c r="N1834" s="1">
        <v>5.504E9</v>
      </c>
      <c r="O1834" s="1">
        <v>3.024E9</v>
      </c>
      <c r="P1834" s="1">
        <v>2.19E9</v>
      </c>
      <c r="Q1834" s="1">
        <v>-1.64E8</v>
      </c>
      <c r="R1834" s="1">
        <v>1.798E9</v>
      </c>
      <c r="S1834" s="1">
        <v>1.798E9</v>
      </c>
    </row>
    <row r="1835">
      <c r="A1835" s="1">
        <v>1833.0</v>
      </c>
      <c r="B1835" s="11">
        <v>44286.0</v>
      </c>
      <c r="C1835" s="1" t="s">
        <v>952</v>
      </c>
      <c r="D1835" s="1" t="s">
        <v>953</v>
      </c>
      <c r="F1835" s="1">
        <v>1.754E9</v>
      </c>
      <c r="G1835" s="1">
        <v>1.341E9</v>
      </c>
      <c r="I1835" s="1">
        <v>2.868E9</v>
      </c>
      <c r="J1835" s="1">
        <v>1.999E9</v>
      </c>
      <c r="K1835" s="1">
        <v>1.999E9</v>
      </c>
      <c r="L1835" s="1">
        <v>-2.9E8</v>
      </c>
      <c r="M1835" s="1">
        <v>4.13E8</v>
      </c>
      <c r="N1835" s="1">
        <v>5.001E9</v>
      </c>
      <c r="O1835" s="1">
        <v>3.002E9</v>
      </c>
      <c r="P1835" s="1">
        <v>2.133E9</v>
      </c>
      <c r="Q1835" s="1">
        <v>-2.45E8</v>
      </c>
      <c r="R1835" s="1">
        <v>1.341E9</v>
      </c>
      <c r="S1835" s="1">
        <v>1.341E9</v>
      </c>
    </row>
    <row r="1836">
      <c r="A1836" s="1">
        <v>1834.0</v>
      </c>
      <c r="B1836" s="11">
        <v>44196.0</v>
      </c>
      <c r="C1836" s="1" t="s">
        <v>952</v>
      </c>
      <c r="D1836" s="1" t="s">
        <v>953</v>
      </c>
      <c r="F1836" s="1">
        <v>1.793E9</v>
      </c>
      <c r="G1836" s="1">
        <v>1.38E9</v>
      </c>
      <c r="I1836" s="1">
        <v>3.089E9</v>
      </c>
      <c r="J1836" s="1">
        <v>2.019E9</v>
      </c>
      <c r="K1836" s="1">
        <v>2.019E9</v>
      </c>
      <c r="L1836" s="1">
        <v>-2.79E8</v>
      </c>
      <c r="M1836" s="1">
        <v>4.13E8</v>
      </c>
      <c r="N1836" s="1">
        <v>5.141E9</v>
      </c>
      <c r="O1836" s="1">
        <v>3.122E9</v>
      </c>
      <c r="P1836" s="1">
        <v>2.052E9</v>
      </c>
      <c r="Q1836" s="1">
        <v>-2.26E8</v>
      </c>
      <c r="R1836" s="1">
        <v>1.38E9</v>
      </c>
      <c r="S1836" s="1">
        <v>1.38E9</v>
      </c>
    </row>
    <row r="1837">
      <c r="A1837" s="1">
        <v>1835.0</v>
      </c>
      <c r="B1837" s="11">
        <v>44104.0</v>
      </c>
      <c r="C1837" s="1" t="s">
        <v>952</v>
      </c>
      <c r="D1837" s="1" t="s">
        <v>953</v>
      </c>
      <c r="F1837" s="1">
        <v>1.773E9</v>
      </c>
      <c r="G1837" s="1">
        <v>1.363E9</v>
      </c>
      <c r="I1837" s="1">
        <v>2.897E9</v>
      </c>
      <c r="J1837" s="1">
        <v>2.043E9</v>
      </c>
      <c r="K1837" s="1">
        <v>2.043E9</v>
      </c>
      <c r="L1837" s="1">
        <v>-2.95E8</v>
      </c>
      <c r="M1837" s="1">
        <v>4.1E8</v>
      </c>
      <c r="N1837" s="1">
        <v>4.919E9</v>
      </c>
      <c r="O1837" s="1">
        <v>2.876E9</v>
      </c>
      <c r="P1837" s="1">
        <v>2.022E9</v>
      </c>
      <c r="Q1837" s="1">
        <v>-2.7E8</v>
      </c>
      <c r="R1837" s="1">
        <v>1.363E9</v>
      </c>
      <c r="S1837" s="1">
        <v>1.363E9</v>
      </c>
    </row>
    <row r="1838">
      <c r="A1838" s="1">
        <v>1836.0</v>
      </c>
      <c r="B1838" s="11">
        <v>44377.0</v>
      </c>
      <c r="C1838" s="1" t="s">
        <v>954</v>
      </c>
      <c r="D1838" s="1" t="s">
        <v>955</v>
      </c>
      <c r="F1838" s="1">
        <v>-5.64E8</v>
      </c>
      <c r="G1838" s="1">
        <v>-4.34E8</v>
      </c>
      <c r="H1838" s="1">
        <v>1.39E8</v>
      </c>
      <c r="I1838" s="1">
        <v>5.12E8</v>
      </c>
      <c r="J1838" s="1">
        <v>-1.204E9</v>
      </c>
      <c r="K1838" s="1">
        <v>-1.204E9</v>
      </c>
      <c r="L1838" s="1">
        <v>-4.04E8</v>
      </c>
      <c r="M1838" s="1">
        <v>-1.3E8</v>
      </c>
      <c r="N1838" s="1">
        <v>5.471E9</v>
      </c>
      <c r="O1838" s="1">
        <v>6.675E9</v>
      </c>
      <c r="P1838" s="1">
        <v>4.959E9</v>
      </c>
      <c r="Q1838" s="1">
        <v>6.4E8</v>
      </c>
      <c r="R1838" s="1">
        <v>-4.34E8</v>
      </c>
      <c r="S1838" s="1">
        <v>-4.34E8</v>
      </c>
    </row>
    <row r="1839">
      <c r="A1839" s="1">
        <v>1837.0</v>
      </c>
      <c r="B1839" s="11">
        <v>44286.0</v>
      </c>
      <c r="C1839" s="1" t="s">
        <v>954</v>
      </c>
      <c r="D1839" s="1" t="s">
        <v>955</v>
      </c>
      <c r="F1839" s="1">
        <v>-1.751E9</v>
      </c>
      <c r="G1839" s="1">
        <v>-1.357E9</v>
      </c>
      <c r="H1839" s="1">
        <v>8.5E7</v>
      </c>
      <c r="I1839" s="1">
        <v>-1.402E9</v>
      </c>
      <c r="J1839" s="1">
        <v>-2.984E9</v>
      </c>
      <c r="K1839" s="1">
        <v>-2.984E9</v>
      </c>
      <c r="L1839" s="1">
        <v>-3.36E8</v>
      </c>
      <c r="M1839" s="1">
        <v>-3.94E8</v>
      </c>
      <c r="N1839" s="1">
        <v>3.221E9</v>
      </c>
      <c r="O1839" s="1">
        <v>6.205E9</v>
      </c>
      <c r="P1839" s="1">
        <v>4.623E9</v>
      </c>
      <c r="Q1839" s="1">
        <v>1.233E9</v>
      </c>
      <c r="R1839" s="1">
        <v>-1.357E9</v>
      </c>
      <c r="S1839" s="1">
        <v>-1.357E9</v>
      </c>
    </row>
    <row r="1840">
      <c r="A1840" s="1">
        <v>1838.0</v>
      </c>
      <c r="B1840" s="11">
        <v>44196.0</v>
      </c>
      <c r="C1840" s="1" t="s">
        <v>954</v>
      </c>
      <c r="D1840" s="1" t="s">
        <v>955</v>
      </c>
      <c r="F1840" s="1">
        <v>-2.373E9</v>
      </c>
      <c r="G1840" s="1">
        <v>-1.897E9</v>
      </c>
      <c r="H1840" s="1">
        <v>1.67E8</v>
      </c>
      <c r="I1840" s="1">
        <v>-9.17E8</v>
      </c>
      <c r="J1840" s="1">
        <v>-2.452E9</v>
      </c>
      <c r="K1840" s="1">
        <v>-2.452E9</v>
      </c>
      <c r="L1840" s="1">
        <v>-3.34E8</v>
      </c>
      <c r="M1840" s="1">
        <v>-4.76E8</v>
      </c>
      <c r="N1840" s="1">
        <v>3.412E9</v>
      </c>
      <c r="O1840" s="1">
        <v>5.864E9</v>
      </c>
      <c r="P1840" s="1">
        <v>4.329E9</v>
      </c>
      <c r="Q1840" s="1">
        <v>7.9E7</v>
      </c>
      <c r="R1840" s="1">
        <v>-1.897E9</v>
      </c>
      <c r="S1840" s="1">
        <v>-1.897E9</v>
      </c>
    </row>
    <row r="1841">
      <c r="A1841" s="1">
        <v>1839.0</v>
      </c>
      <c r="B1841" s="11">
        <v>44104.0</v>
      </c>
      <c r="C1841" s="1" t="s">
        <v>954</v>
      </c>
      <c r="D1841" s="1" t="s">
        <v>955</v>
      </c>
      <c r="F1841" s="1">
        <v>-2.332E9</v>
      </c>
      <c r="G1841" s="1">
        <v>-1.841E9</v>
      </c>
      <c r="H1841" s="1">
        <v>5.3E7</v>
      </c>
      <c r="I1841" s="1">
        <v>-1.334E9</v>
      </c>
      <c r="J1841" s="1">
        <v>-2.692E9</v>
      </c>
      <c r="K1841" s="1">
        <v>-2.692E9</v>
      </c>
      <c r="L1841" s="1">
        <v>-3.29E8</v>
      </c>
      <c r="M1841" s="1">
        <v>-4.91E8</v>
      </c>
      <c r="N1841" s="1">
        <v>2.489E9</v>
      </c>
      <c r="O1841" s="1">
        <v>5.181E9</v>
      </c>
      <c r="P1841" s="1">
        <v>3.823E9</v>
      </c>
      <c r="Q1841" s="1">
        <v>3.6E8</v>
      </c>
      <c r="R1841" s="1">
        <v>-1.841E9</v>
      </c>
      <c r="S1841" s="1">
        <v>-1.841E9</v>
      </c>
    </row>
    <row r="1842">
      <c r="A1842" s="1">
        <v>1840.0</v>
      </c>
      <c r="B1842" s="11">
        <v>44377.0</v>
      </c>
      <c r="C1842" s="1" t="s">
        <v>956</v>
      </c>
      <c r="D1842" s="1" t="s">
        <v>957</v>
      </c>
      <c r="F1842" s="1">
        <v>3.436E9</v>
      </c>
      <c r="G1842" s="1">
        <v>2.676E9</v>
      </c>
      <c r="I1842" s="1">
        <v>6.094E9</v>
      </c>
      <c r="J1842" s="1">
        <v>3.575E9</v>
      </c>
      <c r="K1842" s="1">
        <v>3.575E9</v>
      </c>
      <c r="L1842" s="1">
        <v>-1.67E8</v>
      </c>
      <c r="M1842" s="1">
        <v>7.6E8</v>
      </c>
      <c r="N1842" s="1">
        <v>2.3424E10</v>
      </c>
      <c r="O1842" s="1">
        <v>1.9849E10</v>
      </c>
      <c r="P1842" s="1">
        <v>1.733E10</v>
      </c>
      <c r="Q1842" s="1">
        <v>-1.39E8</v>
      </c>
      <c r="R1842" s="1">
        <v>2.676E9</v>
      </c>
      <c r="S1842" s="1">
        <v>2.676E9</v>
      </c>
    </row>
    <row r="1843">
      <c r="A1843" s="1">
        <v>1841.0</v>
      </c>
      <c r="B1843" s="11">
        <v>44286.0</v>
      </c>
      <c r="C1843" s="1" t="s">
        <v>956</v>
      </c>
      <c r="D1843" s="1" t="s">
        <v>957</v>
      </c>
      <c r="F1843" s="1">
        <v>6.204E9</v>
      </c>
      <c r="G1843" s="1">
        <v>4.792E9</v>
      </c>
      <c r="I1843" s="1">
        <v>8.97E9</v>
      </c>
      <c r="J1843" s="1">
        <v>6.51E9</v>
      </c>
      <c r="K1843" s="1">
        <v>6.51E9</v>
      </c>
      <c r="L1843" s="1">
        <v>-1.77E8</v>
      </c>
      <c r="M1843" s="1">
        <v>1.412E9</v>
      </c>
      <c r="N1843" s="1">
        <v>2.2908E10</v>
      </c>
      <c r="O1843" s="1">
        <v>1.6398E10</v>
      </c>
      <c r="P1843" s="1">
        <v>1.3938E10</v>
      </c>
      <c r="Q1843" s="1">
        <v>-3.06E8</v>
      </c>
      <c r="R1843" s="1">
        <v>4.792E9</v>
      </c>
      <c r="S1843" s="1">
        <v>4.792E9</v>
      </c>
    </row>
    <row r="1844">
      <c r="A1844" s="1">
        <v>1842.0</v>
      </c>
      <c r="B1844" s="11">
        <v>44196.0</v>
      </c>
      <c r="C1844" s="1" t="s">
        <v>956</v>
      </c>
      <c r="D1844" s="1" t="s">
        <v>957</v>
      </c>
      <c r="F1844" s="1">
        <v>-4.288E9</v>
      </c>
      <c r="G1844" s="1">
        <v>-3.347E9</v>
      </c>
      <c r="I1844" s="1">
        <v>-2.065E9</v>
      </c>
      <c r="J1844" s="1">
        <v>-5.499E9</v>
      </c>
      <c r="K1844" s="1">
        <v>-5.499E9</v>
      </c>
      <c r="L1844" s="1">
        <v>-1.75E8</v>
      </c>
      <c r="M1844" s="1">
        <v>-9.41E8</v>
      </c>
      <c r="N1844" s="1">
        <v>2.4896E10</v>
      </c>
      <c r="O1844" s="1">
        <v>3.0395E10</v>
      </c>
      <c r="P1844" s="1">
        <v>2.6961E10</v>
      </c>
      <c r="Q1844" s="1">
        <v>1.211E9</v>
      </c>
      <c r="R1844" s="1">
        <v>-3.347E9</v>
      </c>
      <c r="S1844" s="1">
        <v>-3.347E9</v>
      </c>
    </row>
    <row r="1845">
      <c r="A1845" s="1">
        <v>1843.0</v>
      </c>
      <c r="B1845" s="11">
        <v>44104.0</v>
      </c>
      <c r="C1845" s="1" t="s">
        <v>956</v>
      </c>
      <c r="D1845" s="1" t="s">
        <v>957</v>
      </c>
      <c r="F1845" s="1">
        <v>2.525E9</v>
      </c>
      <c r="G1845" s="1">
        <v>1.957E9</v>
      </c>
      <c r="I1845" s="1">
        <v>5.001E9</v>
      </c>
      <c r="J1845" s="1">
        <v>2.748E9</v>
      </c>
      <c r="K1845" s="1">
        <v>2.748E9</v>
      </c>
      <c r="L1845" s="1">
        <v>-1.76E8</v>
      </c>
      <c r="M1845" s="1">
        <v>5.68E8</v>
      </c>
      <c r="N1845" s="1">
        <v>2.1238E10</v>
      </c>
      <c r="O1845" s="1">
        <v>1.849E10</v>
      </c>
      <c r="P1845" s="1">
        <v>1.6237E10</v>
      </c>
      <c r="Q1845" s="1">
        <v>-2.23E8</v>
      </c>
      <c r="R1845" s="1">
        <v>1.957E9</v>
      </c>
      <c r="S1845" s="1">
        <v>1.957E9</v>
      </c>
    </row>
    <row r="1846">
      <c r="A1846" s="1">
        <v>1844.0</v>
      </c>
      <c r="B1846" s="11">
        <v>44377.0</v>
      </c>
      <c r="C1846" s="1" t="s">
        <v>958</v>
      </c>
      <c r="D1846" s="1" t="s">
        <v>959</v>
      </c>
      <c r="F1846" s="1">
        <v>3.77E8</v>
      </c>
      <c r="G1846" s="1">
        <v>2.93E8</v>
      </c>
      <c r="H1846" s="1">
        <v>3.01E8</v>
      </c>
      <c r="I1846" s="1">
        <v>8.84E8</v>
      </c>
      <c r="J1846" s="1">
        <v>4.93E8</v>
      </c>
      <c r="K1846" s="1">
        <v>4.93E8</v>
      </c>
      <c r="L1846" s="1">
        <v>-1.0E8</v>
      </c>
      <c r="M1846" s="1">
        <v>8.4E7</v>
      </c>
      <c r="N1846" s="1">
        <v>2.287E9</v>
      </c>
      <c r="O1846" s="1">
        <v>1.794E9</v>
      </c>
      <c r="P1846" s="1">
        <v>1.403E9</v>
      </c>
      <c r="Q1846" s="1">
        <v>-1.16E8</v>
      </c>
      <c r="R1846" s="1">
        <v>2.93E8</v>
      </c>
      <c r="S1846" s="1">
        <v>2.93E8</v>
      </c>
    </row>
    <row r="1847">
      <c r="A1847" s="1">
        <v>1845.0</v>
      </c>
      <c r="B1847" s="11">
        <v>44286.0</v>
      </c>
      <c r="C1847" s="1" t="s">
        <v>958</v>
      </c>
      <c r="D1847" s="1" t="s">
        <v>959</v>
      </c>
      <c r="F1847" s="1">
        <v>2.75E8</v>
      </c>
      <c r="G1847" s="1">
        <v>2.03E8</v>
      </c>
      <c r="H1847" s="1">
        <v>2.5E8</v>
      </c>
      <c r="I1847" s="1">
        <v>7.25E8</v>
      </c>
      <c r="J1847" s="1">
        <v>3.84E8</v>
      </c>
      <c r="K1847" s="1">
        <v>3.84E8</v>
      </c>
      <c r="L1847" s="1">
        <v>-9.9E7</v>
      </c>
      <c r="M1847" s="1">
        <v>7.2E7</v>
      </c>
      <c r="N1847" s="1">
        <v>2.057E9</v>
      </c>
      <c r="O1847" s="1">
        <v>1.673E9</v>
      </c>
      <c r="P1847" s="1">
        <v>1.332E9</v>
      </c>
      <c r="Q1847" s="1">
        <v>-1.09E8</v>
      </c>
      <c r="R1847" s="1">
        <v>2.03E8</v>
      </c>
      <c r="S1847" s="1">
        <v>2.03E8</v>
      </c>
    </row>
    <row r="1848">
      <c r="A1848" s="1">
        <v>1846.0</v>
      </c>
      <c r="B1848" s="11">
        <v>44196.0</v>
      </c>
      <c r="C1848" s="1" t="s">
        <v>958</v>
      </c>
      <c r="D1848" s="1" t="s">
        <v>959</v>
      </c>
      <c r="F1848" s="1">
        <v>3.87E8</v>
      </c>
      <c r="G1848" s="1">
        <v>2.97E8</v>
      </c>
      <c r="H1848" s="1">
        <v>2.58E8</v>
      </c>
      <c r="I1848" s="1">
        <v>8.84E8</v>
      </c>
      <c r="J1848" s="1">
        <v>5.3E8</v>
      </c>
      <c r="K1848" s="1">
        <v>5.3E8</v>
      </c>
      <c r="L1848" s="1">
        <v>-1.01E8</v>
      </c>
      <c r="M1848" s="1">
        <v>9.0E7</v>
      </c>
      <c r="N1848" s="1">
        <v>2.279E9</v>
      </c>
      <c r="O1848" s="1">
        <v>1.749E9</v>
      </c>
      <c r="P1848" s="1">
        <v>1.395E9</v>
      </c>
      <c r="Q1848" s="1">
        <v>-1.43E8</v>
      </c>
      <c r="R1848" s="1">
        <v>2.97E8</v>
      </c>
      <c r="S1848" s="1">
        <v>2.97E8</v>
      </c>
    </row>
    <row r="1849">
      <c r="A1849" s="1">
        <v>1847.0</v>
      </c>
      <c r="B1849" s="11">
        <v>44104.0</v>
      </c>
      <c r="C1849" s="1" t="s">
        <v>958</v>
      </c>
      <c r="D1849" s="1" t="s">
        <v>959</v>
      </c>
      <c r="F1849" s="1">
        <v>2.75E8</v>
      </c>
      <c r="G1849" s="1">
        <v>2.08E8</v>
      </c>
      <c r="H1849" s="1">
        <v>2.32E8</v>
      </c>
      <c r="I1849" s="1">
        <v>8.98E8</v>
      </c>
      <c r="J1849" s="1">
        <v>5.69E8</v>
      </c>
      <c r="K1849" s="1">
        <v>5.69E8</v>
      </c>
      <c r="L1849" s="1">
        <v>-1.19E8</v>
      </c>
      <c r="M1849" s="1">
        <v>6.7E7</v>
      </c>
      <c r="N1849" s="1">
        <v>2.187E9</v>
      </c>
      <c r="O1849" s="1">
        <v>1.618E9</v>
      </c>
      <c r="P1849" s="1">
        <v>1.289E9</v>
      </c>
      <c r="Q1849" s="1">
        <v>-2.94E8</v>
      </c>
      <c r="R1849" s="1">
        <v>2.08E8</v>
      </c>
      <c r="S1849" s="1">
        <v>2.08E8</v>
      </c>
    </row>
    <row r="1850">
      <c r="A1850" s="1">
        <v>1848.0</v>
      </c>
      <c r="B1850" s="11">
        <v>44377.0</v>
      </c>
      <c r="C1850" s="1" t="s">
        <v>960</v>
      </c>
      <c r="D1850" s="1" t="s">
        <v>961</v>
      </c>
      <c r="F1850" s="1">
        <v>5.568E9</v>
      </c>
      <c r="G1850" s="1">
        <v>4.266E9</v>
      </c>
      <c r="H1850" s="1">
        <v>1.0359E10</v>
      </c>
      <c r="I1850" s="1">
        <v>1.7115E10</v>
      </c>
      <c r="J1850" s="1">
        <v>5.978E9</v>
      </c>
      <c r="K1850" s="1">
        <v>5.978E9</v>
      </c>
      <c r="L1850" s="1">
        <v>-4.1E8</v>
      </c>
      <c r="M1850" s="1">
        <v>1.196E9</v>
      </c>
      <c r="N1850" s="1">
        <v>7.1321E10</v>
      </c>
      <c r="O1850" s="1">
        <v>6.5343E10</v>
      </c>
      <c r="P1850" s="1">
        <v>5.4206E10</v>
      </c>
      <c r="Q1850" s="1">
        <v>-4.1E8</v>
      </c>
      <c r="R1850" s="1">
        <v>4.372E9</v>
      </c>
      <c r="S1850" s="1">
        <v>4.266E9</v>
      </c>
    </row>
    <row r="1851">
      <c r="A1851" s="1">
        <v>1849.0</v>
      </c>
      <c r="B1851" s="11">
        <v>44286.0</v>
      </c>
      <c r="C1851" s="1" t="s">
        <v>960</v>
      </c>
      <c r="D1851" s="1" t="s">
        <v>961</v>
      </c>
      <c r="F1851" s="1">
        <v>6.342E9</v>
      </c>
      <c r="G1851" s="1">
        <v>4.862E9</v>
      </c>
      <c r="H1851" s="1">
        <v>1.0223E10</v>
      </c>
      <c r="I1851" s="1">
        <v>1.772E10</v>
      </c>
      <c r="J1851" s="1">
        <v>6.739E9</v>
      </c>
      <c r="K1851" s="1">
        <v>6.739E9</v>
      </c>
      <c r="L1851" s="1">
        <v>-3.97E8</v>
      </c>
      <c r="M1851" s="1">
        <v>1.364E9</v>
      </c>
      <c r="N1851" s="1">
        <v>7.0196E10</v>
      </c>
      <c r="O1851" s="1">
        <v>6.3457E10</v>
      </c>
      <c r="P1851" s="1">
        <v>5.2476E10</v>
      </c>
      <c r="Q1851" s="1">
        <v>-3.97E8</v>
      </c>
      <c r="R1851" s="1">
        <v>4.978E9</v>
      </c>
      <c r="S1851" s="1">
        <v>4.862E9</v>
      </c>
    </row>
    <row r="1852">
      <c r="A1852" s="1">
        <v>1850.0</v>
      </c>
      <c r="B1852" s="11">
        <v>44196.0</v>
      </c>
      <c r="C1852" s="1" t="s">
        <v>960</v>
      </c>
      <c r="D1852" s="1" t="s">
        <v>961</v>
      </c>
      <c r="F1852" s="1">
        <v>3.116E9</v>
      </c>
      <c r="G1852" s="1">
        <v>2.212E9</v>
      </c>
      <c r="H1852" s="1">
        <v>1.1514E10</v>
      </c>
      <c r="I1852" s="1">
        <v>1.5763E10</v>
      </c>
      <c r="J1852" s="1">
        <v>3.517E9</v>
      </c>
      <c r="K1852" s="1">
        <v>3.517E9</v>
      </c>
      <c r="L1852" s="1">
        <v>-4.01E8</v>
      </c>
      <c r="M1852" s="1">
        <v>7.64E8</v>
      </c>
      <c r="N1852" s="1">
        <v>6.5467E10</v>
      </c>
      <c r="O1852" s="1">
        <v>6.195E10</v>
      </c>
      <c r="P1852" s="1">
        <v>4.9704E10</v>
      </c>
      <c r="Q1852" s="1">
        <v>-4.01E8</v>
      </c>
      <c r="R1852" s="1">
        <v>2.352E9</v>
      </c>
      <c r="S1852" s="1">
        <v>2.212E9</v>
      </c>
    </row>
    <row r="1853">
      <c r="A1853" s="1">
        <v>1851.0</v>
      </c>
      <c r="B1853" s="11">
        <v>44104.0</v>
      </c>
      <c r="C1853" s="1" t="s">
        <v>960</v>
      </c>
      <c r="D1853" s="1" t="s">
        <v>961</v>
      </c>
      <c r="F1853" s="1">
        <v>4.256E9</v>
      </c>
      <c r="G1853" s="1">
        <v>3.172E9</v>
      </c>
      <c r="H1853" s="1">
        <v>1.0174E10</v>
      </c>
      <c r="I1853" s="1">
        <v>1.5544E10</v>
      </c>
      <c r="J1853" s="1">
        <v>4.651E9</v>
      </c>
      <c r="K1853" s="1">
        <v>4.651E9</v>
      </c>
      <c r="L1853" s="1">
        <v>-3.95E8</v>
      </c>
      <c r="M1853" s="1">
        <v>1.0E9</v>
      </c>
      <c r="N1853" s="1">
        <v>6.5115E10</v>
      </c>
      <c r="O1853" s="1">
        <v>6.0464E10</v>
      </c>
      <c r="P1853" s="1">
        <v>4.9571E10</v>
      </c>
      <c r="Q1853" s="1">
        <v>-3.95E8</v>
      </c>
      <c r="R1853" s="1">
        <v>3.256E9</v>
      </c>
      <c r="S1853" s="1">
        <v>3.172E9</v>
      </c>
    </row>
    <row r="1854">
      <c r="A1854" s="1">
        <v>1852.0</v>
      </c>
      <c r="B1854" s="11">
        <v>44377.0</v>
      </c>
      <c r="C1854" s="1" t="s">
        <v>962</v>
      </c>
      <c r="D1854" s="1" t="s">
        <v>963</v>
      </c>
      <c r="F1854" s="1">
        <v>4.26798E8</v>
      </c>
      <c r="G1854" s="1">
        <v>3.25024E8</v>
      </c>
      <c r="H1854" s="1">
        <v>2.9149E7</v>
      </c>
      <c r="I1854" s="1">
        <v>1.371912E9</v>
      </c>
      <c r="J1854" s="1">
        <v>4.38968E8</v>
      </c>
      <c r="K1854" s="1">
        <v>4.38968E8</v>
      </c>
      <c r="L1854" s="1">
        <v>-2.1709E7</v>
      </c>
      <c r="M1854" s="1">
        <v>1.01522E8</v>
      </c>
      <c r="N1854" s="1">
        <v>3.19788E9</v>
      </c>
      <c r="O1854" s="1">
        <v>2.758912E9</v>
      </c>
      <c r="P1854" s="1">
        <v>1.825968E9</v>
      </c>
      <c r="Q1854" s="1">
        <v>-1.217E7</v>
      </c>
      <c r="R1854" s="1">
        <v>3.25276E8</v>
      </c>
      <c r="S1854" s="1">
        <v>3.24363E8</v>
      </c>
    </row>
    <row r="1855">
      <c r="A1855" s="1">
        <v>1853.0</v>
      </c>
      <c r="B1855" s="11">
        <v>44286.0</v>
      </c>
      <c r="C1855" s="1" t="s">
        <v>962</v>
      </c>
      <c r="D1855" s="1" t="s">
        <v>963</v>
      </c>
      <c r="F1855" s="1">
        <v>2.72877E8</v>
      </c>
      <c r="G1855" s="1">
        <v>2.09091E8</v>
      </c>
      <c r="H1855" s="1">
        <v>3.1324E7</v>
      </c>
      <c r="I1855" s="1">
        <v>1.168104E9</v>
      </c>
      <c r="J1855" s="1">
        <v>2.95669E8</v>
      </c>
      <c r="K1855" s="1">
        <v>2.95669E8</v>
      </c>
      <c r="L1855" s="1">
        <v>-2.2861E7</v>
      </c>
      <c r="M1855" s="1">
        <v>6.3807E7</v>
      </c>
      <c r="N1855" s="1">
        <v>3.012987E9</v>
      </c>
      <c r="O1855" s="1">
        <v>2.717318E9</v>
      </c>
      <c r="P1855" s="1">
        <v>1.844883E9</v>
      </c>
      <c r="Q1855" s="1">
        <v>-2.2792E7</v>
      </c>
      <c r="R1855" s="1">
        <v>2.0907E8</v>
      </c>
      <c r="S1855" s="1">
        <v>2.08539E8</v>
      </c>
    </row>
    <row r="1856">
      <c r="A1856" s="1">
        <v>1854.0</v>
      </c>
      <c r="B1856" s="11">
        <v>44196.0</v>
      </c>
      <c r="C1856" s="1" t="s">
        <v>962</v>
      </c>
      <c r="D1856" s="1" t="s">
        <v>963</v>
      </c>
      <c r="F1856" s="1">
        <v>4.02378E8</v>
      </c>
      <c r="G1856" s="1">
        <v>3.08708E8</v>
      </c>
      <c r="H1856" s="1">
        <v>3.1092E7</v>
      </c>
      <c r="I1856" s="1">
        <v>1.269541E9</v>
      </c>
      <c r="J1856" s="1">
        <v>4.14959E8</v>
      </c>
      <c r="K1856" s="1">
        <v>4.14959E8</v>
      </c>
      <c r="L1856" s="1">
        <v>-2.1823E7</v>
      </c>
      <c r="M1856" s="1">
        <v>9.4644E7</v>
      </c>
      <c r="N1856" s="1">
        <v>3.086935E9</v>
      </c>
      <c r="O1856" s="1">
        <v>2.671976E9</v>
      </c>
      <c r="P1856" s="1">
        <v>1.817394E9</v>
      </c>
      <c r="Q1856" s="1">
        <v>-1.2581E7</v>
      </c>
      <c r="R1856" s="1">
        <v>3.07734E8</v>
      </c>
      <c r="S1856" s="1">
        <v>3.07714E8</v>
      </c>
    </row>
    <row r="1857">
      <c r="A1857" s="1">
        <v>1855.0</v>
      </c>
      <c r="B1857" s="11">
        <v>44104.0</v>
      </c>
      <c r="C1857" s="1" t="s">
        <v>962</v>
      </c>
      <c r="D1857" s="1" t="s">
        <v>963</v>
      </c>
      <c r="F1857" s="1">
        <v>3.23264E8</v>
      </c>
      <c r="G1857" s="1">
        <v>2.41279E8</v>
      </c>
      <c r="H1857" s="1">
        <v>2.8488E7</v>
      </c>
      <c r="I1857" s="1">
        <v>1.170784E9</v>
      </c>
      <c r="J1857" s="1">
        <v>3.4967E8</v>
      </c>
      <c r="K1857" s="1">
        <v>3.4967E8</v>
      </c>
      <c r="L1857" s="1">
        <v>-2.5095E7</v>
      </c>
      <c r="M1857" s="1">
        <v>7.9172E7</v>
      </c>
      <c r="N1857" s="1">
        <v>2.912541E9</v>
      </c>
      <c r="O1857" s="1">
        <v>2.562871E9</v>
      </c>
      <c r="P1857" s="1">
        <v>1.741757E9</v>
      </c>
      <c r="Q1857" s="1">
        <v>-2.6406E7</v>
      </c>
      <c r="R1857" s="1">
        <v>2.44092E8</v>
      </c>
      <c r="S1857" s="1">
        <v>2.40489E8</v>
      </c>
    </row>
    <row r="1858">
      <c r="A1858" s="1">
        <v>1856.0</v>
      </c>
      <c r="B1858" s="11">
        <v>44377.0</v>
      </c>
      <c r="C1858" s="1" t="s">
        <v>964</v>
      </c>
      <c r="D1858" s="1" t="s">
        <v>965</v>
      </c>
      <c r="F1858" s="1">
        <v>4.61E8</v>
      </c>
      <c r="G1858" s="1">
        <v>1.62E8</v>
      </c>
      <c r="H1858" s="1">
        <v>1.61E8</v>
      </c>
      <c r="I1858" s="1">
        <v>1.285E9</v>
      </c>
      <c r="J1858" s="1">
        <v>5.24E8</v>
      </c>
      <c r="K1858" s="1">
        <v>5.24E8</v>
      </c>
      <c r="L1858" s="1">
        <v>-1.5E8</v>
      </c>
      <c r="M1858" s="1">
        <v>1.69E8</v>
      </c>
      <c r="N1858" s="1">
        <v>2.6326E10</v>
      </c>
      <c r="O1858" s="1">
        <v>2.5802E10</v>
      </c>
      <c r="P1858" s="1">
        <v>2.5041E10</v>
      </c>
      <c r="Q1858" s="1">
        <v>-6.3E7</v>
      </c>
      <c r="R1858" s="1">
        <v>2.92E8</v>
      </c>
      <c r="S1858" s="1">
        <v>1.6E8</v>
      </c>
    </row>
    <row r="1859">
      <c r="A1859" s="1">
        <v>1857.0</v>
      </c>
      <c r="B1859" s="11">
        <v>44286.0</v>
      </c>
      <c r="C1859" s="1" t="s">
        <v>964</v>
      </c>
      <c r="D1859" s="1" t="s">
        <v>965</v>
      </c>
      <c r="F1859" s="1">
        <v>-7.7E8</v>
      </c>
      <c r="G1859" s="1">
        <v>-7.04E8</v>
      </c>
      <c r="H1859" s="1">
        <v>1.94E8</v>
      </c>
      <c r="I1859" s="1">
        <v>1.58E8</v>
      </c>
      <c r="J1859" s="1">
        <v>-6.52E8</v>
      </c>
      <c r="K1859" s="1">
        <v>-6.52E8</v>
      </c>
      <c r="L1859" s="1">
        <v>-1.49E8</v>
      </c>
      <c r="M1859" s="1">
        <v>-1.48E8</v>
      </c>
      <c r="N1859" s="1">
        <v>1.9686E10</v>
      </c>
      <c r="O1859" s="1">
        <v>2.0338E10</v>
      </c>
      <c r="P1859" s="1">
        <v>1.9528E10</v>
      </c>
      <c r="Q1859" s="1">
        <v>-1.18E8</v>
      </c>
      <c r="R1859" s="1">
        <v>-6.22E8</v>
      </c>
      <c r="S1859" s="1">
        <v>-7.05E8</v>
      </c>
    </row>
    <row r="1860">
      <c r="A1860" s="1">
        <v>1858.0</v>
      </c>
      <c r="B1860" s="11">
        <v>44196.0</v>
      </c>
      <c r="C1860" s="1" t="s">
        <v>964</v>
      </c>
      <c r="D1860" s="1" t="s">
        <v>965</v>
      </c>
      <c r="F1860" s="1">
        <v>-5.98E8</v>
      </c>
      <c r="G1860" s="1">
        <v>-3.59E8</v>
      </c>
      <c r="H1860" s="1">
        <v>2.14E8</v>
      </c>
      <c r="I1860" s="1">
        <v>2.76E8</v>
      </c>
      <c r="J1860" s="1">
        <v>-4.6E8</v>
      </c>
      <c r="K1860" s="1">
        <v>-4.6E8</v>
      </c>
      <c r="L1860" s="1">
        <v>-1.53E8</v>
      </c>
      <c r="M1860" s="1">
        <v>-2.89E8</v>
      </c>
      <c r="N1860" s="1">
        <v>1.5298E10</v>
      </c>
      <c r="O1860" s="1">
        <v>1.5758E10</v>
      </c>
      <c r="P1860" s="1">
        <v>1.5022E10</v>
      </c>
      <c r="Q1860" s="1">
        <v>-1.38E8</v>
      </c>
      <c r="R1860" s="1">
        <v>-3.09E8</v>
      </c>
      <c r="S1860" s="1">
        <v>-3.6E8</v>
      </c>
    </row>
    <row r="1861">
      <c r="A1861" s="1">
        <v>1859.0</v>
      </c>
      <c r="B1861" s="11">
        <v>44104.0</v>
      </c>
      <c r="C1861" s="1" t="s">
        <v>964</v>
      </c>
      <c r="D1861" s="1" t="s">
        <v>965</v>
      </c>
      <c r="F1861" s="1">
        <v>-7.16E8</v>
      </c>
      <c r="G1861" s="1">
        <v>-4.64E8</v>
      </c>
      <c r="H1861" s="1">
        <v>1.78E8</v>
      </c>
      <c r="I1861" s="1">
        <v>1.22E8</v>
      </c>
      <c r="J1861" s="1">
        <v>-5.83E8</v>
      </c>
      <c r="K1861" s="1">
        <v>-5.83E8</v>
      </c>
      <c r="L1861" s="1">
        <v>-1.43E8</v>
      </c>
      <c r="M1861" s="1">
        <v>-3.37E8</v>
      </c>
      <c r="N1861" s="1">
        <v>1.447E10</v>
      </c>
      <c r="O1861" s="1">
        <v>1.5053E10</v>
      </c>
      <c r="P1861" s="1">
        <v>1.4348E10</v>
      </c>
      <c r="Q1861" s="1">
        <v>-1.33E8</v>
      </c>
      <c r="R1861" s="1">
        <v>-3.79E8</v>
      </c>
      <c r="S1861" s="1">
        <v>-4.65E8</v>
      </c>
    </row>
    <row r="1862">
      <c r="A1862" s="1">
        <v>1860.0</v>
      </c>
      <c r="B1862" s="11">
        <v>44377.0</v>
      </c>
      <c r="C1862" s="1" t="s">
        <v>966</v>
      </c>
      <c r="D1862" s="1" t="s">
        <v>967</v>
      </c>
      <c r="F1862" s="1">
        <v>9.1929E7</v>
      </c>
      <c r="G1862" s="1">
        <v>8.6391E7</v>
      </c>
      <c r="H1862" s="1">
        <v>3.0588E7</v>
      </c>
      <c r="I1862" s="1">
        <v>4.28582E8</v>
      </c>
      <c r="J1862" s="1">
        <v>1.64294E8</v>
      </c>
      <c r="K1862" s="1">
        <v>1.64294E8</v>
      </c>
      <c r="L1862" s="1">
        <v>-1.10051E8</v>
      </c>
      <c r="M1862" s="1">
        <v>3641000.0</v>
      </c>
      <c r="N1862" s="1">
        <v>9.23376E8</v>
      </c>
      <c r="O1862" s="1">
        <v>7.59082E8</v>
      </c>
      <c r="P1862" s="1">
        <v>4.94794E8</v>
      </c>
      <c r="Q1862" s="1">
        <v>-7.2365E7</v>
      </c>
      <c r="R1862" s="1">
        <v>8.8288E7</v>
      </c>
      <c r="S1862" s="1">
        <v>8.6391E7</v>
      </c>
    </row>
    <row r="1863">
      <c r="A1863" s="1">
        <v>1861.0</v>
      </c>
      <c r="B1863" s="11">
        <v>44286.0</v>
      </c>
      <c r="C1863" s="1" t="s">
        <v>966</v>
      </c>
      <c r="D1863" s="1" t="s">
        <v>967</v>
      </c>
      <c r="F1863" s="1">
        <v>-5.3245E7</v>
      </c>
      <c r="G1863" s="1">
        <v>-5.7209E7</v>
      </c>
      <c r="H1863" s="1">
        <v>4.0309E7</v>
      </c>
      <c r="I1863" s="1">
        <v>4.31384E8</v>
      </c>
      <c r="J1863" s="1">
        <v>1.55427E8</v>
      </c>
      <c r="K1863" s="1">
        <v>1.55427E8</v>
      </c>
      <c r="L1863" s="1">
        <v>-1.10767E8</v>
      </c>
      <c r="M1863" s="1">
        <v>2153000.0</v>
      </c>
      <c r="N1863" s="1">
        <v>9.097E8</v>
      </c>
      <c r="O1863" s="1">
        <v>7.54273E8</v>
      </c>
      <c r="P1863" s="1">
        <v>4.78316E8</v>
      </c>
      <c r="Q1863" s="1">
        <v>-2.08672E8</v>
      </c>
      <c r="R1863" s="1">
        <v>-5.5398E7</v>
      </c>
      <c r="S1863" s="1">
        <v>-5.7209E7</v>
      </c>
    </row>
    <row r="1864">
      <c r="A1864" s="1">
        <v>1862.0</v>
      </c>
      <c r="B1864" s="11">
        <v>44196.0</v>
      </c>
      <c r="C1864" s="1" t="s">
        <v>966</v>
      </c>
      <c r="D1864" s="1" t="s">
        <v>967</v>
      </c>
      <c r="F1864" s="1">
        <v>1.11274E8</v>
      </c>
      <c r="G1864" s="1">
        <v>1.10451E8</v>
      </c>
      <c r="H1864" s="1">
        <v>2.3411E7</v>
      </c>
      <c r="I1864" s="1">
        <v>4.85269E8</v>
      </c>
      <c r="J1864" s="1">
        <v>7.0392E7</v>
      </c>
      <c r="K1864" s="1">
        <v>7.0392E7</v>
      </c>
      <c r="L1864" s="1">
        <v>-1.14208E8</v>
      </c>
      <c r="M1864" s="1">
        <v>-679000.0</v>
      </c>
      <c r="N1864" s="1">
        <v>9.38226E8</v>
      </c>
      <c r="O1864" s="1">
        <v>8.67834E8</v>
      </c>
      <c r="P1864" s="1">
        <v>4.52957E8</v>
      </c>
      <c r="Q1864" s="1">
        <v>4.0882E7</v>
      </c>
      <c r="R1864" s="1">
        <v>1.11953E8</v>
      </c>
      <c r="S1864" s="1">
        <v>1.10451E8</v>
      </c>
    </row>
    <row r="1865">
      <c r="A1865" s="1">
        <v>1863.0</v>
      </c>
      <c r="B1865" s="11">
        <v>44104.0</v>
      </c>
      <c r="C1865" s="1" t="s">
        <v>966</v>
      </c>
      <c r="D1865" s="1" t="s">
        <v>967</v>
      </c>
      <c r="F1865" s="1">
        <v>1.0542E7</v>
      </c>
      <c r="G1865" s="1">
        <v>1.2751E7</v>
      </c>
      <c r="H1865" s="1">
        <v>3.4228E7</v>
      </c>
      <c r="I1865" s="1">
        <v>4.18692E8</v>
      </c>
      <c r="J1865" s="1">
        <v>1.35098E8</v>
      </c>
      <c r="K1865" s="1">
        <v>1.35098E8</v>
      </c>
      <c r="L1865" s="1">
        <v>-1.15505E8</v>
      </c>
      <c r="M1865" s="1">
        <v>-3195000.0</v>
      </c>
      <c r="N1865" s="1">
        <v>9.19233E8</v>
      </c>
      <c r="O1865" s="1">
        <v>7.84135E8</v>
      </c>
      <c r="P1865" s="1">
        <v>5.00541E8</v>
      </c>
      <c r="Q1865" s="1">
        <v>-1.24556E8</v>
      </c>
      <c r="R1865" s="1">
        <v>1.3737E7</v>
      </c>
      <c r="S1865" s="1">
        <v>1.2751E7</v>
      </c>
    </row>
    <row r="1866">
      <c r="A1866" s="1">
        <v>1864.0</v>
      </c>
      <c r="B1866" s="11">
        <v>44377.0</v>
      </c>
      <c r="C1866" s="1" t="s">
        <v>968</v>
      </c>
      <c r="D1866" s="1" t="s">
        <v>969</v>
      </c>
      <c r="E1866" s="1">
        <v>1.9808E7</v>
      </c>
      <c r="F1866" s="1">
        <v>1.87874E8</v>
      </c>
      <c r="G1866" s="1">
        <v>1.47772E8</v>
      </c>
      <c r="H1866" s="1">
        <v>4.8822E7</v>
      </c>
      <c r="I1866" s="1">
        <v>2.81609E8</v>
      </c>
      <c r="J1866" s="1">
        <v>2.12979E8</v>
      </c>
      <c r="K1866" s="1">
        <v>2.12979E8</v>
      </c>
      <c r="L1866" s="1">
        <v>-2.3064E7</v>
      </c>
      <c r="M1866" s="1">
        <v>4.0102E7</v>
      </c>
      <c r="N1866" s="1">
        <v>3.29405E8</v>
      </c>
      <c r="O1866" s="1">
        <v>1.16426E8</v>
      </c>
      <c r="P1866" s="1">
        <v>4.7796E7</v>
      </c>
      <c r="Q1866" s="1">
        <v>-2.5105E7</v>
      </c>
      <c r="R1866" s="1">
        <v>1.47772E8</v>
      </c>
      <c r="S1866" s="1">
        <v>1.47772E8</v>
      </c>
    </row>
    <row r="1867">
      <c r="A1867" s="1">
        <v>1865.0</v>
      </c>
      <c r="B1867" s="11">
        <v>44286.0</v>
      </c>
      <c r="C1867" s="1" t="s">
        <v>968</v>
      </c>
      <c r="D1867" s="1" t="s">
        <v>969</v>
      </c>
      <c r="E1867" s="1">
        <v>2.0311E7</v>
      </c>
      <c r="F1867" s="1">
        <v>1.88317E8</v>
      </c>
      <c r="G1867" s="1">
        <v>1.50354E8</v>
      </c>
      <c r="H1867" s="1">
        <v>4.5935E7</v>
      </c>
      <c r="I1867" s="1">
        <v>2.76653E8</v>
      </c>
      <c r="J1867" s="1">
        <v>2.10407E8</v>
      </c>
      <c r="K1867" s="1">
        <v>2.10407E8</v>
      </c>
      <c r="L1867" s="1">
        <v>-2.2534E7</v>
      </c>
      <c r="M1867" s="1">
        <v>3.7963E7</v>
      </c>
      <c r="N1867" s="1">
        <v>3.23621E8</v>
      </c>
      <c r="O1867" s="1">
        <v>1.13214E8</v>
      </c>
      <c r="P1867" s="1">
        <v>4.6968E7</v>
      </c>
      <c r="Q1867" s="1">
        <v>-2.209E7</v>
      </c>
      <c r="R1867" s="1">
        <v>1.50354E8</v>
      </c>
      <c r="S1867" s="1">
        <v>1.50354E8</v>
      </c>
    </row>
    <row r="1868">
      <c r="A1868" s="1">
        <v>1866.0</v>
      </c>
      <c r="B1868" s="11">
        <v>44196.0</v>
      </c>
      <c r="C1868" s="1" t="s">
        <v>968</v>
      </c>
      <c r="D1868" s="1" t="s">
        <v>969</v>
      </c>
      <c r="E1868" s="1">
        <v>1.9403E7</v>
      </c>
      <c r="F1868" s="1">
        <v>1.82896E8</v>
      </c>
      <c r="G1868" s="1">
        <v>1.57314E8</v>
      </c>
      <c r="H1868" s="1">
        <v>5.0401E7</v>
      </c>
      <c r="I1868" s="1">
        <v>2.74312E8</v>
      </c>
      <c r="J1868" s="1">
        <v>2.04508E8</v>
      </c>
      <c r="K1868" s="1">
        <v>2.04508E8</v>
      </c>
      <c r="L1868" s="1">
        <v>-2.2537E7</v>
      </c>
      <c r="M1868" s="1">
        <v>2.5582E7</v>
      </c>
      <c r="N1868" s="1">
        <v>3.20284E8</v>
      </c>
      <c r="O1868" s="1">
        <v>1.15776E8</v>
      </c>
      <c r="P1868" s="1">
        <v>4.5972E7</v>
      </c>
      <c r="Q1868" s="1">
        <v>-2.1612E7</v>
      </c>
      <c r="R1868" s="1">
        <v>1.57314E8</v>
      </c>
      <c r="S1868" s="1">
        <v>1.57314E8</v>
      </c>
    </row>
    <row r="1869">
      <c r="A1869" s="1">
        <v>1867.0</v>
      </c>
      <c r="B1869" s="11">
        <v>44104.0</v>
      </c>
      <c r="C1869" s="1" t="s">
        <v>968</v>
      </c>
      <c r="D1869" s="1" t="s">
        <v>969</v>
      </c>
      <c r="E1869" s="1">
        <v>1.9708E7</v>
      </c>
      <c r="F1869" s="1">
        <v>1.84887E8</v>
      </c>
      <c r="G1869" s="1">
        <v>1.70979E8</v>
      </c>
      <c r="H1869" s="1">
        <v>4.6498E7</v>
      </c>
      <c r="I1869" s="1">
        <v>2.72855E8</v>
      </c>
      <c r="J1869" s="1">
        <v>2.06649E8</v>
      </c>
      <c r="K1869" s="1">
        <v>2.06649E8</v>
      </c>
      <c r="L1869" s="1">
        <v>-2.2537E7</v>
      </c>
      <c r="M1869" s="1">
        <v>1.3908E7</v>
      </c>
      <c r="N1869" s="1">
        <v>3.17879E8</v>
      </c>
      <c r="O1869" s="1">
        <v>1.1123E8</v>
      </c>
      <c r="P1869" s="1">
        <v>4.5024E7</v>
      </c>
      <c r="Q1869" s="1">
        <v>-2.1762E7</v>
      </c>
      <c r="R1869" s="1">
        <v>1.70979E8</v>
      </c>
      <c r="S1869" s="1">
        <v>1.70979E8</v>
      </c>
    </row>
    <row r="1870">
      <c r="A1870" s="1">
        <v>1868.0</v>
      </c>
      <c r="B1870" s="11">
        <v>44377.0</v>
      </c>
      <c r="C1870" s="1" t="s">
        <v>970</v>
      </c>
      <c r="D1870" s="1" t="s">
        <v>971</v>
      </c>
      <c r="F1870" s="1">
        <v>2.354E8</v>
      </c>
      <c r="G1870" s="1">
        <v>1.54E8</v>
      </c>
      <c r="H1870" s="1">
        <v>1.135E8</v>
      </c>
      <c r="I1870" s="1">
        <v>4.826E8</v>
      </c>
      <c r="J1870" s="1">
        <v>2.653E8</v>
      </c>
      <c r="K1870" s="1">
        <v>2.653E8</v>
      </c>
      <c r="L1870" s="1">
        <v>-3.15E7</v>
      </c>
      <c r="M1870" s="1">
        <v>8.38E7</v>
      </c>
      <c r="N1870" s="1">
        <v>7.475E8</v>
      </c>
      <c r="O1870" s="1">
        <v>4.822E8</v>
      </c>
      <c r="P1870" s="1">
        <v>2.649E8</v>
      </c>
      <c r="Q1870" s="1">
        <v>-2.99E7</v>
      </c>
      <c r="R1870" s="1">
        <v>1.516E8</v>
      </c>
      <c r="S1870" s="1">
        <v>1.54E8</v>
      </c>
    </row>
    <row r="1871">
      <c r="A1871" s="1">
        <v>1869.0</v>
      </c>
      <c r="B1871" s="11">
        <v>44286.0</v>
      </c>
      <c r="C1871" s="1" t="s">
        <v>970</v>
      </c>
      <c r="D1871" s="1" t="s">
        <v>971</v>
      </c>
      <c r="F1871" s="1">
        <v>2.167E8</v>
      </c>
      <c r="G1871" s="1">
        <v>1.686E8</v>
      </c>
      <c r="H1871" s="1">
        <v>1.193E8</v>
      </c>
      <c r="I1871" s="1">
        <v>4.637E8</v>
      </c>
      <c r="J1871" s="1">
        <v>2.509E8</v>
      </c>
      <c r="K1871" s="1">
        <v>2.509E8</v>
      </c>
      <c r="L1871" s="1">
        <v>-3.54E7</v>
      </c>
      <c r="M1871" s="1">
        <v>4.87E7</v>
      </c>
      <c r="N1871" s="1">
        <v>7.261E8</v>
      </c>
      <c r="O1871" s="1">
        <v>4.752E8</v>
      </c>
      <c r="P1871" s="1">
        <v>2.624E8</v>
      </c>
      <c r="Q1871" s="1">
        <v>-3.25E7</v>
      </c>
      <c r="R1871" s="1">
        <v>1.68E8</v>
      </c>
      <c r="S1871" s="1">
        <v>1.686E8</v>
      </c>
    </row>
    <row r="1872">
      <c r="A1872" s="1">
        <v>1870.0</v>
      </c>
      <c r="B1872" s="11">
        <v>44196.0</v>
      </c>
      <c r="C1872" s="1" t="s">
        <v>970</v>
      </c>
      <c r="D1872" s="1" t="s">
        <v>971</v>
      </c>
      <c r="F1872" s="1">
        <v>2.16E8</v>
      </c>
      <c r="G1872" s="1">
        <v>1.762E8</v>
      </c>
      <c r="H1872" s="1">
        <v>1.074E8</v>
      </c>
      <c r="I1872" s="1">
        <v>4.529E8</v>
      </c>
      <c r="J1872" s="1">
        <v>2.523E8</v>
      </c>
      <c r="K1872" s="1">
        <v>2.523E8</v>
      </c>
      <c r="L1872" s="1">
        <v>-3.53E7</v>
      </c>
      <c r="M1872" s="1">
        <v>3.98E7</v>
      </c>
      <c r="N1872" s="1">
        <v>7.134E8</v>
      </c>
      <c r="O1872" s="1">
        <v>4.611E8</v>
      </c>
      <c r="P1872" s="1">
        <v>2.605E8</v>
      </c>
      <c r="Q1872" s="1">
        <v>-3.63E7</v>
      </c>
      <c r="R1872" s="1">
        <v>1.762E8</v>
      </c>
      <c r="S1872" s="1">
        <v>1.762E8</v>
      </c>
    </row>
    <row r="1873">
      <c r="A1873" s="1">
        <v>1871.0</v>
      </c>
      <c r="B1873" s="11">
        <v>44104.0</v>
      </c>
      <c r="C1873" s="1" t="s">
        <v>970</v>
      </c>
      <c r="D1873" s="1" t="s">
        <v>971</v>
      </c>
      <c r="F1873" s="1">
        <v>2.4E8</v>
      </c>
      <c r="G1873" s="1">
        <v>1.858E8</v>
      </c>
      <c r="H1873" s="1">
        <v>9.59E7</v>
      </c>
      <c r="I1873" s="1">
        <v>4.627E8</v>
      </c>
      <c r="J1873" s="1">
        <v>2.759E8</v>
      </c>
      <c r="K1873" s="1">
        <v>2.759E8</v>
      </c>
      <c r="L1873" s="1">
        <v>-3.53E7</v>
      </c>
      <c r="M1873" s="1">
        <v>5.42E7</v>
      </c>
      <c r="N1873" s="1">
        <v>7.027E8</v>
      </c>
      <c r="O1873" s="1">
        <v>4.268E8</v>
      </c>
      <c r="P1873" s="1">
        <v>2.4E8</v>
      </c>
      <c r="Q1873" s="1">
        <v>-3.59E7</v>
      </c>
      <c r="R1873" s="1">
        <v>1.858E8</v>
      </c>
      <c r="S1873" s="1">
        <v>1.858E8</v>
      </c>
    </row>
    <row r="1874">
      <c r="A1874" s="1">
        <v>1872.0</v>
      </c>
      <c r="B1874" s="11">
        <v>44377.0</v>
      </c>
      <c r="C1874" s="1" t="s">
        <v>972</v>
      </c>
      <c r="D1874" s="1" t="s">
        <v>973</v>
      </c>
      <c r="F1874" s="1">
        <v>7.824E9</v>
      </c>
      <c r="G1874" s="1">
        <v>5.8E9</v>
      </c>
      <c r="H1874" s="1">
        <v>6.973E9</v>
      </c>
      <c r="I1874" s="1">
        <v>1.9509E10</v>
      </c>
      <c r="J1874" s="1">
        <v>8.516E9</v>
      </c>
      <c r="K1874" s="1">
        <v>8.516E9</v>
      </c>
      <c r="L1874" s="1">
        <v>-8.44E8</v>
      </c>
      <c r="M1874" s="1">
        <v>1.875E9</v>
      </c>
      <c r="N1874" s="1">
        <v>3.3764E10</v>
      </c>
      <c r="O1874" s="1">
        <v>2.5248E10</v>
      </c>
      <c r="P1874" s="1">
        <v>1.4255E10</v>
      </c>
      <c r="Q1874" s="1">
        <v>-6.92E8</v>
      </c>
      <c r="R1874" s="1">
        <v>5.949E9</v>
      </c>
      <c r="S1874" s="1">
        <v>5.8E9</v>
      </c>
    </row>
    <row r="1875">
      <c r="A1875" s="1">
        <v>1873.0</v>
      </c>
      <c r="B1875" s="11">
        <v>44286.0</v>
      </c>
      <c r="C1875" s="1" t="s">
        <v>972</v>
      </c>
      <c r="D1875" s="1" t="s">
        <v>973</v>
      </c>
      <c r="F1875" s="1">
        <v>7.078E9</v>
      </c>
      <c r="G1875" s="1">
        <v>5.245E9</v>
      </c>
      <c r="H1875" s="1">
        <v>6.822E9</v>
      </c>
      <c r="I1875" s="1">
        <v>1.9345E10</v>
      </c>
      <c r="J1875" s="1">
        <v>8.349E9</v>
      </c>
      <c r="K1875" s="1">
        <v>8.349E9</v>
      </c>
      <c r="L1875" s="1">
        <v>-1.101E9</v>
      </c>
      <c r="M1875" s="1">
        <v>1.7E9</v>
      </c>
      <c r="N1875" s="1">
        <v>3.2867E10</v>
      </c>
      <c r="O1875" s="1">
        <v>2.4518E10</v>
      </c>
      <c r="P1875" s="1">
        <v>1.3522E10</v>
      </c>
      <c r="Q1875" s="1">
        <v>-1.271E9</v>
      </c>
      <c r="R1875" s="1">
        <v>5.378E9</v>
      </c>
      <c r="S1875" s="1">
        <v>5.245E9</v>
      </c>
    </row>
    <row r="1876">
      <c r="A1876" s="1">
        <v>1874.0</v>
      </c>
      <c r="B1876" s="11">
        <v>44196.0</v>
      </c>
      <c r="C1876" s="1" t="s">
        <v>972</v>
      </c>
      <c r="D1876" s="1" t="s">
        <v>973</v>
      </c>
      <c r="F1876" s="1">
        <v>6.253E9</v>
      </c>
      <c r="G1876" s="1">
        <v>4.588E9</v>
      </c>
      <c r="H1876" s="1">
        <v>7.951E9</v>
      </c>
      <c r="I1876" s="1">
        <v>1.987E10</v>
      </c>
      <c r="J1876" s="1">
        <v>7.722E9</v>
      </c>
      <c r="K1876" s="1">
        <v>7.722E9</v>
      </c>
      <c r="L1876" s="1">
        <v>-1.08E9</v>
      </c>
      <c r="M1876" s="1">
        <v>1.535E9</v>
      </c>
      <c r="N1876" s="1">
        <v>3.4692E10</v>
      </c>
      <c r="O1876" s="1">
        <v>2.697E10</v>
      </c>
      <c r="P1876" s="1">
        <v>1.4822E10</v>
      </c>
      <c r="Q1876" s="1">
        <v>-1.469E9</v>
      </c>
      <c r="R1876" s="1">
        <v>4.718E9</v>
      </c>
      <c r="S1876" s="1">
        <v>4.588E9</v>
      </c>
    </row>
    <row r="1877">
      <c r="A1877" s="1">
        <v>1875.0</v>
      </c>
      <c r="B1877" s="11">
        <v>44104.0</v>
      </c>
      <c r="C1877" s="1" t="s">
        <v>972</v>
      </c>
      <c r="D1877" s="1" t="s">
        <v>973</v>
      </c>
      <c r="F1877" s="1">
        <v>5.851E9</v>
      </c>
      <c r="G1877" s="1">
        <v>4.357E9</v>
      </c>
      <c r="H1877" s="1">
        <v>7.043E9</v>
      </c>
      <c r="I1877" s="1">
        <v>1.9209E10</v>
      </c>
      <c r="J1877" s="1">
        <v>7.974E9</v>
      </c>
      <c r="K1877" s="1">
        <v>7.974E9</v>
      </c>
      <c r="L1877" s="1">
        <v>-1.044E9</v>
      </c>
      <c r="M1877" s="1">
        <v>1.347E9</v>
      </c>
      <c r="N1877" s="1">
        <v>3.1543E10</v>
      </c>
      <c r="O1877" s="1">
        <v>2.3569E10</v>
      </c>
      <c r="P1877" s="1">
        <v>1.2334E10</v>
      </c>
      <c r="Q1877" s="1">
        <v>-2.123E9</v>
      </c>
      <c r="R1877" s="1">
        <v>4.504E9</v>
      </c>
      <c r="S1877" s="1">
        <v>4.357E9</v>
      </c>
    </row>
    <row r="1878">
      <c r="A1878" s="1">
        <v>1876.0</v>
      </c>
      <c r="B1878" s="11">
        <v>44377.0</v>
      </c>
      <c r="C1878" s="1" t="s">
        <v>974</v>
      </c>
      <c r="D1878" s="1" t="s">
        <v>975</v>
      </c>
      <c r="F1878" s="1">
        <v>-4.4255E7</v>
      </c>
      <c r="G1878" s="1">
        <v>6.6924E7</v>
      </c>
      <c r="H1878" s="1">
        <v>1.94669E8</v>
      </c>
      <c r="I1878" s="1">
        <v>1.58308E8</v>
      </c>
      <c r="J1878" s="1">
        <v>-3.6361E7</v>
      </c>
      <c r="K1878" s="1">
        <v>-3.6361E7</v>
      </c>
      <c r="L1878" s="1">
        <v>-1.5478E7</v>
      </c>
      <c r="M1878" s="1">
        <v>-1.11179E8</v>
      </c>
      <c r="N1878" s="1">
        <v>1.79337E9</v>
      </c>
      <c r="O1878" s="1">
        <v>1.829731E9</v>
      </c>
      <c r="P1878" s="1">
        <v>1.635062E9</v>
      </c>
      <c r="Q1878" s="1">
        <v>-7894000.0</v>
      </c>
      <c r="R1878" s="1">
        <v>6.6924E7</v>
      </c>
      <c r="S1878" s="1">
        <v>6.6924E7</v>
      </c>
    </row>
    <row r="1879">
      <c r="A1879" s="1">
        <v>1877.0</v>
      </c>
      <c r="B1879" s="11">
        <v>44286.0</v>
      </c>
      <c r="C1879" s="1" t="s">
        <v>974</v>
      </c>
      <c r="D1879" s="1" t="s">
        <v>975</v>
      </c>
      <c r="F1879" s="1">
        <v>8.2096E8</v>
      </c>
      <c r="G1879" s="1">
        <v>6.53138E8</v>
      </c>
      <c r="H1879" s="1">
        <v>1.92077E8</v>
      </c>
      <c r="I1879" s="1">
        <v>1.076003E9</v>
      </c>
      <c r="J1879" s="1">
        <v>8.83926E8</v>
      </c>
      <c r="K1879" s="1">
        <v>8.83926E8</v>
      </c>
      <c r="L1879" s="1">
        <v>-1.5678E7</v>
      </c>
      <c r="M1879" s="1">
        <v>1.67822E8</v>
      </c>
      <c r="N1879" s="1">
        <v>1.724305E9</v>
      </c>
      <c r="O1879" s="1">
        <v>8.40379E8</v>
      </c>
      <c r="P1879" s="1">
        <v>6.48302E8</v>
      </c>
      <c r="Q1879" s="1">
        <v>-6.2966E7</v>
      </c>
      <c r="R1879" s="1">
        <v>6.53138E8</v>
      </c>
      <c r="S1879" s="1">
        <v>6.53138E8</v>
      </c>
    </row>
    <row r="1880">
      <c r="A1880" s="1">
        <v>1878.0</v>
      </c>
      <c r="B1880" s="11">
        <v>44196.0</v>
      </c>
      <c r="C1880" s="1" t="s">
        <v>974</v>
      </c>
      <c r="D1880" s="1" t="s">
        <v>975</v>
      </c>
      <c r="F1880" s="1">
        <v>8.88623E8</v>
      </c>
      <c r="G1880" s="1">
        <v>6.0419E8</v>
      </c>
      <c r="H1880" s="1">
        <v>2.11843E8</v>
      </c>
      <c r="I1880" s="1">
        <v>9.58135E8</v>
      </c>
      <c r="J1880" s="1">
        <v>7.46292E8</v>
      </c>
      <c r="K1880" s="1">
        <v>7.46292E8</v>
      </c>
      <c r="L1880" s="1">
        <v>-1.6288E7</v>
      </c>
      <c r="M1880" s="1">
        <v>2.84433E8</v>
      </c>
      <c r="N1880" s="1">
        <v>1.62782E9</v>
      </c>
      <c r="O1880" s="1">
        <v>8.81528E8</v>
      </c>
      <c r="P1880" s="1">
        <v>6.69685E8</v>
      </c>
      <c r="Q1880" s="1">
        <v>1.42331E8</v>
      </c>
      <c r="R1880" s="1">
        <v>6.0419E8</v>
      </c>
      <c r="S1880" s="1">
        <v>6.0419E8</v>
      </c>
    </row>
    <row r="1881">
      <c r="A1881" s="1">
        <v>1879.0</v>
      </c>
      <c r="B1881" s="11">
        <v>44104.0</v>
      </c>
      <c r="C1881" s="1" t="s">
        <v>974</v>
      </c>
      <c r="D1881" s="1" t="s">
        <v>975</v>
      </c>
      <c r="F1881" s="1">
        <v>7.45871E8</v>
      </c>
      <c r="G1881" s="1">
        <v>6.67434E8</v>
      </c>
      <c r="H1881" s="1">
        <v>1.84551E8</v>
      </c>
      <c r="I1881" s="1">
        <v>8.58592E8</v>
      </c>
      <c r="J1881" s="1">
        <v>6.74041E8</v>
      </c>
      <c r="K1881" s="1">
        <v>6.74041E8</v>
      </c>
      <c r="L1881" s="1">
        <v>-1.3856E7</v>
      </c>
      <c r="M1881" s="1">
        <v>7.8437E7</v>
      </c>
      <c r="N1881" s="1">
        <v>1.538271E9</v>
      </c>
      <c r="O1881" s="1">
        <v>8.6423E8</v>
      </c>
      <c r="P1881" s="1">
        <v>6.79679E8</v>
      </c>
      <c r="Q1881" s="1">
        <v>7.183E7</v>
      </c>
      <c r="R1881" s="1">
        <v>6.67434E8</v>
      </c>
      <c r="S1881" s="1">
        <v>6.67434E8</v>
      </c>
    </row>
    <row r="1882">
      <c r="A1882" s="1">
        <v>1880.0</v>
      </c>
      <c r="B1882" s="11">
        <v>44380.0</v>
      </c>
      <c r="C1882" s="1" t="s">
        <v>976</v>
      </c>
      <c r="D1882" s="1" t="s">
        <v>977</v>
      </c>
      <c r="F1882" s="1">
        <v>1.7915E8</v>
      </c>
      <c r="G1882" s="1">
        <v>3.24245E8</v>
      </c>
      <c r="H1882" s="1">
        <v>1.099034E9</v>
      </c>
      <c r="I1882" s="1">
        <v>1.240406E9</v>
      </c>
      <c r="J1882" s="1">
        <v>1.41372E8</v>
      </c>
      <c r="K1882" s="1">
        <v>1.41372E8</v>
      </c>
      <c r="L1882" s="1">
        <v>-3.4917E7</v>
      </c>
      <c r="M1882" s="1">
        <v>2.5178E7</v>
      </c>
      <c r="N1882" s="1">
        <v>2.194557E9</v>
      </c>
      <c r="O1882" s="1">
        <v>2.053185E9</v>
      </c>
      <c r="P1882" s="1">
        <v>9.54151E8</v>
      </c>
      <c r="Q1882" s="1">
        <v>3.7778E7</v>
      </c>
      <c r="R1882" s="1">
        <v>1.53972E8</v>
      </c>
      <c r="S1882" s="1">
        <v>3.24245E8</v>
      </c>
    </row>
    <row r="1883">
      <c r="A1883" s="1">
        <v>1881.0</v>
      </c>
      <c r="B1883" s="11">
        <v>44289.0</v>
      </c>
      <c r="C1883" s="1" t="s">
        <v>976</v>
      </c>
      <c r="D1883" s="1" t="s">
        <v>977</v>
      </c>
      <c r="F1883" s="1">
        <v>8.9049E7</v>
      </c>
      <c r="G1883" s="1">
        <v>8.952E7</v>
      </c>
      <c r="H1883" s="1">
        <v>1.155947E9</v>
      </c>
      <c r="I1883" s="1">
        <v>1.350573E9</v>
      </c>
      <c r="J1883" s="1">
        <v>1.94626E8</v>
      </c>
      <c r="K1883" s="1">
        <v>1.94626E8</v>
      </c>
      <c r="L1883" s="1">
        <v>-3.7971E7</v>
      </c>
      <c r="M1883" s="1">
        <v>2.7306E7</v>
      </c>
      <c r="N1883" s="1">
        <v>2.582672E9</v>
      </c>
      <c r="O1883" s="1">
        <v>2.388046E9</v>
      </c>
      <c r="P1883" s="1">
        <v>1.232099E9</v>
      </c>
      <c r="Q1883" s="1">
        <v>-1.05577E8</v>
      </c>
      <c r="R1883" s="1">
        <v>6.1743E7</v>
      </c>
      <c r="S1883" s="1">
        <v>8.952E7</v>
      </c>
    </row>
    <row r="1884">
      <c r="A1884" s="1">
        <v>1882.0</v>
      </c>
      <c r="B1884" s="11">
        <v>44191.0</v>
      </c>
      <c r="C1884" s="1" t="s">
        <v>976</v>
      </c>
      <c r="D1884" s="1" t="s">
        <v>977</v>
      </c>
      <c r="F1884" s="1">
        <v>3.86707E8</v>
      </c>
      <c r="G1884" s="1">
        <v>3.4724E8</v>
      </c>
      <c r="H1884" s="1">
        <v>1.195245E9</v>
      </c>
      <c r="I1884" s="1">
        <v>1.649017E9</v>
      </c>
      <c r="J1884" s="1">
        <v>4.53772E8</v>
      </c>
      <c r="K1884" s="1">
        <v>4.53772E8</v>
      </c>
      <c r="L1884" s="1">
        <v>-3.4315E7</v>
      </c>
      <c r="M1884" s="1">
        <v>5.9048E7</v>
      </c>
      <c r="N1884" s="1">
        <v>2.971541E9</v>
      </c>
      <c r="O1884" s="1">
        <v>2.517769E9</v>
      </c>
      <c r="P1884" s="1">
        <v>1.322524E9</v>
      </c>
      <c r="Q1884" s="1">
        <v>-6.7065E7</v>
      </c>
      <c r="R1884" s="1">
        <v>3.27659E8</v>
      </c>
      <c r="S1884" s="1">
        <v>3.4724E8</v>
      </c>
    </row>
    <row r="1885">
      <c r="A1885" s="1">
        <v>1883.0</v>
      </c>
      <c r="B1885" s="11">
        <v>44100.0</v>
      </c>
      <c r="C1885" s="1" t="s">
        <v>976</v>
      </c>
      <c r="D1885" s="1" t="s">
        <v>977</v>
      </c>
      <c r="F1885" s="1">
        <v>2.93661E8</v>
      </c>
      <c r="G1885" s="1">
        <v>2.56722E8</v>
      </c>
      <c r="H1885" s="1">
        <v>9.9796E8</v>
      </c>
      <c r="I1885" s="1">
        <v>1.329118E9</v>
      </c>
      <c r="J1885" s="1">
        <v>3.31158E8</v>
      </c>
      <c r="K1885" s="1">
        <v>3.31158E8</v>
      </c>
      <c r="L1885" s="1">
        <v>-3.4107E7</v>
      </c>
      <c r="M1885" s="1">
        <v>5.0415E7</v>
      </c>
      <c r="N1885" s="1">
        <v>2.608324E9</v>
      </c>
      <c r="O1885" s="1">
        <v>2.277166E9</v>
      </c>
      <c r="P1885" s="1">
        <v>1.279206E9</v>
      </c>
      <c r="Q1885" s="1">
        <v>-3.7497E7</v>
      </c>
      <c r="R1885" s="1">
        <v>2.43246E8</v>
      </c>
      <c r="S1885" s="1">
        <v>2.56722E8</v>
      </c>
    </row>
    <row r="1886">
      <c r="A1886" s="1">
        <v>1884.0</v>
      </c>
      <c r="B1886" s="11">
        <v>44286.0</v>
      </c>
      <c r="C1886" s="1" t="s">
        <v>978</v>
      </c>
      <c r="D1886" s="1" t="s">
        <v>979</v>
      </c>
      <c r="F1886" s="1">
        <v>1.137E9</v>
      </c>
      <c r="G1886" s="1">
        <v>9.11E8</v>
      </c>
      <c r="H1886" s="1">
        <v>1.434E9</v>
      </c>
      <c r="I1886" s="1">
        <v>3.049E9</v>
      </c>
      <c r="J1886" s="1">
        <v>1.516E9</v>
      </c>
      <c r="K1886" s="1">
        <v>1.516E9</v>
      </c>
      <c r="L1886" s="1">
        <v>-2.59E8</v>
      </c>
      <c r="M1886" s="1">
        <v>2.26E8</v>
      </c>
      <c r="N1886" s="1">
        <v>7.412E9</v>
      </c>
      <c r="O1886" s="1">
        <v>5.896E9</v>
      </c>
      <c r="P1886" s="1">
        <v>4.363E9</v>
      </c>
      <c r="Q1886" s="1">
        <v>-3.79E8</v>
      </c>
      <c r="R1886" s="1">
        <v>9.11E8</v>
      </c>
      <c r="S1886" s="1">
        <v>9.11E8</v>
      </c>
    </row>
    <row r="1887">
      <c r="A1887" s="1">
        <v>1885.0</v>
      </c>
      <c r="B1887" s="11">
        <v>44196.0</v>
      </c>
      <c r="C1887" s="1" t="s">
        <v>978</v>
      </c>
      <c r="D1887" s="1" t="s">
        <v>979</v>
      </c>
      <c r="F1887" s="1">
        <v>8.84E8</v>
      </c>
      <c r="G1887" s="1">
        <v>8.1E8</v>
      </c>
      <c r="H1887" s="1">
        <v>1.399E9</v>
      </c>
      <c r="I1887" s="1">
        <v>2.417E9</v>
      </c>
      <c r="J1887" s="1">
        <v>9.18E8</v>
      </c>
      <c r="K1887" s="1">
        <v>9.18E8</v>
      </c>
      <c r="L1887" s="1">
        <v>-2.68E8</v>
      </c>
      <c r="M1887" s="1">
        <v>1.58E8</v>
      </c>
      <c r="N1887" s="1">
        <v>6.225E9</v>
      </c>
      <c r="O1887" s="1">
        <v>5.307E9</v>
      </c>
      <c r="P1887" s="1">
        <v>3.808E9</v>
      </c>
      <c r="Q1887" s="1">
        <v>-3.4E7</v>
      </c>
      <c r="R1887" s="1">
        <v>7.26E8</v>
      </c>
      <c r="S1887" s="1">
        <v>8.1E8</v>
      </c>
    </row>
    <row r="1888">
      <c r="A1888" s="1">
        <v>1886.0</v>
      </c>
      <c r="B1888" s="11">
        <v>44104.0</v>
      </c>
      <c r="C1888" s="1" t="s">
        <v>978</v>
      </c>
      <c r="D1888" s="1" t="s">
        <v>979</v>
      </c>
      <c r="F1888" s="1">
        <v>6.62E8</v>
      </c>
      <c r="G1888" s="1">
        <v>6.15E8</v>
      </c>
      <c r="H1888" s="1">
        <v>1.391E9</v>
      </c>
      <c r="I1888" s="1">
        <v>2.482E9</v>
      </c>
      <c r="J1888" s="1">
        <v>9.92E8</v>
      </c>
      <c r="K1888" s="1">
        <v>9.92E8</v>
      </c>
      <c r="L1888" s="1">
        <v>-2.59E8</v>
      </c>
      <c r="M1888" s="1">
        <v>3.8E7</v>
      </c>
      <c r="N1888" s="1">
        <v>6.116E9</v>
      </c>
      <c r="O1888" s="1">
        <v>5.124E9</v>
      </c>
      <c r="P1888" s="1">
        <v>3.634E9</v>
      </c>
      <c r="Q1888" s="1">
        <v>-3.3E8</v>
      </c>
      <c r="R1888" s="1">
        <v>6.24E8</v>
      </c>
      <c r="S1888" s="1">
        <v>6.15E8</v>
      </c>
    </row>
    <row r="1889">
      <c r="A1889" s="1">
        <v>1887.0</v>
      </c>
      <c r="B1889" s="11">
        <v>44012.0</v>
      </c>
      <c r="C1889" s="1" t="s">
        <v>978</v>
      </c>
      <c r="D1889" s="1" t="s">
        <v>979</v>
      </c>
      <c r="F1889" s="1">
        <v>9.25E8</v>
      </c>
      <c r="G1889" s="1">
        <v>4.81E8</v>
      </c>
      <c r="H1889" s="1">
        <v>1.24E9</v>
      </c>
      <c r="I1889" s="1">
        <v>2.79E9</v>
      </c>
      <c r="J1889" s="1">
        <v>1.451E9</v>
      </c>
      <c r="K1889" s="1">
        <v>1.451E9</v>
      </c>
      <c r="L1889" s="1">
        <v>-2.63E8</v>
      </c>
      <c r="M1889" s="1">
        <v>2.02E8</v>
      </c>
      <c r="N1889" s="1">
        <v>6.275E9</v>
      </c>
      <c r="O1889" s="1">
        <v>4.824E9</v>
      </c>
      <c r="P1889" s="1">
        <v>3.485E9</v>
      </c>
      <c r="Q1889" s="1">
        <v>-5.26E8</v>
      </c>
      <c r="R1889" s="1">
        <v>7.23E8</v>
      </c>
      <c r="S1889" s="1">
        <v>4.81E8</v>
      </c>
    </row>
    <row r="1890">
      <c r="A1890" s="1">
        <v>1888.0</v>
      </c>
      <c r="B1890" s="11">
        <v>44377.0</v>
      </c>
      <c r="C1890" s="1" t="s">
        <v>980</v>
      </c>
      <c r="D1890" s="1" t="s">
        <v>981</v>
      </c>
      <c r="E1890" s="1">
        <v>1.438E8</v>
      </c>
      <c r="F1890" s="1">
        <v>-2.191E8</v>
      </c>
      <c r="G1890" s="1">
        <v>-2.792E8</v>
      </c>
      <c r="H1890" s="1">
        <v>9.814E8</v>
      </c>
      <c r="I1890" s="1">
        <v>1.9841E9</v>
      </c>
      <c r="J1890" s="1">
        <v>8.589E8</v>
      </c>
      <c r="K1890" s="1">
        <v>8.589E8</v>
      </c>
      <c r="L1890" s="1">
        <v>-1.671E8</v>
      </c>
      <c r="M1890" s="1">
        <v>6.01E7</v>
      </c>
      <c r="N1890" s="1">
        <v>4.5778E9</v>
      </c>
      <c r="O1890" s="1">
        <v>3.7189E9</v>
      </c>
      <c r="P1890" s="1">
        <v>2.5937E9</v>
      </c>
      <c r="Q1890" s="1">
        <v>-1.078E9</v>
      </c>
      <c r="R1890" s="1">
        <v>-2.792E8</v>
      </c>
      <c r="S1890" s="1">
        <v>-2.792E8</v>
      </c>
    </row>
    <row r="1891">
      <c r="A1891" s="1">
        <v>1889.0</v>
      </c>
      <c r="B1891" s="11">
        <v>44286.0</v>
      </c>
      <c r="C1891" s="1" t="s">
        <v>980</v>
      </c>
      <c r="D1891" s="1" t="s">
        <v>981</v>
      </c>
      <c r="E1891" s="1">
        <v>1.63E8</v>
      </c>
      <c r="F1891" s="1">
        <v>-4.413E8</v>
      </c>
      <c r="G1891" s="1">
        <v>-1.0376E9</v>
      </c>
      <c r="H1891" s="1">
        <v>9.687E8</v>
      </c>
      <c r="I1891" s="1">
        <v>1.8607E9</v>
      </c>
      <c r="J1891" s="1">
        <v>7.29E8</v>
      </c>
      <c r="K1891" s="1">
        <v>7.29E8</v>
      </c>
      <c r="L1891" s="1">
        <v>-1.69E8</v>
      </c>
      <c r="M1891" s="1">
        <v>5.963E8</v>
      </c>
      <c r="N1891" s="1">
        <v>4.4303E9</v>
      </c>
      <c r="O1891" s="1">
        <v>3.7013E9</v>
      </c>
      <c r="P1891" s="1">
        <v>2.5696E9</v>
      </c>
      <c r="Q1891" s="1">
        <v>-1.1703E9</v>
      </c>
      <c r="R1891" s="1">
        <v>-1.0376E9</v>
      </c>
      <c r="S1891" s="1">
        <v>-1.0376E9</v>
      </c>
    </row>
    <row r="1892">
      <c r="A1892" s="1">
        <v>1890.0</v>
      </c>
      <c r="B1892" s="11">
        <v>44196.0</v>
      </c>
      <c r="C1892" s="1" t="s">
        <v>980</v>
      </c>
      <c r="D1892" s="1" t="s">
        <v>981</v>
      </c>
      <c r="E1892" s="1">
        <v>1.533E8</v>
      </c>
      <c r="F1892" s="1">
        <v>-1.0135E9</v>
      </c>
      <c r="G1892" s="1">
        <v>-9.158E8</v>
      </c>
      <c r="H1892" s="1">
        <v>1.3587E9</v>
      </c>
      <c r="I1892" s="1">
        <v>1.3613E9</v>
      </c>
      <c r="J1892" s="1">
        <v>-1.507E8</v>
      </c>
      <c r="K1892" s="1">
        <v>-1.507E8</v>
      </c>
      <c r="L1892" s="1">
        <v>-1.444E8</v>
      </c>
      <c r="M1892" s="1">
        <v>-9.77E7</v>
      </c>
      <c r="N1892" s="1">
        <v>3.6235E9</v>
      </c>
      <c r="O1892" s="1">
        <v>3.7742E9</v>
      </c>
      <c r="P1892" s="1">
        <v>2.2622E9</v>
      </c>
      <c r="Q1892" s="1">
        <v>-8.628E8</v>
      </c>
      <c r="R1892" s="1">
        <v>-9.158E8</v>
      </c>
      <c r="S1892" s="1">
        <v>-9.158E8</v>
      </c>
    </row>
    <row r="1893">
      <c r="A1893" s="1">
        <v>1891.0</v>
      </c>
      <c r="B1893" s="11">
        <v>44104.0</v>
      </c>
      <c r="C1893" s="1" t="s">
        <v>980</v>
      </c>
      <c r="D1893" s="1" t="s">
        <v>981</v>
      </c>
      <c r="E1893" s="1">
        <v>1.26E8</v>
      </c>
      <c r="F1893" s="1">
        <v>2.416E8</v>
      </c>
      <c r="G1893" s="1">
        <v>1.857E8</v>
      </c>
      <c r="H1893" s="1">
        <v>6.152E8</v>
      </c>
      <c r="I1893" s="1">
        <v>1.2602E9</v>
      </c>
      <c r="J1893" s="1">
        <v>5.19E8</v>
      </c>
      <c r="K1893" s="1">
        <v>5.19E8</v>
      </c>
      <c r="L1893" s="1">
        <v>-1.173E8</v>
      </c>
      <c r="M1893" s="1">
        <v>5.59E7</v>
      </c>
      <c r="N1893" s="1">
        <v>2.9721E9</v>
      </c>
      <c r="O1893" s="1">
        <v>2.4531E9</v>
      </c>
      <c r="P1893" s="1">
        <v>1.7119E9</v>
      </c>
      <c r="Q1893" s="1">
        <v>-2.774E8</v>
      </c>
      <c r="R1893" s="1">
        <v>1.857E8</v>
      </c>
      <c r="S1893" s="1">
        <v>1.857E8</v>
      </c>
    </row>
    <row r="1894">
      <c r="A1894" s="1">
        <v>1892.0</v>
      </c>
      <c r="B1894" s="11">
        <v>44377.0</v>
      </c>
      <c r="C1894" s="1" t="s">
        <v>982</v>
      </c>
      <c r="D1894" s="1" t="s">
        <v>983</v>
      </c>
      <c r="F1894" s="1">
        <v>4.389E9</v>
      </c>
      <c r="G1894" s="1">
        <v>2.575E9</v>
      </c>
      <c r="H1894" s="1">
        <v>1.678E9</v>
      </c>
      <c r="I1894" s="1">
        <v>5.944E9</v>
      </c>
      <c r="J1894" s="1">
        <v>4.062E9</v>
      </c>
      <c r="K1894" s="1">
        <v>4.062E9</v>
      </c>
      <c r="L1894" s="1">
        <v>-1.31E8</v>
      </c>
      <c r="M1894" s="1">
        <v>1.814E9</v>
      </c>
      <c r="N1894" s="1">
        <v>6.13E9</v>
      </c>
      <c r="O1894" s="1">
        <v>2.068E9</v>
      </c>
      <c r="P1894" s="1">
        <v>1.86E8</v>
      </c>
      <c r="Q1894" s="1">
        <v>3.27E8</v>
      </c>
      <c r="R1894" s="1">
        <v>2.575E9</v>
      </c>
      <c r="S1894" s="1">
        <v>2.515E9</v>
      </c>
    </row>
    <row r="1895">
      <c r="A1895" s="1">
        <v>1893.0</v>
      </c>
      <c r="B1895" s="11">
        <v>44286.0</v>
      </c>
      <c r="C1895" s="1" t="s">
        <v>982</v>
      </c>
      <c r="D1895" s="1" t="s">
        <v>983</v>
      </c>
      <c r="F1895" s="1">
        <v>3.628E9</v>
      </c>
      <c r="G1895" s="1">
        <v>3.026E9</v>
      </c>
      <c r="H1895" s="1">
        <v>1.613E9</v>
      </c>
      <c r="I1895" s="1">
        <v>5.55E9</v>
      </c>
      <c r="J1895" s="1">
        <v>3.584E9</v>
      </c>
      <c r="K1895" s="1">
        <v>3.584E9</v>
      </c>
      <c r="L1895" s="1">
        <v>-1.21E8</v>
      </c>
      <c r="M1895" s="1">
        <v>6.02E8</v>
      </c>
      <c r="N1895" s="1">
        <v>5.729E9</v>
      </c>
      <c r="O1895" s="1">
        <v>2.145E9</v>
      </c>
      <c r="P1895" s="1">
        <v>1.79E8</v>
      </c>
      <c r="Q1895" s="1">
        <v>4.4E7</v>
      </c>
      <c r="R1895" s="1">
        <v>3.026E9</v>
      </c>
      <c r="S1895" s="1">
        <v>2.951E9</v>
      </c>
    </row>
    <row r="1896">
      <c r="A1896" s="1">
        <v>1894.0</v>
      </c>
      <c r="B1896" s="11">
        <v>44196.0</v>
      </c>
      <c r="C1896" s="1" t="s">
        <v>982</v>
      </c>
      <c r="D1896" s="1" t="s">
        <v>983</v>
      </c>
      <c r="F1896" s="1">
        <v>3.748E9</v>
      </c>
      <c r="G1896" s="1">
        <v>3.126E9</v>
      </c>
      <c r="H1896" s="1">
        <v>1.472E9</v>
      </c>
      <c r="I1896" s="1">
        <v>5.514E9</v>
      </c>
      <c r="J1896" s="1">
        <v>3.845E9</v>
      </c>
      <c r="K1896" s="1">
        <v>3.845E9</v>
      </c>
      <c r="L1896" s="1">
        <v>-1.36E8</v>
      </c>
      <c r="M1896" s="1">
        <v>6.22E8</v>
      </c>
      <c r="N1896" s="1">
        <v>5.687E9</v>
      </c>
      <c r="O1896" s="1">
        <v>1.842E9</v>
      </c>
      <c r="P1896" s="1">
        <v>1.73E8</v>
      </c>
      <c r="Q1896" s="1">
        <v>-9.7E7</v>
      </c>
      <c r="R1896" s="1">
        <v>3.126E9</v>
      </c>
      <c r="S1896" s="1">
        <v>3.038E9</v>
      </c>
    </row>
    <row r="1897">
      <c r="A1897" s="1">
        <v>1895.0</v>
      </c>
      <c r="B1897" s="11">
        <v>44104.0</v>
      </c>
      <c r="C1897" s="1" t="s">
        <v>982</v>
      </c>
      <c r="D1897" s="1" t="s">
        <v>983</v>
      </c>
      <c r="F1897" s="1">
        <v>3.055E9</v>
      </c>
      <c r="G1897" s="1">
        <v>2.137E9</v>
      </c>
      <c r="H1897" s="1">
        <v>1.537E9</v>
      </c>
      <c r="I1897" s="1">
        <v>4.91E9</v>
      </c>
      <c r="J1897" s="1">
        <v>3.177E9</v>
      </c>
      <c r="K1897" s="1">
        <v>3.177E9</v>
      </c>
      <c r="L1897" s="1">
        <v>-1.68E8</v>
      </c>
      <c r="M1897" s="1">
        <v>9.18E8</v>
      </c>
      <c r="N1897" s="1">
        <v>5.101E9</v>
      </c>
      <c r="O1897" s="1">
        <v>1.924E9</v>
      </c>
      <c r="P1897" s="1">
        <v>1.91E8</v>
      </c>
      <c r="Q1897" s="1">
        <v>-1.22E8</v>
      </c>
      <c r="R1897" s="1">
        <v>2.137E9</v>
      </c>
      <c r="S1897" s="1">
        <v>2.06E9</v>
      </c>
    </row>
    <row r="1898">
      <c r="A1898" s="1">
        <v>1896.0</v>
      </c>
      <c r="B1898" s="11">
        <v>44377.0</v>
      </c>
      <c r="C1898" s="1" t="s">
        <v>984</v>
      </c>
      <c r="D1898" s="1" t="s">
        <v>985</v>
      </c>
      <c r="F1898" s="1">
        <v>7.9673E7</v>
      </c>
      <c r="G1898" s="1">
        <v>6.4512E7</v>
      </c>
      <c r="H1898" s="1">
        <v>3.0602E7</v>
      </c>
      <c r="I1898" s="1">
        <v>2.19447E8</v>
      </c>
      <c r="J1898" s="1">
        <v>9.9068E7</v>
      </c>
      <c r="K1898" s="1">
        <v>9.9068E7</v>
      </c>
      <c r="L1898" s="1">
        <v>-5.1894E7</v>
      </c>
      <c r="M1898" s="1">
        <v>2841000.0</v>
      </c>
      <c r="N1898" s="1">
        <v>4.10367E8</v>
      </c>
      <c r="O1898" s="1">
        <v>3.11299E8</v>
      </c>
      <c r="P1898" s="1">
        <v>1.9092E8</v>
      </c>
      <c r="Q1898" s="1">
        <v>-1.9395E7</v>
      </c>
      <c r="R1898" s="1">
        <v>7.6832E7</v>
      </c>
      <c r="S1898" s="1">
        <v>4.8036E7</v>
      </c>
    </row>
    <row r="1899">
      <c r="A1899" s="1">
        <v>1897.0</v>
      </c>
      <c r="B1899" s="11">
        <v>44286.0</v>
      </c>
      <c r="C1899" s="1" t="s">
        <v>984</v>
      </c>
      <c r="D1899" s="1" t="s">
        <v>985</v>
      </c>
      <c r="F1899" s="1">
        <v>2.8977E7</v>
      </c>
      <c r="G1899" s="1">
        <v>2.055E7</v>
      </c>
      <c r="H1899" s="1">
        <v>4.4186E7</v>
      </c>
      <c r="I1899" s="1">
        <v>2.17228E8</v>
      </c>
      <c r="J1899" s="1">
        <v>7.7688E7</v>
      </c>
      <c r="K1899" s="1">
        <v>7.7688E7</v>
      </c>
      <c r="L1899" s="1">
        <v>-5.0064E7</v>
      </c>
      <c r="M1899" s="1">
        <v>1984000.0</v>
      </c>
      <c r="N1899" s="1">
        <v>4.0905E8</v>
      </c>
      <c r="O1899" s="1">
        <v>3.31362E8</v>
      </c>
      <c r="P1899" s="1">
        <v>1.91822E8</v>
      </c>
      <c r="Q1899" s="1">
        <v>-4.8711E7</v>
      </c>
      <c r="R1899" s="1">
        <v>2.6993E7</v>
      </c>
      <c r="S1899" s="1">
        <v>4074000.0</v>
      </c>
    </row>
    <row r="1900">
      <c r="A1900" s="1">
        <v>1898.0</v>
      </c>
      <c r="B1900" s="11">
        <v>44196.0</v>
      </c>
      <c r="C1900" s="1" t="s">
        <v>984</v>
      </c>
      <c r="D1900" s="1" t="s">
        <v>985</v>
      </c>
      <c r="F1900" s="1">
        <v>-2.10527E8</v>
      </c>
      <c r="G1900" s="1">
        <v>-1.94979E8</v>
      </c>
      <c r="H1900" s="1">
        <v>3.9122E7</v>
      </c>
      <c r="I1900" s="1">
        <v>2.21255E8</v>
      </c>
      <c r="J1900" s="1">
        <v>7.5049E7</v>
      </c>
      <c r="K1900" s="1">
        <v>7.5049E7</v>
      </c>
      <c r="L1900" s="1">
        <v>-5.4633E7</v>
      </c>
      <c r="M1900" s="1">
        <v>-1801000.0</v>
      </c>
      <c r="N1900" s="1">
        <v>4.00998E8</v>
      </c>
      <c r="O1900" s="1">
        <v>3.25949E8</v>
      </c>
      <c r="P1900" s="1">
        <v>1.79743E8</v>
      </c>
      <c r="Q1900" s="1">
        <v>-2.85576E8</v>
      </c>
      <c r="R1900" s="1">
        <v>-2.08726E8</v>
      </c>
      <c r="S1900" s="1">
        <v>-2.09142E8</v>
      </c>
    </row>
    <row r="1901">
      <c r="A1901" s="1">
        <v>1899.0</v>
      </c>
      <c r="B1901" s="11">
        <v>44104.0</v>
      </c>
      <c r="C1901" s="1" t="s">
        <v>984</v>
      </c>
      <c r="D1901" s="1" t="s">
        <v>985</v>
      </c>
      <c r="F1901" s="1">
        <v>9.2517E7</v>
      </c>
      <c r="G1901" s="1">
        <v>6.57E7</v>
      </c>
      <c r="H1901" s="1">
        <v>3.2407E7</v>
      </c>
      <c r="I1901" s="1">
        <v>1.94431E8</v>
      </c>
      <c r="J1901" s="1">
        <v>5.5011E7</v>
      </c>
      <c r="K1901" s="1">
        <v>5.5011E7</v>
      </c>
      <c r="L1901" s="1">
        <v>-5.7371E7</v>
      </c>
      <c r="M1901" s="1">
        <v>2.3781E7</v>
      </c>
      <c r="N1901" s="1">
        <v>3.90076E8</v>
      </c>
      <c r="O1901" s="1">
        <v>3.35065E8</v>
      </c>
      <c r="P1901" s="1">
        <v>1.95645E8</v>
      </c>
      <c r="Q1901" s="1">
        <v>3.7506E7</v>
      </c>
      <c r="R1901" s="1">
        <v>6.8736E7</v>
      </c>
      <c r="S1901" s="1">
        <v>5.3155E7</v>
      </c>
    </row>
    <row r="1902">
      <c r="A1902" s="1">
        <v>1900.0</v>
      </c>
      <c r="B1902" s="11">
        <v>44377.0</v>
      </c>
      <c r="C1902" s="1" t="s">
        <v>986</v>
      </c>
      <c r="D1902" s="1" t="s">
        <v>987</v>
      </c>
      <c r="F1902" s="1">
        <v>2.54063E8</v>
      </c>
      <c r="G1902" s="1">
        <v>1.95344E8</v>
      </c>
      <c r="H1902" s="1">
        <v>1.02338E8</v>
      </c>
      <c r="I1902" s="1">
        <v>3.98364E8</v>
      </c>
      <c r="J1902" s="1">
        <v>2.92854E8</v>
      </c>
      <c r="K1902" s="1">
        <v>2.92854E8</v>
      </c>
      <c r="L1902" s="1">
        <v>-4.1696E7</v>
      </c>
      <c r="M1902" s="1">
        <v>5.7283E7</v>
      </c>
      <c r="N1902" s="1">
        <v>1.361047E9</v>
      </c>
      <c r="O1902" s="1">
        <v>1.068193E9</v>
      </c>
      <c r="P1902" s="1">
        <v>9.62683E8</v>
      </c>
      <c r="Q1902" s="1">
        <v>-3.8791E7</v>
      </c>
      <c r="R1902" s="1">
        <v>1.9678E8</v>
      </c>
      <c r="S1902" s="1">
        <v>1.95344E8</v>
      </c>
    </row>
    <row r="1903">
      <c r="A1903" s="1">
        <v>1901.0</v>
      </c>
      <c r="B1903" s="11">
        <v>44286.0</v>
      </c>
      <c r="C1903" s="1" t="s">
        <v>986</v>
      </c>
      <c r="D1903" s="1" t="s">
        <v>987</v>
      </c>
      <c r="F1903" s="1">
        <v>2.22308E8</v>
      </c>
      <c r="G1903" s="1">
        <v>1.60614E8</v>
      </c>
      <c r="H1903" s="1">
        <v>9.0264E7</v>
      </c>
      <c r="I1903" s="1">
        <v>2.29267E8</v>
      </c>
      <c r="J1903" s="1">
        <v>1.33877E8</v>
      </c>
      <c r="K1903" s="1">
        <v>1.33877E8</v>
      </c>
      <c r="L1903" s="1">
        <v>-3.3118E7</v>
      </c>
      <c r="M1903" s="1">
        <v>6.0638E7</v>
      </c>
      <c r="N1903" s="1">
        <v>1.068344E9</v>
      </c>
      <c r="O1903" s="1">
        <v>9.34467E8</v>
      </c>
      <c r="P1903" s="1">
        <v>8.39077E8</v>
      </c>
      <c r="Q1903" s="1">
        <v>8.8431E7</v>
      </c>
      <c r="R1903" s="1">
        <v>1.6167E8</v>
      </c>
      <c r="S1903" s="1">
        <v>1.60614E8</v>
      </c>
    </row>
    <row r="1904">
      <c r="A1904" s="1">
        <v>1902.0</v>
      </c>
      <c r="B1904" s="11">
        <v>44196.0</v>
      </c>
      <c r="C1904" s="1" t="s">
        <v>986</v>
      </c>
      <c r="D1904" s="1" t="s">
        <v>987</v>
      </c>
      <c r="F1904" s="1">
        <v>1.41188E8</v>
      </c>
      <c r="G1904" s="1">
        <v>1.14518E8</v>
      </c>
      <c r="H1904" s="1">
        <v>1.00205E8</v>
      </c>
      <c r="I1904" s="1">
        <v>3.02741E8</v>
      </c>
      <c r="J1904" s="1">
        <v>1.94071E8</v>
      </c>
      <c r="K1904" s="1">
        <v>1.94071E8</v>
      </c>
      <c r="L1904" s="1">
        <v>-3.5451E7</v>
      </c>
      <c r="M1904" s="1">
        <v>2.5273E7</v>
      </c>
      <c r="N1904" s="1">
        <v>1.175119E9</v>
      </c>
      <c r="O1904" s="1">
        <v>9.81048E8</v>
      </c>
      <c r="P1904" s="1">
        <v>8.72378E8</v>
      </c>
      <c r="Q1904" s="1">
        <v>-5.2883E7</v>
      </c>
      <c r="R1904" s="1">
        <v>1.15915E8</v>
      </c>
      <c r="S1904" s="1">
        <v>1.14518E8</v>
      </c>
    </row>
    <row r="1905">
      <c r="A1905" s="1">
        <v>1903.0</v>
      </c>
      <c r="B1905" s="11">
        <v>44104.0</v>
      </c>
      <c r="C1905" s="1" t="s">
        <v>986</v>
      </c>
      <c r="D1905" s="1" t="s">
        <v>987</v>
      </c>
      <c r="F1905" s="1">
        <v>2.58109E8</v>
      </c>
      <c r="G1905" s="1">
        <v>1.99788E8</v>
      </c>
      <c r="H1905" s="1">
        <v>8.5805E7</v>
      </c>
      <c r="I1905" s="1">
        <v>3.80498E8</v>
      </c>
      <c r="J1905" s="1">
        <v>2.92834E8</v>
      </c>
      <c r="K1905" s="1">
        <v>2.92834E8</v>
      </c>
      <c r="L1905" s="1">
        <v>-3.5782E7</v>
      </c>
      <c r="M1905" s="1">
        <v>5.6984E7</v>
      </c>
      <c r="N1905" s="1">
        <v>1.30989E9</v>
      </c>
      <c r="O1905" s="1">
        <v>1.017056E9</v>
      </c>
      <c r="P1905" s="1">
        <v>9.29392E8</v>
      </c>
      <c r="Q1905" s="1">
        <v>-3.4725E7</v>
      </c>
      <c r="R1905" s="1">
        <v>2.01125E8</v>
      </c>
      <c r="S1905" s="1">
        <v>1.99788E8</v>
      </c>
    </row>
    <row r="1906">
      <c r="A1906" s="1">
        <v>1904.0</v>
      </c>
      <c r="B1906" s="11">
        <v>44377.0</v>
      </c>
      <c r="C1906" s="1" t="s">
        <v>988</v>
      </c>
      <c r="D1906" s="1" t="s">
        <v>989</v>
      </c>
      <c r="F1906" s="1">
        <v>2.9994E8</v>
      </c>
      <c r="G1906" s="1">
        <v>2.37238E8</v>
      </c>
      <c r="H1906" s="1">
        <v>1.1429E7</v>
      </c>
      <c r="I1906" s="1">
        <v>9.85741E8</v>
      </c>
      <c r="J1906" s="1">
        <v>3.44814E8</v>
      </c>
      <c r="K1906" s="1">
        <v>3.44814E8</v>
      </c>
      <c r="L1906" s="1">
        <v>-3.8096E7</v>
      </c>
      <c r="M1906" s="1">
        <v>6.2262E7</v>
      </c>
      <c r="N1906" s="1">
        <v>2.296086E9</v>
      </c>
      <c r="O1906" s="1">
        <v>1.951272E9</v>
      </c>
      <c r="P1906" s="1">
        <v>1.310345E9</v>
      </c>
      <c r="Q1906" s="1">
        <v>-4.4874E7</v>
      </c>
      <c r="R1906" s="1">
        <v>2.37678E8</v>
      </c>
      <c r="S1906" s="1">
        <v>2.37238E8</v>
      </c>
    </row>
    <row r="1907">
      <c r="A1907" s="1">
        <v>1905.0</v>
      </c>
      <c r="B1907" s="11">
        <v>44286.0</v>
      </c>
      <c r="C1907" s="1" t="s">
        <v>988</v>
      </c>
      <c r="D1907" s="1" t="s">
        <v>989</v>
      </c>
      <c r="F1907" s="1">
        <v>2.96068E8</v>
      </c>
      <c r="G1907" s="1">
        <v>2.29525E8</v>
      </c>
      <c r="H1907" s="1">
        <v>1.1264E7</v>
      </c>
      <c r="I1907" s="1">
        <v>9.48987E8</v>
      </c>
      <c r="J1907" s="1">
        <v>3.30742E8</v>
      </c>
      <c r="K1907" s="1">
        <v>3.30742E8</v>
      </c>
      <c r="L1907" s="1">
        <v>-3.6651E7</v>
      </c>
      <c r="M1907" s="1">
        <v>6.4352E7</v>
      </c>
      <c r="N1907" s="1">
        <v>2.156869E9</v>
      </c>
      <c r="O1907" s="1">
        <v>1.826127E9</v>
      </c>
      <c r="P1907" s="1">
        <v>1.207882E9</v>
      </c>
      <c r="Q1907" s="1">
        <v>-3.4674E7</v>
      </c>
      <c r="R1907" s="1">
        <v>2.31716E8</v>
      </c>
      <c r="S1907" s="1">
        <v>2.29525E8</v>
      </c>
    </row>
    <row r="1908">
      <c r="A1908" s="1">
        <v>1906.0</v>
      </c>
      <c r="B1908" s="11">
        <v>44196.0</v>
      </c>
      <c r="C1908" s="1" t="s">
        <v>988</v>
      </c>
      <c r="D1908" s="1" t="s">
        <v>989</v>
      </c>
      <c r="F1908" s="1">
        <v>3.99407E8</v>
      </c>
      <c r="G1908" s="1">
        <v>3.1215E8</v>
      </c>
      <c r="H1908" s="1">
        <v>1.1161E7</v>
      </c>
      <c r="I1908" s="1">
        <v>1.07232E9</v>
      </c>
      <c r="J1908" s="1">
        <v>4.67718E8</v>
      </c>
      <c r="K1908" s="1">
        <v>4.67718E8</v>
      </c>
      <c r="L1908" s="1">
        <v>-3.5663E7</v>
      </c>
      <c r="M1908" s="1">
        <v>8.6917E7</v>
      </c>
      <c r="N1908" s="1">
        <v>2.312471E9</v>
      </c>
      <c r="O1908" s="1">
        <v>1.844753E9</v>
      </c>
      <c r="P1908" s="1">
        <v>1.240151E9</v>
      </c>
      <c r="Q1908" s="1">
        <v>-6.8311E7</v>
      </c>
      <c r="R1908" s="1">
        <v>3.1249E8</v>
      </c>
      <c r="S1908" s="1">
        <v>3.1215E8</v>
      </c>
    </row>
    <row r="1909">
      <c r="A1909" s="1">
        <v>1907.0</v>
      </c>
      <c r="B1909" s="11">
        <v>44104.0</v>
      </c>
      <c r="C1909" s="1" t="s">
        <v>988</v>
      </c>
      <c r="D1909" s="1" t="s">
        <v>989</v>
      </c>
      <c r="F1909" s="1">
        <v>2.06414E8</v>
      </c>
      <c r="G1909" s="1">
        <v>1.51678E8</v>
      </c>
      <c r="H1909" s="1">
        <v>1.1016E7</v>
      </c>
      <c r="I1909" s="1">
        <v>8.40151E8</v>
      </c>
      <c r="J1909" s="1">
        <v>2.5126E8</v>
      </c>
      <c r="K1909" s="1">
        <v>2.5126E8</v>
      </c>
      <c r="L1909" s="1">
        <v>-3.9768E7</v>
      </c>
      <c r="M1909" s="1">
        <v>5.4048E7</v>
      </c>
      <c r="N1909" s="1">
        <v>2.039819E9</v>
      </c>
      <c r="O1909" s="1">
        <v>1.788559E9</v>
      </c>
      <c r="P1909" s="1">
        <v>1.199668E9</v>
      </c>
      <c r="Q1909" s="1">
        <v>-4.4846E7</v>
      </c>
      <c r="R1909" s="1">
        <v>1.52366E8</v>
      </c>
      <c r="S1909" s="1">
        <v>1.51678E8</v>
      </c>
    </row>
    <row r="1910">
      <c r="A1910" s="1">
        <v>1908.0</v>
      </c>
      <c r="B1910" s="11">
        <v>44377.0</v>
      </c>
      <c r="C1910" s="1" t="s">
        <v>990</v>
      </c>
      <c r="D1910" s="1" t="s">
        <v>991</v>
      </c>
      <c r="F1910" s="1">
        <v>3.19E8</v>
      </c>
      <c r="G1910" s="1">
        <v>2.25E8</v>
      </c>
      <c r="H1910" s="1">
        <v>7.9E8</v>
      </c>
      <c r="I1910" s="1">
        <v>1.124E9</v>
      </c>
      <c r="J1910" s="1">
        <v>3.34E8</v>
      </c>
      <c r="K1910" s="1">
        <v>3.34E8</v>
      </c>
      <c r="L1910" s="1">
        <v>-2.2E7</v>
      </c>
      <c r="M1910" s="1">
        <v>7.6E7</v>
      </c>
      <c r="N1910" s="1">
        <v>3.207E9</v>
      </c>
      <c r="O1910" s="1">
        <v>2.873E9</v>
      </c>
      <c r="P1910" s="1">
        <v>2.083E9</v>
      </c>
      <c r="Q1910" s="1">
        <v>-1.5E7</v>
      </c>
      <c r="R1910" s="1">
        <v>2.43E8</v>
      </c>
      <c r="S1910" s="1">
        <v>2.25E8</v>
      </c>
    </row>
    <row r="1911">
      <c r="A1911" s="1">
        <v>1909.0</v>
      </c>
      <c r="B1911" s="11">
        <v>44286.0</v>
      </c>
      <c r="C1911" s="1" t="s">
        <v>990</v>
      </c>
      <c r="D1911" s="1" t="s">
        <v>991</v>
      </c>
      <c r="F1911" s="1">
        <v>3.43E8</v>
      </c>
      <c r="G1911" s="1">
        <v>2.38E8</v>
      </c>
      <c r="H1911" s="1">
        <v>7.35E8</v>
      </c>
      <c r="I1911" s="1">
        <v>1.093E9</v>
      </c>
      <c r="J1911" s="1">
        <v>3.58E8</v>
      </c>
      <c r="K1911" s="1">
        <v>3.58E8</v>
      </c>
      <c r="L1911" s="1">
        <v>-2.1E7</v>
      </c>
      <c r="M1911" s="1">
        <v>8.8E7</v>
      </c>
      <c r="N1911" s="1">
        <v>3.084E9</v>
      </c>
      <c r="O1911" s="1">
        <v>2.726E9</v>
      </c>
      <c r="P1911" s="1">
        <v>1.991E9</v>
      </c>
      <c r="Q1911" s="1">
        <v>-1.5E7</v>
      </c>
      <c r="R1911" s="1">
        <v>2.55E8</v>
      </c>
      <c r="S1911" s="1">
        <v>2.38E8</v>
      </c>
    </row>
    <row r="1912">
      <c r="A1912" s="1">
        <v>1910.0</v>
      </c>
      <c r="B1912" s="11">
        <v>44196.0</v>
      </c>
      <c r="C1912" s="1" t="s">
        <v>990</v>
      </c>
      <c r="D1912" s="1" t="s">
        <v>991</v>
      </c>
      <c r="F1912" s="1">
        <v>2.59E8</v>
      </c>
      <c r="G1912" s="1">
        <v>1.68E8</v>
      </c>
      <c r="H1912" s="1">
        <v>6.55E8</v>
      </c>
      <c r="I1912" s="1">
        <v>1.027E9</v>
      </c>
      <c r="J1912" s="1">
        <v>3.12E8</v>
      </c>
      <c r="K1912" s="1">
        <v>3.12E8</v>
      </c>
      <c r="L1912" s="1">
        <v>-2.1E7</v>
      </c>
      <c r="M1912" s="1">
        <v>7.4E7</v>
      </c>
      <c r="N1912" s="1">
        <v>2.941E9</v>
      </c>
      <c r="O1912" s="1">
        <v>2.629E9</v>
      </c>
      <c r="P1912" s="1">
        <v>1.914E9</v>
      </c>
      <c r="Q1912" s="1">
        <v>-5.3E7</v>
      </c>
      <c r="R1912" s="1">
        <v>1.85E8</v>
      </c>
      <c r="S1912" s="1">
        <v>1.68E8</v>
      </c>
    </row>
    <row r="1913">
      <c r="A1913" s="1">
        <v>1911.0</v>
      </c>
      <c r="B1913" s="11">
        <v>44104.0</v>
      </c>
      <c r="C1913" s="1" t="s">
        <v>990</v>
      </c>
      <c r="D1913" s="1" t="s">
        <v>991</v>
      </c>
      <c r="F1913" s="1">
        <v>3.62E8</v>
      </c>
      <c r="G1913" s="1">
        <v>2.4E8</v>
      </c>
      <c r="H1913" s="1">
        <v>7.0E8</v>
      </c>
      <c r="I1913" s="1">
        <v>1.074E9</v>
      </c>
      <c r="J1913" s="1">
        <v>3.74E8</v>
      </c>
      <c r="K1913" s="1">
        <v>3.74E8</v>
      </c>
      <c r="L1913" s="1">
        <v>-2.3E7</v>
      </c>
      <c r="M1913" s="1">
        <v>1.06E8</v>
      </c>
      <c r="N1913" s="1">
        <v>3.018E9</v>
      </c>
      <c r="O1913" s="1">
        <v>2.644E9</v>
      </c>
      <c r="P1913" s="1">
        <v>1.944E9</v>
      </c>
      <c r="Q1913" s="1">
        <v>-1.2E7</v>
      </c>
      <c r="R1913" s="1">
        <v>2.56E8</v>
      </c>
      <c r="S1913" s="1">
        <v>2.4E8</v>
      </c>
    </row>
    <row r="1914">
      <c r="A1914" s="1">
        <v>1912.0</v>
      </c>
      <c r="B1914" s="11">
        <v>44286.0</v>
      </c>
      <c r="C1914" s="1" t="s">
        <v>992</v>
      </c>
      <c r="D1914" s="1" t="s">
        <v>993</v>
      </c>
      <c r="E1914" s="1">
        <v>3.77E7</v>
      </c>
      <c r="F1914" s="1">
        <v>1.582E8</v>
      </c>
      <c r="G1914" s="1">
        <v>1.124E8</v>
      </c>
      <c r="H1914" s="1">
        <v>2.217E8</v>
      </c>
      <c r="I1914" s="1">
        <v>5.382E8</v>
      </c>
      <c r="J1914" s="1">
        <v>2.093E8</v>
      </c>
      <c r="K1914" s="1">
        <v>2.093E8</v>
      </c>
      <c r="L1914" s="1">
        <v>-4.76E7</v>
      </c>
      <c r="M1914" s="1">
        <v>4.35E7</v>
      </c>
      <c r="N1914" s="1">
        <v>1.8302E9</v>
      </c>
      <c r="O1914" s="1">
        <v>1.6209E9</v>
      </c>
      <c r="P1914" s="1">
        <v>1.292E9</v>
      </c>
      <c r="Q1914" s="1">
        <v>-5.11E7</v>
      </c>
      <c r="R1914" s="1">
        <v>1.147E8</v>
      </c>
      <c r="S1914" s="1">
        <v>1.124E8</v>
      </c>
    </row>
    <row r="1915">
      <c r="A1915" s="1">
        <v>1913.0</v>
      </c>
      <c r="B1915" s="11">
        <v>44196.0</v>
      </c>
      <c r="C1915" s="1" t="s">
        <v>992</v>
      </c>
      <c r="D1915" s="1" t="s">
        <v>993</v>
      </c>
      <c r="E1915" s="1">
        <v>3.84E7</v>
      </c>
      <c r="F1915" s="1">
        <v>1.183E8</v>
      </c>
      <c r="G1915" s="1">
        <v>8.79E7</v>
      </c>
      <c r="H1915" s="1">
        <v>2.323E8</v>
      </c>
      <c r="I1915" s="1">
        <v>5.265E8</v>
      </c>
      <c r="J1915" s="1">
        <v>1.85E8</v>
      </c>
      <c r="K1915" s="1">
        <v>1.85E8</v>
      </c>
      <c r="L1915" s="1">
        <v>-4.86E7</v>
      </c>
      <c r="M1915" s="1">
        <v>3.15E7</v>
      </c>
      <c r="N1915" s="1">
        <v>2.0237E9</v>
      </c>
      <c r="O1915" s="1">
        <v>1.8387E9</v>
      </c>
      <c r="P1915" s="1">
        <v>1.4972E9</v>
      </c>
      <c r="Q1915" s="1">
        <v>-6.67E7</v>
      </c>
      <c r="R1915" s="1">
        <v>8.68E7</v>
      </c>
      <c r="S1915" s="1">
        <v>8.77E7</v>
      </c>
    </row>
    <row r="1916">
      <c r="A1916" s="1">
        <v>1914.0</v>
      </c>
      <c r="B1916" s="11">
        <v>44104.0</v>
      </c>
      <c r="C1916" s="1" t="s">
        <v>992</v>
      </c>
      <c r="D1916" s="1" t="s">
        <v>993</v>
      </c>
      <c r="E1916" s="1">
        <v>3.65E7</v>
      </c>
      <c r="F1916" s="1">
        <v>1.754E8</v>
      </c>
      <c r="G1916" s="1">
        <v>1.281E8</v>
      </c>
      <c r="H1916" s="1">
        <v>2.382E8</v>
      </c>
      <c r="I1916" s="1">
        <v>5.712E8</v>
      </c>
      <c r="J1916" s="1">
        <v>2.262E8</v>
      </c>
      <c r="K1916" s="1">
        <v>2.262E8</v>
      </c>
      <c r="L1916" s="1">
        <v>-4.56E7</v>
      </c>
      <c r="M1916" s="1">
        <v>4.69E7</v>
      </c>
      <c r="N1916" s="1">
        <v>1.8651E9</v>
      </c>
      <c r="O1916" s="1">
        <v>1.6389E9</v>
      </c>
      <c r="P1916" s="1">
        <v>1.2939E9</v>
      </c>
      <c r="Q1916" s="1">
        <v>-5.08E7</v>
      </c>
      <c r="R1916" s="1">
        <v>1.285E8</v>
      </c>
      <c r="S1916" s="1">
        <v>1.279E8</v>
      </c>
    </row>
    <row r="1917">
      <c r="A1917" s="1">
        <v>1915.0</v>
      </c>
      <c r="B1917" s="11">
        <v>44012.0</v>
      </c>
      <c r="C1917" s="1" t="s">
        <v>992</v>
      </c>
      <c r="D1917" s="1" t="s">
        <v>993</v>
      </c>
      <c r="E1917" s="1">
        <v>3.82E7</v>
      </c>
      <c r="F1917" s="1">
        <v>1.143E8</v>
      </c>
      <c r="G1917" s="1">
        <v>8.68E7</v>
      </c>
      <c r="H1917" s="1">
        <v>1.875E8</v>
      </c>
      <c r="I1917" s="1">
        <v>5.037E8</v>
      </c>
      <c r="J1917" s="1">
        <v>2.057E8</v>
      </c>
      <c r="K1917" s="1">
        <v>2.057E8</v>
      </c>
      <c r="L1917" s="1">
        <v>-5.14E7</v>
      </c>
      <c r="M1917" s="1">
        <v>2.85E7</v>
      </c>
      <c r="N1917" s="1">
        <v>1.7374E9</v>
      </c>
      <c r="O1917" s="1">
        <v>1.5317E9</v>
      </c>
      <c r="P1917" s="1">
        <v>1.2337E9</v>
      </c>
      <c r="Q1917" s="1">
        <v>-9.14E7</v>
      </c>
      <c r="R1917" s="1">
        <v>8.58E7</v>
      </c>
      <c r="S1917" s="1">
        <v>8.66E7</v>
      </c>
    </row>
    <row r="1918">
      <c r="A1918" s="1">
        <v>1916.0</v>
      </c>
      <c r="B1918" s="11">
        <v>44255.0</v>
      </c>
      <c r="C1918" s="1" t="s">
        <v>994</v>
      </c>
      <c r="D1918" s="1" t="s">
        <v>995</v>
      </c>
      <c r="F1918" s="1">
        <v>9.6E8</v>
      </c>
      <c r="G1918" s="1">
        <v>1.026E9</v>
      </c>
      <c r="H1918" s="1">
        <v>5.997E9</v>
      </c>
      <c r="I1918" s="1">
        <v>6.781E9</v>
      </c>
      <c r="J1918" s="1">
        <v>7.84E8</v>
      </c>
      <c r="K1918" s="1">
        <v>7.84E8</v>
      </c>
      <c r="L1918" s="1">
        <v>-1.37E8</v>
      </c>
      <c r="M1918" s="1">
        <v>4.2E7</v>
      </c>
      <c r="N1918" s="1">
        <v>3.2779E10</v>
      </c>
      <c r="O1918" s="1">
        <v>3.1995E10</v>
      </c>
      <c r="P1918" s="1">
        <v>2.5998E10</v>
      </c>
      <c r="Q1918" s="1">
        <v>1.76E8</v>
      </c>
      <c r="R1918" s="1">
        <v>9.18E8</v>
      </c>
      <c r="S1918" s="1">
        <v>1.026E9</v>
      </c>
    </row>
    <row r="1919">
      <c r="A1919" s="1">
        <v>1917.0</v>
      </c>
      <c r="B1919" s="11">
        <v>44165.0</v>
      </c>
      <c r="C1919" s="1" t="s">
        <v>994</v>
      </c>
      <c r="D1919" s="1" t="s">
        <v>995</v>
      </c>
      <c r="F1919" s="1">
        <v>-5.93E8</v>
      </c>
      <c r="G1919" s="1">
        <v>-3.08E8</v>
      </c>
      <c r="H1919" s="1">
        <v>5.82E9</v>
      </c>
      <c r="I1919" s="1">
        <v>6.63E9</v>
      </c>
      <c r="J1919" s="1">
        <v>8.1E8</v>
      </c>
      <c r="K1919" s="1">
        <v>8.1E8</v>
      </c>
      <c r="L1919" s="1">
        <v>-1.64E8</v>
      </c>
      <c r="M1919" s="1">
        <v>-2.07E8</v>
      </c>
      <c r="N1919" s="1">
        <v>3.1438E10</v>
      </c>
      <c r="O1919" s="1">
        <v>3.0628E10</v>
      </c>
      <c r="P1919" s="1">
        <v>2.4808E10</v>
      </c>
      <c r="Q1919" s="1">
        <v>-1.403E9</v>
      </c>
      <c r="R1919" s="1">
        <v>-3.86E8</v>
      </c>
      <c r="S1919" s="1">
        <v>-3.08E8</v>
      </c>
    </row>
    <row r="1920">
      <c r="A1920" s="1">
        <v>1918.0</v>
      </c>
      <c r="B1920" s="11">
        <v>44074.0</v>
      </c>
      <c r="C1920" s="1" t="s">
        <v>994</v>
      </c>
      <c r="D1920" s="1" t="s">
        <v>995</v>
      </c>
      <c r="F1920" s="1">
        <v>5.65E8</v>
      </c>
      <c r="G1920" s="1">
        <v>3.73E8</v>
      </c>
      <c r="H1920" s="1">
        <v>6.283E9</v>
      </c>
      <c r="I1920" s="1">
        <v>6.803E9</v>
      </c>
      <c r="J1920" s="1">
        <v>5.2E8</v>
      </c>
      <c r="K1920" s="1">
        <v>5.2E8</v>
      </c>
      <c r="L1920" s="1">
        <v>-1.02E8</v>
      </c>
      <c r="M1920" s="1">
        <v>2.08E8</v>
      </c>
      <c r="N1920" s="1">
        <v>3.4746E10</v>
      </c>
      <c r="O1920" s="1">
        <v>3.4226E10</v>
      </c>
      <c r="P1920" s="1">
        <v>2.7943E10</v>
      </c>
      <c r="Q1920" s="1">
        <v>4.5E7</v>
      </c>
      <c r="R1920" s="1">
        <v>3.57E8</v>
      </c>
      <c r="S1920" s="1">
        <v>3.73E8</v>
      </c>
    </row>
    <row r="1921">
      <c r="A1921" s="1">
        <v>1919.0</v>
      </c>
      <c r="B1921" s="11">
        <v>43982.0</v>
      </c>
      <c r="C1921" s="1" t="s">
        <v>994</v>
      </c>
      <c r="D1921" s="1" t="s">
        <v>995</v>
      </c>
      <c r="F1921" s="1">
        <v>-1.766E9</v>
      </c>
      <c r="G1921" s="1">
        <v>-1.708E9</v>
      </c>
      <c r="H1921" s="1">
        <v>6.307E9</v>
      </c>
      <c r="I1921" s="1">
        <v>6.438E9</v>
      </c>
      <c r="J1921" s="1">
        <v>1.31E8</v>
      </c>
      <c r="K1921" s="1">
        <v>1.31E8</v>
      </c>
      <c r="L1921" s="1">
        <v>-1.55E8</v>
      </c>
      <c r="M1921" s="1">
        <v>-4.0E7</v>
      </c>
      <c r="N1921" s="1">
        <v>3.4631E10</v>
      </c>
      <c r="O1921" s="1">
        <v>3.45E10</v>
      </c>
      <c r="P1921" s="1">
        <v>2.8193E10</v>
      </c>
      <c r="Q1921" s="1">
        <v>-1.897E9</v>
      </c>
      <c r="R1921" s="1">
        <v>-1.726E9</v>
      </c>
      <c r="S1921" s="1">
        <v>-1.708E9</v>
      </c>
    </row>
    <row r="1922">
      <c r="A1922" s="1">
        <v>1920.0</v>
      </c>
      <c r="B1922" s="11">
        <v>44408.0</v>
      </c>
      <c r="C1922" s="1" t="s">
        <v>996</v>
      </c>
      <c r="D1922" s="1" t="s">
        <v>997</v>
      </c>
      <c r="F1922" s="1">
        <v>5.923E9</v>
      </c>
      <c r="G1922" s="1">
        <v>4.276E9</v>
      </c>
      <c r="H1922" s="1">
        <v>2.8511E10</v>
      </c>
      <c r="I1922" s="1">
        <v>3.5865E10</v>
      </c>
      <c r="J1922" s="1">
        <v>7.354E9</v>
      </c>
      <c r="K1922" s="1">
        <v>7.354E9</v>
      </c>
      <c r="L1922" s="1">
        <v>-5.15E8</v>
      </c>
      <c r="M1922" s="1">
        <v>1.559E9</v>
      </c>
      <c r="N1922" s="1">
        <v>1.41048E11</v>
      </c>
      <c r="O1922" s="1">
        <v>1.33694E11</v>
      </c>
      <c r="P1922" s="1">
        <v>1.05183E11</v>
      </c>
      <c r="Q1922" s="1">
        <v>-1.431E9</v>
      </c>
      <c r="R1922" s="1">
        <v>4.364E9</v>
      </c>
      <c r="S1922" s="1">
        <v>4.276E9</v>
      </c>
    </row>
    <row r="1923">
      <c r="A1923" s="1">
        <v>1921.0</v>
      </c>
      <c r="B1923" s="11">
        <v>44316.0</v>
      </c>
      <c r="C1923" s="1" t="s">
        <v>996</v>
      </c>
      <c r="D1923" s="1" t="s">
        <v>997</v>
      </c>
      <c r="F1923" s="1">
        <v>3.844E9</v>
      </c>
      <c r="G1923" s="1">
        <v>2.73E9</v>
      </c>
      <c r="H1923" s="1">
        <v>2.8129E10</v>
      </c>
      <c r="I1923" s="1">
        <v>3.5038E10</v>
      </c>
      <c r="J1923" s="1">
        <v>6.909E9</v>
      </c>
      <c r="K1923" s="1">
        <v>6.909E9</v>
      </c>
      <c r="L1923" s="1">
        <v>-5.66E8</v>
      </c>
      <c r="M1923" s="1">
        <v>1.033E9</v>
      </c>
      <c r="N1923" s="1">
        <v>1.3831E11</v>
      </c>
      <c r="O1923" s="1">
        <v>1.31401E11</v>
      </c>
      <c r="P1923" s="1">
        <v>1.03272E11</v>
      </c>
      <c r="Q1923" s="1">
        <v>-3.065E9</v>
      </c>
      <c r="R1923" s="1">
        <v>2.811E9</v>
      </c>
      <c r="S1923" s="1">
        <v>2.73E9</v>
      </c>
    </row>
    <row r="1924">
      <c r="A1924" s="1">
        <v>1922.0</v>
      </c>
      <c r="B1924" s="11">
        <v>44227.0</v>
      </c>
      <c r="C1924" s="1" t="s">
        <v>996</v>
      </c>
      <c r="D1924" s="1" t="s">
        <v>997</v>
      </c>
      <c r="F1924" s="1">
        <v>-5.93E8</v>
      </c>
      <c r="G1924" s="1">
        <v>-2.091E9</v>
      </c>
      <c r="H1924" s="1">
        <v>3.0331E10</v>
      </c>
      <c r="I1924" s="1">
        <v>3.6818E10</v>
      </c>
      <c r="J1924" s="1">
        <v>6.487E9</v>
      </c>
      <c r="K1924" s="1">
        <v>6.487E9</v>
      </c>
      <c r="L1924" s="1">
        <v>-5.24E8</v>
      </c>
      <c r="M1924" s="1">
        <v>1.415E9</v>
      </c>
      <c r="N1924" s="1">
        <v>1.52079E11</v>
      </c>
      <c r="O1924" s="1">
        <v>1.45592E11</v>
      </c>
      <c r="P1924" s="1">
        <v>1.15261E11</v>
      </c>
      <c r="Q1924" s="1">
        <v>-7.08E9</v>
      </c>
      <c r="R1924" s="1">
        <v>-2.008E9</v>
      </c>
      <c r="S1924" s="1">
        <v>-2.091E9</v>
      </c>
    </row>
    <row r="1925">
      <c r="A1925" s="1">
        <v>1923.0</v>
      </c>
      <c r="B1925" s="11">
        <v>44135.0</v>
      </c>
      <c r="C1925" s="1" t="s">
        <v>996</v>
      </c>
      <c r="D1925" s="1" t="s">
        <v>997</v>
      </c>
      <c r="F1925" s="1">
        <v>7.115E9</v>
      </c>
      <c r="G1925" s="1">
        <v>5.135E9</v>
      </c>
      <c r="H1925" s="1">
        <v>2.7991E10</v>
      </c>
      <c r="I1925" s="1">
        <v>3.4369E10</v>
      </c>
      <c r="J1925" s="1">
        <v>6.378E9</v>
      </c>
      <c r="K1925" s="1">
        <v>6.378E9</v>
      </c>
      <c r="L1925" s="1">
        <v>-5.41E8</v>
      </c>
      <c r="M1925" s="1">
        <v>1.914E9</v>
      </c>
      <c r="N1925" s="1">
        <v>1.34708E11</v>
      </c>
      <c r="O1925" s="1">
        <v>1.2833E11</v>
      </c>
      <c r="P1925" s="1">
        <v>1.00339E11</v>
      </c>
      <c r="Q1925" s="1">
        <v>7.37E8</v>
      </c>
      <c r="R1925" s="1">
        <v>5.201E9</v>
      </c>
      <c r="S1925" s="1">
        <v>5.135E9</v>
      </c>
    </row>
    <row r="1926">
      <c r="A1926" s="1">
        <v>1924.0</v>
      </c>
      <c r="B1926" s="11">
        <v>44377.0</v>
      </c>
      <c r="C1926" s="1" t="s">
        <v>998</v>
      </c>
      <c r="D1926" s="1" t="s">
        <v>999</v>
      </c>
      <c r="F1926" s="1">
        <v>4.56E8</v>
      </c>
      <c r="G1926" s="1">
        <v>3.51E8</v>
      </c>
      <c r="H1926" s="1">
        <v>4.45E8</v>
      </c>
      <c r="I1926" s="1">
        <v>1.74E9</v>
      </c>
      <c r="J1926" s="1">
        <v>7.95E8</v>
      </c>
      <c r="K1926" s="1">
        <v>7.95E8</v>
      </c>
      <c r="L1926" s="1">
        <v>-9.8E7</v>
      </c>
      <c r="M1926" s="1">
        <v>1.05E8</v>
      </c>
      <c r="N1926" s="1">
        <v>4.476E9</v>
      </c>
      <c r="O1926" s="1">
        <v>3.681E9</v>
      </c>
      <c r="P1926" s="1">
        <v>2.736E9</v>
      </c>
      <c r="Q1926" s="1">
        <v>-3.39E8</v>
      </c>
      <c r="R1926" s="1">
        <v>3.51E8</v>
      </c>
      <c r="S1926" s="1">
        <v>3.51E8</v>
      </c>
    </row>
    <row r="1927">
      <c r="A1927" s="1">
        <v>1925.0</v>
      </c>
      <c r="B1927" s="11">
        <v>44286.0</v>
      </c>
      <c r="C1927" s="1" t="s">
        <v>998</v>
      </c>
      <c r="D1927" s="1" t="s">
        <v>999</v>
      </c>
      <c r="F1927" s="1">
        <v>5.45E8</v>
      </c>
      <c r="G1927" s="1">
        <v>4.21E8</v>
      </c>
      <c r="H1927" s="1">
        <v>4.58E8</v>
      </c>
      <c r="I1927" s="1">
        <v>1.598E9</v>
      </c>
      <c r="J1927" s="1">
        <v>6.68E8</v>
      </c>
      <c r="K1927" s="1">
        <v>6.68E8</v>
      </c>
      <c r="L1927" s="1">
        <v>-9.7E7</v>
      </c>
      <c r="M1927" s="1">
        <v>1.24E8</v>
      </c>
      <c r="N1927" s="1">
        <v>4.112E9</v>
      </c>
      <c r="O1927" s="1">
        <v>3.444E9</v>
      </c>
      <c r="P1927" s="1">
        <v>2.514E9</v>
      </c>
      <c r="Q1927" s="1">
        <v>-1.23E8</v>
      </c>
      <c r="R1927" s="1">
        <v>4.21E8</v>
      </c>
      <c r="S1927" s="1">
        <v>4.21E8</v>
      </c>
    </row>
    <row r="1928">
      <c r="A1928" s="1">
        <v>1926.0</v>
      </c>
      <c r="B1928" s="11">
        <v>44196.0</v>
      </c>
      <c r="C1928" s="1" t="s">
        <v>998</v>
      </c>
      <c r="D1928" s="1" t="s">
        <v>999</v>
      </c>
      <c r="F1928" s="1">
        <v>5.47E8</v>
      </c>
      <c r="G1928" s="1">
        <v>4.38E8</v>
      </c>
      <c r="H1928" s="1">
        <v>3.6E8</v>
      </c>
      <c r="I1928" s="1">
        <v>1.567E9</v>
      </c>
      <c r="J1928" s="1">
        <v>7.71E8</v>
      </c>
      <c r="K1928" s="1">
        <v>7.71E8</v>
      </c>
      <c r="L1928" s="1">
        <v>-9.7E7</v>
      </c>
      <c r="M1928" s="1">
        <v>1.09E8</v>
      </c>
      <c r="N1928" s="1">
        <v>4.067E9</v>
      </c>
      <c r="O1928" s="1">
        <v>3.296E9</v>
      </c>
      <c r="P1928" s="1">
        <v>2.5E9</v>
      </c>
      <c r="Q1928" s="1">
        <v>-2.24E8</v>
      </c>
      <c r="R1928" s="1">
        <v>4.38E8</v>
      </c>
      <c r="S1928" s="1">
        <v>4.38E8</v>
      </c>
    </row>
    <row r="1929">
      <c r="A1929" s="1">
        <v>1927.0</v>
      </c>
      <c r="B1929" s="11">
        <v>44104.0</v>
      </c>
      <c r="C1929" s="1" t="s">
        <v>998</v>
      </c>
      <c r="D1929" s="1" t="s">
        <v>999</v>
      </c>
      <c r="F1929" s="1">
        <v>5.16E8</v>
      </c>
      <c r="G1929" s="1">
        <v>3.9E8</v>
      </c>
      <c r="H1929" s="1">
        <v>4.16E8</v>
      </c>
      <c r="I1929" s="1">
        <v>1.529E9</v>
      </c>
      <c r="J1929" s="1">
        <v>6.94E8</v>
      </c>
      <c r="K1929" s="1">
        <v>6.94E8</v>
      </c>
      <c r="L1929" s="1">
        <v>-9.7E7</v>
      </c>
      <c r="M1929" s="1">
        <v>1.26E8</v>
      </c>
      <c r="N1929" s="1">
        <v>3.861E9</v>
      </c>
      <c r="O1929" s="1">
        <v>3.167E9</v>
      </c>
      <c r="P1929" s="1">
        <v>2.332E9</v>
      </c>
      <c r="Q1929" s="1">
        <v>-1.78E8</v>
      </c>
      <c r="R1929" s="1">
        <v>3.9E8</v>
      </c>
      <c r="S1929" s="1">
        <v>3.9E8</v>
      </c>
    </row>
    <row r="1930">
      <c r="A1930" s="1">
        <v>1928.0</v>
      </c>
      <c r="B1930" s="11">
        <v>44380.0</v>
      </c>
      <c r="C1930" s="1" t="s">
        <v>1000</v>
      </c>
      <c r="D1930" s="1" t="s">
        <v>1001</v>
      </c>
      <c r="E1930" s="1">
        <v>4.4949E7</v>
      </c>
      <c r="F1930" s="1">
        <v>1.97414E8</v>
      </c>
      <c r="G1930" s="1">
        <v>1.67292E8</v>
      </c>
      <c r="H1930" s="1">
        <v>1.58163E8</v>
      </c>
      <c r="I1930" s="1">
        <v>4.01393E8</v>
      </c>
      <c r="J1930" s="1">
        <v>1.96472E8</v>
      </c>
      <c r="K1930" s="1">
        <v>1.96472E8</v>
      </c>
      <c r="L1930" s="1">
        <v>-1.2027E7</v>
      </c>
      <c r="M1930" s="1">
        <v>3.0122E7</v>
      </c>
      <c r="N1930" s="1">
        <v>6.81647E8</v>
      </c>
      <c r="O1930" s="1">
        <v>4.85175E8</v>
      </c>
      <c r="P1930" s="1">
        <v>2.80254E8</v>
      </c>
      <c r="Q1930" s="1">
        <v>942000.0</v>
      </c>
      <c r="R1930" s="1">
        <v>1.67292E8</v>
      </c>
      <c r="S1930" s="1">
        <v>1.67292E8</v>
      </c>
    </row>
    <row r="1931">
      <c r="A1931" s="1">
        <v>1929.0</v>
      </c>
      <c r="B1931" s="11">
        <v>44289.0</v>
      </c>
      <c r="C1931" s="1" t="s">
        <v>1000</v>
      </c>
      <c r="D1931" s="1" t="s">
        <v>1001</v>
      </c>
      <c r="E1931" s="1">
        <v>3.8092E7</v>
      </c>
      <c r="F1931" s="1">
        <v>1.73784E8</v>
      </c>
      <c r="G1931" s="1">
        <v>1.48127E8</v>
      </c>
      <c r="H1931" s="1">
        <v>1.43145E8</v>
      </c>
      <c r="I1931" s="1">
        <v>3.54398E8</v>
      </c>
      <c r="J1931" s="1">
        <v>1.71321E8</v>
      </c>
      <c r="K1931" s="1">
        <v>1.71321E8</v>
      </c>
      <c r="L1931" s="1">
        <v>-1.0946E7</v>
      </c>
      <c r="M1931" s="1">
        <v>2.5657E7</v>
      </c>
      <c r="N1931" s="1">
        <v>6.08545E8</v>
      </c>
      <c r="O1931" s="1">
        <v>4.37224E8</v>
      </c>
      <c r="P1931" s="1">
        <v>2.54147E8</v>
      </c>
      <c r="Q1931" s="1">
        <v>2463000.0</v>
      </c>
      <c r="R1931" s="1">
        <v>1.48127E8</v>
      </c>
      <c r="S1931" s="1">
        <v>1.48127E8</v>
      </c>
    </row>
    <row r="1932">
      <c r="A1932" s="1">
        <v>1930.0</v>
      </c>
      <c r="B1932" s="11">
        <v>44196.0</v>
      </c>
      <c r="C1932" s="1" t="s">
        <v>1000</v>
      </c>
      <c r="D1932" s="1" t="s">
        <v>1001</v>
      </c>
      <c r="E1932" s="1">
        <v>3.9662E7</v>
      </c>
      <c r="F1932" s="1">
        <v>2.57251E8</v>
      </c>
      <c r="G1932" s="1">
        <v>2.18311E8</v>
      </c>
      <c r="H1932" s="1">
        <v>1.53179E8</v>
      </c>
      <c r="I1932" s="1">
        <v>4.66089E8</v>
      </c>
      <c r="J1932" s="1">
        <v>2.70561E8</v>
      </c>
      <c r="K1932" s="1">
        <v>2.70561E8</v>
      </c>
      <c r="L1932" s="1">
        <v>-1.1058E7</v>
      </c>
      <c r="M1932" s="1">
        <v>3.894E7</v>
      </c>
      <c r="N1932" s="1">
        <v>7.86658E8</v>
      </c>
      <c r="O1932" s="1">
        <v>5.16097E8</v>
      </c>
      <c r="P1932" s="1">
        <v>3.20569E8</v>
      </c>
      <c r="Q1932" s="1">
        <v>-1.331E7</v>
      </c>
      <c r="R1932" s="1">
        <v>2.18311E8</v>
      </c>
      <c r="S1932" s="1">
        <v>2.18311E8</v>
      </c>
    </row>
    <row r="1933">
      <c r="A1933" s="1">
        <v>1931.0</v>
      </c>
      <c r="B1933" s="11">
        <v>44100.0</v>
      </c>
      <c r="C1933" s="1" t="s">
        <v>1000</v>
      </c>
      <c r="D1933" s="1" t="s">
        <v>1001</v>
      </c>
      <c r="E1933" s="1">
        <v>3.4971E7</v>
      </c>
      <c r="F1933" s="1">
        <v>1.50437E8</v>
      </c>
      <c r="G1933" s="1">
        <v>1.26769E8</v>
      </c>
      <c r="H1933" s="1">
        <v>1.29625E8</v>
      </c>
      <c r="I1933" s="1">
        <v>3.31442E8</v>
      </c>
      <c r="J1933" s="1">
        <v>1.64189E8</v>
      </c>
      <c r="K1933" s="1">
        <v>1.64189E8</v>
      </c>
      <c r="L1933" s="1">
        <v>-1.0915E7</v>
      </c>
      <c r="M1933" s="1">
        <v>2.3668E7</v>
      </c>
      <c r="N1933" s="1">
        <v>5.93784E8</v>
      </c>
      <c r="O1933" s="1">
        <v>4.29595E8</v>
      </c>
      <c r="P1933" s="1">
        <v>2.62342E8</v>
      </c>
      <c r="Q1933" s="1">
        <v>-1.3752E7</v>
      </c>
      <c r="R1933" s="1">
        <v>1.26769E8</v>
      </c>
      <c r="S1933" s="1">
        <v>1.26769E8</v>
      </c>
    </row>
    <row r="1934">
      <c r="A1934" s="1">
        <v>1932.0</v>
      </c>
      <c r="B1934" s="11">
        <v>44377.0</v>
      </c>
      <c r="C1934" s="1" t="s">
        <v>1002</v>
      </c>
      <c r="D1934" s="1" t="s">
        <v>1003</v>
      </c>
      <c r="F1934" s="1">
        <v>3.295E8</v>
      </c>
      <c r="G1934" s="1">
        <v>2.76E8</v>
      </c>
      <c r="H1934" s="1">
        <v>-2.13E7</v>
      </c>
      <c r="I1934" s="1">
        <v>6.865E8</v>
      </c>
      <c r="J1934" s="1">
        <v>3.901E8</v>
      </c>
      <c r="K1934" s="1">
        <v>3.901E8</v>
      </c>
      <c r="L1934" s="1">
        <v>-1.203E8</v>
      </c>
      <c r="M1934" s="1">
        <v>5.41E7</v>
      </c>
      <c r="N1934" s="1">
        <v>1.6762E9</v>
      </c>
      <c r="O1934" s="1">
        <v>1.2861E9</v>
      </c>
      <c r="P1934" s="1">
        <v>9.897E8</v>
      </c>
      <c r="Q1934" s="1">
        <v>-6.06E7</v>
      </c>
      <c r="R1934" s="1">
        <v>2.754E8</v>
      </c>
      <c r="S1934" s="1">
        <v>2.76E8</v>
      </c>
    </row>
    <row r="1935">
      <c r="A1935" s="1">
        <v>1933.0</v>
      </c>
      <c r="B1935" s="11">
        <v>44286.0</v>
      </c>
      <c r="C1935" s="1" t="s">
        <v>1002</v>
      </c>
      <c r="D1935" s="1" t="s">
        <v>1003</v>
      </c>
      <c r="F1935" s="1">
        <v>5.849E8</v>
      </c>
      <c r="G1935" s="1">
        <v>5.101E8</v>
      </c>
      <c r="H1935" s="1">
        <v>-2.33E7</v>
      </c>
      <c r="I1935" s="1">
        <v>9.459E8</v>
      </c>
      <c r="J1935" s="1">
        <v>6.526E8</v>
      </c>
      <c r="K1935" s="1">
        <v>6.526E8</v>
      </c>
      <c r="L1935" s="1">
        <v>-1.198E8</v>
      </c>
      <c r="M1935" s="1">
        <v>7.49E7</v>
      </c>
      <c r="N1935" s="1">
        <v>2.6914E9</v>
      </c>
      <c r="O1935" s="1">
        <v>2.0388E9</v>
      </c>
      <c r="P1935" s="1">
        <v>1.7455E9</v>
      </c>
      <c r="Q1935" s="1">
        <v>-6.77E7</v>
      </c>
      <c r="R1935" s="1">
        <v>5.1E8</v>
      </c>
      <c r="S1935" s="1">
        <v>5.101E8</v>
      </c>
    </row>
    <row r="1936">
      <c r="A1936" s="1">
        <v>1934.0</v>
      </c>
      <c r="B1936" s="11">
        <v>44196.0</v>
      </c>
      <c r="C1936" s="1" t="s">
        <v>1002</v>
      </c>
      <c r="D1936" s="1" t="s">
        <v>1003</v>
      </c>
      <c r="F1936" s="1">
        <v>2.765E8</v>
      </c>
      <c r="G1936" s="1">
        <v>2.39E8</v>
      </c>
      <c r="H1936" s="1">
        <v>1200000.0</v>
      </c>
      <c r="I1936" s="1">
        <v>6.894E8</v>
      </c>
      <c r="J1936" s="1">
        <v>3.875E8</v>
      </c>
      <c r="K1936" s="1">
        <v>3.875E8</v>
      </c>
      <c r="L1936" s="1">
        <v>-1.182E8</v>
      </c>
      <c r="M1936" s="1">
        <v>3.72E7</v>
      </c>
      <c r="N1936" s="1">
        <v>1.9334E9</v>
      </c>
      <c r="O1936" s="1">
        <v>1.5459E9</v>
      </c>
      <c r="P1936" s="1">
        <v>1.244E9</v>
      </c>
      <c r="Q1936" s="1">
        <v>-1.11E8</v>
      </c>
      <c r="R1936" s="1">
        <v>2.393E8</v>
      </c>
      <c r="S1936" s="1">
        <v>2.39E8</v>
      </c>
    </row>
    <row r="1937">
      <c r="A1937" s="1">
        <v>1935.0</v>
      </c>
      <c r="B1937" s="11">
        <v>44104.0</v>
      </c>
      <c r="C1937" s="1" t="s">
        <v>1002</v>
      </c>
      <c r="D1937" s="1" t="s">
        <v>1003</v>
      </c>
      <c r="F1937" s="1">
        <v>3.137E8</v>
      </c>
      <c r="G1937" s="1">
        <v>2.668E8</v>
      </c>
      <c r="H1937" s="1">
        <v>-1.18E7</v>
      </c>
      <c r="I1937" s="1">
        <v>6.695E8</v>
      </c>
      <c r="J1937" s="1">
        <v>3.82E8</v>
      </c>
      <c r="K1937" s="1">
        <v>3.82E8</v>
      </c>
      <c r="L1937" s="1">
        <v>-1.223E8</v>
      </c>
      <c r="M1937" s="1">
        <v>4.69E7</v>
      </c>
      <c r="N1937" s="1">
        <v>1.651E9</v>
      </c>
      <c r="O1937" s="1">
        <v>1.269E9</v>
      </c>
      <c r="P1937" s="1">
        <v>9.815E8</v>
      </c>
      <c r="Q1937" s="1">
        <v>-6.83E7</v>
      </c>
      <c r="R1937" s="1">
        <v>2.668E8</v>
      </c>
      <c r="S1937" s="1">
        <v>2.668E8</v>
      </c>
    </row>
    <row r="1938">
      <c r="A1938" s="1">
        <v>1936.0</v>
      </c>
      <c r="B1938" s="11">
        <v>44377.0</v>
      </c>
      <c r="C1938" s="1" t="s">
        <v>1004</v>
      </c>
      <c r="D1938" s="1" t="s">
        <v>1005</v>
      </c>
      <c r="F1938" s="1">
        <v>8.189E9</v>
      </c>
      <c r="G1938" s="1">
        <v>6.04E9</v>
      </c>
      <c r="H1938" s="1">
        <v>1.195E10</v>
      </c>
      <c r="I1938" s="1">
        <v>2.1493E10</v>
      </c>
      <c r="J1938" s="1">
        <v>0.0</v>
      </c>
      <c r="K1938" s="1">
        <v>8.227E9</v>
      </c>
      <c r="M1938" s="1">
        <v>1.445E9</v>
      </c>
      <c r="N1938" s="1">
        <v>2.1493E10</v>
      </c>
      <c r="O1938" s="1">
        <v>1.3266E10</v>
      </c>
      <c r="P1938" s="1">
        <v>0.0</v>
      </c>
      <c r="Q1938" s="1">
        <v>-3.8E7</v>
      </c>
      <c r="R1938" s="1">
        <v>6.744E9</v>
      </c>
      <c r="S1938" s="1">
        <v>5.743E9</v>
      </c>
    </row>
    <row r="1939">
      <c r="A1939" s="1">
        <v>1937.0</v>
      </c>
      <c r="B1939" s="11">
        <v>44286.0</v>
      </c>
      <c r="C1939" s="1" t="s">
        <v>1004</v>
      </c>
      <c r="D1939" s="1" t="s">
        <v>1005</v>
      </c>
      <c r="F1939" s="1">
        <v>5.591E9</v>
      </c>
      <c r="G1939" s="1">
        <v>4.636E9</v>
      </c>
      <c r="H1939" s="1">
        <v>1.265E10</v>
      </c>
      <c r="I1939" s="1">
        <v>1.958E10</v>
      </c>
      <c r="J1939" s="1">
        <v>0.0</v>
      </c>
      <c r="K1939" s="1">
        <v>5.525E9</v>
      </c>
      <c r="M1939" s="1">
        <v>9.01E8</v>
      </c>
      <c r="N1939" s="1">
        <v>1.958E10</v>
      </c>
      <c r="O1939" s="1">
        <v>1.4055E10</v>
      </c>
      <c r="P1939" s="1">
        <v>0.0</v>
      </c>
      <c r="Q1939" s="1">
        <v>6.6E7</v>
      </c>
      <c r="R1939" s="1">
        <v>4.69E9</v>
      </c>
      <c r="S1939" s="1">
        <v>4.256E9</v>
      </c>
    </row>
    <row r="1940">
      <c r="A1940" s="1">
        <v>1938.0</v>
      </c>
      <c r="B1940" s="11">
        <v>44196.0</v>
      </c>
      <c r="C1940" s="1" t="s">
        <v>1004</v>
      </c>
      <c r="D1940" s="1" t="s">
        <v>1005</v>
      </c>
      <c r="F1940" s="1">
        <v>3.302E9</v>
      </c>
      <c r="G1940" s="1">
        <v>2.992E9</v>
      </c>
      <c r="H1940" s="1">
        <v>1.2641E10</v>
      </c>
      <c r="I1940" s="1">
        <v>1.8175E10</v>
      </c>
      <c r="J1940" s="1">
        <v>0.0</v>
      </c>
      <c r="K1940" s="1">
        <v>4.083E9</v>
      </c>
      <c r="M1940" s="1">
        <v>1.08E8</v>
      </c>
      <c r="N1940" s="1">
        <v>1.8175E10</v>
      </c>
      <c r="O1940" s="1">
        <v>1.4092E10</v>
      </c>
      <c r="P1940" s="1">
        <v>0.0</v>
      </c>
      <c r="Q1940" s="1">
        <v>-7.81E8</v>
      </c>
      <c r="R1940" s="1">
        <v>3.194E9</v>
      </c>
      <c r="S1940" s="1">
        <v>2.642E9</v>
      </c>
    </row>
    <row r="1941">
      <c r="A1941" s="1">
        <v>1939.0</v>
      </c>
      <c r="B1941" s="11">
        <v>44104.0</v>
      </c>
      <c r="C1941" s="1" t="s">
        <v>1004</v>
      </c>
      <c r="D1941" s="1" t="s">
        <v>1005</v>
      </c>
      <c r="F1941" s="1">
        <v>2.864E9</v>
      </c>
      <c r="G1941" s="1">
        <v>2.035E9</v>
      </c>
      <c r="H1941" s="1">
        <v>1.2461E10</v>
      </c>
      <c r="I1941" s="1">
        <v>1.81E10</v>
      </c>
      <c r="J1941" s="1">
        <v>0.0</v>
      </c>
      <c r="K1941" s="1">
        <v>3.589E9</v>
      </c>
      <c r="M1941" s="1">
        <v>6.45E8</v>
      </c>
      <c r="N1941" s="1">
        <v>1.81E10</v>
      </c>
      <c r="O1941" s="1">
        <v>1.4511E10</v>
      </c>
      <c r="P1941" s="1">
        <v>0.0</v>
      </c>
      <c r="Q1941" s="1">
        <v>-7.25E8</v>
      </c>
      <c r="R1941" s="1">
        <v>2.219E9</v>
      </c>
      <c r="S1941" s="1">
        <v>1.72E9</v>
      </c>
    </row>
    <row r="1942">
      <c r="A1942" s="1">
        <v>1940.0</v>
      </c>
      <c r="B1942" s="11">
        <v>44377.0</v>
      </c>
      <c r="C1942" s="1" t="s">
        <v>1006</v>
      </c>
      <c r="D1942" s="1" t="s">
        <v>1007</v>
      </c>
      <c r="F1942" s="1">
        <v>4.3536E7</v>
      </c>
      <c r="G1942" s="1">
        <v>2.6257E7</v>
      </c>
      <c r="H1942" s="1">
        <v>3.1436E7</v>
      </c>
      <c r="I1942" s="1">
        <v>4.90603E8</v>
      </c>
      <c r="J1942" s="1">
        <v>2.18282E8</v>
      </c>
      <c r="K1942" s="1">
        <v>2.18282E8</v>
      </c>
      <c r="L1942" s="1">
        <v>-1.22341E8</v>
      </c>
      <c r="M1942" s="1">
        <v>-2221000.0</v>
      </c>
      <c r="N1942" s="1">
        <v>1.140992E9</v>
      </c>
      <c r="O1942" s="1">
        <v>9.2271E8</v>
      </c>
      <c r="P1942" s="1">
        <v>6.50389E8</v>
      </c>
      <c r="Q1942" s="1">
        <v>-1.74746E8</v>
      </c>
      <c r="R1942" s="1">
        <v>4.5757E7</v>
      </c>
      <c r="S1942" s="1">
        <v>2.6257E7</v>
      </c>
    </row>
    <row r="1943">
      <c r="A1943" s="1">
        <v>1941.0</v>
      </c>
      <c r="B1943" s="11">
        <v>44286.0</v>
      </c>
      <c r="C1943" s="1" t="s">
        <v>1006</v>
      </c>
      <c r="D1943" s="1" t="s">
        <v>1007</v>
      </c>
      <c r="F1943" s="1">
        <v>7.6135E7</v>
      </c>
      <c r="G1943" s="1">
        <v>7.1546E7</v>
      </c>
      <c r="H1943" s="1">
        <v>2.9926E7</v>
      </c>
      <c r="I1943" s="1">
        <v>4.12149E8</v>
      </c>
      <c r="J1943" s="1">
        <v>1.37797E8</v>
      </c>
      <c r="K1943" s="1">
        <v>1.37797E8</v>
      </c>
      <c r="L1943" s="1">
        <v>-1.23142E8</v>
      </c>
      <c r="M1943" s="1">
        <v>3943000.0</v>
      </c>
      <c r="N1943" s="1">
        <v>1.052062E9</v>
      </c>
      <c r="O1943" s="1">
        <v>9.14265E8</v>
      </c>
      <c r="P1943" s="1">
        <v>6.39913E8</v>
      </c>
      <c r="Q1943" s="1">
        <v>-6.1662E7</v>
      </c>
      <c r="R1943" s="1">
        <v>7.2192E7</v>
      </c>
      <c r="S1943" s="1">
        <v>7.1546E7</v>
      </c>
    </row>
    <row r="1944">
      <c r="A1944" s="1">
        <v>1942.0</v>
      </c>
      <c r="B1944" s="11">
        <v>44196.0</v>
      </c>
      <c r="C1944" s="1" t="s">
        <v>1006</v>
      </c>
      <c r="D1944" s="1" t="s">
        <v>1007</v>
      </c>
      <c r="F1944" s="1">
        <v>1.55568E8</v>
      </c>
      <c r="G1944" s="1">
        <v>1.63729E8</v>
      </c>
      <c r="H1944" s="1">
        <v>2.7848E7</v>
      </c>
      <c r="I1944" s="1">
        <v>4.19534E8</v>
      </c>
      <c r="J1944" s="1">
        <v>1.48953E8</v>
      </c>
      <c r="K1944" s="1">
        <v>1.48953E8</v>
      </c>
      <c r="L1944" s="1">
        <v>-1.21173E8</v>
      </c>
      <c r="M1944" s="1">
        <v>290000.0</v>
      </c>
      <c r="N1944" s="1">
        <v>1.122016E9</v>
      </c>
      <c r="O1944" s="1">
        <v>9.73063E8</v>
      </c>
      <c r="P1944" s="1">
        <v>7.02482E8</v>
      </c>
      <c r="Q1944" s="1">
        <v>6615000.0</v>
      </c>
      <c r="R1944" s="1">
        <v>1.55278E8</v>
      </c>
      <c r="S1944" s="1">
        <v>1.63729E8</v>
      </c>
    </row>
    <row r="1945">
      <c r="A1945" s="1">
        <v>1943.0</v>
      </c>
      <c r="B1945" s="11">
        <v>44104.0</v>
      </c>
      <c r="C1945" s="1" t="s">
        <v>1006</v>
      </c>
      <c r="D1945" s="1" t="s">
        <v>1007</v>
      </c>
      <c r="F1945" s="1">
        <v>3.96981E8</v>
      </c>
      <c r="G1945" s="1">
        <v>3.25585E8</v>
      </c>
      <c r="H1945" s="1">
        <v>3.1003E7</v>
      </c>
      <c r="I1945" s="1">
        <v>4.17492E8</v>
      </c>
      <c r="J1945" s="1">
        <v>1.30957E8</v>
      </c>
      <c r="K1945" s="1">
        <v>1.30957E8</v>
      </c>
      <c r="L1945" s="1">
        <v>-1.24851E8</v>
      </c>
      <c r="M1945" s="1">
        <v>2003000.0</v>
      </c>
      <c r="N1945" s="1">
        <v>1.036874E9</v>
      </c>
      <c r="O1945" s="1">
        <v>9.05917E8</v>
      </c>
      <c r="P1945" s="1">
        <v>6.19382E8</v>
      </c>
      <c r="Q1945" s="1">
        <v>2.66024E8</v>
      </c>
      <c r="R1945" s="1">
        <v>3.94978E8</v>
      </c>
      <c r="S1945" s="1">
        <v>3.25585E8</v>
      </c>
    </row>
    <row r="1946">
      <c r="A1946" s="1">
        <v>1944.0</v>
      </c>
      <c r="B1946" s="11">
        <v>44377.0</v>
      </c>
      <c r="C1946" s="1" t="s">
        <v>1008</v>
      </c>
      <c r="D1946" s="1" t="s">
        <v>1009</v>
      </c>
      <c r="E1946" s="1">
        <v>1.38E7</v>
      </c>
      <c r="F1946" s="1">
        <v>2.196E8</v>
      </c>
      <c r="G1946" s="1">
        <v>1.873E8</v>
      </c>
      <c r="H1946" s="1">
        <v>9.14E7</v>
      </c>
      <c r="I1946" s="1">
        <v>3.151E8</v>
      </c>
      <c r="J1946" s="1">
        <v>2.114E8</v>
      </c>
      <c r="K1946" s="1">
        <v>2.114E8</v>
      </c>
      <c r="L1946" s="1">
        <v>-1900000.0</v>
      </c>
      <c r="M1946" s="1">
        <v>3.23E7</v>
      </c>
      <c r="N1946" s="1">
        <v>7.236E8</v>
      </c>
      <c r="O1946" s="1">
        <v>5.122E8</v>
      </c>
      <c r="P1946" s="1">
        <v>4.085E8</v>
      </c>
      <c r="Q1946" s="1">
        <v>8200000.0</v>
      </c>
      <c r="R1946" s="1">
        <v>1.873E8</v>
      </c>
      <c r="S1946" s="1">
        <v>1.873E8</v>
      </c>
    </row>
    <row r="1947">
      <c r="A1947" s="1">
        <v>1945.0</v>
      </c>
      <c r="B1947" s="11">
        <v>44286.0</v>
      </c>
      <c r="C1947" s="1" t="s">
        <v>1008</v>
      </c>
      <c r="D1947" s="1" t="s">
        <v>1009</v>
      </c>
      <c r="E1947" s="1">
        <v>1.22E7</v>
      </c>
      <c r="F1947" s="1">
        <v>1.799E8</v>
      </c>
      <c r="G1947" s="1">
        <v>1.512E8</v>
      </c>
      <c r="H1947" s="1">
        <v>7.92E7</v>
      </c>
      <c r="I1947" s="1">
        <v>2.719E8</v>
      </c>
      <c r="J1947" s="1">
        <v>1.783E8</v>
      </c>
      <c r="K1947" s="1">
        <v>1.783E8</v>
      </c>
      <c r="L1947" s="1">
        <v>-1900000.0</v>
      </c>
      <c r="M1947" s="1">
        <v>2.87E7</v>
      </c>
      <c r="N1947" s="1">
        <v>6.707E8</v>
      </c>
      <c r="O1947" s="1">
        <v>4.924E8</v>
      </c>
      <c r="P1947" s="1">
        <v>3.988E8</v>
      </c>
      <c r="Q1947" s="1">
        <v>1600000.0</v>
      </c>
      <c r="R1947" s="1">
        <v>1.512E8</v>
      </c>
      <c r="S1947" s="1">
        <v>1.512E8</v>
      </c>
    </row>
    <row r="1948">
      <c r="A1948" s="1">
        <v>1946.0</v>
      </c>
      <c r="B1948" s="11">
        <v>44196.0</v>
      </c>
      <c r="C1948" s="1" t="s">
        <v>1008</v>
      </c>
      <c r="D1948" s="1" t="s">
        <v>1009</v>
      </c>
      <c r="E1948" s="1">
        <v>1.29E7</v>
      </c>
      <c r="F1948" s="1">
        <v>1.188E8</v>
      </c>
      <c r="G1948" s="1">
        <v>9.84E7</v>
      </c>
      <c r="H1948" s="1">
        <v>7.53E7</v>
      </c>
      <c r="I1948" s="1">
        <v>2.111E8</v>
      </c>
      <c r="J1948" s="1">
        <v>1.21E8</v>
      </c>
      <c r="K1948" s="1">
        <v>1.21E8</v>
      </c>
      <c r="L1948" s="1">
        <v>-2100000.0</v>
      </c>
      <c r="M1948" s="1">
        <v>2.04E7</v>
      </c>
      <c r="N1948" s="1">
        <v>5.802E8</v>
      </c>
      <c r="O1948" s="1">
        <v>4.592E8</v>
      </c>
      <c r="P1948" s="1">
        <v>3.691E8</v>
      </c>
      <c r="Q1948" s="1">
        <v>-2200000.0</v>
      </c>
      <c r="R1948" s="1">
        <v>9.84E7</v>
      </c>
      <c r="S1948" s="1">
        <v>9.84E7</v>
      </c>
    </row>
    <row r="1949">
      <c r="A1949" s="1">
        <v>1947.0</v>
      </c>
      <c r="B1949" s="11">
        <v>44104.0</v>
      </c>
      <c r="C1949" s="1" t="s">
        <v>1008</v>
      </c>
      <c r="D1949" s="1" t="s">
        <v>1009</v>
      </c>
      <c r="E1949" s="1">
        <v>1.25E7</v>
      </c>
      <c r="F1949" s="1">
        <v>1.034E8</v>
      </c>
      <c r="G1949" s="1">
        <v>8.23E7</v>
      </c>
      <c r="H1949" s="1">
        <v>7.59E7</v>
      </c>
      <c r="I1949" s="1">
        <v>1.946E8</v>
      </c>
      <c r="J1949" s="1">
        <v>1.067E8</v>
      </c>
      <c r="K1949" s="1">
        <v>1.067E8</v>
      </c>
      <c r="L1949" s="1">
        <v>-2100000.0</v>
      </c>
      <c r="M1949" s="1">
        <v>2.11E7</v>
      </c>
      <c r="N1949" s="1">
        <v>5.48E8</v>
      </c>
      <c r="O1949" s="1">
        <v>4.413E8</v>
      </c>
      <c r="P1949" s="1">
        <v>3.534E8</v>
      </c>
      <c r="Q1949" s="1">
        <v>-3300000.0</v>
      </c>
      <c r="R1949" s="1">
        <v>8.23E7</v>
      </c>
      <c r="S1949" s="1">
        <v>8.23E7</v>
      </c>
    </row>
    <row r="1950">
      <c r="A1950" s="1">
        <v>1948.0</v>
      </c>
      <c r="B1950" s="11">
        <v>44288.0</v>
      </c>
      <c r="C1950" s="1" t="s">
        <v>1010</v>
      </c>
      <c r="D1950" s="1" t="s">
        <v>1011</v>
      </c>
      <c r="E1950" s="1">
        <v>5.55E8</v>
      </c>
      <c r="F1950" s="1">
        <v>2.49E8</v>
      </c>
      <c r="G1950" s="1">
        <v>1.97E8</v>
      </c>
      <c r="H1950" s="1">
        <v>2.87E8</v>
      </c>
      <c r="I1950" s="1">
        <v>1.124E9</v>
      </c>
      <c r="J1950" s="1">
        <v>2.82E8</v>
      </c>
      <c r="K1950" s="1">
        <v>2.82E8</v>
      </c>
      <c r="L1950" s="1">
        <v>-8.1E7</v>
      </c>
      <c r="M1950" s="1">
        <v>5.2E7</v>
      </c>
      <c r="N1950" s="1">
        <v>4.137E9</v>
      </c>
      <c r="O1950" s="1">
        <v>3.855E9</v>
      </c>
      <c r="P1950" s="1">
        <v>3.013E9</v>
      </c>
      <c r="Q1950" s="1">
        <v>-3.3E7</v>
      </c>
      <c r="R1950" s="1">
        <v>1.97E8</v>
      </c>
      <c r="S1950" s="1">
        <v>1.97E8</v>
      </c>
    </row>
    <row r="1951">
      <c r="A1951" s="1">
        <v>1949.0</v>
      </c>
      <c r="B1951" s="11">
        <v>44197.0</v>
      </c>
      <c r="C1951" s="1" t="s">
        <v>1010</v>
      </c>
      <c r="D1951" s="1" t="s">
        <v>1011</v>
      </c>
      <c r="E1951" s="1">
        <v>5.35E8</v>
      </c>
      <c r="F1951" s="1">
        <v>8.5E7</v>
      </c>
      <c r="G1951" s="1">
        <v>6.2E7</v>
      </c>
      <c r="H1951" s="1">
        <v>2.65E8</v>
      </c>
      <c r="I1951" s="1">
        <v>9.6E8</v>
      </c>
      <c r="J1951" s="1">
        <v>1.6E8</v>
      </c>
      <c r="K1951" s="1">
        <v>1.6E8</v>
      </c>
      <c r="L1951" s="1">
        <v>-8.1E7</v>
      </c>
      <c r="M1951" s="1">
        <v>2.3E7</v>
      </c>
      <c r="N1951" s="1">
        <v>3.943E9</v>
      </c>
      <c r="O1951" s="1">
        <v>3.783E9</v>
      </c>
      <c r="P1951" s="1">
        <v>2.983E9</v>
      </c>
      <c r="Q1951" s="1">
        <v>-7.5E7</v>
      </c>
      <c r="R1951" s="1">
        <v>6.2E7</v>
      </c>
      <c r="S1951" s="1">
        <v>6.2E7</v>
      </c>
    </row>
    <row r="1952">
      <c r="A1952" s="1">
        <v>1950.0</v>
      </c>
      <c r="B1952" s="11">
        <v>44106.0</v>
      </c>
      <c r="C1952" s="1" t="s">
        <v>1010</v>
      </c>
      <c r="D1952" s="1" t="s">
        <v>1011</v>
      </c>
      <c r="E1952" s="1">
        <v>5.55E8</v>
      </c>
      <c r="F1952" s="1">
        <v>-3000000.0</v>
      </c>
      <c r="G1952" s="1">
        <v>-6.0E7</v>
      </c>
      <c r="H1952" s="1">
        <v>2.56E8</v>
      </c>
      <c r="I1952" s="1">
        <v>8.74E8</v>
      </c>
      <c r="J1952" s="1">
        <v>6.3E7</v>
      </c>
      <c r="K1952" s="1">
        <v>6.3E7</v>
      </c>
      <c r="L1952" s="1">
        <v>-8.4E7</v>
      </c>
      <c r="M1952" s="1">
        <v>5.7E7</v>
      </c>
      <c r="N1952" s="1">
        <v>3.922E9</v>
      </c>
      <c r="O1952" s="1">
        <v>3.859E9</v>
      </c>
      <c r="P1952" s="1">
        <v>3.048E9</v>
      </c>
      <c r="Q1952" s="1">
        <v>-6.6E7</v>
      </c>
      <c r="R1952" s="1">
        <v>-6.0E7</v>
      </c>
      <c r="S1952" s="1">
        <v>-6.0E7</v>
      </c>
    </row>
    <row r="1953">
      <c r="A1953" s="1">
        <v>1951.0</v>
      </c>
      <c r="B1953" s="11">
        <v>44015.0</v>
      </c>
      <c r="C1953" s="1" t="s">
        <v>1010</v>
      </c>
      <c r="D1953" s="1" t="s">
        <v>1011</v>
      </c>
      <c r="E1953" s="1">
        <v>5.46E8</v>
      </c>
      <c r="F1953" s="1">
        <v>1.85E8</v>
      </c>
      <c r="G1953" s="1">
        <v>1.48E8</v>
      </c>
      <c r="H1953" s="1">
        <v>2.68E8</v>
      </c>
      <c r="I1953" s="1">
        <v>1.002E9</v>
      </c>
      <c r="J1953" s="1">
        <v>1.88E8</v>
      </c>
      <c r="K1953" s="1">
        <v>1.88E8</v>
      </c>
      <c r="L1953" s="1">
        <v>-8.7E7</v>
      </c>
      <c r="M1953" s="1">
        <v>3.7E7</v>
      </c>
      <c r="N1953" s="1">
        <v>4.287E9</v>
      </c>
      <c r="O1953" s="1">
        <v>4.099E9</v>
      </c>
      <c r="P1953" s="1">
        <v>3.285E9</v>
      </c>
      <c r="Q1953" s="1">
        <v>-3000000.0</v>
      </c>
      <c r="R1953" s="1">
        <v>1.48E8</v>
      </c>
      <c r="S1953" s="1">
        <v>1.48E8</v>
      </c>
    </row>
    <row r="1954">
      <c r="A1954" s="1">
        <v>1952.0</v>
      </c>
      <c r="B1954" s="11">
        <v>44377.0</v>
      </c>
      <c r="C1954" s="1" t="s">
        <v>1012</v>
      </c>
      <c r="D1954" s="1" t="s">
        <v>1013</v>
      </c>
      <c r="F1954" s="1">
        <v>2.601E8</v>
      </c>
      <c r="G1954" s="1">
        <v>2.225E8</v>
      </c>
      <c r="H1954" s="1">
        <v>2.828E8</v>
      </c>
      <c r="I1954" s="1">
        <v>5.347E8</v>
      </c>
      <c r="J1954" s="1">
        <v>2.519E8</v>
      </c>
      <c r="K1954" s="1">
        <v>2.519E8</v>
      </c>
      <c r="L1954" s="1">
        <v>-2.56E7</v>
      </c>
      <c r="M1954" s="1">
        <v>3.76E7</v>
      </c>
      <c r="N1954" s="1">
        <v>1.2897E9</v>
      </c>
      <c r="O1954" s="1">
        <v>1.0378E9</v>
      </c>
      <c r="P1954" s="1">
        <v>7.55E8</v>
      </c>
      <c r="Q1954" s="1">
        <v>8200000.0</v>
      </c>
      <c r="R1954" s="1">
        <v>2.225E8</v>
      </c>
      <c r="S1954" s="1">
        <v>2.225E8</v>
      </c>
    </row>
    <row r="1955">
      <c r="A1955" s="1">
        <v>1953.0</v>
      </c>
      <c r="B1955" s="11">
        <v>44286.0</v>
      </c>
      <c r="C1955" s="1" t="s">
        <v>1012</v>
      </c>
      <c r="D1955" s="1" t="s">
        <v>1013</v>
      </c>
      <c r="F1955" s="1">
        <v>2.029E8</v>
      </c>
      <c r="G1955" s="1">
        <v>1.818E8</v>
      </c>
      <c r="H1955" s="1">
        <v>2.743E8</v>
      </c>
      <c r="I1955" s="1">
        <v>5.04E8</v>
      </c>
      <c r="J1955" s="1">
        <v>2.297E8</v>
      </c>
      <c r="K1955" s="1">
        <v>2.297E8</v>
      </c>
      <c r="L1955" s="1">
        <v>-2.84E7</v>
      </c>
      <c r="M1955" s="1">
        <v>2.11E7</v>
      </c>
      <c r="N1955" s="1">
        <v>1.21E9</v>
      </c>
      <c r="O1955" s="1">
        <v>9.803E8</v>
      </c>
      <c r="P1955" s="1">
        <v>7.06E8</v>
      </c>
      <c r="Q1955" s="1">
        <v>-2.68E7</v>
      </c>
      <c r="R1955" s="1">
        <v>1.818E8</v>
      </c>
      <c r="S1955" s="1">
        <v>1.818E8</v>
      </c>
    </row>
    <row r="1956">
      <c r="A1956" s="1">
        <v>1954.0</v>
      </c>
      <c r="B1956" s="11">
        <v>44196.0</v>
      </c>
      <c r="C1956" s="1" t="s">
        <v>1012</v>
      </c>
      <c r="D1956" s="1" t="s">
        <v>1013</v>
      </c>
      <c r="F1956" s="1">
        <v>1.99E8</v>
      </c>
      <c r="G1956" s="1">
        <v>1.771E8</v>
      </c>
      <c r="H1956" s="1">
        <v>2.786E8</v>
      </c>
      <c r="I1956" s="1">
        <v>5.146E8</v>
      </c>
      <c r="J1956" s="1">
        <v>2.36E8</v>
      </c>
      <c r="K1956" s="1">
        <v>2.36E8</v>
      </c>
      <c r="L1956" s="1">
        <v>-2.81E7</v>
      </c>
      <c r="M1956" s="1">
        <v>2.19E7</v>
      </c>
      <c r="N1956" s="1">
        <v>1.2718E9</v>
      </c>
      <c r="O1956" s="1">
        <v>1.0358E9</v>
      </c>
      <c r="P1956" s="1">
        <v>7.572E8</v>
      </c>
      <c r="Q1956" s="1">
        <v>-3.7E7</v>
      </c>
      <c r="R1956" s="1">
        <v>1.771E8</v>
      </c>
      <c r="S1956" s="1">
        <v>1.771E8</v>
      </c>
    </row>
    <row r="1957">
      <c r="A1957" s="1">
        <v>1955.0</v>
      </c>
      <c r="B1957" s="11">
        <v>44104.0</v>
      </c>
      <c r="C1957" s="1" t="s">
        <v>1012</v>
      </c>
      <c r="D1957" s="1" t="s">
        <v>1013</v>
      </c>
      <c r="F1957" s="1">
        <v>2.61E8</v>
      </c>
      <c r="G1957" s="1">
        <v>2.286E8</v>
      </c>
      <c r="H1957" s="1">
        <v>2.462E8</v>
      </c>
      <c r="I1957" s="1">
        <v>5.376E8</v>
      </c>
      <c r="J1957" s="1">
        <v>2.914E8</v>
      </c>
      <c r="K1957" s="1">
        <v>2.914E8</v>
      </c>
      <c r="L1957" s="1">
        <v>-2.82E7</v>
      </c>
      <c r="M1957" s="1">
        <v>3.24E7</v>
      </c>
      <c r="N1957" s="1">
        <v>1.2585E9</v>
      </c>
      <c r="O1957" s="1">
        <v>9.671E8</v>
      </c>
      <c r="P1957" s="1">
        <v>7.209E8</v>
      </c>
      <c r="Q1957" s="1">
        <v>-3.04E7</v>
      </c>
      <c r="R1957" s="1">
        <v>2.286E8</v>
      </c>
      <c r="S1957" s="1">
        <v>2.286E8</v>
      </c>
    </row>
    <row r="1958">
      <c r="A1958" s="1">
        <v>1956.0</v>
      </c>
      <c r="B1958" s="11">
        <v>44286.0</v>
      </c>
      <c r="C1958" s="1" t="s">
        <v>1014</v>
      </c>
      <c r="D1958" s="1" t="s">
        <v>1015</v>
      </c>
      <c r="F1958" s="1">
        <v>1.449E8</v>
      </c>
      <c r="G1958" s="1">
        <v>1.125E8</v>
      </c>
      <c r="H1958" s="1">
        <v>4.234E8</v>
      </c>
      <c r="I1958" s="1">
        <v>7.496E8</v>
      </c>
      <c r="J1958" s="1">
        <v>2.376E8</v>
      </c>
      <c r="K1958" s="1">
        <v>2.376E8</v>
      </c>
      <c r="L1958" s="1">
        <v>-9.49E7</v>
      </c>
      <c r="M1958" s="1">
        <v>3.05E7</v>
      </c>
      <c r="N1958" s="1">
        <v>4.4378E9</v>
      </c>
      <c r="O1958" s="1">
        <v>4.2002E9</v>
      </c>
      <c r="P1958" s="1">
        <v>3.6882E9</v>
      </c>
      <c r="Q1958" s="1">
        <v>-9.27E7</v>
      </c>
      <c r="R1958" s="1">
        <v>1.144E8</v>
      </c>
      <c r="S1958" s="1">
        <v>1.124E8</v>
      </c>
    </row>
    <row r="1959">
      <c r="A1959" s="1">
        <v>1957.0</v>
      </c>
      <c r="B1959" s="11">
        <v>44196.0</v>
      </c>
      <c r="C1959" s="1" t="s">
        <v>1014</v>
      </c>
      <c r="D1959" s="1" t="s">
        <v>1015</v>
      </c>
      <c r="F1959" s="1">
        <v>2.028E8</v>
      </c>
      <c r="G1959" s="1">
        <v>1.52E8</v>
      </c>
      <c r="H1959" s="1">
        <v>3.829E8</v>
      </c>
      <c r="I1959" s="1">
        <v>7.523E8</v>
      </c>
      <c r="J1959" s="1">
        <v>2.775E8</v>
      </c>
      <c r="K1959" s="1">
        <v>2.775E8</v>
      </c>
      <c r="L1959" s="1">
        <v>-1.055E8</v>
      </c>
      <c r="M1959" s="1">
        <v>5.03E7</v>
      </c>
      <c r="N1959" s="1">
        <v>4.4015E9</v>
      </c>
      <c r="O1959" s="1">
        <v>4.124E9</v>
      </c>
      <c r="P1959" s="1">
        <v>3.6492E9</v>
      </c>
      <c r="Q1959" s="1">
        <v>-7.47E7</v>
      </c>
      <c r="R1959" s="1">
        <v>1.525E8</v>
      </c>
      <c r="S1959" s="1">
        <v>1.52E8</v>
      </c>
    </row>
    <row r="1960">
      <c r="A1960" s="1">
        <v>1958.0</v>
      </c>
      <c r="B1960" s="11">
        <v>44104.0</v>
      </c>
      <c r="C1960" s="1" t="s">
        <v>1014</v>
      </c>
      <c r="D1960" s="1" t="s">
        <v>1015</v>
      </c>
      <c r="F1960" s="1">
        <v>-1.1145E9</v>
      </c>
      <c r="G1960" s="1">
        <v>-1.156E9</v>
      </c>
      <c r="H1960" s="1">
        <v>3.651E8</v>
      </c>
      <c r="I1960" s="1">
        <v>8.73E8</v>
      </c>
      <c r="J1960" s="1">
        <v>4.089E8</v>
      </c>
      <c r="K1960" s="1">
        <v>4.089E8</v>
      </c>
      <c r="L1960" s="1">
        <v>-1.647E8</v>
      </c>
      <c r="M1960" s="1">
        <v>4.0E7</v>
      </c>
      <c r="N1960" s="1">
        <v>4.4715E9</v>
      </c>
      <c r="O1960" s="1">
        <v>4.0626E9</v>
      </c>
      <c r="P1960" s="1">
        <v>3.5985E9</v>
      </c>
      <c r="Q1960" s="1">
        <v>-1.5234E9</v>
      </c>
      <c r="R1960" s="1">
        <v>-1.1545E9</v>
      </c>
      <c r="S1960" s="1">
        <v>-1.156E9</v>
      </c>
    </row>
    <row r="1961">
      <c r="A1961" s="1">
        <v>1959.0</v>
      </c>
      <c r="B1961" s="11">
        <v>44012.0</v>
      </c>
      <c r="C1961" s="1" t="s">
        <v>1014</v>
      </c>
      <c r="D1961" s="1" t="s">
        <v>1015</v>
      </c>
      <c r="F1961" s="1">
        <v>1.992E8</v>
      </c>
      <c r="G1961" s="1">
        <v>1.785E8</v>
      </c>
      <c r="H1961" s="1">
        <v>3.645E8</v>
      </c>
      <c r="I1961" s="1">
        <v>7.658E8</v>
      </c>
      <c r="J1961" s="1">
        <v>3.017E8</v>
      </c>
      <c r="K1961" s="1">
        <v>3.017E8</v>
      </c>
      <c r="L1961" s="1">
        <v>-9.84E7</v>
      </c>
      <c r="M1961" s="1">
        <v>1.92E7</v>
      </c>
      <c r="N1961" s="1">
        <v>4.2363E9</v>
      </c>
      <c r="O1961" s="1">
        <v>3.9346E9</v>
      </c>
      <c r="P1961" s="1">
        <v>3.4705E9</v>
      </c>
      <c r="Q1961" s="1">
        <v>-1.025E8</v>
      </c>
      <c r="R1961" s="1">
        <v>1.8E8</v>
      </c>
      <c r="S1961" s="1">
        <v>1.785E8</v>
      </c>
    </row>
    <row r="1962">
      <c r="A1962" s="1">
        <v>1960.0</v>
      </c>
      <c r="B1962" s="11">
        <v>44377.0</v>
      </c>
      <c r="C1962" s="1" t="s">
        <v>1016</v>
      </c>
      <c r="D1962" s="1" t="s">
        <v>1017</v>
      </c>
      <c r="F1962" s="1">
        <v>1.352E9</v>
      </c>
      <c r="G1962" s="1">
        <v>1.028E9</v>
      </c>
      <c r="H1962" s="1">
        <v>1.2E8</v>
      </c>
      <c r="I1962" s="1">
        <v>1.561E9</v>
      </c>
      <c r="J1962" s="1">
        <v>1.432E9</v>
      </c>
      <c r="K1962" s="1">
        <v>1.432E9</v>
      </c>
      <c r="L1962" s="1">
        <v>-7.8E7</v>
      </c>
      <c r="M1962" s="1">
        <v>3.24E8</v>
      </c>
      <c r="N1962" s="1">
        <v>3.144E9</v>
      </c>
      <c r="O1962" s="1">
        <v>1.712E9</v>
      </c>
      <c r="P1962" s="1">
        <v>1.583E9</v>
      </c>
      <c r="Q1962" s="1">
        <v>-8.0E7</v>
      </c>
      <c r="R1962" s="1">
        <v>1.028E9</v>
      </c>
      <c r="S1962" s="1">
        <v>1.028E9</v>
      </c>
    </row>
    <row r="1963">
      <c r="A1963" s="1">
        <v>1961.0</v>
      </c>
      <c r="B1963" s="11">
        <v>44286.0</v>
      </c>
      <c r="C1963" s="1" t="s">
        <v>1016</v>
      </c>
      <c r="D1963" s="1" t="s">
        <v>1017</v>
      </c>
      <c r="F1963" s="1">
        <v>8.7E8</v>
      </c>
      <c r="G1963" s="1">
        <v>6.81E8</v>
      </c>
      <c r="H1963" s="1">
        <v>1.18E8</v>
      </c>
      <c r="I1963" s="1">
        <v>1.076E9</v>
      </c>
      <c r="J1963" s="1">
        <v>9.53E8</v>
      </c>
      <c r="K1963" s="1">
        <v>9.53E8</v>
      </c>
      <c r="L1963" s="1">
        <v>-7.9E7</v>
      </c>
      <c r="M1963" s="1">
        <v>1.89E8</v>
      </c>
      <c r="N1963" s="1">
        <v>2.506E9</v>
      </c>
      <c r="O1963" s="1">
        <v>1.553E9</v>
      </c>
      <c r="P1963" s="1">
        <v>1.43E9</v>
      </c>
      <c r="Q1963" s="1">
        <v>-8.3E7</v>
      </c>
      <c r="R1963" s="1">
        <v>6.81E8</v>
      </c>
      <c r="S1963" s="1">
        <v>6.81E8</v>
      </c>
    </row>
    <row r="1964">
      <c r="A1964" s="1">
        <v>1962.0</v>
      </c>
      <c r="B1964" s="11">
        <v>44196.0</v>
      </c>
      <c r="C1964" s="1" t="s">
        <v>1016</v>
      </c>
      <c r="D1964" s="1" t="s">
        <v>1017</v>
      </c>
      <c r="F1964" s="1">
        <v>3.11E8</v>
      </c>
      <c r="G1964" s="1">
        <v>2.92E8</v>
      </c>
      <c r="H1964" s="1">
        <v>1.23E8</v>
      </c>
      <c r="I1964" s="1">
        <v>6.71E8</v>
      </c>
      <c r="J1964" s="1">
        <v>5.29E8</v>
      </c>
      <c r="K1964" s="1">
        <v>5.29E8</v>
      </c>
      <c r="L1964" s="1">
        <v>-1.44E8</v>
      </c>
      <c r="M1964" s="1">
        <v>1.9E7</v>
      </c>
      <c r="N1964" s="1">
        <v>2.063E9</v>
      </c>
      <c r="O1964" s="1">
        <v>1.534E9</v>
      </c>
      <c r="P1964" s="1">
        <v>1.392E9</v>
      </c>
      <c r="Q1964" s="1">
        <v>-2.18E8</v>
      </c>
      <c r="R1964" s="1">
        <v>2.92E8</v>
      </c>
      <c r="S1964" s="1">
        <v>2.92E8</v>
      </c>
    </row>
    <row r="1965">
      <c r="A1965" s="1">
        <v>1963.0</v>
      </c>
      <c r="B1965" s="11">
        <v>44104.0</v>
      </c>
      <c r="C1965" s="1" t="s">
        <v>1016</v>
      </c>
      <c r="D1965" s="1" t="s">
        <v>1017</v>
      </c>
      <c r="F1965" s="1">
        <v>3.92E8</v>
      </c>
      <c r="G1965" s="1">
        <v>2.83E8</v>
      </c>
      <c r="H1965" s="1">
        <v>1.27E8</v>
      </c>
      <c r="I1965" s="1">
        <v>7.2E8</v>
      </c>
      <c r="J1965" s="1">
        <v>5.86E8</v>
      </c>
      <c r="K1965" s="1">
        <v>5.86E8</v>
      </c>
      <c r="L1965" s="1">
        <v>-1.11E8</v>
      </c>
      <c r="M1965" s="1">
        <v>1.09E8</v>
      </c>
      <c r="N1965" s="1">
        <v>2.11E9</v>
      </c>
      <c r="O1965" s="1">
        <v>1.524E9</v>
      </c>
      <c r="P1965" s="1">
        <v>1.39E9</v>
      </c>
      <c r="Q1965" s="1">
        <v>-1.94E8</v>
      </c>
      <c r="R1965" s="1">
        <v>2.83E8</v>
      </c>
      <c r="S1965" s="1">
        <v>2.83E8</v>
      </c>
    </row>
    <row r="1966">
      <c r="A1966" s="1">
        <v>1964.0</v>
      </c>
      <c r="B1966" s="11">
        <v>44377.0</v>
      </c>
      <c r="C1966" s="1" t="s">
        <v>1018</v>
      </c>
      <c r="D1966" s="1" t="s">
        <v>1019</v>
      </c>
      <c r="F1966" s="1">
        <v>6.74E8</v>
      </c>
      <c r="G1966" s="1">
        <v>5.81E8</v>
      </c>
      <c r="H1966" s="1">
        <v>4.99E8</v>
      </c>
      <c r="I1966" s="1">
        <v>1.09E9</v>
      </c>
      <c r="J1966" s="1">
        <v>5.81E8</v>
      </c>
      <c r="K1966" s="1">
        <v>5.81E8</v>
      </c>
      <c r="L1966" s="1">
        <v>-4.5E7</v>
      </c>
      <c r="M1966" s="1">
        <v>9.4E7</v>
      </c>
      <c r="N1966" s="1">
        <v>5.324E9</v>
      </c>
      <c r="O1966" s="1">
        <v>4.743E9</v>
      </c>
      <c r="P1966" s="1">
        <v>4.234E9</v>
      </c>
      <c r="Q1966" s="1">
        <v>9.3E7</v>
      </c>
      <c r="R1966" s="1">
        <v>5.8E8</v>
      </c>
      <c r="S1966" s="1">
        <v>5.81E8</v>
      </c>
    </row>
    <row r="1967">
      <c r="A1967" s="1">
        <v>1965.0</v>
      </c>
      <c r="B1967" s="11">
        <v>44286.0</v>
      </c>
      <c r="C1967" s="1" t="s">
        <v>1018</v>
      </c>
      <c r="D1967" s="1" t="s">
        <v>1019</v>
      </c>
      <c r="F1967" s="1">
        <v>5.99E8</v>
      </c>
      <c r="G1967" s="1">
        <v>4.33E8</v>
      </c>
      <c r="H1967" s="1">
        <v>4.9E8</v>
      </c>
      <c r="I1967" s="1">
        <v>1.148E9</v>
      </c>
      <c r="J1967" s="1">
        <v>6.41E8</v>
      </c>
      <c r="K1967" s="1">
        <v>6.41E8</v>
      </c>
      <c r="L1967" s="1">
        <v>-4.5E7</v>
      </c>
      <c r="M1967" s="1">
        <v>1.59E8</v>
      </c>
      <c r="N1967" s="1">
        <v>5.358E9</v>
      </c>
      <c r="O1967" s="1">
        <v>4.717E9</v>
      </c>
      <c r="P1967" s="1">
        <v>4.21E9</v>
      </c>
      <c r="Q1967" s="1">
        <v>-4.2E7</v>
      </c>
      <c r="R1967" s="1">
        <v>4.4E8</v>
      </c>
      <c r="S1967" s="1">
        <v>4.33E8</v>
      </c>
    </row>
    <row r="1968">
      <c r="A1968" s="1">
        <v>1966.0</v>
      </c>
      <c r="B1968" s="11">
        <v>44196.0</v>
      </c>
      <c r="C1968" s="1" t="s">
        <v>1018</v>
      </c>
      <c r="D1968" s="1" t="s">
        <v>1019</v>
      </c>
      <c r="F1968" s="1">
        <v>6.52E8</v>
      </c>
      <c r="G1968" s="1">
        <v>4.97E8</v>
      </c>
      <c r="H1968" s="1">
        <v>5.56E8</v>
      </c>
      <c r="I1968" s="1">
        <v>1.364E9</v>
      </c>
      <c r="J1968" s="1">
        <v>7.92E8</v>
      </c>
      <c r="K1968" s="1">
        <v>7.92E8</v>
      </c>
      <c r="L1968" s="1">
        <v>-4.7E7</v>
      </c>
      <c r="M1968" s="1">
        <v>1.51E8</v>
      </c>
      <c r="N1968" s="1">
        <v>5.798E9</v>
      </c>
      <c r="O1968" s="1">
        <v>5.006E9</v>
      </c>
      <c r="P1968" s="1">
        <v>4.434E9</v>
      </c>
      <c r="Q1968" s="1">
        <v>-1.4E8</v>
      </c>
      <c r="R1968" s="1">
        <v>5.01E8</v>
      </c>
      <c r="S1968" s="1">
        <v>4.97E8</v>
      </c>
    </row>
    <row r="1969">
      <c r="A1969" s="1">
        <v>1967.0</v>
      </c>
      <c r="B1969" s="11">
        <v>44104.0</v>
      </c>
      <c r="C1969" s="1" t="s">
        <v>1018</v>
      </c>
      <c r="D1969" s="1" t="s">
        <v>1019</v>
      </c>
      <c r="F1969" s="1">
        <v>5.41E8</v>
      </c>
      <c r="G1969" s="1">
        <v>3.97E8</v>
      </c>
      <c r="H1969" s="1">
        <v>5.01E8</v>
      </c>
      <c r="I1969" s="1">
        <v>1.155E9</v>
      </c>
      <c r="J1969" s="1">
        <v>6.38E8</v>
      </c>
      <c r="K1969" s="1">
        <v>6.38E8</v>
      </c>
      <c r="L1969" s="1">
        <v>-5.1E7</v>
      </c>
      <c r="M1969" s="1">
        <v>1.43E8</v>
      </c>
      <c r="N1969" s="1">
        <v>5.291E9</v>
      </c>
      <c r="O1969" s="1">
        <v>4.653E9</v>
      </c>
      <c r="P1969" s="1">
        <v>4.136E9</v>
      </c>
      <c r="Q1969" s="1">
        <v>-9.7E7</v>
      </c>
      <c r="R1969" s="1">
        <v>3.98E8</v>
      </c>
      <c r="S1969" s="1">
        <v>3.97E8</v>
      </c>
    </row>
    <row r="1970">
      <c r="A1970" s="1">
        <v>1968.0</v>
      </c>
      <c r="B1970" s="11">
        <v>44377.0</v>
      </c>
      <c r="C1970" s="1" t="s">
        <v>1020</v>
      </c>
      <c r="D1970" s="1" t="s">
        <v>1021</v>
      </c>
      <c r="F1970" s="1">
        <v>4.41E8</v>
      </c>
      <c r="G1970" s="1">
        <v>3.04E8</v>
      </c>
      <c r="H1970" s="1">
        <v>1.13E8</v>
      </c>
      <c r="I1970" s="1">
        <v>1.189E9</v>
      </c>
      <c r="J1970" s="1">
        <v>6.01E8</v>
      </c>
      <c r="K1970" s="1">
        <v>6.01E8</v>
      </c>
      <c r="L1970" s="1">
        <v>-2.98E8</v>
      </c>
      <c r="M1970" s="1">
        <v>1.19E8</v>
      </c>
      <c r="N1970" s="1">
        <v>2.283E9</v>
      </c>
      <c r="O1970" s="1">
        <v>1.682E9</v>
      </c>
      <c r="P1970" s="1">
        <v>1.094E9</v>
      </c>
      <c r="Q1970" s="1">
        <v>-1.6E8</v>
      </c>
      <c r="R1970" s="1">
        <v>3.22E8</v>
      </c>
      <c r="S1970" s="1">
        <v>3.04E8</v>
      </c>
    </row>
    <row r="1971">
      <c r="A1971" s="1">
        <v>1969.0</v>
      </c>
      <c r="B1971" s="11">
        <v>44286.0</v>
      </c>
      <c r="C1971" s="1" t="s">
        <v>1020</v>
      </c>
      <c r="D1971" s="1" t="s">
        <v>1021</v>
      </c>
      <c r="F1971" s="1">
        <v>5.76E8</v>
      </c>
      <c r="G1971" s="1">
        <v>4.26E8</v>
      </c>
      <c r="H1971" s="1">
        <v>1.23E8</v>
      </c>
      <c r="I1971" s="1">
        <v>1.299E9</v>
      </c>
      <c r="J1971" s="1">
        <v>7.39E8</v>
      </c>
      <c r="K1971" s="1">
        <v>7.39E8</v>
      </c>
      <c r="L1971" s="1">
        <v>-2.94E8</v>
      </c>
      <c r="M1971" s="1">
        <v>1.41E8</v>
      </c>
      <c r="N1971" s="1">
        <v>2.612E9</v>
      </c>
      <c r="O1971" s="1">
        <v>1.873E9</v>
      </c>
      <c r="P1971" s="1">
        <v>1.313E9</v>
      </c>
      <c r="Q1971" s="1">
        <v>-1.63E8</v>
      </c>
      <c r="R1971" s="1">
        <v>4.35E8</v>
      </c>
      <c r="S1971" s="1">
        <v>4.25E8</v>
      </c>
    </row>
    <row r="1972">
      <c r="A1972" s="1">
        <v>1970.0</v>
      </c>
      <c r="B1972" s="11">
        <v>44196.0</v>
      </c>
      <c r="C1972" s="1" t="s">
        <v>1020</v>
      </c>
      <c r="D1972" s="1" t="s">
        <v>1021</v>
      </c>
      <c r="F1972" s="1">
        <v>1.85E8</v>
      </c>
      <c r="G1972" s="1">
        <v>1.16E8</v>
      </c>
      <c r="H1972" s="1">
        <v>1.12E8</v>
      </c>
      <c r="I1972" s="1">
        <v>1.242E9</v>
      </c>
      <c r="J1972" s="1">
        <v>7.0E8</v>
      </c>
      <c r="K1972" s="1">
        <v>7.0E8</v>
      </c>
      <c r="L1972" s="1">
        <v>-2.9E8</v>
      </c>
      <c r="M1972" s="1">
        <v>5.5E7</v>
      </c>
      <c r="N1972" s="1">
        <v>2.092E9</v>
      </c>
      <c r="O1972" s="1">
        <v>1.392E9</v>
      </c>
      <c r="P1972" s="1">
        <v>8.5E8</v>
      </c>
      <c r="Q1972" s="1">
        <v>-5.15E8</v>
      </c>
      <c r="R1972" s="1">
        <v>1.3E8</v>
      </c>
      <c r="S1972" s="1">
        <v>1.15E8</v>
      </c>
    </row>
    <row r="1973">
      <c r="A1973" s="1">
        <v>1971.0</v>
      </c>
      <c r="B1973" s="11">
        <v>44104.0</v>
      </c>
      <c r="C1973" s="1" t="s">
        <v>1020</v>
      </c>
      <c r="D1973" s="1" t="s">
        <v>1021</v>
      </c>
      <c r="F1973" s="1">
        <v>4.34E8</v>
      </c>
      <c r="G1973" s="1">
        <v>3.09E8</v>
      </c>
      <c r="H1973" s="1">
        <v>1.15E8</v>
      </c>
      <c r="I1973" s="1">
        <v>1.196E9</v>
      </c>
      <c r="J1973" s="1">
        <v>6.4E8</v>
      </c>
      <c r="K1973" s="1">
        <v>6.4E8</v>
      </c>
      <c r="L1973" s="1">
        <v>-2.92E8</v>
      </c>
      <c r="M1973" s="1">
        <v>1.11E8</v>
      </c>
      <c r="N1973" s="1">
        <v>1.933E9</v>
      </c>
      <c r="O1973" s="1">
        <v>1.293E9</v>
      </c>
      <c r="P1973" s="1">
        <v>7.37E8</v>
      </c>
      <c r="Q1973" s="1">
        <v>-2.06E8</v>
      </c>
      <c r="R1973" s="1">
        <v>3.23E8</v>
      </c>
      <c r="S1973" s="1">
        <v>3.08E8</v>
      </c>
    </row>
    <row r="1974">
      <c r="A1974" s="1">
        <v>1972.0</v>
      </c>
      <c r="B1974" s="11">
        <v>44286.0</v>
      </c>
      <c r="C1974" s="1" t="s">
        <v>1022</v>
      </c>
      <c r="D1974" s="1" t="s">
        <v>1023</v>
      </c>
      <c r="F1974" s="1">
        <v>8.32E8</v>
      </c>
      <c r="G1974" s="1">
        <v>7.33E8</v>
      </c>
      <c r="H1974" s="1">
        <v>5.9E7</v>
      </c>
      <c r="I1974" s="1">
        <v>1.143E9</v>
      </c>
      <c r="J1974" s="1">
        <v>5.52E8</v>
      </c>
      <c r="K1974" s="1">
        <v>5.52E8</v>
      </c>
      <c r="L1974" s="1">
        <v>-5.9E7</v>
      </c>
      <c r="M1974" s="1">
        <v>9.6E7</v>
      </c>
      <c r="N1974" s="1">
        <v>2.59E9</v>
      </c>
      <c r="O1974" s="1">
        <v>2.038E9</v>
      </c>
      <c r="P1974" s="1">
        <v>1.447E9</v>
      </c>
      <c r="Q1974" s="1">
        <v>2.8E8</v>
      </c>
      <c r="R1974" s="1">
        <v>7.36E8</v>
      </c>
      <c r="S1974" s="1">
        <v>7.33E8</v>
      </c>
    </row>
    <row r="1975">
      <c r="A1975" s="1">
        <v>1973.0</v>
      </c>
      <c r="B1975" s="11">
        <v>44196.0</v>
      </c>
      <c r="C1975" s="1" t="s">
        <v>1022</v>
      </c>
      <c r="D1975" s="1" t="s">
        <v>1023</v>
      </c>
      <c r="F1975" s="1">
        <v>6.02E8</v>
      </c>
      <c r="G1975" s="1">
        <v>4.76E8</v>
      </c>
      <c r="H1975" s="1">
        <v>5.9E7</v>
      </c>
      <c r="I1975" s="1">
        <v>1.422E9</v>
      </c>
      <c r="J1975" s="1">
        <v>7.98E8</v>
      </c>
      <c r="K1975" s="1">
        <v>7.98E8</v>
      </c>
      <c r="L1975" s="1">
        <v>-6.0E7</v>
      </c>
      <c r="M1975" s="1">
        <v>1.19E8</v>
      </c>
      <c r="N1975" s="1">
        <v>2.764E9</v>
      </c>
      <c r="O1975" s="1">
        <v>1.966E9</v>
      </c>
      <c r="P1975" s="1">
        <v>1.342E9</v>
      </c>
      <c r="Q1975" s="1">
        <v>-1.96E8</v>
      </c>
      <c r="R1975" s="1">
        <v>4.83E8</v>
      </c>
      <c r="S1975" s="1">
        <v>4.76E8</v>
      </c>
    </row>
    <row r="1976">
      <c r="A1976" s="1">
        <v>1974.0</v>
      </c>
      <c r="B1976" s="11">
        <v>44104.0</v>
      </c>
      <c r="C1976" s="1" t="s">
        <v>1022</v>
      </c>
      <c r="D1976" s="1" t="s">
        <v>1023</v>
      </c>
      <c r="F1976" s="1">
        <v>1.68E8</v>
      </c>
      <c r="G1976" s="1">
        <v>1.21E8</v>
      </c>
      <c r="H1976" s="1">
        <v>6.0E7</v>
      </c>
      <c r="I1976" s="1">
        <v>7.54E8</v>
      </c>
      <c r="J1976" s="1">
        <v>1.91E8</v>
      </c>
      <c r="K1976" s="1">
        <v>1.91E8</v>
      </c>
      <c r="L1976" s="1">
        <v>-6.1E7</v>
      </c>
      <c r="M1976" s="1">
        <v>4.6E7</v>
      </c>
      <c r="N1976" s="1">
        <v>2.009E9</v>
      </c>
      <c r="O1976" s="1">
        <v>1.818E9</v>
      </c>
      <c r="P1976" s="1">
        <v>1.255E9</v>
      </c>
      <c r="Q1976" s="1">
        <v>-2.3E7</v>
      </c>
      <c r="R1976" s="1">
        <v>1.22E8</v>
      </c>
      <c r="S1976" s="1">
        <v>1.21E8</v>
      </c>
    </row>
    <row r="1977">
      <c r="A1977" s="1">
        <v>1975.0</v>
      </c>
      <c r="B1977" s="11">
        <v>44012.0</v>
      </c>
      <c r="C1977" s="1" t="s">
        <v>1022</v>
      </c>
      <c r="D1977" s="1" t="s">
        <v>1023</v>
      </c>
      <c r="F1977" s="1">
        <v>1.77E8</v>
      </c>
      <c r="G1977" s="1">
        <v>9.4E7</v>
      </c>
      <c r="H1977" s="1">
        <v>5.9E7</v>
      </c>
      <c r="I1977" s="1">
        <v>8.22E8</v>
      </c>
      <c r="J1977" s="1">
        <v>2.49E8</v>
      </c>
      <c r="K1977" s="1">
        <v>2.49E8</v>
      </c>
      <c r="L1977" s="1">
        <v>-6.2E7</v>
      </c>
      <c r="M1977" s="1">
        <v>7.5E7</v>
      </c>
      <c r="N1977" s="1">
        <v>2.113E9</v>
      </c>
      <c r="O1977" s="1">
        <v>1.864E9</v>
      </c>
      <c r="P1977" s="1">
        <v>1.291E9</v>
      </c>
      <c r="Q1977" s="1">
        <v>-7.2E7</v>
      </c>
      <c r="R1977" s="1">
        <v>1.02E8</v>
      </c>
      <c r="S1977" s="1">
        <v>9.4E7</v>
      </c>
    </row>
    <row r="1978">
      <c r="A1978" s="1">
        <v>1976.0</v>
      </c>
      <c r="B1978" s="11">
        <v>44377.0</v>
      </c>
      <c r="C1978" s="1" t="s">
        <v>1024</v>
      </c>
      <c r="D1978" s="1" t="s">
        <v>1025</v>
      </c>
      <c r="F1978" s="1">
        <v>-1.727E8</v>
      </c>
      <c r="G1978" s="1">
        <v>-1.31369E8</v>
      </c>
      <c r="H1978" s="1">
        <v>1.97545E8</v>
      </c>
      <c r="I1978" s="1">
        <v>5.94118E8</v>
      </c>
      <c r="J1978" s="1">
        <v>-2.5921E7</v>
      </c>
      <c r="K1978" s="1">
        <v>-2.5921E7</v>
      </c>
      <c r="L1978" s="1">
        <v>-1.50424E8</v>
      </c>
      <c r="M1978" s="1">
        <v>697000.0</v>
      </c>
      <c r="N1978" s="1">
        <v>9.90113E8</v>
      </c>
      <c r="O1978" s="1">
        <v>1.016034E9</v>
      </c>
      <c r="P1978" s="1">
        <v>3.95995E8</v>
      </c>
      <c r="Q1978" s="1">
        <v>-1.46779E8</v>
      </c>
      <c r="R1978" s="1">
        <v>-1.73397E8</v>
      </c>
      <c r="S1978" s="1">
        <v>-1.31369E8</v>
      </c>
    </row>
    <row r="1979">
      <c r="A1979" s="1">
        <v>1977.0</v>
      </c>
      <c r="B1979" s="11">
        <v>44286.0</v>
      </c>
      <c r="C1979" s="1" t="s">
        <v>1024</v>
      </c>
      <c r="D1979" s="1" t="s">
        <v>1025</v>
      </c>
      <c r="F1979" s="1">
        <v>-3.35686E8</v>
      </c>
      <c r="G1979" s="1">
        <v>-2.80978E8</v>
      </c>
      <c r="H1979" s="1">
        <v>1.79774E8</v>
      </c>
      <c r="I1979" s="1">
        <v>4.18774E8</v>
      </c>
      <c r="J1979" s="1">
        <v>-1.72632E8</v>
      </c>
      <c r="K1979" s="1">
        <v>-1.72632E8</v>
      </c>
      <c r="L1979" s="1">
        <v>-1.52852E8</v>
      </c>
      <c r="M1979" s="1">
        <v>493000.0</v>
      </c>
      <c r="N1979" s="1">
        <v>7.36682E8</v>
      </c>
      <c r="O1979" s="1">
        <v>9.09314E8</v>
      </c>
      <c r="P1979" s="1">
        <v>3.17908E8</v>
      </c>
      <c r="Q1979" s="1">
        <v>-1.63054E8</v>
      </c>
      <c r="R1979" s="1">
        <v>-3.36179E8</v>
      </c>
      <c r="S1979" s="1">
        <v>-2.80978E8</v>
      </c>
    </row>
    <row r="1980">
      <c r="A1980" s="1">
        <v>1978.0</v>
      </c>
      <c r="B1980" s="11">
        <v>44196.0</v>
      </c>
      <c r="C1980" s="1" t="s">
        <v>1024</v>
      </c>
      <c r="D1980" s="1" t="s">
        <v>1025</v>
      </c>
      <c r="F1980" s="1">
        <v>-3.09723E8</v>
      </c>
      <c r="G1980" s="1">
        <v>-2.69502E8</v>
      </c>
      <c r="H1980" s="1">
        <v>1.73544E8</v>
      </c>
      <c r="I1980" s="1">
        <v>4.0241E8</v>
      </c>
      <c r="J1980" s="1">
        <v>-1.19911E8</v>
      </c>
      <c r="K1980" s="1">
        <v>-1.19911E8</v>
      </c>
      <c r="L1980" s="1">
        <v>-1.49287E8</v>
      </c>
      <c r="M1980" s="1">
        <v>568000.0</v>
      </c>
      <c r="N1980" s="1">
        <v>6.85995E8</v>
      </c>
      <c r="O1980" s="1">
        <v>8.05906E8</v>
      </c>
      <c r="P1980" s="1">
        <v>2.83585E8</v>
      </c>
      <c r="Q1980" s="1">
        <v>-1.89812E8</v>
      </c>
      <c r="R1980" s="1">
        <v>-3.10291E8</v>
      </c>
      <c r="S1980" s="1">
        <v>-2.69502E8</v>
      </c>
    </row>
    <row r="1981">
      <c r="A1981" s="1">
        <v>1979.0</v>
      </c>
      <c r="B1981" s="11">
        <v>44104.0</v>
      </c>
      <c r="C1981" s="1" t="s">
        <v>1024</v>
      </c>
      <c r="D1981" s="1" t="s">
        <v>1025</v>
      </c>
      <c r="F1981" s="1">
        <v>-4.24168E8</v>
      </c>
      <c r="G1981" s="1">
        <v>-7.58142E8</v>
      </c>
      <c r="H1981" s="1">
        <v>1.60896E8</v>
      </c>
      <c r="I1981" s="1">
        <v>1.49845E8</v>
      </c>
      <c r="J1981" s="1">
        <v>-2.75707E8</v>
      </c>
      <c r="K1981" s="1">
        <v>-2.75707E8</v>
      </c>
      <c r="L1981" s="1">
        <v>-1.45142E8</v>
      </c>
      <c r="M1981" s="1">
        <v>4.07365E8</v>
      </c>
      <c r="N1981" s="1">
        <v>3.70452E8</v>
      </c>
      <c r="O1981" s="1">
        <v>6.46159E8</v>
      </c>
      <c r="P1981" s="1">
        <v>2.20607E8</v>
      </c>
      <c r="Q1981" s="1">
        <v>-1.48461E8</v>
      </c>
      <c r="R1981" s="1">
        <v>-8.31533E8</v>
      </c>
      <c r="S1981" s="1">
        <v>-7.58142E8</v>
      </c>
    </row>
    <row r="1982">
      <c r="A1982" s="1">
        <v>1980.0</v>
      </c>
      <c r="B1982" s="11">
        <v>44469.0</v>
      </c>
      <c r="C1982" s="1" t="s">
        <v>1026</v>
      </c>
      <c r="D1982" s="1" t="s">
        <v>1027</v>
      </c>
      <c r="F1982" s="1">
        <v>6.52E8</v>
      </c>
      <c r="G1982" s="1">
        <v>6.09E8</v>
      </c>
      <c r="H1982" s="1">
        <v>5.6E7</v>
      </c>
      <c r="I1982" s="1">
        <v>1.57E9</v>
      </c>
      <c r="J1982" s="1">
        <v>8.25E8</v>
      </c>
      <c r="K1982" s="1">
        <v>8.25E8</v>
      </c>
      <c r="L1982" s="1">
        <v>-2.11E8</v>
      </c>
      <c r="M1982" s="1">
        <v>4.3E7</v>
      </c>
      <c r="N1982" s="1">
        <v>3.467E9</v>
      </c>
      <c r="O1982" s="1">
        <v>2.642E9</v>
      </c>
      <c r="P1982" s="1">
        <v>1.897E9</v>
      </c>
      <c r="Q1982" s="1">
        <v>-1.73E8</v>
      </c>
      <c r="R1982" s="1">
        <v>6.09E8</v>
      </c>
      <c r="S1982" s="1">
        <v>6.09E8</v>
      </c>
    </row>
    <row r="1983">
      <c r="A1983" s="1">
        <v>1981.0</v>
      </c>
      <c r="B1983" s="11">
        <v>44377.0</v>
      </c>
      <c r="C1983" s="1" t="s">
        <v>1026</v>
      </c>
      <c r="D1983" s="1" t="s">
        <v>1027</v>
      </c>
      <c r="F1983" s="1">
        <v>2.73E8</v>
      </c>
      <c r="G1983" s="1">
        <v>3.11E8</v>
      </c>
      <c r="H1983" s="1">
        <v>5.5E7</v>
      </c>
      <c r="I1983" s="1">
        <v>1.179E9</v>
      </c>
      <c r="J1983" s="1">
        <v>4.39E8</v>
      </c>
      <c r="K1983" s="1">
        <v>4.39E8</v>
      </c>
      <c r="L1983" s="1">
        <v>-2.12E8</v>
      </c>
      <c r="M1983" s="1">
        <v>-3.8E7</v>
      </c>
      <c r="N1983" s="1">
        <v>3.068E9</v>
      </c>
      <c r="O1983" s="1">
        <v>2.629E9</v>
      </c>
      <c r="P1983" s="1">
        <v>1.889E9</v>
      </c>
      <c r="Q1983" s="1">
        <v>-1.66E8</v>
      </c>
      <c r="R1983" s="1">
        <v>3.11E8</v>
      </c>
      <c r="S1983" s="1">
        <v>3.11E8</v>
      </c>
    </row>
    <row r="1984">
      <c r="A1984" s="1">
        <v>1982.0</v>
      </c>
      <c r="B1984" s="11">
        <v>44286.0</v>
      </c>
      <c r="C1984" s="1" t="s">
        <v>1026</v>
      </c>
      <c r="D1984" s="1" t="s">
        <v>1027</v>
      </c>
      <c r="F1984" s="1">
        <v>3.4E8</v>
      </c>
      <c r="G1984" s="1">
        <v>3.62E8</v>
      </c>
      <c r="H1984" s="1">
        <v>5.8E7</v>
      </c>
      <c r="I1984" s="1">
        <v>1.249E9</v>
      </c>
      <c r="J1984" s="1">
        <v>5.07E8</v>
      </c>
      <c r="K1984" s="1">
        <v>5.07E8</v>
      </c>
      <c r="L1984" s="1">
        <v>-2.05E8</v>
      </c>
      <c r="M1984" s="1">
        <v>-2.2E7</v>
      </c>
      <c r="N1984" s="1">
        <v>3.541E9</v>
      </c>
      <c r="O1984" s="1">
        <v>3.034E9</v>
      </c>
      <c r="P1984" s="1">
        <v>2.292E9</v>
      </c>
      <c r="Q1984" s="1">
        <v>-1.67E8</v>
      </c>
      <c r="R1984" s="1">
        <v>3.62E8</v>
      </c>
      <c r="S1984" s="1">
        <v>3.62E8</v>
      </c>
    </row>
    <row r="1985">
      <c r="A1985" s="1">
        <v>1983.0</v>
      </c>
      <c r="B1985" s="11">
        <v>44196.0</v>
      </c>
      <c r="C1985" s="1" t="s">
        <v>1026</v>
      </c>
      <c r="D1985" s="1" t="s">
        <v>1027</v>
      </c>
      <c r="F1985" s="1">
        <v>2.58E8</v>
      </c>
      <c r="G1985" s="1">
        <v>2.88E8</v>
      </c>
      <c r="H1985" s="1">
        <v>2.41E8</v>
      </c>
      <c r="I1985" s="1">
        <v>1.322E9</v>
      </c>
      <c r="J1985" s="1">
        <v>4.23E8</v>
      </c>
      <c r="K1985" s="1">
        <v>4.23E8</v>
      </c>
      <c r="L1985" s="1">
        <v>-2.12E8</v>
      </c>
      <c r="M1985" s="1">
        <v>-3.0E7</v>
      </c>
      <c r="N1985" s="1">
        <v>2.947E9</v>
      </c>
      <c r="O1985" s="1">
        <v>2.524E9</v>
      </c>
      <c r="P1985" s="1">
        <v>1.625E9</v>
      </c>
      <c r="Q1985" s="1">
        <v>-1.65E8</v>
      </c>
      <c r="R1985" s="1">
        <v>2.88E8</v>
      </c>
      <c r="S1985" s="1">
        <v>2.88E8</v>
      </c>
    </row>
    <row r="1986">
      <c r="A1986" s="1">
        <v>1984.0</v>
      </c>
      <c r="B1986" s="11">
        <v>44380.0</v>
      </c>
      <c r="C1986" s="1" t="s">
        <v>1028</v>
      </c>
      <c r="D1986" s="1" t="s">
        <v>1029</v>
      </c>
      <c r="E1986" s="1">
        <v>2.47975E8</v>
      </c>
      <c r="F1986" s="1">
        <v>2.11363E8</v>
      </c>
      <c r="G1986" s="1">
        <v>2.06341E8</v>
      </c>
      <c r="H1986" s="1">
        <v>1.2492E8</v>
      </c>
      <c r="I1986" s="1">
        <v>5.95165E8</v>
      </c>
      <c r="J1986" s="1">
        <v>2.10363E8</v>
      </c>
      <c r="K1986" s="1">
        <v>2.10363E8</v>
      </c>
      <c r="L1986" s="1">
        <v>-1.0276E7</v>
      </c>
      <c r="M1986" s="1">
        <v>5022000.0</v>
      </c>
      <c r="N1986" s="1">
        <v>8.78606E8</v>
      </c>
      <c r="O1986" s="1">
        <v>6.68243E8</v>
      </c>
      <c r="P1986" s="1">
        <v>2.83441E8</v>
      </c>
      <c r="Q1986" s="1">
        <v>1000000.0</v>
      </c>
      <c r="R1986" s="1">
        <v>2.06341E8</v>
      </c>
      <c r="S1986" s="1">
        <v>2.06341E8</v>
      </c>
    </row>
    <row r="1987">
      <c r="A1987" s="1">
        <v>1985.0</v>
      </c>
      <c r="B1987" s="11">
        <v>44289.0</v>
      </c>
      <c r="C1987" s="1" t="s">
        <v>1028</v>
      </c>
      <c r="D1987" s="1" t="s">
        <v>1029</v>
      </c>
      <c r="E1987" s="1">
        <v>2.39863E8</v>
      </c>
      <c r="F1987" s="1">
        <v>1.95536E8</v>
      </c>
      <c r="G1987" s="1">
        <v>1.87883E8</v>
      </c>
      <c r="H1987" s="1">
        <v>1.27872E8</v>
      </c>
      <c r="I1987" s="1">
        <v>5.78136E8</v>
      </c>
      <c r="J1987" s="1">
        <v>1.99782E8</v>
      </c>
      <c r="K1987" s="1">
        <v>1.99782E8</v>
      </c>
      <c r="L1987" s="1">
        <v>-1.3578E7</v>
      </c>
      <c r="M1987" s="1">
        <v>7653000.0</v>
      </c>
      <c r="N1987" s="1">
        <v>8.50987E8</v>
      </c>
      <c r="O1987" s="1">
        <v>6.51205E8</v>
      </c>
      <c r="P1987" s="1">
        <v>2.72851E8</v>
      </c>
      <c r="Q1987" s="1">
        <v>-4246000.0</v>
      </c>
      <c r="R1987" s="1">
        <v>1.87883E8</v>
      </c>
      <c r="S1987" s="1">
        <v>1.87883E8</v>
      </c>
    </row>
    <row r="1988">
      <c r="A1988" s="1">
        <v>1986.0</v>
      </c>
      <c r="B1988" s="11">
        <v>44198.0</v>
      </c>
      <c r="C1988" s="1" t="s">
        <v>1028</v>
      </c>
      <c r="D1988" s="1" t="s">
        <v>1029</v>
      </c>
      <c r="E1988" s="1">
        <v>2.35018E8</v>
      </c>
      <c r="F1988" s="1">
        <v>1.76134E8</v>
      </c>
      <c r="G1988" s="1">
        <v>1.70972E8</v>
      </c>
      <c r="H1988" s="1">
        <v>1.36701E8</v>
      </c>
      <c r="I1988" s="1">
        <v>5.53875E8</v>
      </c>
      <c r="J1988" s="1">
        <v>1.72425E8</v>
      </c>
      <c r="K1988" s="1">
        <v>1.72425E8</v>
      </c>
      <c r="L1988" s="1">
        <v>-1.4228E7</v>
      </c>
      <c r="M1988" s="1">
        <v>5162000.0</v>
      </c>
      <c r="N1988" s="1">
        <v>8.03404E8</v>
      </c>
      <c r="O1988" s="1">
        <v>6.30979E8</v>
      </c>
      <c r="P1988" s="1">
        <v>2.49529E8</v>
      </c>
      <c r="Q1988" s="1">
        <v>3709000.0</v>
      </c>
      <c r="R1988" s="1">
        <v>1.70972E8</v>
      </c>
      <c r="S1988" s="1">
        <v>1.70972E8</v>
      </c>
    </row>
    <row r="1989">
      <c r="A1989" s="1">
        <v>1987.0</v>
      </c>
      <c r="B1989" s="11">
        <v>44100.0</v>
      </c>
      <c r="C1989" s="1" t="s">
        <v>1028</v>
      </c>
      <c r="D1989" s="1" t="s">
        <v>1029</v>
      </c>
      <c r="E1989" s="1">
        <v>2.19647E8</v>
      </c>
      <c r="F1989" s="1">
        <v>1.94646E8</v>
      </c>
      <c r="G1989" s="1">
        <v>1.93816E8</v>
      </c>
      <c r="H1989" s="1">
        <v>1.13793E8</v>
      </c>
      <c r="I1989" s="1">
        <v>5.48415E8</v>
      </c>
      <c r="J1989" s="1">
        <v>2.05417E8</v>
      </c>
      <c r="K1989" s="1">
        <v>2.05417E8</v>
      </c>
      <c r="L1989" s="1">
        <v>-1.4226E7</v>
      </c>
      <c r="M1989" s="1">
        <v>830000.0</v>
      </c>
      <c r="N1989" s="1">
        <v>7.66535E8</v>
      </c>
      <c r="O1989" s="1">
        <v>5.61118E8</v>
      </c>
      <c r="P1989" s="1">
        <v>2.1812E8</v>
      </c>
      <c r="Q1989" s="1">
        <v>-1.0771E7</v>
      </c>
      <c r="R1989" s="1">
        <v>1.93816E8</v>
      </c>
      <c r="S1989" s="1">
        <v>1.93816E8</v>
      </c>
    </row>
    <row r="1990">
      <c r="A1990" s="1">
        <v>1988.0</v>
      </c>
      <c r="B1990" s="11">
        <v>44377.0</v>
      </c>
      <c r="C1990" s="1" t="s">
        <v>1030</v>
      </c>
      <c r="D1990" s="1" t="s">
        <v>1031</v>
      </c>
      <c r="E1990" s="1">
        <v>5.3E7</v>
      </c>
      <c r="F1990" s="1">
        <v>1.38E8</v>
      </c>
      <c r="G1990" s="1">
        <v>1.13E8</v>
      </c>
      <c r="H1990" s="1">
        <v>3.09E8</v>
      </c>
      <c r="I1990" s="1">
        <v>5.2E8</v>
      </c>
      <c r="J1990" s="1">
        <v>1.58E8</v>
      </c>
      <c r="K1990" s="1">
        <v>1.58E8</v>
      </c>
      <c r="L1990" s="1">
        <v>-2.1E7</v>
      </c>
      <c r="M1990" s="1">
        <v>2.5E7</v>
      </c>
      <c r="N1990" s="1">
        <v>1.351E9</v>
      </c>
      <c r="O1990" s="1">
        <v>1.193E9</v>
      </c>
      <c r="P1990" s="1">
        <v>8.31E8</v>
      </c>
      <c r="Q1990" s="1">
        <v>-2.0E7</v>
      </c>
      <c r="R1990" s="1">
        <v>1.13E8</v>
      </c>
      <c r="S1990" s="1">
        <v>1.13E8</v>
      </c>
    </row>
    <row r="1991">
      <c r="A1991" s="1">
        <v>1989.0</v>
      </c>
      <c r="B1991" s="11">
        <v>44286.0</v>
      </c>
      <c r="C1991" s="1" t="s">
        <v>1030</v>
      </c>
      <c r="D1991" s="1" t="s">
        <v>1031</v>
      </c>
      <c r="E1991" s="1">
        <v>5.0E7</v>
      </c>
      <c r="F1991" s="1">
        <v>1.14E8</v>
      </c>
      <c r="G1991" s="1">
        <v>8.7E7</v>
      </c>
      <c r="H1991" s="1">
        <v>3.04E8</v>
      </c>
      <c r="I1991" s="1">
        <v>4.9E8</v>
      </c>
      <c r="J1991" s="1">
        <v>1.36E8</v>
      </c>
      <c r="K1991" s="1">
        <v>1.36E8</v>
      </c>
      <c r="L1991" s="1">
        <v>-2.1E7</v>
      </c>
      <c r="M1991" s="1">
        <v>2.7E7</v>
      </c>
      <c r="N1991" s="1">
        <v>1.256E9</v>
      </c>
      <c r="O1991" s="1">
        <v>1.12E9</v>
      </c>
      <c r="P1991" s="1">
        <v>7.66E8</v>
      </c>
      <c r="Q1991" s="1">
        <v>-2.2E7</v>
      </c>
      <c r="R1991" s="1">
        <v>8.7E7</v>
      </c>
      <c r="S1991" s="1">
        <v>8.7E7</v>
      </c>
    </row>
    <row r="1992">
      <c r="A1992" s="1">
        <v>1990.0</v>
      </c>
      <c r="B1992" s="11">
        <v>44196.0</v>
      </c>
      <c r="C1992" s="1" t="s">
        <v>1030</v>
      </c>
      <c r="D1992" s="1" t="s">
        <v>1031</v>
      </c>
      <c r="E1992" s="1">
        <v>4.9E7</v>
      </c>
      <c r="F1992" s="1">
        <v>1.58E8</v>
      </c>
      <c r="G1992" s="1">
        <v>1.48E8</v>
      </c>
      <c r="H1992" s="1">
        <v>2.96E8</v>
      </c>
      <c r="I1992" s="1">
        <v>5.32E8</v>
      </c>
      <c r="J1992" s="1">
        <v>1.87E8</v>
      </c>
      <c r="K1992" s="1">
        <v>1.87E8</v>
      </c>
      <c r="L1992" s="1">
        <v>-2.1E7</v>
      </c>
      <c r="M1992" s="1">
        <v>1.0E7</v>
      </c>
      <c r="N1992" s="1">
        <v>1.373E9</v>
      </c>
      <c r="O1992" s="1">
        <v>1.186E9</v>
      </c>
      <c r="P1992" s="1">
        <v>8.41E8</v>
      </c>
      <c r="Q1992" s="1">
        <v>-2.9E7</v>
      </c>
      <c r="R1992" s="1">
        <v>1.48E8</v>
      </c>
      <c r="S1992" s="1">
        <v>1.48E8</v>
      </c>
    </row>
    <row r="1993">
      <c r="A1993" s="1">
        <v>1991.0</v>
      </c>
      <c r="B1993" s="11">
        <v>44104.0</v>
      </c>
      <c r="C1993" s="1" t="s">
        <v>1030</v>
      </c>
      <c r="D1993" s="1" t="s">
        <v>1031</v>
      </c>
      <c r="E1993" s="1">
        <v>4.5E7</v>
      </c>
      <c r="F1993" s="1">
        <v>5.0E7</v>
      </c>
      <c r="G1993" s="1">
        <v>3.7E7</v>
      </c>
      <c r="H1993" s="1">
        <v>2.69E8</v>
      </c>
      <c r="I1993" s="1">
        <v>4.61E8</v>
      </c>
      <c r="J1993" s="1">
        <v>1.47E8</v>
      </c>
      <c r="K1993" s="1">
        <v>1.47E8</v>
      </c>
      <c r="L1993" s="1">
        <v>-2.2E7</v>
      </c>
      <c r="M1993" s="1">
        <v>1.3E7</v>
      </c>
      <c r="N1993" s="1">
        <v>1.22E9</v>
      </c>
      <c r="O1993" s="1">
        <v>1.073E9</v>
      </c>
      <c r="P1993" s="1">
        <v>7.59E8</v>
      </c>
      <c r="Q1993" s="1">
        <v>-9.7E7</v>
      </c>
      <c r="R1993" s="1">
        <v>3.7E7</v>
      </c>
      <c r="S1993" s="1">
        <v>3.7E7</v>
      </c>
    </row>
    <row r="1994">
      <c r="A1994" s="1">
        <v>1992.0</v>
      </c>
      <c r="B1994" s="11">
        <v>44377.0</v>
      </c>
      <c r="C1994" s="1" t="s">
        <v>1032</v>
      </c>
      <c r="D1994" s="1" t="s">
        <v>1033</v>
      </c>
      <c r="F1994" s="1">
        <v>4.07E8</v>
      </c>
      <c r="G1994" s="1">
        <v>3.91E8</v>
      </c>
      <c r="H1994" s="1">
        <v>2.31E8</v>
      </c>
      <c r="I1994" s="1">
        <v>7.86E8</v>
      </c>
      <c r="J1994" s="1">
        <v>5.6E8</v>
      </c>
      <c r="K1994" s="1">
        <v>5.6E8</v>
      </c>
      <c r="L1994" s="1">
        <v>-1.25E8</v>
      </c>
      <c r="M1994" s="1">
        <v>1.6E7</v>
      </c>
      <c r="N1994" s="1">
        <v>1.602E9</v>
      </c>
      <c r="O1994" s="1">
        <v>1.042E9</v>
      </c>
      <c r="P1994" s="1">
        <v>8.16E8</v>
      </c>
      <c r="Q1994" s="1">
        <v>-1.53E8</v>
      </c>
      <c r="R1994" s="1">
        <v>3.91E8</v>
      </c>
      <c r="S1994" s="1">
        <v>3.91E8</v>
      </c>
    </row>
    <row r="1995">
      <c r="A1995" s="1">
        <v>1993.0</v>
      </c>
      <c r="B1995" s="11">
        <v>44286.0</v>
      </c>
      <c r="C1995" s="1" t="s">
        <v>1032</v>
      </c>
      <c r="D1995" s="1" t="s">
        <v>1033</v>
      </c>
      <c r="F1995" s="1">
        <v>4.09E8</v>
      </c>
      <c r="G1995" s="1">
        <v>3.26E8</v>
      </c>
      <c r="H1995" s="1">
        <v>2.09E8</v>
      </c>
      <c r="I1995" s="1">
        <v>7.28E8</v>
      </c>
      <c r="J1995" s="1">
        <v>5.32E8</v>
      </c>
      <c r="K1995" s="1">
        <v>5.32E8</v>
      </c>
      <c r="L1995" s="1">
        <v>-1.19E8</v>
      </c>
      <c r="M1995" s="1">
        <v>8.3E7</v>
      </c>
      <c r="N1995" s="1">
        <v>1.486E9</v>
      </c>
      <c r="O1995" s="1">
        <v>9.54E8</v>
      </c>
      <c r="P1995" s="1">
        <v>7.58E8</v>
      </c>
      <c r="Q1995" s="1">
        <v>-1.23E8</v>
      </c>
      <c r="R1995" s="1">
        <v>3.26E8</v>
      </c>
      <c r="S1995" s="1">
        <v>3.26E8</v>
      </c>
    </row>
    <row r="1996">
      <c r="A1996" s="1">
        <v>1994.0</v>
      </c>
      <c r="B1996" s="11">
        <v>44196.0</v>
      </c>
      <c r="C1996" s="1" t="s">
        <v>1032</v>
      </c>
      <c r="D1996" s="1" t="s">
        <v>1033</v>
      </c>
      <c r="F1996" s="1">
        <v>3.52E8</v>
      </c>
      <c r="G1996" s="1">
        <v>3.32E8</v>
      </c>
      <c r="H1996" s="1">
        <v>3.31E8</v>
      </c>
      <c r="I1996" s="1">
        <v>8.23E8</v>
      </c>
      <c r="J1996" s="1">
        <v>4.96E8</v>
      </c>
      <c r="K1996" s="1">
        <v>4.96E8</v>
      </c>
      <c r="L1996" s="1">
        <v>-1.47E8</v>
      </c>
      <c r="M1996" s="1">
        <v>2.0E7</v>
      </c>
      <c r="N1996" s="1">
        <v>1.743E9</v>
      </c>
      <c r="O1996" s="1">
        <v>1.247E9</v>
      </c>
      <c r="P1996" s="1">
        <v>9.2E8</v>
      </c>
      <c r="Q1996" s="1">
        <v>-1.44E8</v>
      </c>
      <c r="R1996" s="1">
        <v>3.32E8</v>
      </c>
      <c r="S1996" s="1">
        <v>3.32E8</v>
      </c>
    </row>
    <row r="1997">
      <c r="A1997" s="1">
        <v>1995.0</v>
      </c>
      <c r="B1997" s="11">
        <v>44104.0</v>
      </c>
      <c r="C1997" s="1" t="s">
        <v>1032</v>
      </c>
      <c r="D1997" s="1" t="s">
        <v>1033</v>
      </c>
      <c r="F1997" s="1">
        <v>3.16E8</v>
      </c>
      <c r="G1997" s="1">
        <v>2.83E8</v>
      </c>
      <c r="H1997" s="1">
        <v>2.28E8</v>
      </c>
      <c r="I1997" s="1">
        <v>7.23E8</v>
      </c>
      <c r="J1997" s="1">
        <v>5.02E8</v>
      </c>
      <c r="K1997" s="1">
        <v>5.02E8</v>
      </c>
      <c r="L1997" s="1">
        <v>-1.61E8</v>
      </c>
      <c r="M1997" s="1">
        <v>3.3E7</v>
      </c>
      <c r="N1997" s="1">
        <v>1.448E9</v>
      </c>
      <c r="O1997" s="1">
        <v>9.46E8</v>
      </c>
      <c r="P1997" s="1">
        <v>7.25E8</v>
      </c>
      <c r="Q1997" s="1">
        <v>-1.86E8</v>
      </c>
      <c r="R1997" s="1">
        <v>2.83E8</v>
      </c>
      <c r="S1997" s="1">
        <v>2.83E8</v>
      </c>
    </row>
    <row r="1998">
      <c r="A1998" s="1">
        <v>1996.0</v>
      </c>
      <c r="B1998" s="11">
        <v>44380.0</v>
      </c>
      <c r="C1998" s="1" t="s">
        <v>1034</v>
      </c>
      <c r="D1998" s="1" t="s">
        <v>1035</v>
      </c>
      <c r="E1998" s="1">
        <v>1.41E8</v>
      </c>
      <c r="F1998" s="1">
        <v>2.38E8</v>
      </c>
      <c r="G1998" s="1">
        <v>2.19E8</v>
      </c>
      <c r="H1998" s="1">
        <v>2.4E8</v>
      </c>
      <c r="I1998" s="1">
        <v>6.58E8</v>
      </c>
      <c r="J1998" s="1">
        <v>2.51E8</v>
      </c>
      <c r="K1998" s="1">
        <v>2.51E8</v>
      </c>
      <c r="L1998" s="1">
        <v>-7000000.0</v>
      </c>
      <c r="M1998" s="1">
        <v>1.9E7</v>
      </c>
      <c r="N1998" s="1">
        <v>1.377E9</v>
      </c>
      <c r="O1998" s="1">
        <v>1.126E9</v>
      </c>
      <c r="P1998" s="1">
        <v>7.19E8</v>
      </c>
      <c r="Q1998" s="1">
        <v>-1.3E7</v>
      </c>
      <c r="R1998" s="1">
        <v>2.19E8</v>
      </c>
      <c r="S1998" s="1">
        <v>2.19E8</v>
      </c>
    </row>
    <row r="1999">
      <c r="A1999" s="1">
        <v>1997.0</v>
      </c>
      <c r="B1999" s="11">
        <v>44289.0</v>
      </c>
      <c r="C1999" s="1" t="s">
        <v>1034</v>
      </c>
      <c r="D1999" s="1" t="s">
        <v>1035</v>
      </c>
      <c r="E1999" s="1">
        <v>1.4E8</v>
      </c>
      <c r="F1999" s="1">
        <v>2.76E8</v>
      </c>
      <c r="G1999" s="1">
        <v>2.28E8</v>
      </c>
      <c r="H1999" s="1">
        <v>2.16E8</v>
      </c>
      <c r="I1999" s="1">
        <v>6.55E8</v>
      </c>
      <c r="J1999" s="1">
        <v>2.73E8</v>
      </c>
      <c r="K1999" s="1">
        <v>2.73E8</v>
      </c>
      <c r="L1999" s="1">
        <v>-7000000.0</v>
      </c>
      <c r="M1999" s="1">
        <v>4.8E7</v>
      </c>
      <c r="N1999" s="1">
        <v>1.347E9</v>
      </c>
      <c r="O1999" s="1">
        <v>1.074E9</v>
      </c>
      <c r="P1999" s="1">
        <v>6.92E8</v>
      </c>
      <c r="Q1999" s="1">
        <v>3000000.0</v>
      </c>
      <c r="R1999" s="1">
        <v>2.28E8</v>
      </c>
      <c r="S1999" s="1">
        <v>2.28E8</v>
      </c>
    </row>
    <row r="2000">
      <c r="A2000" s="1">
        <v>1998.0</v>
      </c>
      <c r="B2000" s="11">
        <v>44196.0</v>
      </c>
      <c r="C2000" s="1" t="s">
        <v>1034</v>
      </c>
      <c r="D2000" s="1" t="s">
        <v>1035</v>
      </c>
      <c r="E2000" s="1">
        <v>1.37E8</v>
      </c>
      <c r="F2000" s="1">
        <v>2.16E8</v>
      </c>
      <c r="G2000" s="1">
        <v>1.99E8</v>
      </c>
      <c r="H2000" s="1">
        <v>2.18E8</v>
      </c>
      <c r="I2000" s="1">
        <v>6.18E8</v>
      </c>
      <c r="J2000" s="1">
        <v>2.37E8</v>
      </c>
      <c r="K2000" s="1">
        <v>2.37E8</v>
      </c>
      <c r="L2000" s="1">
        <v>-7000000.0</v>
      </c>
      <c r="M2000" s="1">
        <v>1.7E7</v>
      </c>
      <c r="N2000" s="1">
        <v>1.308E9</v>
      </c>
      <c r="O2000" s="1">
        <v>1.071E9</v>
      </c>
      <c r="P2000" s="1">
        <v>6.9E8</v>
      </c>
      <c r="Q2000" s="1">
        <v>-2.1E7</v>
      </c>
      <c r="R2000" s="1">
        <v>1.99E8</v>
      </c>
      <c r="S2000" s="1">
        <v>1.99E8</v>
      </c>
    </row>
    <row r="2001">
      <c r="A2001" s="1">
        <v>1999.0</v>
      </c>
      <c r="B2001" s="11">
        <v>44100.0</v>
      </c>
      <c r="C2001" s="1" t="s">
        <v>1034</v>
      </c>
      <c r="D2001" s="1" t="s">
        <v>1035</v>
      </c>
      <c r="E2001" s="1">
        <v>1.13E8</v>
      </c>
      <c r="F2001" s="1">
        <v>1.38E8</v>
      </c>
      <c r="G2001" s="1">
        <v>1.16E8</v>
      </c>
      <c r="H2001" s="1">
        <v>1.9E8</v>
      </c>
      <c r="I2001" s="1">
        <v>4.93E8</v>
      </c>
      <c r="J2001" s="1">
        <v>1.7E8</v>
      </c>
      <c r="K2001" s="1">
        <v>1.7E8</v>
      </c>
      <c r="L2001" s="1">
        <v>-1.0E7</v>
      </c>
      <c r="M2001" s="1">
        <v>2.2E7</v>
      </c>
      <c r="N2001" s="1">
        <v>1.132E9</v>
      </c>
      <c r="O2001" s="1">
        <v>9.62E8</v>
      </c>
      <c r="P2001" s="1">
        <v>6.39E8</v>
      </c>
      <c r="Q2001" s="1">
        <v>-3.2E7</v>
      </c>
      <c r="R2001" s="1">
        <v>1.16E8</v>
      </c>
      <c r="S2001" s="1">
        <v>1.16E8</v>
      </c>
    </row>
    <row r="2002">
      <c r="A2002" s="1">
        <v>2000.0</v>
      </c>
      <c r="B2002" s="11">
        <v>44377.0</v>
      </c>
      <c r="C2002" s="1" t="s">
        <v>1036</v>
      </c>
      <c r="D2002" s="1" t="s">
        <v>1037</v>
      </c>
      <c r="E2002" s="1">
        <v>1.805E8</v>
      </c>
      <c r="F2002" s="1">
        <v>1.739E8</v>
      </c>
      <c r="G2002" s="1">
        <v>1.419E8</v>
      </c>
      <c r="H2002" s="1">
        <v>8.12E8</v>
      </c>
      <c r="I2002" s="1">
        <v>1.4532E9</v>
      </c>
      <c r="J2002" s="1">
        <v>3.061E8</v>
      </c>
      <c r="K2002" s="1">
        <v>3.061E8</v>
      </c>
      <c r="L2002" s="1">
        <v>-5.47E7</v>
      </c>
      <c r="M2002" s="1">
        <v>3.14E7</v>
      </c>
      <c r="N2002" s="1">
        <v>2.0269E9</v>
      </c>
      <c r="O2002" s="1">
        <v>1.7208E9</v>
      </c>
      <c r="P2002" s="1">
        <v>5.737E8</v>
      </c>
      <c r="Q2002" s="1">
        <v>-1.322E8</v>
      </c>
      <c r="R2002" s="1">
        <v>1.425E8</v>
      </c>
      <c r="S2002" s="1">
        <v>1.419E8</v>
      </c>
    </row>
    <row r="2003">
      <c r="A2003" s="1">
        <v>2001.0</v>
      </c>
      <c r="B2003" s="11">
        <v>44286.0</v>
      </c>
      <c r="C2003" s="1" t="s">
        <v>1036</v>
      </c>
      <c r="D2003" s="1" t="s">
        <v>1037</v>
      </c>
      <c r="E2003" s="1">
        <v>9.44E7</v>
      </c>
      <c r="F2003" s="1">
        <v>2.206E8</v>
      </c>
      <c r="G2003" s="1">
        <v>1.981E8</v>
      </c>
      <c r="H2003" s="1">
        <v>7.655E8</v>
      </c>
      <c r="I2003" s="1">
        <v>1.331E9</v>
      </c>
      <c r="J2003" s="1">
        <v>3.156E8</v>
      </c>
      <c r="K2003" s="1">
        <v>3.156E8</v>
      </c>
      <c r="L2003" s="1">
        <v>-5.23E7</v>
      </c>
      <c r="M2003" s="1">
        <v>2.29E7</v>
      </c>
      <c r="N2003" s="1">
        <v>1.8474E9</v>
      </c>
      <c r="O2003" s="1">
        <v>1.5318E9</v>
      </c>
      <c r="P2003" s="1">
        <v>5.164E8</v>
      </c>
      <c r="Q2003" s="1">
        <v>-9.5E7</v>
      </c>
      <c r="R2003" s="1">
        <v>1.977E8</v>
      </c>
      <c r="S2003" s="1">
        <v>1.981E8</v>
      </c>
    </row>
    <row r="2004">
      <c r="A2004" s="1">
        <v>2002.0</v>
      </c>
      <c r="B2004" s="11">
        <v>44196.0</v>
      </c>
      <c r="C2004" s="1" t="s">
        <v>1036</v>
      </c>
      <c r="D2004" s="1" t="s">
        <v>1037</v>
      </c>
      <c r="E2004" s="1">
        <v>1.0E8</v>
      </c>
      <c r="F2004" s="1">
        <v>1.956E8</v>
      </c>
      <c r="G2004" s="1">
        <v>3.337E8</v>
      </c>
      <c r="H2004" s="1">
        <v>8.072E8</v>
      </c>
      <c r="I2004" s="1">
        <v>1.4337E9</v>
      </c>
      <c r="J2004" s="1">
        <v>3.739E8</v>
      </c>
      <c r="K2004" s="1">
        <v>3.739E8</v>
      </c>
      <c r="L2004" s="1">
        <v>-5.31E7</v>
      </c>
      <c r="M2004" s="1">
        <v>-1.382E8</v>
      </c>
      <c r="N2004" s="1">
        <v>2.0853E9</v>
      </c>
      <c r="O2004" s="1">
        <v>1.7114E9</v>
      </c>
      <c r="P2004" s="1">
        <v>6.516E8</v>
      </c>
      <c r="Q2004" s="1">
        <v>-1.783E8</v>
      </c>
      <c r="R2004" s="1">
        <v>3.338E8</v>
      </c>
      <c r="S2004" s="1">
        <v>3.337E8</v>
      </c>
    </row>
    <row r="2005">
      <c r="A2005" s="1">
        <v>2003.0</v>
      </c>
      <c r="B2005" s="11">
        <v>44104.0</v>
      </c>
      <c r="C2005" s="1" t="s">
        <v>1036</v>
      </c>
      <c r="D2005" s="1" t="s">
        <v>1037</v>
      </c>
      <c r="E2005" s="1">
        <v>8.59E7</v>
      </c>
      <c r="F2005" s="1">
        <v>2.558E8</v>
      </c>
      <c r="G2005" s="1">
        <v>2.425E8</v>
      </c>
      <c r="H2005" s="1">
        <v>7.723E8</v>
      </c>
      <c r="I2005" s="1">
        <v>1.3622E9</v>
      </c>
      <c r="J2005" s="1">
        <v>3.543E8</v>
      </c>
      <c r="K2005" s="1">
        <v>3.543E8</v>
      </c>
      <c r="L2005" s="1">
        <v>-5.4E7</v>
      </c>
      <c r="M2005" s="1">
        <v>9700000.0</v>
      </c>
      <c r="N2005" s="1">
        <v>1.9293E9</v>
      </c>
      <c r="O2005" s="1">
        <v>1.575E9</v>
      </c>
      <c r="P2005" s="1">
        <v>5.671E8</v>
      </c>
      <c r="Q2005" s="1">
        <v>-9.85E7</v>
      </c>
      <c r="R2005" s="1">
        <v>2.461E8</v>
      </c>
      <c r="S2005" s="1">
        <v>2.425E8</v>
      </c>
    </row>
    <row r="2006">
      <c r="A2006" s="1">
        <v>2004.0</v>
      </c>
      <c r="B2006" s="11">
        <v>44377.0</v>
      </c>
      <c r="C2006" s="1" t="s">
        <v>1038</v>
      </c>
      <c r="D2006" s="1" t="s">
        <v>1039</v>
      </c>
      <c r="F2006" s="1">
        <v>4.55E8</v>
      </c>
      <c r="G2006" s="1">
        <v>3.54E8</v>
      </c>
      <c r="H2006" s="1">
        <v>3.58E8</v>
      </c>
      <c r="I2006" s="1">
        <v>8.83E8</v>
      </c>
      <c r="J2006" s="1">
        <v>0.0</v>
      </c>
      <c r="K2006" s="1">
        <v>4.61E8</v>
      </c>
      <c r="M2006" s="1">
        <v>1.01E8</v>
      </c>
      <c r="N2006" s="1">
        <v>8.83E8</v>
      </c>
      <c r="O2006" s="1">
        <v>4.22E8</v>
      </c>
      <c r="P2006" s="1">
        <v>0.0</v>
      </c>
      <c r="Q2006" s="1">
        <v>-6000000.0</v>
      </c>
      <c r="R2006" s="1">
        <v>3.54E8</v>
      </c>
      <c r="S2006" s="1">
        <v>3.4E8</v>
      </c>
    </row>
    <row r="2007">
      <c r="A2007" s="1">
        <v>2005.0</v>
      </c>
      <c r="B2007" s="11">
        <v>44286.0</v>
      </c>
      <c r="C2007" s="1" t="s">
        <v>1038</v>
      </c>
      <c r="D2007" s="1" t="s">
        <v>1039</v>
      </c>
      <c r="F2007" s="1">
        <v>4.11E8</v>
      </c>
      <c r="G2007" s="1">
        <v>3.22E8</v>
      </c>
      <c r="H2007" s="1">
        <v>3.78E8</v>
      </c>
      <c r="I2007" s="1">
        <v>8.37E8</v>
      </c>
      <c r="J2007" s="1">
        <v>0.0</v>
      </c>
      <c r="K2007" s="1">
        <v>4.18E8</v>
      </c>
      <c r="M2007" s="1">
        <v>8.9E7</v>
      </c>
      <c r="N2007" s="1">
        <v>8.37E8</v>
      </c>
      <c r="O2007" s="1">
        <v>4.19E8</v>
      </c>
      <c r="P2007" s="1">
        <v>0.0</v>
      </c>
      <c r="Q2007" s="1">
        <v>-7000000.0</v>
      </c>
      <c r="R2007" s="1">
        <v>3.22E8</v>
      </c>
      <c r="S2007" s="1">
        <v>3.12E8</v>
      </c>
    </row>
    <row r="2008">
      <c r="A2008" s="1">
        <v>2006.0</v>
      </c>
      <c r="B2008" s="11">
        <v>44196.0</v>
      </c>
      <c r="C2008" s="1" t="s">
        <v>1038</v>
      </c>
      <c r="D2008" s="1" t="s">
        <v>1039</v>
      </c>
      <c r="F2008" s="1">
        <v>3.59E8</v>
      </c>
      <c r="G2008" s="1">
        <v>2.84E8</v>
      </c>
      <c r="H2008" s="1">
        <v>3.63E8</v>
      </c>
      <c r="I2008" s="1">
        <v>7.78E8</v>
      </c>
      <c r="J2008" s="1">
        <v>0.0</v>
      </c>
      <c r="K2008" s="1">
        <v>3.96E8</v>
      </c>
      <c r="M2008" s="1">
        <v>7.5E7</v>
      </c>
      <c r="N2008" s="1">
        <v>7.78E8</v>
      </c>
      <c r="O2008" s="1">
        <v>3.82E8</v>
      </c>
      <c r="P2008" s="1">
        <v>0.0</v>
      </c>
      <c r="Q2008" s="1">
        <v>-3.7E7</v>
      </c>
      <c r="R2008" s="1">
        <v>2.84E8</v>
      </c>
      <c r="S2008" s="1">
        <v>2.72E8</v>
      </c>
    </row>
    <row r="2009">
      <c r="A2009" s="1">
        <v>2007.0</v>
      </c>
      <c r="B2009" s="11">
        <v>44104.0</v>
      </c>
      <c r="C2009" s="1" t="s">
        <v>1038</v>
      </c>
      <c r="D2009" s="1" t="s">
        <v>1039</v>
      </c>
      <c r="F2009" s="1">
        <v>2.15E8</v>
      </c>
      <c r="G2009" s="1">
        <v>1.75E8</v>
      </c>
      <c r="H2009" s="1">
        <v>3.53E8</v>
      </c>
      <c r="I2009" s="1">
        <v>6.67E8</v>
      </c>
      <c r="J2009" s="1">
        <v>0.0</v>
      </c>
      <c r="K2009" s="1">
        <v>2.22E8</v>
      </c>
      <c r="M2009" s="1">
        <v>4.0E7</v>
      </c>
      <c r="N2009" s="1">
        <v>6.67E8</v>
      </c>
      <c r="O2009" s="1">
        <v>4.45E8</v>
      </c>
      <c r="P2009" s="1">
        <v>0.0</v>
      </c>
      <c r="Q2009" s="1">
        <v>-7000000.0</v>
      </c>
      <c r="R2009" s="1">
        <v>1.75E8</v>
      </c>
      <c r="S2009" s="1">
        <v>1.66E8</v>
      </c>
    </row>
    <row r="2010">
      <c r="A2010" s="1">
        <v>2008.0</v>
      </c>
      <c r="B2010" s="11">
        <v>44377.0</v>
      </c>
      <c r="C2010" s="1" t="s">
        <v>1040</v>
      </c>
      <c r="D2010" s="1" t="s">
        <v>1041</v>
      </c>
      <c r="E2010" s="1">
        <v>1.2E8</v>
      </c>
      <c r="F2010" s="1">
        <v>6.36E8</v>
      </c>
      <c r="G2010" s="1">
        <v>5.12E8</v>
      </c>
      <c r="H2010" s="1">
        <v>4.95E8</v>
      </c>
      <c r="I2010" s="1">
        <v>1.382E9</v>
      </c>
      <c r="J2010" s="1">
        <v>7.26E8</v>
      </c>
      <c r="K2010" s="1">
        <v>7.26E8</v>
      </c>
      <c r="L2010" s="1">
        <v>-5.7E7</v>
      </c>
      <c r="M2010" s="1">
        <v>1.25E8</v>
      </c>
      <c r="N2010" s="1">
        <v>1.948E9</v>
      </c>
      <c r="O2010" s="1">
        <v>1.222E9</v>
      </c>
      <c r="P2010" s="1">
        <v>5.66E8</v>
      </c>
      <c r="Q2010" s="1">
        <v>-9.0E7</v>
      </c>
      <c r="R2010" s="1">
        <v>5.11E8</v>
      </c>
      <c r="S2010" s="1">
        <v>5.12E8</v>
      </c>
    </row>
    <row r="2011">
      <c r="A2011" s="1">
        <v>2009.0</v>
      </c>
      <c r="B2011" s="11">
        <v>44286.0</v>
      </c>
      <c r="C2011" s="1" t="s">
        <v>1040</v>
      </c>
      <c r="D2011" s="1" t="s">
        <v>1041</v>
      </c>
      <c r="E2011" s="1">
        <v>1.18E8</v>
      </c>
      <c r="F2011" s="1">
        <v>6.87E8</v>
      </c>
      <c r="G2011" s="1">
        <v>5.59E8</v>
      </c>
      <c r="H2011" s="1">
        <v>4.09E8</v>
      </c>
      <c r="I2011" s="1">
        <v>1.323E9</v>
      </c>
      <c r="J2011" s="1">
        <v>7.56E8</v>
      </c>
      <c r="K2011" s="1">
        <v>7.56E8</v>
      </c>
      <c r="L2011" s="1">
        <v>-5.7E7</v>
      </c>
      <c r="M2011" s="1">
        <v>1.29E8</v>
      </c>
      <c r="N2011" s="1">
        <v>1.871E9</v>
      </c>
      <c r="O2011" s="1">
        <v>1.115E9</v>
      </c>
      <c r="P2011" s="1">
        <v>5.48E8</v>
      </c>
      <c r="Q2011" s="1">
        <v>-6.9E7</v>
      </c>
      <c r="R2011" s="1">
        <v>5.58E8</v>
      </c>
      <c r="S2011" s="1">
        <v>5.59E8</v>
      </c>
    </row>
    <row r="2012">
      <c r="A2012" s="1">
        <v>2010.0</v>
      </c>
      <c r="B2012" s="11">
        <v>44196.0</v>
      </c>
      <c r="C2012" s="1" t="s">
        <v>1040</v>
      </c>
      <c r="D2012" s="1" t="s">
        <v>1041</v>
      </c>
      <c r="E2012" s="1">
        <v>1.33E8</v>
      </c>
      <c r="F2012" s="1">
        <v>4.2E8</v>
      </c>
      <c r="G2012" s="1">
        <v>3.59E8</v>
      </c>
      <c r="H2012" s="1">
        <v>5.18E8</v>
      </c>
      <c r="I2012" s="1">
        <v>1.221E9</v>
      </c>
      <c r="J2012" s="1">
        <v>5.3E8</v>
      </c>
      <c r="K2012" s="1">
        <v>5.3E8</v>
      </c>
      <c r="L2012" s="1">
        <v>-5.8E7</v>
      </c>
      <c r="M2012" s="1">
        <v>6.2E7</v>
      </c>
      <c r="N2012" s="1">
        <v>1.807E9</v>
      </c>
      <c r="O2012" s="1">
        <v>1.277E9</v>
      </c>
      <c r="P2012" s="1">
        <v>5.86E8</v>
      </c>
      <c r="Q2012" s="1">
        <v>-1.1E8</v>
      </c>
      <c r="R2012" s="1">
        <v>3.58E8</v>
      </c>
      <c r="S2012" s="1">
        <v>3.59E8</v>
      </c>
    </row>
    <row r="2013">
      <c r="A2013" s="1">
        <v>2011.0</v>
      </c>
      <c r="B2013" s="11">
        <v>44104.0</v>
      </c>
      <c r="C2013" s="1" t="s">
        <v>1040</v>
      </c>
      <c r="D2013" s="1" t="s">
        <v>1041</v>
      </c>
      <c r="E2013" s="1">
        <v>1.12E8</v>
      </c>
      <c r="F2013" s="1">
        <v>5.97E8</v>
      </c>
      <c r="G2013" s="1">
        <v>4.79E8</v>
      </c>
      <c r="H2013" s="1">
        <v>4.19E8</v>
      </c>
      <c r="I2013" s="1">
        <v>1.241E9</v>
      </c>
      <c r="J2013" s="1">
        <v>6.7E8</v>
      </c>
      <c r="K2013" s="1">
        <v>6.7E8</v>
      </c>
      <c r="L2013" s="1">
        <v>-6.2E7</v>
      </c>
      <c r="M2013" s="1">
        <v>1.18E8</v>
      </c>
      <c r="N2013" s="1">
        <v>1.786E9</v>
      </c>
      <c r="O2013" s="1">
        <v>1.116E9</v>
      </c>
      <c r="P2013" s="1">
        <v>5.45E8</v>
      </c>
      <c r="Q2013" s="1">
        <v>-7.3E7</v>
      </c>
      <c r="R2013" s="1">
        <v>4.79E8</v>
      </c>
      <c r="S2013" s="1">
        <v>4.79E8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32.88"/>
    <col customWidth="1" min="23" max="23" width="40.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1">
        <v>0.0</v>
      </c>
      <c r="B2" s="3">
        <v>44469.0</v>
      </c>
      <c r="C2" s="1" t="s">
        <v>20</v>
      </c>
      <c r="D2" s="1" t="s">
        <v>21</v>
      </c>
      <c r="E2" s="1">
        <v>4.82E8</v>
      </c>
      <c r="F2" s="1">
        <v>1.761E9</v>
      </c>
      <c r="G2" s="1">
        <v>1.434E9</v>
      </c>
      <c r="H2" s="1">
        <v>1.739E9</v>
      </c>
      <c r="I2" s="1">
        <v>4.089E9</v>
      </c>
      <c r="J2" s="1">
        <v>1.868E9</v>
      </c>
      <c r="K2" s="1">
        <v>1.868E9</v>
      </c>
      <c r="L2" s="1">
        <v>-1.17E8</v>
      </c>
      <c r="M2" s="1">
        <v>3.24E8</v>
      </c>
      <c r="N2" s="1">
        <v>8.942E9</v>
      </c>
      <c r="O2" s="1">
        <v>7.074E9</v>
      </c>
      <c r="P2" s="1">
        <v>4.853E9</v>
      </c>
      <c r="Q2" s="1">
        <v>-1.07E8</v>
      </c>
      <c r="R2" s="1">
        <v>1.437E9</v>
      </c>
      <c r="S2" s="1">
        <v>1.434E9</v>
      </c>
    </row>
    <row r="3">
      <c r="A3" s="1">
        <v>1.0</v>
      </c>
      <c r="B3" s="3">
        <v>44377.0</v>
      </c>
      <c r="C3" s="1" t="s">
        <v>20</v>
      </c>
      <c r="D3" s="1" t="s">
        <v>21</v>
      </c>
      <c r="E3" s="1">
        <v>5.14E8</v>
      </c>
      <c r="F3" s="1">
        <v>1.94E9</v>
      </c>
      <c r="G3" s="1">
        <v>1.524E9</v>
      </c>
      <c r="H3" s="1">
        <v>1.666E9</v>
      </c>
      <c r="I3" s="1">
        <v>4.231E9</v>
      </c>
      <c r="J3" s="1">
        <v>2.051E9</v>
      </c>
      <c r="K3" s="1">
        <v>2.051E9</v>
      </c>
      <c r="L3" s="1">
        <v>-1.21E8</v>
      </c>
      <c r="M3" s="1">
        <v>4.15E8</v>
      </c>
      <c r="N3" s="1">
        <v>8.95E9</v>
      </c>
      <c r="O3" s="1">
        <v>6.899E9</v>
      </c>
      <c r="P3" s="1">
        <v>4.719E9</v>
      </c>
      <c r="Q3" s="1">
        <v>-1.11E8</v>
      </c>
      <c r="R3" s="1">
        <v>1.525E9</v>
      </c>
      <c r="S3" s="1">
        <v>1.524E9</v>
      </c>
      <c r="W3" s="4" t="str">
        <f>Raw_Data!C2&amp;"|"&amp;Raw_Data!D2&amp;"|"&amp;TEXT(Raw_Data!B2,"yyyy-mm-dd")</f>
        <v>3M|MMM|2021-09-30</v>
      </c>
    </row>
    <row r="4">
      <c r="A4" s="1">
        <v>2.0</v>
      </c>
      <c r="B4" s="3">
        <v>44286.0</v>
      </c>
      <c r="C4" s="1" t="s">
        <v>20</v>
      </c>
      <c r="D4" s="1" t="s">
        <v>21</v>
      </c>
      <c r="E4" s="1">
        <v>5.2E8</v>
      </c>
      <c r="F4" s="1">
        <v>1.946E9</v>
      </c>
      <c r="G4" s="1">
        <v>1.624E9</v>
      </c>
      <c r="H4" s="1">
        <v>1.72E9</v>
      </c>
      <c r="I4" s="1">
        <v>4.327E9</v>
      </c>
      <c r="J4" s="1">
        <v>2.087E9</v>
      </c>
      <c r="K4" s="1">
        <v>2.087E9</v>
      </c>
      <c r="L4" s="1">
        <v>-1.32E8</v>
      </c>
      <c r="M4" s="1">
        <v>3.19E8</v>
      </c>
      <c r="N4" s="1">
        <v>8.851E9</v>
      </c>
      <c r="O4" s="1">
        <v>6.764E9</v>
      </c>
      <c r="P4" s="1">
        <v>4.524E9</v>
      </c>
      <c r="Q4" s="1">
        <v>-1.41E8</v>
      </c>
      <c r="R4" s="1">
        <v>1.627E9</v>
      </c>
      <c r="S4" s="1">
        <v>1.624E9</v>
      </c>
      <c r="W4" s="4" t="str">
        <f>Raw_Data!C3&amp;"|"&amp;Raw_Data!D3&amp;"|"&amp;TEXT(Raw_Data!B3,"yyyy-mm-dd")</f>
        <v>3M|MMM|2021-06-30</v>
      </c>
    </row>
    <row r="5">
      <c r="A5" s="1">
        <v>3.0</v>
      </c>
      <c r="B5" s="3">
        <v>44196.0</v>
      </c>
      <c r="C5" s="1" t="s">
        <v>20</v>
      </c>
      <c r="D5" s="1" t="s">
        <v>21</v>
      </c>
      <c r="E5" s="1">
        <v>4.49E8</v>
      </c>
      <c r="F5" s="1">
        <v>1.706E9</v>
      </c>
      <c r="G5" s="1">
        <v>1.389E9</v>
      </c>
      <c r="H5" s="1">
        <v>1.814E9</v>
      </c>
      <c r="I5" s="1">
        <v>4.246E9</v>
      </c>
      <c r="J5" s="1">
        <v>1.983E9</v>
      </c>
      <c r="K5" s="1">
        <v>1.983E9</v>
      </c>
      <c r="L5" s="1">
        <v>-1.41E8</v>
      </c>
      <c r="M5" s="1">
        <v>3.16E8</v>
      </c>
      <c r="N5" s="1">
        <v>8.583E9</v>
      </c>
      <c r="O5" s="1">
        <v>6.6E9</v>
      </c>
      <c r="P5" s="1">
        <v>4.337E9</v>
      </c>
      <c r="Q5" s="1">
        <v>-2.77E8</v>
      </c>
      <c r="R5" s="1">
        <v>1.39E9</v>
      </c>
      <c r="S5" s="1">
        <v>1.389E9</v>
      </c>
      <c r="W5" s="4" t="str">
        <f>Raw_Data!C4&amp;"|"&amp;Raw_Data!D4&amp;"|"&amp;TEXT(Raw_Data!B4,"yyyy-mm-dd")</f>
        <v>3M|MMM|2021-03-31</v>
      </c>
    </row>
    <row r="6">
      <c r="A6" s="1">
        <v>4.0</v>
      </c>
      <c r="B6" s="3">
        <v>44469.0</v>
      </c>
      <c r="C6" s="1" t="s">
        <v>20</v>
      </c>
      <c r="D6" s="1" t="s">
        <v>21</v>
      </c>
      <c r="E6" s="1">
        <v>4.82E8</v>
      </c>
      <c r="F6" s="1">
        <v>1.761E9</v>
      </c>
      <c r="G6" s="1">
        <v>1.434E9</v>
      </c>
      <c r="H6" s="1">
        <v>1.739E9</v>
      </c>
      <c r="I6" s="1">
        <v>4.089E9</v>
      </c>
      <c r="J6" s="1">
        <v>1.868E9</v>
      </c>
      <c r="K6" s="1">
        <v>1.868E9</v>
      </c>
      <c r="L6" s="1">
        <v>-1.17E8</v>
      </c>
      <c r="M6" s="1">
        <v>3.24E8</v>
      </c>
      <c r="N6" s="1">
        <v>8.942E9</v>
      </c>
      <c r="O6" s="1">
        <v>7.074E9</v>
      </c>
      <c r="P6" s="1">
        <v>4.853E9</v>
      </c>
      <c r="Q6" s="1">
        <v>-1.07E8</v>
      </c>
      <c r="R6" s="1">
        <v>1.437E9</v>
      </c>
      <c r="S6" s="1">
        <v>1.434E9</v>
      </c>
      <c r="W6" s="4" t="str">
        <f>Raw_Data!C5&amp;"|"&amp;Raw_Data!D5&amp;"|"&amp;TEXT(Raw_Data!B5,"yyyy-mm-dd")</f>
        <v>3M|MMM|2020-12-31</v>
      </c>
    </row>
    <row r="7">
      <c r="A7" s="1">
        <v>5.0</v>
      </c>
      <c r="B7" s="3">
        <v>44377.0</v>
      </c>
      <c r="C7" s="1" t="s">
        <v>20</v>
      </c>
      <c r="D7" s="1" t="s">
        <v>21</v>
      </c>
      <c r="E7" s="1">
        <v>5.14E8</v>
      </c>
      <c r="F7" s="1">
        <v>1.94E9</v>
      </c>
      <c r="G7" s="1">
        <v>1.524E9</v>
      </c>
      <c r="H7" s="1">
        <v>1.666E9</v>
      </c>
      <c r="I7" s="1">
        <v>4.231E9</v>
      </c>
      <c r="J7" s="1">
        <v>2.051E9</v>
      </c>
      <c r="K7" s="1">
        <v>2.051E9</v>
      </c>
      <c r="L7" s="1">
        <v>-1.21E8</v>
      </c>
      <c r="M7" s="1">
        <v>4.15E8</v>
      </c>
      <c r="N7" s="1">
        <v>8.95E9</v>
      </c>
      <c r="O7" s="1">
        <v>6.899E9</v>
      </c>
      <c r="P7" s="1">
        <v>4.719E9</v>
      </c>
      <c r="Q7" s="1">
        <v>-1.11E8</v>
      </c>
      <c r="R7" s="1">
        <v>1.525E9</v>
      </c>
      <c r="S7" s="1">
        <v>1.524E9</v>
      </c>
      <c r="W7" s="4" t="str">
        <f>Raw_Data!C6&amp;"|"&amp;Raw_Data!D6&amp;"|"&amp;TEXT(Raw_Data!B6,"yyyy-mm-dd")</f>
        <v>3M|MMM|2021-09-30</v>
      </c>
    </row>
    <row r="8">
      <c r="A8" s="1">
        <v>6.0</v>
      </c>
      <c r="B8" s="3">
        <v>44286.0</v>
      </c>
      <c r="C8" s="1" t="s">
        <v>20</v>
      </c>
      <c r="D8" s="1" t="s">
        <v>21</v>
      </c>
      <c r="E8" s="1">
        <v>5.2E8</v>
      </c>
      <c r="F8" s="1">
        <v>1.946E9</v>
      </c>
      <c r="G8" s="1">
        <v>1.624E9</v>
      </c>
      <c r="H8" s="1">
        <v>1.72E9</v>
      </c>
      <c r="I8" s="1">
        <v>4.327E9</v>
      </c>
      <c r="J8" s="1">
        <v>2.087E9</v>
      </c>
      <c r="K8" s="1">
        <v>2.087E9</v>
      </c>
      <c r="L8" s="1">
        <v>-1.32E8</v>
      </c>
      <c r="M8" s="1">
        <v>3.19E8</v>
      </c>
      <c r="N8" s="1">
        <v>8.851E9</v>
      </c>
      <c r="O8" s="1">
        <v>6.764E9</v>
      </c>
      <c r="P8" s="1">
        <v>4.524E9</v>
      </c>
      <c r="Q8" s="1">
        <v>-1.41E8</v>
      </c>
      <c r="R8" s="1">
        <v>1.627E9</v>
      </c>
      <c r="S8" s="1">
        <v>1.624E9</v>
      </c>
      <c r="W8" s="4" t="str">
        <f>Raw_Data!C7&amp;"|"&amp;Raw_Data!D7&amp;"|"&amp;TEXT(Raw_Data!B7,"yyyy-mm-dd")</f>
        <v>3M|MMM|2021-06-30</v>
      </c>
    </row>
    <row r="9">
      <c r="A9" s="1">
        <v>7.0</v>
      </c>
      <c r="B9" s="3">
        <v>44196.0</v>
      </c>
      <c r="C9" s="1" t="s">
        <v>20</v>
      </c>
      <c r="D9" s="1" t="s">
        <v>21</v>
      </c>
      <c r="E9" s="1">
        <v>4.49E8</v>
      </c>
      <c r="F9" s="1">
        <v>1.706E9</v>
      </c>
      <c r="G9" s="1">
        <v>1.389E9</v>
      </c>
      <c r="H9" s="1">
        <v>1.814E9</v>
      </c>
      <c r="I9" s="1">
        <v>4.246E9</v>
      </c>
      <c r="J9" s="1">
        <v>1.983E9</v>
      </c>
      <c r="K9" s="1">
        <v>1.983E9</v>
      </c>
      <c r="L9" s="1">
        <v>-1.41E8</v>
      </c>
      <c r="M9" s="1">
        <v>3.16E8</v>
      </c>
      <c r="N9" s="1">
        <v>8.583E9</v>
      </c>
      <c r="O9" s="1">
        <v>6.6E9</v>
      </c>
      <c r="P9" s="1">
        <v>4.337E9</v>
      </c>
      <c r="Q9" s="1">
        <v>-2.77E8</v>
      </c>
      <c r="R9" s="1">
        <v>1.39E9</v>
      </c>
      <c r="S9" s="1">
        <v>1.389E9</v>
      </c>
      <c r="W9" s="4" t="str">
        <f>Raw_Data!C8&amp;"|"&amp;Raw_Data!D8&amp;"|"&amp;TEXT(Raw_Data!B8,"yyyy-mm-dd")</f>
        <v>3M|MMM|2021-03-31</v>
      </c>
    </row>
    <row r="10">
      <c r="A10" s="1">
        <v>8.0</v>
      </c>
      <c r="B10" s="3">
        <v>44469.0</v>
      </c>
      <c r="C10" s="1" t="s">
        <v>22</v>
      </c>
      <c r="D10" s="1" t="s">
        <v>23</v>
      </c>
      <c r="F10" s="1">
        <v>1.664E8</v>
      </c>
      <c r="G10" s="1">
        <v>1.316E8</v>
      </c>
      <c r="H10" s="1">
        <v>1.743E8</v>
      </c>
      <c r="I10" s="1">
        <v>3.403E8</v>
      </c>
      <c r="J10" s="1">
        <v>1.66E8</v>
      </c>
      <c r="K10" s="1">
        <v>1.66E8</v>
      </c>
      <c r="L10" s="1">
        <v>-1000000.0</v>
      </c>
      <c r="M10" s="1">
        <v>3.48E7</v>
      </c>
      <c r="N10" s="1">
        <v>9.146E8</v>
      </c>
      <c r="O10" s="1">
        <v>7.486E8</v>
      </c>
      <c r="P10" s="1">
        <v>5.743E8</v>
      </c>
      <c r="Q10" s="1">
        <v>400000.0</v>
      </c>
      <c r="R10" s="1">
        <v>1.316E8</v>
      </c>
      <c r="S10" s="1">
        <v>1.316E8</v>
      </c>
      <c r="W10" s="4" t="str">
        <f>Raw_Data!C9&amp;"|"&amp;Raw_Data!D9&amp;"|"&amp;TEXT(Raw_Data!B9,"yyyy-mm-dd")</f>
        <v>3M|MMM|2020-12-31</v>
      </c>
    </row>
    <row r="11">
      <c r="A11" s="1">
        <v>9.0</v>
      </c>
      <c r="B11" s="3">
        <v>44377.0</v>
      </c>
      <c r="C11" s="1" t="s">
        <v>22</v>
      </c>
      <c r="D11" s="1" t="s">
        <v>23</v>
      </c>
      <c r="F11" s="1">
        <v>1.513E8</v>
      </c>
      <c r="G11" s="1">
        <v>1.182E8</v>
      </c>
      <c r="H11" s="1">
        <v>1.698E8</v>
      </c>
      <c r="I11" s="1">
        <v>3.214E8</v>
      </c>
      <c r="J11" s="1">
        <v>1.516E8</v>
      </c>
      <c r="K11" s="1">
        <v>1.516E8</v>
      </c>
      <c r="L11" s="1">
        <v>-900000.0</v>
      </c>
      <c r="M11" s="1">
        <v>3.31E7</v>
      </c>
      <c r="N11" s="1">
        <v>8.598E8</v>
      </c>
      <c r="O11" s="1">
        <v>7.082E8</v>
      </c>
      <c r="P11" s="1">
        <v>5.384E8</v>
      </c>
      <c r="Q11" s="1">
        <v>-300000.0</v>
      </c>
      <c r="R11" s="1">
        <v>1.182E8</v>
      </c>
      <c r="S11" s="1">
        <v>1.182E8</v>
      </c>
      <c r="W11" s="4" t="str">
        <f>Raw_Data!C10&amp;"|"&amp;Raw_Data!D10&amp;"|"&amp;TEXT(Raw_Data!B10,"yyyy-mm-dd")</f>
        <v>A. O. Smith|AOS|2021-09-30</v>
      </c>
    </row>
    <row r="12">
      <c r="A12" s="1">
        <v>10.0</v>
      </c>
      <c r="B12" s="3">
        <v>44286.0</v>
      </c>
      <c r="C12" s="1" t="s">
        <v>22</v>
      </c>
      <c r="D12" s="1" t="s">
        <v>23</v>
      </c>
      <c r="F12" s="1">
        <v>1.261E8</v>
      </c>
      <c r="G12" s="1">
        <v>9.77E7</v>
      </c>
      <c r="H12" s="1">
        <v>1.665E8</v>
      </c>
      <c r="I12" s="1">
        <v>2.886E8</v>
      </c>
      <c r="J12" s="1">
        <v>1.221E8</v>
      </c>
      <c r="K12" s="1">
        <v>1.221E8</v>
      </c>
      <c r="L12" s="1">
        <v>-1000000.0</v>
      </c>
      <c r="M12" s="1">
        <v>2.84E7</v>
      </c>
      <c r="N12" s="1">
        <v>7.69E8</v>
      </c>
      <c r="O12" s="1">
        <v>6.469E8</v>
      </c>
      <c r="P12" s="1">
        <v>4.804E8</v>
      </c>
      <c r="Q12" s="1">
        <v>4000000.0</v>
      </c>
      <c r="R12" s="1">
        <v>9.77E7</v>
      </c>
      <c r="S12" s="1">
        <v>9.77E7</v>
      </c>
      <c r="W12" s="4" t="str">
        <f>Raw_Data!C11&amp;"|"&amp;Raw_Data!D11&amp;"|"&amp;TEXT(Raw_Data!B11,"yyyy-mm-dd")</f>
        <v>A. O. Smith|AOS|2021-06-30</v>
      </c>
    </row>
    <row r="13">
      <c r="A13" s="1">
        <v>11.0</v>
      </c>
      <c r="B13" s="3">
        <v>44196.0</v>
      </c>
      <c r="C13" s="1" t="s">
        <v>22</v>
      </c>
      <c r="D13" s="1" t="s">
        <v>23</v>
      </c>
      <c r="F13" s="1">
        <v>1.519E8</v>
      </c>
      <c r="G13" s="1">
        <v>1.2E8</v>
      </c>
      <c r="H13" s="1">
        <v>1.847E8</v>
      </c>
      <c r="I13" s="1">
        <v>3.241E8</v>
      </c>
      <c r="J13" s="1">
        <v>1.394E8</v>
      </c>
      <c r="K13" s="1">
        <v>1.394E8</v>
      </c>
      <c r="L13" s="1">
        <v>-1000000.0</v>
      </c>
      <c r="M13" s="1">
        <v>3.19E7</v>
      </c>
      <c r="N13" s="1">
        <v>8.345E8</v>
      </c>
      <c r="O13" s="1">
        <v>6.951E8</v>
      </c>
      <c r="P13" s="1">
        <v>5.104E8</v>
      </c>
      <c r="Q13" s="1">
        <v>1.25E7</v>
      </c>
      <c r="R13" s="1">
        <v>1.2E8</v>
      </c>
      <c r="S13" s="1">
        <v>1.2E8</v>
      </c>
      <c r="W13" s="4" t="str">
        <f>Raw_Data!C12&amp;"|"&amp;Raw_Data!D12&amp;"|"&amp;TEXT(Raw_Data!B12,"yyyy-mm-dd")</f>
        <v>A. O. Smith|AOS|2021-03-31</v>
      </c>
    </row>
    <row r="14">
      <c r="A14" s="1">
        <v>12.0</v>
      </c>
      <c r="B14" s="3">
        <v>44469.0</v>
      </c>
      <c r="C14" s="1" t="s">
        <v>24</v>
      </c>
      <c r="D14" s="1" t="s">
        <v>25</v>
      </c>
      <c r="E14" s="1">
        <v>6.72E8</v>
      </c>
      <c r="F14" s="1">
        <v>2.493E9</v>
      </c>
      <c r="G14" s="1">
        <v>2.1E9</v>
      </c>
      <c r="H14" s="1">
        <v>2.699E9</v>
      </c>
      <c r="I14" s="1">
        <v>6.505E9</v>
      </c>
      <c r="J14" s="1">
        <v>2.614E9</v>
      </c>
      <c r="K14" s="1">
        <v>2.614E9</v>
      </c>
      <c r="L14" s="1">
        <v>-1.33E8</v>
      </c>
      <c r="M14" s="1">
        <v>3.93E8</v>
      </c>
      <c r="N14" s="1">
        <v>1.0928E10</v>
      </c>
      <c r="O14" s="1">
        <v>8.314E9</v>
      </c>
      <c r="P14" s="1">
        <v>4.423E9</v>
      </c>
      <c r="Q14" s="1">
        <v>-1.21E8</v>
      </c>
      <c r="R14" s="1">
        <v>2.1E9</v>
      </c>
      <c r="S14" s="1">
        <v>2.092E9</v>
      </c>
      <c r="W14" s="4" t="str">
        <f>Raw_Data!C13&amp;"|"&amp;Raw_Data!D13&amp;"|"&amp;TEXT(Raw_Data!B13,"yyyy-mm-dd")</f>
        <v>A. O. Smith|AOS|2020-12-31</v>
      </c>
    </row>
    <row r="15">
      <c r="A15" s="1">
        <v>13.0</v>
      </c>
      <c r="B15" s="3">
        <v>44377.0</v>
      </c>
      <c r="C15" s="1" t="s">
        <v>24</v>
      </c>
      <c r="D15" s="1" t="s">
        <v>25</v>
      </c>
      <c r="E15" s="1">
        <v>6.54E8</v>
      </c>
      <c r="F15" s="1">
        <v>1.348E9</v>
      </c>
      <c r="G15" s="1">
        <v>1.189E9</v>
      </c>
      <c r="H15" s="1">
        <v>2.658E9</v>
      </c>
      <c r="I15" s="1">
        <v>5.786E9</v>
      </c>
      <c r="J15" s="1">
        <v>1.97E9</v>
      </c>
      <c r="K15" s="1">
        <v>1.97E9</v>
      </c>
      <c r="L15" s="1">
        <v>-1.34E8</v>
      </c>
      <c r="M15" s="1">
        <v>1.59E8</v>
      </c>
      <c r="N15" s="1">
        <v>1.0223E10</v>
      </c>
      <c r="O15" s="1">
        <v>8.253E9</v>
      </c>
      <c r="P15" s="1">
        <v>4.437E9</v>
      </c>
      <c r="Q15" s="1">
        <v>-6.22E8</v>
      </c>
      <c r="R15" s="1">
        <v>1.189E9</v>
      </c>
      <c r="S15" s="1">
        <v>1.184E9</v>
      </c>
      <c r="W15" s="4" t="str">
        <f>Raw_Data!C14&amp;"|"&amp;Raw_Data!D14&amp;"|"&amp;TEXT(Raw_Data!B14,"yyyy-mm-dd")</f>
        <v>Abbott Laboratories|ABT|2021-09-30</v>
      </c>
    </row>
    <row r="16">
      <c r="A16" s="1">
        <v>14.0</v>
      </c>
      <c r="B16" s="3">
        <v>44286.0</v>
      </c>
      <c r="C16" s="1" t="s">
        <v>24</v>
      </c>
      <c r="D16" s="1" t="s">
        <v>25</v>
      </c>
      <c r="E16" s="1">
        <v>6.54E8</v>
      </c>
      <c r="F16" s="1">
        <v>2.043E9</v>
      </c>
      <c r="G16" s="1">
        <v>1.793E9</v>
      </c>
      <c r="H16" s="1">
        <v>2.716E9</v>
      </c>
      <c r="I16" s="1">
        <v>6.056E9</v>
      </c>
      <c r="J16" s="1">
        <v>2.177E9</v>
      </c>
      <c r="K16" s="1">
        <v>2.177E9</v>
      </c>
      <c r="L16" s="1">
        <v>-1.35E8</v>
      </c>
      <c r="M16" s="1">
        <v>2.5E8</v>
      </c>
      <c r="N16" s="1">
        <v>1.0456E10</v>
      </c>
      <c r="O16" s="1">
        <v>8.279E9</v>
      </c>
      <c r="P16" s="1">
        <v>4.4E9</v>
      </c>
      <c r="Q16" s="1">
        <v>-1.34E8</v>
      </c>
      <c r="R16" s="1">
        <v>1.793E9</v>
      </c>
      <c r="S16" s="1">
        <v>1.785E9</v>
      </c>
      <c r="W16" s="4" t="str">
        <f>Raw_Data!C15&amp;"|"&amp;Raw_Data!D15&amp;"|"&amp;TEXT(Raw_Data!B15,"yyyy-mm-dd")</f>
        <v>Abbott Laboratories|ABT|2021-06-30</v>
      </c>
    </row>
    <row r="17">
      <c r="A17" s="1">
        <v>15.0</v>
      </c>
      <c r="B17" s="3">
        <v>44196.0</v>
      </c>
      <c r="C17" s="1" t="s">
        <v>24</v>
      </c>
      <c r="D17" s="1" t="s">
        <v>25</v>
      </c>
      <c r="E17" s="1">
        <v>6.43E8</v>
      </c>
      <c r="F17" s="1">
        <v>2.388E9</v>
      </c>
      <c r="G17" s="1">
        <v>2.162E9</v>
      </c>
      <c r="H17" s="1">
        <v>2.525E9</v>
      </c>
      <c r="I17" s="1">
        <v>6.207E9</v>
      </c>
      <c r="J17" s="1">
        <v>2.531E9</v>
      </c>
      <c r="K17" s="1">
        <v>2.531E9</v>
      </c>
      <c r="L17" s="1">
        <v>-1.36E8</v>
      </c>
      <c r="M17" s="1">
        <v>2.3E8</v>
      </c>
      <c r="N17" s="1">
        <v>1.0701E10</v>
      </c>
      <c r="O17" s="1">
        <v>8.17E9</v>
      </c>
      <c r="P17" s="1">
        <v>4.494E9</v>
      </c>
      <c r="Q17" s="1">
        <v>-1.43E8</v>
      </c>
      <c r="R17" s="1">
        <v>2.158E9</v>
      </c>
      <c r="S17" s="1">
        <v>2.151E9</v>
      </c>
      <c r="W17" s="4" t="str">
        <f>Raw_Data!C16&amp;"|"&amp;Raw_Data!D16&amp;"|"&amp;TEXT(Raw_Data!B16,"yyyy-mm-dd")</f>
        <v>Abbott Laboratories|ABT|2021-03-31</v>
      </c>
    </row>
    <row r="18">
      <c r="A18" s="1">
        <v>16.0</v>
      </c>
      <c r="B18" s="3">
        <v>44469.0</v>
      </c>
      <c r="C18" s="1" t="s">
        <v>26</v>
      </c>
      <c r="D18" s="1" t="s">
        <v>27</v>
      </c>
      <c r="E18" s="1">
        <v>1.655E9</v>
      </c>
      <c r="F18" s="1">
        <v>3.688E9</v>
      </c>
      <c r="G18" s="1">
        <v>3.179E9</v>
      </c>
      <c r="H18" s="1">
        <v>2.946E9</v>
      </c>
      <c r="I18" s="1">
        <v>9.998E9</v>
      </c>
      <c r="J18" s="1">
        <v>4.897E9</v>
      </c>
      <c r="K18" s="1">
        <v>4.897E9</v>
      </c>
      <c r="L18" s="1">
        <v>-5.96E8</v>
      </c>
      <c r="M18" s="1">
        <v>5.08E8</v>
      </c>
      <c r="N18" s="1">
        <v>1.4342E10</v>
      </c>
      <c r="O18" s="1">
        <v>9.445E9</v>
      </c>
      <c r="P18" s="1">
        <v>4.344E9</v>
      </c>
      <c r="Q18" s="1">
        <v>-1.209E9</v>
      </c>
      <c r="R18" s="1">
        <v>3.18E9</v>
      </c>
      <c r="S18" s="1">
        <v>3.158E9</v>
      </c>
      <c r="W18" s="4" t="str">
        <f>Raw_Data!C17&amp;"|"&amp;Raw_Data!D17&amp;"|"&amp;TEXT(Raw_Data!B17,"yyyy-mm-dd")</f>
        <v>Abbott Laboratories|ABT|2020-12-31</v>
      </c>
    </row>
    <row r="19">
      <c r="A19" s="1">
        <v>17.0</v>
      </c>
      <c r="B19" s="3">
        <v>44377.0</v>
      </c>
      <c r="C19" s="1" t="s">
        <v>26</v>
      </c>
      <c r="D19" s="1" t="s">
        <v>27</v>
      </c>
      <c r="E19" s="1">
        <v>1.784E9</v>
      </c>
      <c r="F19" s="1">
        <v>1.163E9</v>
      </c>
      <c r="G19" s="1">
        <v>7.66E8</v>
      </c>
      <c r="H19" s="1">
        <v>3.049E9</v>
      </c>
      <c r="I19" s="1">
        <v>9.461E9</v>
      </c>
      <c r="J19" s="1">
        <v>4.696E9</v>
      </c>
      <c r="K19" s="1">
        <v>4.696E9</v>
      </c>
      <c r="L19" s="1">
        <v>-6.15E8</v>
      </c>
      <c r="M19" s="1">
        <v>3.94E8</v>
      </c>
      <c r="N19" s="1">
        <v>1.3959E10</v>
      </c>
      <c r="O19" s="1">
        <v>9.263E9</v>
      </c>
      <c r="P19" s="1">
        <v>4.498E9</v>
      </c>
      <c r="Q19" s="1">
        <v>-3.533E9</v>
      </c>
      <c r="R19" s="1">
        <v>7.69E8</v>
      </c>
      <c r="S19" s="1">
        <v>7.51E8</v>
      </c>
      <c r="W19" s="4" t="str">
        <f>Raw_Data!C18&amp;"|"&amp;Raw_Data!D18&amp;"|"&amp;TEXT(Raw_Data!B18,"yyyy-mm-dd")</f>
        <v>AbbVie|ABBV|2021-09-30</v>
      </c>
    </row>
    <row r="20">
      <c r="A20" s="1">
        <v>18.0</v>
      </c>
      <c r="B20" s="3">
        <v>44286.0</v>
      </c>
      <c r="C20" s="1" t="s">
        <v>26</v>
      </c>
      <c r="D20" s="1" t="s">
        <v>27</v>
      </c>
      <c r="E20" s="1">
        <v>1.731E9</v>
      </c>
      <c r="F20" s="1">
        <v>3.867E9</v>
      </c>
      <c r="G20" s="1">
        <v>3.553E9</v>
      </c>
      <c r="H20" s="1">
        <v>2.741E9</v>
      </c>
      <c r="I20" s="1">
        <v>8.818E9</v>
      </c>
      <c r="J20" s="1">
        <v>4.346E9</v>
      </c>
      <c r="K20" s="1">
        <v>4.346E9</v>
      </c>
      <c r="L20" s="1">
        <v>-6.32E8</v>
      </c>
      <c r="M20" s="1">
        <v>3.12E8</v>
      </c>
      <c r="N20" s="1">
        <v>1.301E10</v>
      </c>
      <c r="O20" s="1">
        <v>8.664E9</v>
      </c>
      <c r="P20" s="1">
        <v>4.192E9</v>
      </c>
      <c r="Q20" s="1">
        <v>-4.79E8</v>
      </c>
      <c r="R20" s="1">
        <v>3.555E9</v>
      </c>
      <c r="S20" s="1">
        <v>3.536E9</v>
      </c>
      <c r="W20" s="4" t="str">
        <f>Raw_Data!C19&amp;"|"&amp;Raw_Data!D19&amp;"|"&amp;TEXT(Raw_Data!B19,"yyyy-mm-dd")</f>
        <v>AbbVie|ABBV|2021-06-30</v>
      </c>
    </row>
    <row r="21">
      <c r="A21" s="1">
        <v>19.0</v>
      </c>
      <c r="B21" s="3">
        <v>44196.0</v>
      </c>
      <c r="C21" s="1" t="s">
        <v>26</v>
      </c>
      <c r="D21" s="1" t="s">
        <v>27</v>
      </c>
      <c r="E21" s="1">
        <v>1.821E9</v>
      </c>
      <c r="F21" s="1">
        <v>-1.507E9</v>
      </c>
      <c r="G21" s="1">
        <v>3.6E7</v>
      </c>
      <c r="H21" s="1">
        <v>3.099E9</v>
      </c>
      <c r="I21" s="1">
        <v>1.0448E10</v>
      </c>
      <c r="J21" s="1">
        <v>5.528E9</v>
      </c>
      <c r="K21" s="1">
        <v>5.528E9</v>
      </c>
      <c r="L21" s="1">
        <v>-6.29E8</v>
      </c>
      <c r="M21" s="1">
        <v>-1.545E9</v>
      </c>
      <c r="N21" s="1">
        <v>1.3858E10</v>
      </c>
      <c r="O21" s="1">
        <v>8.33E9</v>
      </c>
      <c r="P21" s="1">
        <v>3.41E9</v>
      </c>
      <c r="Q21" s="1">
        <v>-7.035E9</v>
      </c>
      <c r="R21" s="1">
        <v>3.8E7</v>
      </c>
      <c r="S21" s="1">
        <v>2.0E7</v>
      </c>
      <c r="W21" s="4" t="str">
        <f>Raw_Data!C20&amp;"|"&amp;Raw_Data!D20&amp;"|"&amp;TEXT(Raw_Data!B20,"yyyy-mm-dd")</f>
        <v>AbbVie|ABBV|2021-03-31</v>
      </c>
    </row>
    <row r="22">
      <c r="A22" s="1">
        <v>20.0</v>
      </c>
      <c r="B22" s="3">
        <v>44469.0</v>
      </c>
      <c r="C22" s="1" t="s">
        <v>28</v>
      </c>
      <c r="D22" s="1" t="s">
        <v>29</v>
      </c>
      <c r="E22" s="1">
        <v>4.1041E7</v>
      </c>
      <c r="F22" s="1">
        <v>6.7271E7</v>
      </c>
      <c r="G22" s="1">
        <v>5.6953E7</v>
      </c>
      <c r="H22" s="1">
        <v>1.02779E8</v>
      </c>
      <c r="I22" s="1">
        <v>2.04256E8</v>
      </c>
      <c r="J22" s="1">
        <v>6.0436E7</v>
      </c>
      <c r="K22" s="1">
        <v>6.0436E7</v>
      </c>
      <c r="M22" s="1">
        <v>1.0318E7</v>
      </c>
      <c r="N22" s="1">
        <v>2.48142E8</v>
      </c>
      <c r="O22" s="1">
        <v>1.87706E8</v>
      </c>
      <c r="P22" s="1">
        <v>4.3886E7</v>
      </c>
      <c r="Q22" s="1">
        <v>6835000.0</v>
      </c>
      <c r="R22" s="1">
        <v>5.6953E7</v>
      </c>
      <c r="S22" s="1">
        <v>5.6953E7</v>
      </c>
      <c r="W22" s="4" t="str">
        <f>Raw_Data!C21&amp;"|"&amp;Raw_Data!D21&amp;"|"&amp;TEXT(Raw_Data!B21,"yyyy-mm-dd")</f>
        <v>AbbVie|ABBV|2020-12-31</v>
      </c>
    </row>
    <row r="23">
      <c r="A23" s="1">
        <v>21.0</v>
      </c>
      <c r="B23" s="3">
        <v>44377.0</v>
      </c>
      <c r="C23" s="1" t="s">
        <v>28</v>
      </c>
      <c r="D23" s="1" t="s">
        <v>29</v>
      </c>
      <c r="E23" s="1">
        <v>3.6837E7</v>
      </c>
      <c r="F23" s="1">
        <v>-9350000.0</v>
      </c>
      <c r="G23" s="1">
        <v>-2.6525E7</v>
      </c>
      <c r="H23" s="1">
        <v>1.03484E8</v>
      </c>
      <c r="I23" s="1">
        <v>2.07397E8</v>
      </c>
      <c r="J23" s="1">
        <v>6.7076E7</v>
      </c>
      <c r="K23" s="1">
        <v>6.7076E7</v>
      </c>
      <c r="M23" s="1">
        <v>1.7175E7</v>
      </c>
      <c r="N23" s="1">
        <v>2.52585E8</v>
      </c>
      <c r="O23" s="1">
        <v>1.85509E8</v>
      </c>
      <c r="P23" s="1">
        <v>4.5188E7</v>
      </c>
      <c r="Q23" s="1">
        <v>-7.6426E7</v>
      </c>
      <c r="R23" s="1">
        <v>-2.6525E7</v>
      </c>
      <c r="S23" s="1">
        <v>-2.6525E7</v>
      </c>
      <c r="W23" s="4" t="str">
        <f>Raw_Data!C22&amp;"|"&amp;Raw_Data!D22&amp;"|"&amp;TEXT(Raw_Data!B22,"yyyy-mm-dd")</f>
        <v>Abiomed|ABMD|2021-09-30</v>
      </c>
    </row>
    <row r="24">
      <c r="A24" s="1">
        <v>22.0</v>
      </c>
      <c r="B24" s="3">
        <v>44286.0</v>
      </c>
      <c r="C24" s="1" t="s">
        <v>28</v>
      </c>
      <c r="D24" s="1" t="s">
        <v>29</v>
      </c>
      <c r="E24" s="1">
        <v>3.2599E7</v>
      </c>
      <c r="F24" s="1">
        <v>7.3494E7</v>
      </c>
      <c r="G24" s="1">
        <v>5.6856E7</v>
      </c>
      <c r="H24" s="1">
        <v>1.00374E8</v>
      </c>
      <c r="I24" s="1">
        <v>1.95167E8</v>
      </c>
      <c r="J24" s="1">
        <v>6.2194E7</v>
      </c>
      <c r="K24" s="1">
        <v>6.2194E7</v>
      </c>
      <c r="M24" s="1">
        <v>1.6638E7</v>
      </c>
      <c r="N24" s="1">
        <v>2.41245E8</v>
      </c>
      <c r="O24" s="1">
        <v>1.79051E8</v>
      </c>
      <c r="P24" s="1">
        <v>4.6078E7</v>
      </c>
      <c r="Q24" s="1">
        <v>1.13E7</v>
      </c>
      <c r="R24" s="1">
        <v>5.6856E7</v>
      </c>
      <c r="S24" s="1">
        <v>5.6856E7</v>
      </c>
      <c r="W24" s="4" t="str">
        <f>Raw_Data!C23&amp;"|"&amp;Raw_Data!D23&amp;"|"&amp;TEXT(Raw_Data!B23,"yyyy-mm-dd")</f>
        <v>Abiomed|ABMD|2021-06-30</v>
      </c>
    </row>
    <row r="25">
      <c r="A25" s="1">
        <v>23.0</v>
      </c>
      <c r="B25" s="3">
        <v>44196.0</v>
      </c>
      <c r="C25" s="1" t="s">
        <v>28</v>
      </c>
      <c r="D25" s="1" t="s">
        <v>29</v>
      </c>
      <c r="E25" s="1">
        <v>3.2105E7</v>
      </c>
      <c r="F25" s="1">
        <v>8.0735E7</v>
      </c>
      <c r="G25" s="1">
        <v>6.1868E7</v>
      </c>
      <c r="H25" s="1">
        <v>8.6198E7</v>
      </c>
      <c r="I25" s="1">
        <v>1.90553E8</v>
      </c>
      <c r="J25" s="1">
        <v>7.225E7</v>
      </c>
      <c r="K25" s="1">
        <v>7.225E7</v>
      </c>
      <c r="M25" s="1">
        <v>1.8867E7</v>
      </c>
      <c r="N25" s="1">
        <v>2.31663E8</v>
      </c>
      <c r="O25" s="1">
        <v>1.59413E8</v>
      </c>
      <c r="P25" s="1">
        <v>4.111E7</v>
      </c>
      <c r="Q25" s="1">
        <v>8485000.0</v>
      </c>
      <c r="R25" s="1">
        <v>6.1868E7</v>
      </c>
      <c r="S25" s="1">
        <v>6.1868E7</v>
      </c>
      <c r="W25" s="4" t="str">
        <f>Raw_Data!C24&amp;"|"&amp;Raw_Data!D24&amp;"|"&amp;TEXT(Raw_Data!B24,"yyyy-mm-dd")</f>
        <v>Abiomed|ABMD|2021-03-31</v>
      </c>
    </row>
    <row r="26">
      <c r="A26" s="1">
        <v>24.0</v>
      </c>
      <c r="B26" s="3">
        <v>44439.0</v>
      </c>
      <c r="C26" s="1" t="s">
        <v>30</v>
      </c>
      <c r="D26" s="1" t="s">
        <v>31</v>
      </c>
      <c r="F26" s="1">
        <v>1.917805E9</v>
      </c>
      <c r="G26" s="1">
        <v>1.416248E9</v>
      </c>
      <c r="H26" s="1">
        <v>2.507527E9</v>
      </c>
      <c r="I26" s="1">
        <v>4.466216E9</v>
      </c>
      <c r="J26" s="1">
        <v>1.958689E9</v>
      </c>
      <c r="K26" s="1">
        <v>1.958689E9</v>
      </c>
      <c r="L26" s="1">
        <v>-1.2977E7</v>
      </c>
      <c r="M26" s="1">
        <v>4.80382E8</v>
      </c>
      <c r="N26" s="1">
        <v>1.3419284E10</v>
      </c>
      <c r="O26" s="1">
        <v>1.1460595E10</v>
      </c>
      <c r="P26" s="1">
        <v>8.953068E9</v>
      </c>
      <c r="Q26" s="1">
        <v>-4.0884E7</v>
      </c>
      <c r="R26" s="1">
        <v>1.437423E9</v>
      </c>
      <c r="S26" s="1">
        <v>1.416248E9</v>
      </c>
      <c r="W26" s="4" t="str">
        <f>Raw_Data!C25&amp;"|"&amp;Raw_Data!D25&amp;"|"&amp;TEXT(Raw_Data!B25,"yyyy-mm-dd")</f>
        <v>Abiomed|ABMD|2020-12-31</v>
      </c>
    </row>
    <row r="27">
      <c r="A27" s="1">
        <v>25.0</v>
      </c>
      <c r="B27" s="3">
        <v>44347.0</v>
      </c>
      <c r="C27" s="1" t="s">
        <v>30</v>
      </c>
      <c r="D27" s="1" t="s">
        <v>31</v>
      </c>
      <c r="F27" s="1">
        <v>2.094001E9</v>
      </c>
      <c r="G27" s="1">
        <v>1.549426E9</v>
      </c>
      <c r="H27" s="1">
        <v>2.285728E9</v>
      </c>
      <c r="I27" s="1">
        <v>4.404384E9</v>
      </c>
      <c r="J27" s="1">
        <v>2.118656E9</v>
      </c>
      <c r="K27" s="1">
        <v>2.118656E9</v>
      </c>
      <c r="L27" s="1">
        <v>-2.8739E7</v>
      </c>
      <c r="M27" s="1">
        <v>5.24429E8</v>
      </c>
      <c r="N27" s="1">
        <v>1.3263795E10</v>
      </c>
      <c r="O27" s="1">
        <v>1.1145139E10</v>
      </c>
      <c r="P27" s="1">
        <v>8.859411E9</v>
      </c>
      <c r="Q27" s="1">
        <v>-2.4655E7</v>
      </c>
      <c r="R27" s="1">
        <v>1.569572E9</v>
      </c>
      <c r="S27" s="1">
        <v>1.549426E9</v>
      </c>
      <c r="W27" s="4" t="str">
        <f>Raw_Data!C26&amp;"|"&amp;Raw_Data!D26&amp;"|"&amp;TEXT(Raw_Data!B26,"yyyy-mm-dd")</f>
        <v>Accenture|ACN|2021-08-31</v>
      </c>
    </row>
    <row r="28">
      <c r="A28" s="1">
        <v>26.0</v>
      </c>
      <c r="B28" s="3">
        <v>44255.0</v>
      </c>
      <c r="C28" s="1" t="s">
        <v>30</v>
      </c>
      <c r="D28" s="1" t="s">
        <v>31</v>
      </c>
      <c r="F28" s="1">
        <v>1.762443E9</v>
      </c>
      <c r="G28" s="1">
        <v>1.440859E9</v>
      </c>
      <c r="H28" s="1">
        <v>1.941717E9</v>
      </c>
      <c r="I28" s="1">
        <v>3.595232E9</v>
      </c>
      <c r="J28" s="1">
        <v>1.653515E9</v>
      </c>
      <c r="K28" s="1">
        <v>1.653515E9</v>
      </c>
      <c r="L28" s="1">
        <v>-8922000.0</v>
      </c>
      <c r="M28" s="1">
        <v>3.0095E8</v>
      </c>
      <c r="N28" s="1">
        <v>1.2088125E10</v>
      </c>
      <c r="O28" s="1">
        <v>1.043461E10</v>
      </c>
      <c r="P28" s="1">
        <v>8.492893E9</v>
      </c>
      <c r="Q28" s="1">
        <v>1.08928E8</v>
      </c>
      <c r="R28" s="1">
        <v>1.461493E9</v>
      </c>
      <c r="S28" s="1">
        <v>1.440859E9</v>
      </c>
      <c r="W28" s="4" t="str">
        <f>Raw_Data!C27&amp;"|"&amp;Raw_Data!D27&amp;"|"&amp;TEXT(Raw_Data!B27,"yyyy-mm-dd")</f>
        <v>Accenture|ACN|2021-05-31</v>
      </c>
    </row>
    <row r="29">
      <c r="A29" s="1">
        <v>27.0</v>
      </c>
      <c r="B29" s="3">
        <v>44165.0</v>
      </c>
      <c r="C29" s="1" t="s">
        <v>30</v>
      </c>
      <c r="D29" s="1" t="s">
        <v>31</v>
      </c>
      <c r="F29" s="1">
        <v>1.986867E9</v>
      </c>
      <c r="G29" s="1">
        <v>1.500276E9</v>
      </c>
      <c r="H29" s="1">
        <v>2.007627E9</v>
      </c>
      <c r="I29" s="1">
        <v>3.898296E9</v>
      </c>
      <c r="J29" s="1">
        <v>1.890669E9</v>
      </c>
      <c r="K29" s="1">
        <v>1.890669E9</v>
      </c>
      <c r="L29" s="1">
        <v>-8854000.0</v>
      </c>
      <c r="M29" s="1">
        <v>4.6481E8</v>
      </c>
      <c r="N29" s="1">
        <v>1.1762185E10</v>
      </c>
      <c r="O29" s="1">
        <v>9.871516E9</v>
      </c>
      <c r="P29" s="1">
        <v>7.863889E9</v>
      </c>
      <c r="Q29" s="1">
        <v>9.6198E7</v>
      </c>
      <c r="R29" s="1">
        <v>1.522057E9</v>
      </c>
      <c r="S29" s="1">
        <v>1.500276E9</v>
      </c>
      <c r="W29" s="4" t="str">
        <f>Raw_Data!C28&amp;"|"&amp;Raw_Data!D28&amp;"|"&amp;TEXT(Raw_Data!B28,"yyyy-mm-dd")</f>
        <v>Accenture|ACN|2021-02-28</v>
      </c>
    </row>
    <row r="30">
      <c r="A30" s="1">
        <v>28.0</v>
      </c>
      <c r="B30" s="3">
        <v>44469.0</v>
      </c>
      <c r="C30" s="1" t="s">
        <v>32</v>
      </c>
      <c r="D30" s="1" t="s">
        <v>33</v>
      </c>
      <c r="E30" s="1">
        <v>3.29E8</v>
      </c>
      <c r="F30" s="1">
        <v>7.59E8</v>
      </c>
      <c r="G30" s="1">
        <v>6.39E8</v>
      </c>
      <c r="H30" s="1">
        <v>3.87E8</v>
      </c>
      <c r="I30" s="1">
        <v>1.543E9</v>
      </c>
      <c r="J30" s="1">
        <v>8.27E8</v>
      </c>
      <c r="K30" s="1">
        <v>8.27E8</v>
      </c>
      <c r="L30" s="1">
        <v>-2.7E7</v>
      </c>
      <c r="M30" s="1">
        <v>1.2E8</v>
      </c>
      <c r="N30" s="1">
        <v>2.07E9</v>
      </c>
      <c r="O30" s="1">
        <v>1.243E9</v>
      </c>
      <c r="P30" s="1">
        <v>5.27E8</v>
      </c>
      <c r="Q30" s="1">
        <v>-6.8E7</v>
      </c>
      <c r="R30" s="1">
        <v>6.39E8</v>
      </c>
      <c r="S30" s="1">
        <v>6.39E8</v>
      </c>
      <c r="W30" s="4" t="str">
        <f>Raw_Data!C29&amp;"|"&amp;Raw_Data!D29&amp;"|"&amp;TEXT(Raw_Data!B29,"yyyy-mm-dd")</f>
        <v>Accenture|ACN|2020-11-30</v>
      </c>
    </row>
    <row r="31">
      <c r="A31" s="1">
        <v>29.0</v>
      </c>
      <c r="B31" s="3">
        <v>44377.0</v>
      </c>
      <c r="C31" s="1" t="s">
        <v>32</v>
      </c>
      <c r="D31" s="1" t="s">
        <v>33</v>
      </c>
      <c r="E31" s="1">
        <v>3.35E8</v>
      </c>
      <c r="F31" s="1">
        <v>1.002E9</v>
      </c>
      <c r="G31" s="1">
        <v>8.76E8</v>
      </c>
      <c r="H31" s="1">
        <v>4.34E8</v>
      </c>
      <c r="I31" s="1">
        <v>1.741E9</v>
      </c>
      <c r="J31" s="1">
        <v>9.72E8</v>
      </c>
      <c r="K31" s="1">
        <v>9.72E8</v>
      </c>
      <c r="L31" s="1">
        <v>-2.7E7</v>
      </c>
      <c r="M31" s="1">
        <v>1.26E8</v>
      </c>
      <c r="N31" s="1">
        <v>2.296E9</v>
      </c>
      <c r="O31" s="1">
        <v>1.324E9</v>
      </c>
      <c r="P31" s="1">
        <v>5.55E8</v>
      </c>
      <c r="Q31" s="1">
        <v>3.0E7</v>
      </c>
      <c r="R31" s="1">
        <v>8.76E8</v>
      </c>
      <c r="S31" s="1">
        <v>8.76E8</v>
      </c>
      <c r="W31" s="4" t="str">
        <f>Raw_Data!C30&amp;"|"&amp;Raw_Data!D30&amp;"|"&amp;TEXT(Raw_Data!B30,"yyyy-mm-dd")</f>
        <v>Activision Blizzard|ATVI|2021-09-30</v>
      </c>
    </row>
    <row r="32">
      <c r="A32" s="1">
        <v>30.0</v>
      </c>
      <c r="B32" s="3">
        <v>44286.0</v>
      </c>
      <c r="C32" s="1" t="s">
        <v>32</v>
      </c>
      <c r="D32" s="1" t="s">
        <v>33</v>
      </c>
      <c r="E32" s="1">
        <v>3.53E8</v>
      </c>
      <c r="F32" s="1">
        <v>7.65E8</v>
      </c>
      <c r="G32" s="1">
        <v>6.19E8</v>
      </c>
      <c r="H32" s="1">
        <v>5.19E8</v>
      </c>
      <c r="I32" s="1">
        <v>1.697E9</v>
      </c>
      <c r="J32" s="1">
        <v>8.25E8</v>
      </c>
      <c r="K32" s="1">
        <v>8.25E8</v>
      </c>
      <c r="L32" s="1">
        <v>-2.8E7</v>
      </c>
      <c r="M32" s="1">
        <v>1.46E8</v>
      </c>
      <c r="N32" s="1">
        <v>2.275E9</v>
      </c>
      <c r="O32" s="1">
        <v>1.45E9</v>
      </c>
      <c r="P32" s="1">
        <v>5.78E8</v>
      </c>
      <c r="Q32" s="1">
        <v>-6.0E7</v>
      </c>
      <c r="R32" s="1">
        <v>6.19E8</v>
      </c>
      <c r="S32" s="1">
        <v>6.19E8</v>
      </c>
      <c r="W32" s="4" t="str">
        <f>Raw_Data!C31&amp;"|"&amp;Raw_Data!D31&amp;"|"&amp;TEXT(Raw_Data!B31,"yyyy-mm-dd")</f>
        <v>Activision Blizzard|ATVI|2021-06-30</v>
      </c>
    </row>
    <row r="33">
      <c r="A33" s="1">
        <v>31.0</v>
      </c>
      <c r="B33" s="3">
        <v>44196.0</v>
      </c>
      <c r="C33" s="1" t="s">
        <v>32</v>
      </c>
      <c r="D33" s="1" t="s">
        <v>33</v>
      </c>
      <c r="E33" s="1">
        <v>3.48E8</v>
      </c>
      <c r="F33" s="1">
        <v>5.63E8</v>
      </c>
      <c r="G33" s="1">
        <v>5.09E8</v>
      </c>
      <c r="H33" s="1">
        <v>5.97E8</v>
      </c>
      <c r="I33" s="1">
        <v>1.595E9</v>
      </c>
      <c r="J33" s="1">
        <v>6.5E8</v>
      </c>
      <c r="K33" s="1">
        <v>6.5E8</v>
      </c>
      <c r="L33" s="1">
        <v>-2.7E7</v>
      </c>
      <c r="M33" s="1">
        <v>5.4E7</v>
      </c>
      <c r="N33" s="1">
        <v>2.412E9</v>
      </c>
      <c r="O33" s="1">
        <v>1.762E9</v>
      </c>
      <c r="P33" s="1">
        <v>8.17E8</v>
      </c>
      <c r="Q33" s="1">
        <v>-8.7E7</v>
      </c>
      <c r="R33" s="1">
        <v>5.09E8</v>
      </c>
      <c r="S33" s="1">
        <v>5.09E8</v>
      </c>
      <c r="W33" s="4" t="str">
        <f>Raw_Data!C32&amp;"|"&amp;Raw_Data!D32&amp;"|"&amp;TEXT(Raw_Data!B32,"yyyy-mm-dd")</f>
        <v>Activision Blizzard|ATVI|2021-03-31</v>
      </c>
    </row>
    <row r="34">
      <c r="A34" s="1">
        <v>32.0</v>
      </c>
      <c r="B34" s="3">
        <v>44469.0</v>
      </c>
      <c r="C34" s="1" t="s">
        <v>34</v>
      </c>
      <c r="D34" s="1" t="s">
        <v>34</v>
      </c>
      <c r="F34" s="1">
        <v>6.53E8</v>
      </c>
      <c r="G34" s="1">
        <v>5.26E8</v>
      </c>
      <c r="H34" s="1">
        <v>7.16E8</v>
      </c>
      <c r="I34" s="1">
        <v>1.326E9</v>
      </c>
      <c r="J34" s="1">
        <v>6.07E8</v>
      </c>
      <c r="K34" s="1">
        <v>6.07E8</v>
      </c>
      <c r="L34" s="1">
        <v>-6.1E7</v>
      </c>
      <c r="M34" s="1">
        <v>1.2E8</v>
      </c>
      <c r="N34" s="1">
        <v>2.034E10</v>
      </c>
      <c r="O34" s="1">
        <v>1.9733E10</v>
      </c>
      <c r="P34" s="1">
        <v>1.9014E10</v>
      </c>
      <c r="Q34" s="1">
        <v>4.6E7</v>
      </c>
      <c r="R34" s="1">
        <v>5.33E8</v>
      </c>
      <c r="S34" s="1">
        <v>5.26E8</v>
      </c>
      <c r="W34" s="4" t="str">
        <f>Raw_Data!C33&amp;"|"&amp;Raw_Data!D33&amp;"|"&amp;TEXT(Raw_Data!B33,"yyyy-mm-dd")</f>
        <v>Activision Blizzard|ATVI|2020-12-31</v>
      </c>
    </row>
    <row r="35">
      <c r="A35" s="1">
        <v>33.0</v>
      </c>
      <c r="B35" s="3">
        <v>44377.0</v>
      </c>
      <c r="C35" s="1" t="s">
        <v>34</v>
      </c>
      <c r="D35" s="1" t="s">
        <v>34</v>
      </c>
      <c r="F35" s="1">
        <v>8.25E8</v>
      </c>
      <c r="G35" s="1">
        <v>7.12E8</v>
      </c>
      <c r="H35" s="1">
        <v>8.15E8</v>
      </c>
      <c r="I35" s="1">
        <v>1.463E9</v>
      </c>
      <c r="J35" s="1">
        <v>6.42E8</v>
      </c>
      <c r="K35" s="1">
        <v>6.42E8</v>
      </c>
      <c r="L35" s="1">
        <v>-4.0E7</v>
      </c>
      <c r="M35" s="1">
        <v>1.13E8</v>
      </c>
      <c r="N35" s="1">
        <v>2.2926E10</v>
      </c>
      <c r="O35" s="1">
        <v>2.2284E10</v>
      </c>
      <c r="P35" s="1">
        <v>2.1463E10</v>
      </c>
      <c r="Q35" s="1">
        <v>1.83E8</v>
      </c>
      <c r="R35" s="1">
        <v>7.12E8</v>
      </c>
      <c r="S35" s="1">
        <v>7.12E8</v>
      </c>
      <c r="W35" s="4" t="str">
        <f>Raw_Data!C34&amp;"|"&amp;Raw_Data!D34&amp;"|"&amp;TEXT(Raw_Data!B34,"yyyy-mm-dd")</f>
        <v>ADM|ADM|2021-09-30</v>
      </c>
    </row>
    <row r="36">
      <c r="A36" s="1">
        <v>34.0</v>
      </c>
      <c r="B36" s="3">
        <v>44286.0</v>
      </c>
      <c r="C36" s="1" t="s">
        <v>34</v>
      </c>
      <c r="D36" s="1" t="s">
        <v>34</v>
      </c>
      <c r="F36" s="1">
        <v>8.24E8</v>
      </c>
      <c r="G36" s="1">
        <v>6.89E8</v>
      </c>
      <c r="H36" s="1">
        <v>6.97E8</v>
      </c>
      <c r="I36" s="1">
        <v>1.548E9</v>
      </c>
      <c r="J36" s="1">
        <v>8.43E8</v>
      </c>
      <c r="K36" s="1">
        <v>8.43E8</v>
      </c>
      <c r="L36" s="1">
        <v>-8.7E7</v>
      </c>
      <c r="M36" s="1">
        <v>1.31E8</v>
      </c>
      <c r="N36" s="1">
        <v>1.8893E10</v>
      </c>
      <c r="O36" s="1">
        <v>1.805E10</v>
      </c>
      <c r="P36" s="1">
        <v>1.7345E10</v>
      </c>
      <c r="Q36" s="1">
        <v>-1.9E7</v>
      </c>
      <c r="R36" s="1">
        <v>6.93E8</v>
      </c>
      <c r="S36" s="1">
        <v>6.89E8</v>
      </c>
      <c r="W36" s="4" t="str">
        <f>Raw_Data!C35&amp;"|"&amp;Raw_Data!D35&amp;"|"&amp;TEXT(Raw_Data!B35,"yyyy-mm-dd")</f>
        <v>ADM|ADM|2021-06-30</v>
      </c>
    </row>
    <row r="37">
      <c r="A37" s="1">
        <v>35.0</v>
      </c>
      <c r="B37" s="3">
        <v>44196.0</v>
      </c>
      <c r="C37" s="1" t="s">
        <v>34</v>
      </c>
      <c r="D37" s="1" t="s">
        <v>34</v>
      </c>
      <c r="F37" s="1">
        <v>7.56E8</v>
      </c>
      <c r="G37" s="1">
        <v>6.87E8</v>
      </c>
      <c r="H37" s="1">
        <v>7.2E8</v>
      </c>
      <c r="I37" s="1">
        <v>1.352E9</v>
      </c>
      <c r="J37" s="1">
        <v>6.15E8</v>
      </c>
      <c r="K37" s="1">
        <v>6.15E8</v>
      </c>
      <c r="L37" s="1">
        <v>-6.9E7</v>
      </c>
      <c r="M37" s="1">
        <v>6.3E7</v>
      </c>
      <c r="N37" s="1">
        <v>1.7978E10</v>
      </c>
      <c r="O37" s="1">
        <v>1.7363E10</v>
      </c>
      <c r="P37" s="1">
        <v>1.6626E10</v>
      </c>
      <c r="Q37" s="1">
        <v>1.41E8</v>
      </c>
      <c r="R37" s="1">
        <v>6.93E8</v>
      </c>
      <c r="S37" s="1">
        <v>6.87E8</v>
      </c>
      <c r="W37" s="4" t="str">
        <f>Raw_Data!C36&amp;"|"&amp;Raw_Data!D36&amp;"|"&amp;TEXT(Raw_Data!B36,"yyyy-mm-dd")</f>
        <v>ADM|ADM|2021-03-31</v>
      </c>
    </row>
    <row r="38">
      <c r="A38" s="1">
        <v>36.0</v>
      </c>
      <c r="B38" s="3">
        <v>44442.0</v>
      </c>
      <c r="C38" s="1" t="s">
        <v>35</v>
      </c>
      <c r="D38" s="1" t="s">
        <v>36</v>
      </c>
      <c r="E38" s="1">
        <v>6.51E8</v>
      </c>
      <c r="F38" s="1">
        <v>1.418E9</v>
      </c>
      <c r="G38" s="1">
        <v>1.212E9</v>
      </c>
      <c r="H38" s="1">
        <v>1.333E9</v>
      </c>
      <c r="I38" s="1">
        <v>3.468E9</v>
      </c>
      <c r="J38" s="1">
        <v>1.441E9</v>
      </c>
      <c r="K38" s="1">
        <v>1.441E9</v>
      </c>
      <c r="L38" s="1">
        <v>-2.7E7</v>
      </c>
      <c r="M38" s="1">
        <v>2.06E8</v>
      </c>
      <c r="N38" s="1">
        <v>3.935E9</v>
      </c>
      <c r="O38" s="1">
        <v>2.494E9</v>
      </c>
      <c r="P38" s="1">
        <v>4.67E8</v>
      </c>
      <c r="Q38" s="1">
        <v>-2.3E7</v>
      </c>
      <c r="R38" s="1">
        <v>1.212E9</v>
      </c>
      <c r="S38" s="1">
        <v>1.212E9</v>
      </c>
      <c r="W38" s="4" t="str">
        <f>Raw_Data!C37&amp;"|"&amp;Raw_Data!D37&amp;"|"&amp;TEXT(Raw_Data!B37,"yyyy-mm-dd")</f>
        <v>ADM|ADM|2020-12-31</v>
      </c>
    </row>
    <row r="39">
      <c r="A39" s="1">
        <v>37.0</v>
      </c>
      <c r="B39" s="3">
        <v>44351.0</v>
      </c>
      <c r="C39" s="1" t="s">
        <v>35</v>
      </c>
      <c r="D39" s="1" t="s">
        <v>36</v>
      </c>
      <c r="E39" s="1">
        <v>6.12E8</v>
      </c>
      <c r="F39" s="1">
        <v>1.386E9</v>
      </c>
      <c r="G39" s="1">
        <v>1.116E9</v>
      </c>
      <c r="H39" s="1">
        <v>1.329E9</v>
      </c>
      <c r="I39" s="1">
        <v>3.391E9</v>
      </c>
      <c r="J39" s="1">
        <v>1.406E9</v>
      </c>
      <c r="K39" s="1">
        <v>1.406E9</v>
      </c>
      <c r="L39" s="1">
        <v>-2.8E7</v>
      </c>
      <c r="M39" s="1">
        <v>2.7E8</v>
      </c>
      <c r="N39" s="1">
        <v>3.835E9</v>
      </c>
      <c r="O39" s="1">
        <v>2.429E9</v>
      </c>
      <c r="P39" s="1">
        <v>4.44E8</v>
      </c>
      <c r="Q39" s="1">
        <v>-2.0E7</v>
      </c>
      <c r="R39" s="1">
        <v>1.116E9</v>
      </c>
      <c r="S39" s="1">
        <v>1.116E9</v>
      </c>
      <c r="W39" s="4" t="str">
        <f>Raw_Data!C38&amp;"|"&amp;Raw_Data!D38&amp;"|"&amp;TEXT(Raw_Data!B38,"yyyy-mm-dd")</f>
        <v>Adobe|ADBE|2021-09-03</v>
      </c>
    </row>
    <row r="40">
      <c r="A40" s="1">
        <v>38.0</v>
      </c>
      <c r="B40" s="3">
        <v>44260.0</v>
      </c>
      <c r="C40" s="1" t="s">
        <v>35</v>
      </c>
      <c r="D40" s="1" t="s">
        <v>36</v>
      </c>
      <c r="E40" s="1">
        <v>6.2E8</v>
      </c>
      <c r="F40" s="1">
        <v>1.433E9</v>
      </c>
      <c r="G40" s="1">
        <v>1.261E9</v>
      </c>
      <c r="H40" s="1">
        <v>1.339E9</v>
      </c>
      <c r="I40" s="1">
        <v>3.458E9</v>
      </c>
      <c r="J40" s="1">
        <v>1.454E9</v>
      </c>
      <c r="K40" s="1">
        <v>1.454E9</v>
      </c>
      <c r="L40" s="1">
        <v>-3.0E7</v>
      </c>
      <c r="M40" s="1">
        <v>1.72E8</v>
      </c>
      <c r="N40" s="1">
        <v>3.905E9</v>
      </c>
      <c r="O40" s="1">
        <v>2.451E9</v>
      </c>
      <c r="P40" s="1">
        <v>4.47E8</v>
      </c>
      <c r="Q40" s="1">
        <v>-2.1E7</v>
      </c>
      <c r="R40" s="1">
        <v>1.261E9</v>
      </c>
      <c r="S40" s="1">
        <v>1.261E9</v>
      </c>
      <c r="W40" s="4" t="str">
        <f>Raw_Data!C39&amp;"|"&amp;Raw_Data!D39&amp;"|"&amp;TEXT(Raw_Data!B39,"yyyy-mm-dd")</f>
        <v>Adobe|ADBE|2021-06-04</v>
      </c>
    </row>
    <row r="41">
      <c r="A41" s="1">
        <v>39.0</v>
      </c>
      <c r="B41" s="3">
        <v>44162.0</v>
      </c>
      <c r="C41" s="1" t="s">
        <v>35</v>
      </c>
      <c r="D41" s="1" t="s">
        <v>36</v>
      </c>
      <c r="E41" s="1">
        <v>5.58E8</v>
      </c>
      <c r="F41" s="1">
        <v>1.197E9</v>
      </c>
      <c r="G41" s="1">
        <v>2.25E9</v>
      </c>
      <c r="H41" s="1">
        <v>1.184E9</v>
      </c>
      <c r="I41" s="1">
        <v>2.996E9</v>
      </c>
      <c r="J41" s="1">
        <v>1.215E9</v>
      </c>
      <c r="K41" s="1">
        <v>1.215E9</v>
      </c>
      <c r="L41" s="1">
        <v>-2.7E7</v>
      </c>
      <c r="M41" s="1">
        <v>-1.053E9</v>
      </c>
      <c r="N41" s="1">
        <v>3.424E9</v>
      </c>
      <c r="O41" s="1">
        <v>2.209E9</v>
      </c>
      <c r="P41" s="1">
        <v>4.28E8</v>
      </c>
      <c r="Q41" s="1">
        <v>-1.8E7</v>
      </c>
      <c r="R41" s="1">
        <v>2.25E9</v>
      </c>
      <c r="S41" s="1">
        <v>2.25E9</v>
      </c>
      <c r="W41" s="4" t="str">
        <f>Raw_Data!C40&amp;"|"&amp;Raw_Data!D40&amp;"|"&amp;TEXT(Raw_Data!B40,"yyyy-mm-dd")</f>
        <v>Adobe|ADBE|2021-03-05</v>
      </c>
    </row>
    <row r="42">
      <c r="A42" s="1">
        <v>40.0</v>
      </c>
      <c r="B42" s="3">
        <v>44394.0</v>
      </c>
      <c r="C42" s="1" t="s">
        <v>37</v>
      </c>
      <c r="D42" s="1" t="s">
        <v>38</v>
      </c>
      <c r="F42" s="1">
        <v>2.37765E8</v>
      </c>
      <c r="G42" s="1">
        <v>1.78696E8</v>
      </c>
      <c r="H42" s="1">
        <v>9.32793E8</v>
      </c>
      <c r="I42" s="1">
        <v>1.189416E9</v>
      </c>
      <c r="J42" s="1">
        <v>2.56623E8</v>
      </c>
      <c r="K42" s="1">
        <v>2.56623E8</v>
      </c>
      <c r="L42" s="1">
        <v>-8306000.0</v>
      </c>
      <c r="M42" s="1">
        <v>5.9069E7</v>
      </c>
      <c r="N42" s="1">
        <v>2.649415E9</v>
      </c>
      <c r="O42" s="1">
        <v>2.392792E9</v>
      </c>
      <c r="P42" s="1">
        <v>1.459999E9</v>
      </c>
      <c r="Q42" s="1">
        <v>-1.8858E7</v>
      </c>
      <c r="R42" s="1">
        <v>1.78696E8</v>
      </c>
      <c r="S42" s="1">
        <v>1.78696E8</v>
      </c>
      <c r="W42" s="4" t="str">
        <f>Raw_Data!C41&amp;"|"&amp;Raw_Data!D41&amp;"|"&amp;TEXT(Raw_Data!B41,"yyyy-mm-dd")</f>
        <v>Adobe|ADBE|2020-11-27</v>
      </c>
    </row>
    <row r="43">
      <c r="A43" s="1">
        <v>41.0</v>
      </c>
      <c r="B43" s="3">
        <v>44394.0</v>
      </c>
      <c r="C43" s="1" t="s">
        <v>37</v>
      </c>
      <c r="D43" s="1" t="s">
        <v>38</v>
      </c>
      <c r="F43" s="1">
        <v>2.37765E8</v>
      </c>
      <c r="G43" s="1">
        <v>1.78696E8</v>
      </c>
      <c r="H43" s="1">
        <v>9.32793E8</v>
      </c>
      <c r="I43" s="1">
        <v>1.189416E9</v>
      </c>
      <c r="J43" s="1">
        <v>2.56623E8</v>
      </c>
      <c r="K43" s="1">
        <v>2.56623E8</v>
      </c>
      <c r="L43" s="1">
        <v>-8306000.0</v>
      </c>
      <c r="M43" s="1">
        <v>0.0</v>
      </c>
      <c r="N43" s="1">
        <v>2.649415E9</v>
      </c>
      <c r="O43" s="1">
        <v>0.0</v>
      </c>
      <c r="P43" s="1">
        <v>0.0</v>
      </c>
      <c r="Q43" s="1">
        <v>0.0</v>
      </c>
      <c r="R43" s="1">
        <v>1.78696E8</v>
      </c>
      <c r="S43" s="1">
        <v>1.78696E8</v>
      </c>
      <c r="W43" s="4" t="str">
        <f>Raw_Data!C42&amp;"|"&amp;Raw_Data!D42&amp;"|"&amp;TEXT(Raw_Data!B42,"yyyy-mm-dd")</f>
        <v>Advance Auto Parts|AAP|2021-07-17</v>
      </c>
    </row>
    <row r="44">
      <c r="A44" s="1">
        <v>42.0</v>
      </c>
      <c r="B44" s="3">
        <v>44310.0</v>
      </c>
      <c r="C44" s="1" t="s">
        <v>37</v>
      </c>
      <c r="D44" s="1" t="s">
        <v>38</v>
      </c>
      <c r="F44" s="1">
        <v>2.45774E8</v>
      </c>
      <c r="G44" s="1">
        <v>1.8593E8</v>
      </c>
      <c r="H44" s="1">
        <v>1.200138E9</v>
      </c>
      <c r="I44" s="1">
        <v>1.487229E9</v>
      </c>
      <c r="J44" s="1">
        <v>2.87091E8</v>
      </c>
      <c r="K44" s="1">
        <v>2.87091E8</v>
      </c>
      <c r="L44" s="1">
        <v>-1.1191E7</v>
      </c>
      <c r="M44" s="1">
        <v>5.9844E7</v>
      </c>
      <c r="N44" s="1">
        <v>3.33037E9</v>
      </c>
      <c r="O44" s="1">
        <v>3.043279E9</v>
      </c>
      <c r="P44" s="1">
        <v>1.843141E9</v>
      </c>
      <c r="Q44" s="1">
        <v>-4.1317E7</v>
      </c>
      <c r="R44" s="1">
        <v>1.8593E8</v>
      </c>
      <c r="S44" s="1">
        <v>1.8593E8</v>
      </c>
      <c r="W44" s="4" t="str">
        <f>Raw_Data!C43&amp;"|"&amp;Raw_Data!D43&amp;"|"&amp;TEXT(Raw_Data!B43,"yyyy-mm-dd")</f>
        <v>Advance Auto Parts|AAP|2021-07-17</v>
      </c>
    </row>
    <row r="45">
      <c r="A45" s="1">
        <v>43.0</v>
      </c>
      <c r="B45" s="3">
        <v>44303.0</v>
      </c>
      <c r="C45" s="1" t="s">
        <v>37</v>
      </c>
      <c r="D45" s="1" t="s">
        <v>38</v>
      </c>
      <c r="F45" s="1">
        <v>2.45774E8</v>
      </c>
      <c r="G45" s="1">
        <v>1.82313E8</v>
      </c>
      <c r="H45" s="1">
        <v>1.200138E9</v>
      </c>
      <c r="I45" s="1">
        <v>1.3383225E9</v>
      </c>
      <c r="J45" s="1">
        <v>2.718565E8</v>
      </c>
      <c r="K45" s="1">
        <v>2.87091E8</v>
      </c>
      <c r="L45" s="1">
        <v>-9748500.0</v>
      </c>
      <c r="M45" s="1">
        <v>0.0</v>
      </c>
      <c r="N45" s="1">
        <v>2.9898925E9</v>
      </c>
      <c r="O45" s="1">
        <v>0.0</v>
      </c>
      <c r="P45" s="1">
        <v>0.0</v>
      </c>
      <c r="Q45" s="1">
        <v>0.0</v>
      </c>
      <c r="R45" s="1">
        <v>1.8593E8</v>
      </c>
      <c r="S45" s="1">
        <v>1.8593E8</v>
      </c>
      <c r="W45" s="4" t="str">
        <f>Raw_Data!C44&amp;"|"&amp;Raw_Data!D44&amp;"|"&amp;TEXT(Raw_Data!B44,"yyyy-mm-dd")</f>
        <v>Advance Auto Parts|AAP|2021-04-24</v>
      </c>
    </row>
    <row r="46">
      <c r="A46" s="1">
        <v>44.0</v>
      </c>
      <c r="B46" s="3">
        <v>44464.0</v>
      </c>
      <c r="C46" s="1" t="s">
        <v>39</v>
      </c>
      <c r="D46" s="1" t="s">
        <v>40</v>
      </c>
      <c r="E46" s="1">
        <v>7.65E8</v>
      </c>
      <c r="F46" s="1">
        <v>1.005E9</v>
      </c>
      <c r="G46" s="1">
        <v>9.23E8</v>
      </c>
      <c r="H46" s="1">
        <v>3.68E8</v>
      </c>
      <c r="I46" s="1">
        <v>2.086E9</v>
      </c>
      <c r="J46" s="1">
        <v>9.56E8</v>
      </c>
      <c r="K46" s="1">
        <v>9.56E8</v>
      </c>
      <c r="L46" s="1">
        <v>-7000000.0</v>
      </c>
      <c r="M46" s="1">
        <v>8.2E7</v>
      </c>
      <c r="N46" s="1">
        <v>4.313E9</v>
      </c>
      <c r="O46" s="1">
        <v>3.357E9</v>
      </c>
      <c r="P46" s="1">
        <v>2.227E9</v>
      </c>
      <c r="Q46" s="1">
        <v>4.9E7</v>
      </c>
      <c r="R46" s="1">
        <v>9.23E8</v>
      </c>
      <c r="S46" s="1">
        <v>9.23E8</v>
      </c>
      <c r="W46" s="4" t="str">
        <f>Raw_Data!C45&amp;"|"&amp;Raw_Data!D45&amp;"|"&amp;TEXT(Raw_Data!B45,"yyyy-mm-dd")</f>
        <v>Advance Auto Parts|AAP|2021-04-17</v>
      </c>
    </row>
    <row r="47">
      <c r="A47" s="1">
        <v>45.0</v>
      </c>
      <c r="B47" s="3">
        <v>44373.0</v>
      </c>
      <c r="C47" s="1" t="s">
        <v>39</v>
      </c>
      <c r="D47" s="1" t="s">
        <v>40</v>
      </c>
      <c r="E47" s="1">
        <v>6.59E8</v>
      </c>
      <c r="F47" s="1">
        <v>8.23E8</v>
      </c>
      <c r="G47" s="1">
        <v>7.1E8</v>
      </c>
      <c r="H47" s="1">
        <v>3.31E8</v>
      </c>
      <c r="I47" s="1">
        <v>1.83E9</v>
      </c>
      <c r="J47" s="1">
        <v>8.41E8</v>
      </c>
      <c r="K47" s="1">
        <v>8.41E8</v>
      </c>
      <c r="L47" s="1">
        <v>-1.0E7</v>
      </c>
      <c r="M47" s="1">
        <v>1.13E8</v>
      </c>
      <c r="N47" s="1">
        <v>3.85E9</v>
      </c>
      <c r="O47" s="1">
        <v>3.009E9</v>
      </c>
      <c r="P47" s="1">
        <v>2.02E9</v>
      </c>
      <c r="Q47" s="1">
        <v>-1.8E7</v>
      </c>
      <c r="R47" s="1">
        <v>7.1E8</v>
      </c>
      <c r="S47" s="1">
        <v>7.1E8</v>
      </c>
      <c r="W47" s="4" t="str">
        <f>Raw_Data!C46&amp;"|"&amp;Raw_Data!D46&amp;"|"&amp;TEXT(Raw_Data!B46,"yyyy-mm-dd")</f>
        <v>Advanced Micro Devices|AMD|2021-09-25</v>
      </c>
    </row>
    <row r="48">
      <c r="A48" s="1">
        <v>46.0</v>
      </c>
      <c r="B48" s="3">
        <v>44282.0</v>
      </c>
      <c r="C48" s="1" t="s">
        <v>39</v>
      </c>
      <c r="D48" s="1" t="s">
        <v>40</v>
      </c>
      <c r="E48" s="1">
        <v>6.1E8</v>
      </c>
      <c r="F48" s="1">
        <v>6.44E8</v>
      </c>
      <c r="G48" s="1">
        <v>5.55E8</v>
      </c>
      <c r="H48" s="1">
        <v>3.04E8</v>
      </c>
      <c r="I48" s="1">
        <v>1.587E9</v>
      </c>
      <c r="J48" s="1">
        <v>6.77E8</v>
      </c>
      <c r="K48" s="1">
        <v>6.77E8</v>
      </c>
      <c r="L48" s="1">
        <v>-9000000.0</v>
      </c>
      <c r="M48" s="1">
        <v>8.9E7</v>
      </c>
      <c r="N48" s="1">
        <v>3.445E9</v>
      </c>
      <c r="O48" s="1">
        <v>2.768E9</v>
      </c>
      <c r="P48" s="1">
        <v>1.858E9</v>
      </c>
      <c r="Q48" s="1">
        <v>-3.3E7</v>
      </c>
      <c r="R48" s="1">
        <v>5.55E8</v>
      </c>
      <c r="S48" s="1">
        <v>5.55E8</v>
      </c>
      <c r="W48" s="4" t="str">
        <f>Raw_Data!C47&amp;"|"&amp;Raw_Data!D47&amp;"|"&amp;TEXT(Raw_Data!B47,"yyyy-mm-dd")</f>
        <v>Advanced Micro Devices|AMD|2021-06-26</v>
      </c>
    </row>
    <row r="49">
      <c r="A49" s="1">
        <v>47.0</v>
      </c>
      <c r="B49" s="3">
        <v>44191.0</v>
      </c>
      <c r="C49" s="1" t="s">
        <v>39</v>
      </c>
      <c r="D49" s="1" t="s">
        <v>40</v>
      </c>
      <c r="E49" s="1">
        <v>5.73E8</v>
      </c>
      <c r="F49" s="1">
        <v>5.49E8</v>
      </c>
      <c r="G49" s="1">
        <v>1.781E9</v>
      </c>
      <c r="H49" s="1">
        <v>3.08E8</v>
      </c>
      <c r="I49" s="1">
        <v>1.451E9</v>
      </c>
      <c r="J49" s="1">
        <v>5.7E8</v>
      </c>
      <c r="K49" s="1">
        <v>5.7E8</v>
      </c>
      <c r="L49" s="1">
        <v>-9000000.0</v>
      </c>
      <c r="M49" s="1">
        <v>-1.232E9</v>
      </c>
      <c r="N49" s="1">
        <v>3.244E9</v>
      </c>
      <c r="O49" s="1">
        <v>2.674E9</v>
      </c>
      <c r="P49" s="1">
        <v>1.793E9</v>
      </c>
      <c r="Q49" s="1">
        <v>-2.1E7</v>
      </c>
      <c r="R49" s="1">
        <v>1.781E9</v>
      </c>
      <c r="S49" s="1">
        <v>1.781E9</v>
      </c>
      <c r="W49" s="4" t="str">
        <f>Raw_Data!C48&amp;"|"&amp;Raw_Data!D48&amp;"|"&amp;TEXT(Raw_Data!B48,"yyyy-mm-dd")</f>
        <v>Advanced Micro Devices|AMD|2021-03-27</v>
      </c>
    </row>
    <row r="50">
      <c r="A50" s="1">
        <v>48.0</v>
      </c>
      <c r="B50" s="3">
        <v>44469.0</v>
      </c>
      <c r="C50" s="1" t="s">
        <v>41</v>
      </c>
      <c r="D50" s="1" t="s">
        <v>42</v>
      </c>
      <c r="F50" s="1">
        <v>6.11E8</v>
      </c>
      <c r="G50" s="1">
        <v>3.43E8</v>
      </c>
      <c r="H50" s="1">
        <v>3.9E7</v>
      </c>
      <c r="I50" s="1">
        <v>7.6E8</v>
      </c>
      <c r="J50" s="1">
        <v>7.21E8</v>
      </c>
      <c r="K50" s="1">
        <v>7.21E8</v>
      </c>
      <c r="L50" s="1">
        <v>-2.42E8</v>
      </c>
      <c r="M50" s="1">
        <v>1.26E8</v>
      </c>
      <c r="N50" s="1">
        <v>3.036E9</v>
      </c>
      <c r="O50" s="1">
        <v>2.315E9</v>
      </c>
      <c r="P50" s="1">
        <v>2.276E9</v>
      </c>
      <c r="Q50" s="1">
        <v>-1.1E8</v>
      </c>
      <c r="R50" s="1">
        <v>4.85E8</v>
      </c>
      <c r="S50" s="1">
        <v>3.43E8</v>
      </c>
      <c r="W50" s="4" t="str">
        <f>Raw_Data!C49&amp;"|"&amp;Raw_Data!D49&amp;"|"&amp;TEXT(Raw_Data!B49,"yyyy-mm-dd")</f>
        <v>Advanced Micro Devices|AMD|2020-12-26</v>
      </c>
    </row>
    <row r="51">
      <c r="A51" s="1">
        <v>49.0</v>
      </c>
      <c r="B51" s="3">
        <v>44377.0</v>
      </c>
      <c r="C51" s="1" t="s">
        <v>41</v>
      </c>
      <c r="D51" s="1" t="s">
        <v>42</v>
      </c>
      <c r="F51" s="1">
        <v>-1.4E8</v>
      </c>
      <c r="G51" s="1">
        <v>2.8E7</v>
      </c>
      <c r="H51" s="1">
        <v>4.5E7</v>
      </c>
      <c r="I51" s="1">
        <v>7.28E8</v>
      </c>
      <c r="J51" s="1">
        <v>6.83E8</v>
      </c>
      <c r="K51" s="1">
        <v>6.83E8</v>
      </c>
      <c r="L51" s="1">
        <v>-2.37E8</v>
      </c>
      <c r="M51" s="1">
        <v>-5.9E7</v>
      </c>
      <c r="N51" s="1">
        <v>2.7E9</v>
      </c>
      <c r="O51" s="1">
        <v>2.017E9</v>
      </c>
      <c r="P51" s="1">
        <v>1.972E9</v>
      </c>
      <c r="Q51" s="1">
        <v>-8.23E8</v>
      </c>
      <c r="R51" s="1">
        <v>-8.1E7</v>
      </c>
      <c r="S51" s="1">
        <v>2.8E7</v>
      </c>
      <c r="W51" s="4" t="str">
        <f>Raw_Data!C50&amp;"|"&amp;Raw_Data!D50&amp;"|"&amp;TEXT(Raw_Data!B50,"yyyy-mm-dd")</f>
        <v>AES Corp|AES|2021-09-30</v>
      </c>
    </row>
    <row r="52">
      <c r="A52" s="1">
        <v>50.0</v>
      </c>
      <c r="B52" s="3">
        <v>44286.0</v>
      </c>
      <c r="C52" s="1" t="s">
        <v>41</v>
      </c>
      <c r="D52" s="1" t="s">
        <v>42</v>
      </c>
      <c r="F52" s="1">
        <v>-2.1E7</v>
      </c>
      <c r="G52" s="1">
        <v>-1.48E8</v>
      </c>
      <c r="H52" s="1">
        <v>4.6E7</v>
      </c>
      <c r="I52" s="1">
        <v>6.64E8</v>
      </c>
      <c r="J52" s="1">
        <v>6.18E8</v>
      </c>
      <c r="K52" s="1">
        <v>6.18E8</v>
      </c>
      <c r="L52" s="1">
        <v>-1.9E8</v>
      </c>
      <c r="M52" s="1">
        <v>8000000.0</v>
      </c>
      <c r="N52" s="1">
        <v>2.635E9</v>
      </c>
      <c r="O52" s="1">
        <v>2.017E9</v>
      </c>
      <c r="P52" s="1">
        <v>1.971E9</v>
      </c>
      <c r="Q52" s="1">
        <v>-6.39E8</v>
      </c>
      <c r="R52" s="1">
        <v>-2.9E7</v>
      </c>
      <c r="S52" s="1">
        <v>-1.48E8</v>
      </c>
      <c r="W52" s="4" t="str">
        <f>Raw_Data!C51&amp;"|"&amp;Raw_Data!D51&amp;"|"&amp;TEXT(Raw_Data!B51,"yyyy-mm-dd")</f>
        <v>AES Corp|AES|2021-06-30</v>
      </c>
    </row>
    <row r="53">
      <c r="A53" s="1">
        <v>51.0</v>
      </c>
      <c r="B53" s="3">
        <v>44196.0</v>
      </c>
      <c r="C53" s="1" t="s">
        <v>41</v>
      </c>
      <c r="D53" s="1" t="s">
        <v>42</v>
      </c>
      <c r="F53" s="1">
        <v>5.62E8</v>
      </c>
      <c r="G53" s="1">
        <v>3.18E8</v>
      </c>
      <c r="H53" s="1">
        <v>4.7E7</v>
      </c>
      <c r="I53" s="1">
        <v>7.24E8</v>
      </c>
      <c r="J53" s="1">
        <v>6.77E8</v>
      </c>
      <c r="K53" s="1">
        <v>6.77E8</v>
      </c>
      <c r="L53" s="1">
        <v>-2.97E8</v>
      </c>
      <c r="M53" s="1">
        <v>1.61E8</v>
      </c>
      <c r="N53" s="1">
        <v>2.56E9</v>
      </c>
      <c r="O53" s="1">
        <v>1.883E9</v>
      </c>
      <c r="P53" s="1">
        <v>1.836E9</v>
      </c>
      <c r="Q53" s="1">
        <v>-1.15E8</v>
      </c>
      <c r="R53" s="1">
        <v>4.01E8</v>
      </c>
      <c r="S53" s="1">
        <v>3.18E8</v>
      </c>
      <c r="W53" s="4" t="str">
        <f>Raw_Data!C52&amp;"|"&amp;Raw_Data!D52&amp;"|"&amp;TEXT(Raw_Data!B52,"yyyy-mm-dd")</f>
        <v>AES Corp|AES|2021-03-31</v>
      </c>
    </row>
    <row r="54">
      <c r="A54" s="1">
        <v>52.0</v>
      </c>
      <c r="B54" s="3">
        <v>44469.0</v>
      </c>
      <c r="C54" s="1" t="s">
        <v>43</v>
      </c>
      <c r="D54" s="1" t="s">
        <v>44</v>
      </c>
      <c r="F54" s="1">
        <v>1.113E9</v>
      </c>
      <c r="G54" s="1">
        <v>8.88E8</v>
      </c>
      <c r="H54" s="1">
        <v>8.69E8</v>
      </c>
      <c r="I54" s="1">
        <v>2.039E9</v>
      </c>
      <c r="J54" s="1">
        <v>1.17E9</v>
      </c>
      <c r="K54" s="1">
        <v>1.17E9</v>
      </c>
      <c r="L54" s="1">
        <v>-5.7E7</v>
      </c>
      <c r="M54" s="1">
        <v>2.25E8</v>
      </c>
      <c r="N54" s="1">
        <v>5.237E9</v>
      </c>
      <c r="O54" s="1">
        <v>4.067E9</v>
      </c>
      <c r="P54" s="1">
        <v>3.198E9</v>
      </c>
      <c r="Q54" s="1">
        <v>-5.7E7</v>
      </c>
      <c r="R54" s="1">
        <v>8.88E8</v>
      </c>
      <c r="S54" s="1">
        <v>8.88E8</v>
      </c>
      <c r="W54" s="4" t="str">
        <f>Raw_Data!C53&amp;"|"&amp;Raw_Data!D53&amp;"|"&amp;TEXT(Raw_Data!B53,"yyyy-mm-dd")</f>
        <v>AES Corp|AES|2020-12-31</v>
      </c>
    </row>
    <row r="55">
      <c r="A55" s="1">
        <v>53.0</v>
      </c>
      <c r="B55" s="3">
        <v>44377.0</v>
      </c>
      <c r="C55" s="1" t="s">
        <v>43</v>
      </c>
      <c r="D55" s="1" t="s">
        <v>44</v>
      </c>
      <c r="F55" s="1">
        <v>1.373E9</v>
      </c>
      <c r="G55" s="1">
        <v>1.105E9</v>
      </c>
      <c r="H55" s="1">
        <v>8.81E8</v>
      </c>
      <c r="I55" s="1">
        <v>2.316E9</v>
      </c>
      <c r="J55" s="1">
        <v>1.435E9</v>
      </c>
      <c r="K55" s="1">
        <v>1.435E9</v>
      </c>
      <c r="L55" s="1">
        <v>-6.2E7</v>
      </c>
      <c r="M55" s="1">
        <v>2.68E8</v>
      </c>
      <c r="N55" s="1">
        <v>5.564E9</v>
      </c>
      <c r="O55" s="1">
        <v>4.129E9</v>
      </c>
      <c r="P55" s="1">
        <v>3.248E9</v>
      </c>
      <c r="Q55" s="1">
        <v>-6.2E7</v>
      </c>
      <c r="R55" s="1">
        <v>1.105E9</v>
      </c>
      <c r="S55" s="1">
        <v>1.105E9</v>
      </c>
      <c r="W55" s="4" t="str">
        <f>Raw_Data!C54&amp;"|"&amp;Raw_Data!D54&amp;"|"&amp;TEXT(Raw_Data!B54,"yyyy-mm-dd")</f>
        <v>Aflac|AFL|2021-09-30</v>
      </c>
    </row>
    <row r="56">
      <c r="A56" s="1">
        <v>54.0</v>
      </c>
      <c r="B56" s="3">
        <v>44286.0</v>
      </c>
      <c r="C56" s="1" t="s">
        <v>43</v>
      </c>
      <c r="D56" s="1" t="s">
        <v>44</v>
      </c>
      <c r="F56" s="1">
        <v>1.603E9</v>
      </c>
      <c r="G56" s="1">
        <v>1.293E9</v>
      </c>
      <c r="H56" s="1">
        <v>8.32E8</v>
      </c>
      <c r="I56" s="1">
        <v>2.497E9</v>
      </c>
      <c r="J56" s="1">
        <v>1.665E9</v>
      </c>
      <c r="K56" s="1">
        <v>1.665E9</v>
      </c>
      <c r="L56" s="1">
        <v>-6.2E7</v>
      </c>
      <c r="M56" s="1">
        <v>3.1E8</v>
      </c>
      <c r="N56" s="1">
        <v>5.869E9</v>
      </c>
      <c r="O56" s="1">
        <v>4.204E9</v>
      </c>
      <c r="P56" s="1">
        <v>3.372E9</v>
      </c>
      <c r="Q56" s="1">
        <v>-6.2E7</v>
      </c>
      <c r="R56" s="1">
        <v>1.293E9</v>
      </c>
      <c r="S56" s="1">
        <v>1.293E9</v>
      </c>
      <c r="W56" s="4" t="str">
        <f>Raw_Data!C55&amp;"|"&amp;Raw_Data!D55&amp;"|"&amp;TEXT(Raw_Data!B55,"yyyy-mm-dd")</f>
        <v>Aflac|AFL|2021-06-30</v>
      </c>
    </row>
    <row r="57">
      <c r="A57" s="1">
        <v>55.0</v>
      </c>
      <c r="B57" s="3">
        <v>44196.0</v>
      </c>
      <c r="C57" s="1" t="s">
        <v>43</v>
      </c>
      <c r="D57" s="1" t="s">
        <v>44</v>
      </c>
      <c r="F57" s="1">
        <v>1.217E9</v>
      </c>
      <c r="G57" s="1">
        <v>9.52E8</v>
      </c>
      <c r="H57" s="1">
        <v>1.038E9</v>
      </c>
      <c r="I57" s="1">
        <v>2.316E9</v>
      </c>
      <c r="J57" s="1">
        <v>1.278E9</v>
      </c>
      <c r="K57" s="1">
        <v>1.278E9</v>
      </c>
      <c r="L57" s="1">
        <v>-6.1E7</v>
      </c>
      <c r="M57" s="1">
        <v>2.65E8</v>
      </c>
      <c r="N57" s="1">
        <v>5.913E9</v>
      </c>
      <c r="O57" s="1">
        <v>4.635E9</v>
      </c>
      <c r="P57" s="1">
        <v>3.597E9</v>
      </c>
      <c r="Q57" s="1">
        <v>-6.1E7</v>
      </c>
      <c r="R57" s="1">
        <v>9.52E8</v>
      </c>
      <c r="S57" s="1">
        <v>9.52E8</v>
      </c>
      <c r="W57" s="4" t="str">
        <f>Raw_Data!C56&amp;"|"&amp;Raw_Data!D56&amp;"|"&amp;TEXT(Raw_Data!B56,"yyyy-mm-dd")</f>
        <v>Aflac|AFL|2021-03-31</v>
      </c>
    </row>
    <row r="58">
      <c r="A58" s="1">
        <v>56.0</v>
      </c>
      <c r="B58" s="3">
        <v>44408.0</v>
      </c>
      <c r="C58" s="1" t="s">
        <v>45</v>
      </c>
      <c r="D58" s="1" t="s">
        <v>46</v>
      </c>
      <c r="E58" s="1">
        <v>1.13E8</v>
      </c>
      <c r="F58" s="1">
        <v>3.27E8</v>
      </c>
      <c r="G58" s="1">
        <v>2.64E8</v>
      </c>
      <c r="H58" s="1">
        <v>3.9E8</v>
      </c>
      <c r="I58" s="1">
        <v>8.52E8</v>
      </c>
      <c r="J58" s="1">
        <v>3.49E8</v>
      </c>
      <c r="K58" s="1">
        <v>3.49E8</v>
      </c>
      <c r="L58" s="1">
        <v>-2.1E7</v>
      </c>
      <c r="M58" s="1">
        <v>6.3E7</v>
      </c>
      <c r="N58" s="1">
        <v>1.586E9</v>
      </c>
      <c r="O58" s="1">
        <v>1.237E9</v>
      </c>
      <c r="P58" s="1">
        <v>7.34E8</v>
      </c>
      <c r="Q58" s="1">
        <v>-2.2E7</v>
      </c>
      <c r="R58" s="1">
        <v>2.64E8</v>
      </c>
      <c r="S58" s="1">
        <v>2.64E8</v>
      </c>
      <c r="W58" s="4" t="str">
        <f>Raw_Data!C57&amp;"|"&amp;Raw_Data!D57&amp;"|"&amp;TEXT(Raw_Data!B57,"yyyy-mm-dd")</f>
        <v>Aflac|AFL|2020-12-31</v>
      </c>
    </row>
    <row r="59">
      <c r="A59" s="1">
        <v>57.0</v>
      </c>
      <c r="B59" s="3">
        <v>44316.0</v>
      </c>
      <c r="C59" s="1" t="s">
        <v>45</v>
      </c>
      <c r="D59" s="1" t="s">
        <v>46</v>
      </c>
      <c r="E59" s="1">
        <v>1.09E8</v>
      </c>
      <c r="F59" s="1">
        <v>2.73E8</v>
      </c>
      <c r="G59" s="1">
        <v>2.16E8</v>
      </c>
      <c r="H59" s="1">
        <v>4.2E8</v>
      </c>
      <c r="I59" s="1">
        <v>8.17E8</v>
      </c>
      <c r="J59" s="1">
        <v>2.88E8</v>
      </c>
      <c r="K59" s="1">
        <v>2.88E8</v>
      </c>
      <c r="L59" s="1">
        <v>-2.0E7</v>
      </c>
      <c r="M59" s="1">
        <v>5.7E7</v>
      </c>
      <c r="N59" s="1">
        <v>1.525E9</v>
      </c>
      <c r="O59" s="1">
        <v>1.237E9</v>
      </c>
      <c r="P59" s="1">
        <v>7.08E8</v>
      </c>
      <c r="Q59" s="1">
        <v>-1.5E7</v>
      </c>
      <c r="R59" s="1">
        <v>2.16E8</v>
      </c>
      <c r="S59" s="1">
        <v>2.16E8</v>
      </c>
      <c r="W59" s="4" t="str">
        <f>Raw_Data!C58&amp;"|"&amp;Raw_Data!D58&amp;"|"&amp;TEXT(Raw_Data!B58,"yyyy-mm-dd")</f>
        <v>Agilent Technologies|A|2021-07-31</v>
      </c>
    </row>
    <row r="60">
      <c r="A60" s="1">
        <v>58.0</v>
      </c>
      <c r="B60" s="3">
        <v>44227.0</v>
      </c>
      <c r="C60" s="1" t="s">
        <v>45</v>
      </c>
      <c r="D60" s="1" t="s">
        <v>46</v>
      </c>
      <c r="E60" s="1">
        <v>1.03E8</v>
      </c>
      <c r="F60" s="1">
        <v>3.12E8</v>
      </c>
      <c r="G60" s="1">
        <v>2.88E8</v>
      </c>
      <c r="H60" s="1">
        <v>3.98E8</v>
      </c>
      <c r="I60" s="1">
        <v>8.38E8</v>
      </c>
      <c r="J60" s="1">
        <v>3.37E8</v>
      </c>
      <c r="K60" s="1">
        <v>3.37E8</v>
      </c>
      <c r="L60" s="1">
        <v>-1.9E7</v>
      </c>
      <c r="M60" s="1">
        <v>2.4E7</v>
      </c>
      <c r="N60" s="1">
        <v>1.548E9</v>
      </c>
      <c r="O60" s="1">
        <v>1.211E9</v>
      </c>
      <c r="P60" s="1">
        <v>7.1E8</v>
      </c>
      <c r="Q60" s="1">
        <v>-2.5E7</v>
      </c>
      <c r="R60" s="1">
        <v>2.88E8</v>
      </c>
      <c r="S60" s="1">
        <v>2.88E8</v>
      </c>
      <c r="W60" s="4" t="str">
        <f>Raw_Data!C59&amp;"|"&amp;Raw_Data!D59&amp;"|"&amp;TEXT(Raw_Data!B59,"yyyy-mm-dd")</f>
        <v>Agilent Technologies|A|2021-04-30</v>
      </c>
    </row>
    <row r="61">
      <c r="A61" s="1">
        <v>59.0</v>
      </c>
      <c r="B61" s="3">
        <v>44135.0</v>
      </c>
      <c r="C61" s="1" t="s">
        <v>45</v>
      </c>
      <c r="D61" s="1" t="s">
        <v>46</v>
      </c>
      <c r="E61" s="1">
        <v>1.02E8</v>
      </c>
      <c r="F61" s="1">
        <v>2.83E8</v>
      </c>
      <c r="G61" s="1">
        <v>2.22E8</v>
      </c>
      <c r="H61" s="1">
        <v>3.42E8</v>
      </c>
      <c r="I61" s="1">
        <v>7.88E8</v>
      </c>
      <c r="J61" s="1">
        <v>3.44E8</v>
      </c>
      <c r="K61" s="1">
        <v>3.44E8</v>
      </c>
      <c r="L61" s="1">
        <v>-1.9E7</v>
      </c>
      <c r="M61" s="1">
        <v>6.1E7</v>
      </c>
      <c r="N61" s="1">
        <v>1.483E9</v>
      </c>
      <c r="O61" s="1">
        <v>1.139E9</v>
      </c>
      <c r="P61" s="1">
        <v>6.95E8</v>
      </c>
      <c r="Q61" s="1">
        <v>-6.1E7</v>
      </c>
      <c r="R61" s="1">
        <v>2.22E8</v>
      </c>
      <c r="S61" s="1">
        <v>2.22E8</v>
      </c>
      <c r="W61" s="4" t="str">
        <f>Raw_Data!C60&amp;"|"&amp;Raw_Data!D60&amp;"|"&amp;TEXT(Raw_Data!B60,"yyyy-mm-dd")</f>
        <v>Agilent Technologies|A|2021-01-31</v>
      </c>
    </row>
    <row r="62">
      <c r="A62" s="1">
        <v>60.0</v>
      </c>
      <c r="B62" s="3">
        <v>44469.0</v>
      </c>
      <c r="C62" s="1" t="s">
        <v>47</v>
      </c>
      <c r="D62" s="1" t="s">
        <v>48</v>
      </c>
      <c r="E62" s="1">
        <v>2.57E7</v>
      </c>
      <c r="F62" s="1">
        <v>6.923E8</v>
      </c>
      <c r="G62" s="1">
        <v>6.104E8</v>
      </c>
      <c r="H62" s="1">
        <v>2.021E8</v>
      </c>
      <c r="I62" s="1">
        <v>8.348E8</v>
      </c>
      <c r="J62" s="1">
        <v>6.167E8</v>
      </c>
      <c r="K62" s="1">
        <v>6.167E8</v>
      </c>
      <c r="L62" s="1">
        <v>-3.34E7</v>
      </c>
      <c r="M62" s="1">
        <v>1.253E8</v>
      </c>
      <c r="N62" s="1">
        <v>2.8411E9</v>
      </c>
      <c r="O62" s="1">
        <v>2.2244E9</v>
      </c>
      <c r="P62" s="1">
        <v>2.0063E9</v>
      </c>
      <c r="Q62" s="1">
        <v>7.56E7</v>
      </c>
      <c r="R62" s="1">
        <v>5.67E8</v>
      </c>
      <c r="S62" s="1">
        <v>6.104E8</v>
      </c>
      <c r="W62" s="4" t="str">
        <f>Raw_Data!C61&amp;"|"&amp;Raw_Data!D61&amp;"|"&amp;TEXT(Raw_Data!B61,"yyyy-mm-dd")</f>
        <v>Agilent Technologies|A|2020-10-31</v>
      </c>
    </row>
    <row r="63">
      <c r="A63" s="1">
        <v>61.0</v>
      </c>
      <c r="B63" s="3">
        <v>44377.0</v>
      </c>
      <c r="C63" s="1" t="s">
        <v>47</v>
      </c>
      <c r="D63" s="1" t="s">
        <v>48</v>
      </c>
      <c r="E63" s="1">
        <v>2.32E7</v>
      </c>
      <c r="F63" s="1">
        <v>6.258E8</v>
      </c>
      <c r="G63" s="1">
        <v>5.336E8</v>
      </c>
      <c r="H63" s="1">
        <v>1.926E8</v>
      </c>
      <c r="I63" s="1">
        <v>8.028E8</v>
      </c>
      <c r="J63" s="1">
        <v>5.984E8</v>
      </c>
      <c r="K63" s="1">
        <v>5.984E8</v>
      </c>
      <c r="L63" s="1">
        <v>-3.56E7</v>
      </c>
      <c r="M63" s="1">
        <v>1.017E8</v>
      </c>
      <c r="N63" s="1">
        <v>2.6047E9</v>
      </c>
      <c r="O63" s="1">
        <v>2.0063E9</v>
      </c>
      <c r="P63" s="1">
        <v>1.8019E9</v>
      </c>
      <c r="Q63" s="1">
        <v>2.74E7</v>
      </c>
      <c r="R63" s="1">
        <v>5.241E8</v>
      </c>
      <c r="S63" s="1">
        <v>5.336E8</v>
      </c>
      <c r="W63" s="4" t="str">
        <f>Raw_Data!C62&amp;"|"&amp;Raw_Data!D62&amp;"|"&amp;TEXT(Raw_Data!B62,"yyyy-mm-dd")</f>
        <v>Air Products &amp; Chemicals|APD|2021-09-30</v>
      </c>
    </row>
    <row r="64">
      <c r="A64" s="1">
        <v>62.0</v>
      </c>
      <c r="B64" s="3">
        <v>44286.0</v>
      </c>
      <c r="C64" s="1" t="s">
        <v>47</v>
      </c>
      <c r="D64" s="1" t="s">
        <v>48</v>
      </c>
      <c r="E64" s="1">
        <v>2.11E7</v>
      </c>
      <c r="F64" s="1">
        <v>5.99E8</v>
      </c>
      <c r="G64" s="1">
        <v>4.731E8</v>
      </c>
      <c r="H64" s="1">
        <v>1.891E8</v>
      </c>
      <c r="I64" s="1">
        <v>7.565E8</v>
      </c>
      <c r="J64" s="1">
        <v>5.558E8</v>
      </c>
      <c r="K64" s="1">
        <v>5.558E8</v>
      </c>
      <c r="L64" s="1">
        <v>-3.61E7</v>
      </c>
      <c r="M64" s="1">
        <v>1.219E8</v>
      </c>
      <c r="N64" s="1">
        <v>2.502E9</v>
      </c>
      <c r="O64" s="1">
        <v>1.9462E9</v>
      </c>
      <c r="P64" s="1">
        <v>1.7455E9</v>
      </c>
      <c r="Q64" s="1">
        <v>4.32E7</v>
      </c>
      <c r="R64" s="1">
        <v>4.771E8</v>
      </c>
      <c r="S64" s="1">
        <v>4.731E8</v>
      </c>
      <c r="W64" s="4" t="str">
        <f>Raw_Data!C63&amp;"|"&amp;Raw_Data!D63&amp;"|"&amp;TEXT(Raw_Data!B63,"yyyy-mm-dd")</f>
        <v>Air Products &amp; Chemicals|APD|2021-06-30</v>
      </c>
    </row>
    <row r="65">
      <c r="A65" s="1">
        <v>63.0</v>
      </c>
      <c r="B65" s="3">
        <v>44196.0</v>
      </c>
      <c r="C65" s="1" t="s">
        <v>47</v>
      </c>
      <c r="D65" s="1" t="s">
        <v>48</v>
      </c>
      <c r="E65" s="1">
        <v>2.35E7</v>
      </c>
      <c r="F65" s="1">
        <v>5.903E8</v>
      </c>
      <c r="G65" s="1">
        <v>4.82E8</v>
      </c>
      <c r="H65" s="1">
        <v>1.821E8</v>
      </c>
      <c r="I65" s="1">
        <v>7.428E8</v>
      </c>
      <c r="J65" s="1">
        <v>5.625E8</v>
      </c>
      <c r="K65" s="1">
        <v>5.625E8</v>
      </c>
      <c r="L65" s="1">
        <v>-3.67E7</v>
      </c>
      <c r="M65" s="1">
        <v>1.139E8</v>
      </c>
      <c r="N65" s="1">
        <v>2.3752E9</v>
      </c>
      <c r="O65" s="1">
        <v>1.8127E9</v>
      </c>
      <c r="P65" s="1">
        <v>1.6324E9</v>
      </c>
      <c r="Q65" s="1">
        <v>2.78E7</v>
      </c>
      <c r="R65" s="1">
        <v>4.764E8</v>
      </c>
      <c r="S65" s="1">
        <v>4.82E8</v>
      </c>
      <c r="W65" s="4" t="str">
        <f>Raw_Data!C64&amp;"|"&amp;Raw_Data!D64&amp;"|"&amp;TEXT(Raw_Data!B64,"yyyy-mm-dd")</f>
        <v>Air Products &amp; Chemicals|APD|2021-03-31</v>
      </c>
    </row>
    <row r="66">
      <c r="A66" s="1">
        <v>64.0</v>
      </c>
      <c r="B66" s="3">
        <v>44469.0</v>
      </c>
      <c r="C66" s="1" t="s">
        <v>49</v>
      </c>
      <c r="D66" s="1" t="s">
        <v>50</v>
      </c>
      <c r="E66" s="1">
        <v>8.2899E7</v>
      </c>
      <c r="F66" s="1">
        <v>1.92564E8</v>
      </c>
      <c r="G66" s="1">
        <v>1.78916E8</v>
      </c>
      <c r="H66" s="1">
        <v>2.41463E8</v>
      </c>
      <c r="I66" s="1">
        <v>5.43467E8</v>
      </c>
      <c r="J66" s="1">
        <v>2.07146E8</v>
      </c>
      <c r="K66" s="1">
        <v>2.07146E8</v>
      </c>
      <c r="L66" s="1">
        <v>-1.8144E7</v>
      </c>
      <c r="M66" s="1">
        <v>1.3648E7</v>
      </c>
      <c r="N66" s="1">
        <v>8.60333E8</v>
      </c>
      <c r="O66" s="1">
        <v>6.53187E8</v>
      </c>
      <c r="P66" s="1">
        <v>3.16866E8</v>
      </c>
      <c r="Q66" s="1">
        <v>-1.4582E7</v>
      </c>
      <c r="R66" s="1">
        <v>1.78916E8</v>
      </c>
      <c r="S66" s="1">
        <v>1.78916E8</v>
      </c>
      <c r="W66" s="4" t="str">
        <f>Raw_Data!C65&amp;"|"&amp;Raw_Data!D65&amp;"|"&amp;TEXT(Raw_Data!B65,"yyyy-mm-dd")</f>
        <v>Air Products &amp; Chemicals|APD|2020-12-31</v>
      </c>
    </row>
    <row r="67">
      <c r="A67" s="1">
        <v>65.0</v>
      </c>
      <c r="B67" s="3">
        <v>44377.0</v>
      </c>
      <c r="C67" s="1" t="s">
        <v>49</v>
      </c>
      <c r="D67" s="1" t="s">
        <v>50</v>
      </c>
      <c r="E67" s="1">
        <v>7.7255E7</v>
      </c>
      <c r="F67" s="1">
        <v>1.74506E8</v>
      </c>
      <c r="G67" s="1">
        <v>1.56497E8</v>
      </c>
      <c r="H67" s="1">
        <v>2.46049E8</v>
      </c>
      <c r="I67" s="1">
        <v>5.32824E8</v>
      </c>
      <c r="J67" s="1">
        <v>1.9746E8</v>
      </c>
      <c r="K67" s="1">
        <v>1.9746E8</v>
      </c>
      <c r="L67" s="1">
        <v>-1.8037E7</v>
      </c>
      <c r="M67" s="1">
        <v>1.8009E7</v>
      </c>
      <c r="N67" s="1">
        <v>8.52824E8</v>
      </c>
      <c r="O67" s="1">
        <v>6.55364E8</v>
      </c>
      <c r="P67" s="1">
        <v>3.2E8</v>
      </c>
      <c r="Q67" s="1">
        <v>-2.2954E7</v>
      </c>
      <c r="R67" s="1">
        <v>1.56497E8</v>
      </c>
      <c r="S67" s="1">
        <v>1.56497E8</v>
      </c>
      <c r="W67" s="4" t="str">
        <f>Raw_Data!C66&amp;"|"&amp;Raw_Data!D66&amp;"|"&amp;TEXT(Raw_Data!B66,"yyyy-mm-dd")</f>
        <v>Akamai Technologies|AKAM|2021-09-30</v>
      </c>
    </row>
    <row r="68">
      <c r="A68" s="1">
        <v>66.0</v>
      </c>
      <c r="B68" s="3">
        <v>44286.0</v>
      </c>
      <c r="C68" s="1" t="s">
        <v>49</v>
      </c>
      <c r="D68" s="1" t="s">
        <v>50</v>
      </c>
      <c r="E68" s="1">
        <v>8.2045E7</v>
      </c>
      <c r="F68" s="1">
        <v>1.67593E8</v>
      </c>
      <c r="G68" s="1">
        <v>1.55695E8</v>
      </c>
      <c r="H68" s="1">
        <v>2.53005E8</v>
      </c>
      <c r="I68" s="1">
        <v>5.36021E8</v>
      </c>
      <c r="J68" s="1">
        <v>1.89544E8</v>
      </c>
      <c r="K68" s="1">
        <v>1.89544E8</v>
      </c>
      <c r="L68" s="1">
        <v>-1.7834E7</v>
      </c>
      <c r="M68" s="1">
        <v>1.1898E7</v>
      </c>
      <c r="N68" s="1">
        <v>8.42708E8</v>
      </c>
      <c r="O68" s="1">
        <v>6.53164E8</v>
      </c>
      <c r="P68" s="1">
        <v>3.06687E8</v>
      </c>
      <c r="Q68" s="1">
        <v>-2.1951E7</v>
      </c>
      <c r="R68" s="1">
        <v>1.55695E8</v>
      </c>
      <c r="S68" s="1">
        <v>1.55695E8</v>
      </c>
      <c r="W68" s="4" t="str">
        <f>Raw_Data!C67&amp;"|"&amp;Raw_Data!D67&amp;"|"&amp;TEXT(Raw_Data!B67,"yyyy-mm-dd")</f>
        <v>Akamai Technologies|AKAM|2021-06-30</v>
      </c>
    </row>
    <row r="69">
      <c r="A69" s="1">
        <v>67.0</v>
      </c>
      <c r="B69" s="3">
        <v>44196.0</v>
      </c>
      <c r="C69" s="1" t="s">
        <v>49</v>
      </c>
      <c r="D69" s="1" t="s">
        <v>50</v>
      </c>
      <c r="E69" s="1">
        <v>6.7228E7</v>
      </c>
      <c r="F69" s="1">
        <v>1.17528E8</v>
      </c>
      <c r="G69" s="1">
        <v>1.1337E8</v>
      </c>
      <c r="H69" s="1">
        <v>2.98739E8</v>
      </c>
      <c r="I69" s="1">
        <v>5.4244E8</v>
      </c>
      <c r="J69" s="1">
        <v>1.65579E8</v>
      </c>
      <c r="K69" s="1">
        <v>1.65579E8</v>
      </c>
      <c r="L69" s="1">
        <v>-1.7342E7</v>
      </c>
      <c r="M69" s="1">
        <v>4158000.0</v>
      </c>
      <c r="N69" s="1">
        <v>8.46287E8</v>
      </c>
      <c r="O69" s="1">
        <v>6.80708E8</v>
      </c>
      <c r="P69" s="1">
        <v>3.03847E8</v>
      </c>
      <c r="Q69" s="1">
        <v>-4.8051E7</v>
      </c>
      <c r="R69" s="1">
        <v>1.1337E8</v>
      </c>
      <c r="S69" s="1">
        <v>1.1337E8</v>
      </c>
      <c r="W69" s="4" t="str">
        <f>Raw_Data!C68&amp;"|"&amp;Raw_Data!D68&amp;"|"&amp;TEXT(Raw_Data!B68,"yyyy-mm-dd")</f>
        <v>Akamai Technologies|AKAM|2021-03-31</v>
      </c>
    </row>
    <row r="70">
      <c r="A70" s="1">
        <v>68.0</v>
      </c>
      <c r="B70" s="3">
        <v>44469.0</v>
      </c>
      <c r="C70" s="1" t="s">
        <v>51</v>
      </c>
      <c r="D70" s="1" t="s">
        <v>52</v>
      </c>
      <c r="E70" s="1">
        <v>1.3289E7</v>
      </c>
      <c r="F70" s="1">
        <v>-4.89103E8</v>
      </c>
      <c r="G70" s="1">
        <v>-3.92781E8</v>
      </c>
      <c r="H70" s="1">
        <v>9.5699E7</v>
      </c>
      <c r="I70" s="1">
        <v>2.49273E8</v>
      </c>
      <c r="J70" s="1">
        <v>1.40285E8</v>
      </c>
      <c r="K70" s="1">
        <v>1.40285E8</v>
      </c>
      <c r="L70" s="1">
        <v>-5136000.0</v>
      </c>
      <c r="M70" s="1">
        <v>-1.1467E8</v>
      </c>
      <c r="N70" s="1">
        <v>8.30566E8</v>
      </c>
      <c r="O70" s="1">
        <v>6.90281E8</v>
      </c>
      <c r="P70" s="1">
        <v>5.81293E8</v>
      </c>
      <c r="Q70" s="1">
        <v>-6.29388E8</v>
      </c>
      <c r="R70" s="1">
        <v>-3.74433E8</v>
      </c>
      <c r="S70" s="1">
        <v>-3.92781E8</v>
      </c>
      <c r="W70" s="4" t="str">
        <f>Raw_Data!C69&amp;"|"&amp;Raw_Data!D69&amp;"|"&amp;TEXT(Raw_Data!B69,"yyyy-mm-dd")</f>
        <v>Akamai Technologies|AKAM|2020-12-31</v>
      </c>
    </row>
    <row r="71">
      <c r="A71" s="1">
        <v>69.0</v>
      </c>
      <c r="B71" s="3">
        <v>44377.0</v>
      </c>
      <c r="C71" s="1" t="s">
        <v>51</v>
      </c>
      <c r="D71" s="1" t="s">
        <v>52</v>
      </c>
      <c r="E71" s="1">
        <v>1.3976E7</v>
      </c>
      <c r="F71" s="1">
        <v>5.53193E8</v>
      </c>
      <c r="G71" s="1">
        <v>4.246E8</v>
      </c>
      <c r="H71" s="1">
        <v>1.13393E8</v>
      </c>
      <c r="I71" s="1">
        <v>2.48417E8</v>
      </c>
      <c r="J71" s="1">
        <v>1.21048E8</v>
      </c>
      <c r="K71" s="1">
        <v>1.21048E8</v>
      </c>
      <c r="L71" s="1">
        <v>-5952000.0</v>
      </c>
      <c r="M71" s="1">
        <v>1.06985E8</v>
      </c>
      <c r="N71" s="1">
        <v>7.73896E8</v>
      </c>
      <c r="O71" s="1">
        <v>6.52848E8</v>
      </c>
      <c r="P71" s="1">
        <v>5.25479E8</v>
      </c>
      <c r="Q71" s="1">
        <v>4.32145E8</v>
      </c>
      <c r="R71" s="1">
        <v>4.46208E8</v>
      </c>
      <c r="S71" s="1">
        <v>4.246E8</v>
      </c>
      <c r="W71" s="4" t="str">
        <f>Raw_Data!C70&amp;"|"&amp;Raw_Data!D70&amp;"|"&amp;TEXT(Raw_Data!B70,"yyyy-mm-dd")</f>
        <v>Alaska Air Group|ALB|2021-09-30</v>
      </c>
    </row>
    <row r="72">
      <c r="A72" s="1">
        <v>70.0</v>
      </c>
      <c r="B72" s="3">
        <v>44286.0</v>
      </c>
      <c r="C72" s="1" t="s">
        <v>51</v>
      </c>
      <c r="D72" s="1" t="s">
        <v>52</v>
      </c>
      <c r="E72" s="1">
        <v>1.4636E7</v>
      </c>
      <c r="F72" s="1">
        <v>1.39805E8</v>
      </c>
      <c r="G72" s="1">
        <v>9.5677E7</v>
      </c>
      <c r="H72" s="1">
        <v>8.5589E7</v>
      </c>
      <c r="I72" s="1">
        <v>2.63687E8</v>
      </c>
      <c r="J72" s="1">
        <v>1.63462E8</v>
      </c>
      <c r="K72" s="1">
        <v>1.63462E8</v>
      </c>
      <c r="L72" s="1">
        <v>-1.6084E7</v>
      </c>
      <c r="M72" s="1">
        <v>2.2107E7</v>
      </c>
      <c r="N72" s="1">
        <v>8.29291E8</v>
      </c>
      <c r="O72" s="1">
        <v>6.65829E8</v>
      </c>
      <c r="P72" s="1">
        <v>5.65604E8</v>
      </c>
      <c r="Q72" s="1">
        <v>-2.3657E7</v>
      </c>
      <c r="R72" s="1">
        <v>1.17698E8</v>
      </c>
      <c r="S72" s="1">
        <v>9.5677E7</v>
      </c>
      <c r="W72" s="4" t="str">
        <f>Raw_Data!C71&amp;"|"&amp;Raw_Data!D71&amp;"|"&amp;TEXT(Raw_Data!B71,"yyyy-mm-dd")</f>
        <v>Alaska Air Group|ALB|2021-06-30</v>
      </c>
    </row>
    <row r="73">
      <c r="A73" s="1">
        <v>71.0</v>
      </c>
      <c r="B73" s="3">
        <v>44196.0</v>
      </c>
      <c r="C73" s="1" t="s">
        <v>51</v>
      </c>
      <c r="D73" s="1" t="s">
        <v>52</v>
      </c>
      <c r="E73" s="1">
        <v>1.5375E7</v>
      </c>
      <c r="F73" s="1">
        <v>9.2076E7</v>
      </c>
      <c r="G73" s="1">
        <v>8.4635E7</v>
      </c>
      <c r="H73" s="1">
        <v>1.15008E8</v>
      </c>
      <c r="I73" s="1">
        <v>2.6672E8</v>
      </c>
      <c r="J73" s="1">
        <v>1.36337E8</v>
      </c>
      <c r="K73" s="1">
        <v>1.36337E8</v>
      </c>
      <c r="L73" s="1">
        <v>-1.9152E7</v>
      </c>
      <c r="M73" s="1">
        <v>-1.0101E7</v>
      </c>
      <c r="N73" s="1">
        <v>8.79147E8</v>
      </c>
      <c r="O73" s="1">
        <v>7.4281E8</v>
      </c>
      <c r="P73" s="1">
        <v>6.12427E8</v>
      </c>
      <c r="Q73" s="1">
        <v>-4.4261E7</v>
      </c>
      <c r="R73" s="1">
        <v>1.02177E8</v>
      </c>
      <c r="S73" s="1">
        <v>8.4635E7</v>
      </c>
      <c r="W73" s="4" t="str">
        <f>Raw_Data!C72&amp;"|"&amp;Raw_Data!D72&amp;"|"&amp;TEXT(Raw_Data!B72,"yyyy-mm-dd")</f>
        <v>Alaska Air Group|ALB|2021-03-31</v>
      </c>
    </row>
    <row r="74">
      <c r="A74" s="1">
        <v>72.0</v>
      </c>
      <c r="B74" s="3">
        <v>44469.0</v>
      </c>
      <c r="C74" s="1" t="s">
        <v>53</v>
      </c>
      <c r="D74" s="1" t="s">
        <v>54</v>
      </c>
      <c r="F74" s="1">
        <v>2.45E8</v>
      </c>
      <c r="G74" s="1">
        <v>1.94E8</v>
      </c>
      <c r="H74" s="1">
        <v>4.9E7</v>
      </c>
      <c r="I74" s="1">
        <v>5.62E8</v>
      </c>
      <c r="J74" s="1">
        <v>2.57E8</v>
      </c>
      <c r="K74" s="1">
        <v>2.57E8</v>
      </c>
      <c r="L74" s="1">
        <v>-2.7E7</v>
      </c>
      <c r="M74" s="1">
        <v>5.1E7</v>
      </c>
      <c r="N74" s="1">
        <v>1.953E9</v>
      </c>
      <c r="O74" s="1">
        <v>1.696E9</v>
      </c>
      <c r="P74" s="1">
        <v>1.391E9</v>
      </c>
      <c r="Q74" s="1">
        <v>-1.2E7</v>
      </c>
      <c r="R74" s="1">
        <v>1.94E8</v>
      </c>
      <c r="S74" s="1">
        <v>1.94E8</v>
      </c>
      <c r="W74" s="4" t="str">
        <f>Raw_Data!C73&amp;"|"&amp;Raw_Data!D73&amp;"|"&amp;TEXT(Raw_Data!B73,"yyyy-mm-dd")</f>
        <v>Alaska Air Group|ALB|2020-12-31</v>
      </c>
    </row>
    <row r="75">
      <c r="A75" s="1">
        <v>73.0</v>
      </c>
      <c r="B75" s="3">
        <v>44377.0</v>
      </c>
      <c r="C75" s="1" t="s">
        <v>53</v>
      </c>
      <c r="D75" s="1" t="s">
        <v>54</v>
      </c>
      <c r="F75" s="1">
        <v>5.28E8</v>
      </c>
      <c r="G75" s="1">
        <v>3.97E8</v>
      </c>
      <c r="H75" s="1">
        <v>4.1E7</v>
      </c>
      <c r="I75" s="1">
        <v>2.46E8</v>
      </c>
      <c r="J75" s="1">
        <v>-3.6E7</v>
      </c>
      <c r="K75" s="1">
        <v>-3.6E7</v>
      </c>
      <c r="L75" s="1">
        <v>-3.6E7</v>
      </c>
      <c r="M75" s="1">
        <v>1.31E8</v>
      </c>
      <c r="N75" s="1">
        <v>1.527E9</v>
      </c>
      <c r="O75" s="1">
        <v>1.563E9</v>
      </c>
      <c r="P75" s="1">
        <v>1.281E9</v>
      </c>
      <c r="Q75" s="1">
        <v>5.64E8</v>
      </c>
      <c r="R75" s="1">
        <v>3.97E8</v>
      </c>
      <c r="S75" s="1">
        <v>3.97E8</v>
      </c>
      <c r="W75" s="4" t="str">
        <f>Raw_Data!C74&amp;"|"&amp;Raw_Data!D74&amp;"|"&amp;TEXT(Raw_Data!B74,"yyyy-mm-dd")</f>
        <v>Albemarle Corporation|ALK|2021-09-30</v>
      </c>
    </row>
    <row r="76">
      <c r="A76" s="1">
        <v>74.0</v>
      </c>
      <c r="B76" s="3">
        <v>44286.0</v>
      </c>
      <c r="C76" s="1" t="s">
        <v>53</v>
      </c>
      <c r="D76" s="1" t="s">
        <v>54</v>
      </c>
      <c r="F76" s="1">
        <v>-1.73E8</v>
      </c>
      <c r="G76" s="1">
        <v>-1.31E8</v>
      </c>
      <c r="H76" s="1">
        <v>3.3E7</v>
      </c>
      <c r="I76" s="1">
        <v>-3.12E8</v>
      </c>
      <c r="J76" s="1">
        <v>-5.73E8</v>
      </c>
      <c r="K76" s="1">
        <v>-5.73E8</v>
      </c>
      <c r="L76" s="1">
        <v>-2.9E7</v>
      </c>
      <c r="M76" s="1">
        <v>-4.2E7</v>
      </c>
      <c r="N76" s="1">
        <v>7.97E8</v>
      </c>
      <c r="O76" s="1">
        <v>1.37E9</v>
      </c>
      <c r="P76" s="1">
        <v>1.109E9</v>
      </c>
      <c r="Q76" s="1">
        <v>4.0E8</v>
      </c>
      <c r="R76" s="1">
        <v>-1.31E8</v>
      </c>
      <c r="S76" s="1">
        <v>-1.31E8</v>
      </c>
      <c r="W76" s="4" t="str">
        <f>Raw_Data!C75&amp;"|"&amp;Raw_Data!D75&amp;"|"&amp;TEXT(Raw_Data!B75,"yyyy-mm-dd")</f>
        <v>Albemarle Corporation|ALK|2021-06-30</v>
      </c>
    </row>
    <row r="77">
      <c r="A77" s="1">
        <v>75.0</v>
      </c>
      <c r="B77" s="3">
        <v>44196.0</v>
      </c>
      <c r="C77" s="1" t="s">
        <v>53</v>
      </c>
      <c r="D77" s="1" t="s">
        <v>54</v>
      </c>
      <c r="F77" s="1">
        <v>-6.43E8</v>
      </c>
      <c r="G77" s="1">
        <v>-4.47E8</v>
      </c>
      <c r="H77" s="1">
        <v>1.8E7</v>
      </c>
      <c r="I77" s="1">
        <v>-2.13E8</v>
      </c>
      <c r="J77" s="1">
        <v>-4.49E8</v>
      </c>
      <c r="K77" s="1">
        <v>-4.49E8</v>
      </c>
      <c r="L77" s="1">
        <v>-3.1E7</v>
      </c>
      <c r="M77" s="1">
        <v>-1.96E8</v>
      </c>
      <c r="N77" s="1">
        <v>8.08E8</v>
      </c>
      <c r="O77" s="1">
        <v>1.257E9</v>
      </c>
      <c r="P77" s="1">
        <v>1.021E9</v>
      </c>
      <c r="Q77" s="1">
        <v>-1.94E8</v>
      </c>
      <c r="R77" s="1">
        <v>-4.47E8</v>
      </c>
      <c r="S77" s="1">
        <v>-4.47E8</v>
      </c>
      <c r="W77" s="4" t="str">
        <f>Raw_Data!C76&amp;"|"&amp;Raw_Data!D76&amp;"|"&amp;TEXT(Raw_Data!B76,"yyyy-mm-dd")</f>
        <v>Albemarle Corporation|ALK|2021-03-31</v>
      </c>
    </row>
    <row r="78">
      <c r="A78" s="1">
        <v>76.0</v>
      </c>
      <c r="B78" s="3">
        <v>44469.0</v>
      </c>
      <c r="C78" s="1" t="s">
        <v>55</v>
      </c>
      <c r="D78" s="1" t="s">
        <v>56</v>
      </c>
      <c r="F78" s="1">
        <v>1.24433E8</v>
      </c>
      <c r="G78" s="1">
        <v>1.03147E8</v>
      </c>
      <c r="H78" s="1">
        <v>3.7931E7</v>
      </c>
      <c r="I78" s="1">
        <v>3.84855E8</v>
      </c>
      <c r="J78" s="1">
        <v>1.36082E8</v>
      </c>
      <c r="K78" s="1">
        <v>1.36082E8</v>
      </c>
      <c r="L78" s="1">
        <v>-3.5678E7</v>
      </c>
      <c r="M78" s="1">
        <v>0.0</v>
      </c>
      <c r="N78" s="1">
        <v>5.5085E8</v>
      </c>
      <c r="O78" s="1">
        <v>4.14768E8</v>
      </c>
      <c r="P78" s="1">
        <v>1.65995E8</v>
      </c>
      <c r="Q78" s="1">
        <v>-1.1649E7</v>
      </c>
      <c r="R78" s="1">
        <v>1.24433E8</v>
      </c>
      <c r="S78" s="1">
        <v>1.01264E8</v>
      </c>
      <c r="W78" s="4" t="str">
        <f>Raw_Data!C77&amp;"|"&amp;Raw_Data!D77&amp;"|"&amp;TEXT(Raw_Data!B77,"yyyy-mm-dd")</f>
        <v>Albemarle Corporation|ALK|2020-12-31</v>
      </c>
    </row>
    <row r="79">
      <c r="A79" s="1">
        <v>77.0</v>
      </c>
      <c r="B79" s="3">
        <v>44377.0</v>
      </c>
      <c r="C79" s="1" t="s">
        <v>55</v>
      </c>
      <c r="D79" s="1" t="s">
        <v>56</v>
      </c>
      <c r="F79" s="1">
        <v>4.0452E8</v>
      </c>
      <c r="G79" s="1">
        <v>3.85084E8</v>
      </c>
      <c r="H79" s="1">
        <v>3.788E7</v>
      </c>
      <c r="I79" s="1">
        <v>3.68273E8</v>
      </c>
      <c r="J79" s="1">
        <v>1.40341E8</v>
      </c>
      <c r="K79" s="1">
        <v>1.40341E8</v>
      </c>
      <c r="L79" s="1">
        <v>-3.5158E7</v>
      </c>
      <c r="M79" s="1">
        <v>0.0</v>
      </c>
      <c r="N79" s="1">
        <v>5.12228E8</v>
      </c>
      <c r="O79" s="1">
        <v>3.71887E8</v>
      </c>
      <c r="P79" s="1">
        <v>1.43955E8</v>
      </c>
      <c r="Q79" s="1">
        <v>2.64179E8</v>
      </c>
      <c r="R79" s="1">
        <v>4.0452E8</v>
      </c>
      <c r="S79" s="1">
        <v>3.80563E8</v>
      </c>
      <c r="W79" s="4" t="str">
        <f>Raw_Data!C78&amp;"|"&amp;Raw_Data!D78&amp;"|"&amp;TEXT(Raw_Data!B78,"yyyy-mm-dd")</f>
        <v>Alexandria Real Estate Equities|ARE|2021-09-30</v>
      </c>
    </row>
    <row r="80">
      <c r="A80" s="1">
        <v>78.0</v>
      </c>
      <c r="B80" s="3">
        <v>44286.0</v>
      </c>
      <c r="C80" s="1" t="s">
        <v>55</v>
      </c>
      <c r="D80" s="1" t="s">
        <v>56</v>
      </c>
      <c r="F80" s="1">
        <v>2.5533E7</v>
      </c>
      <c r="G80" s="1">
        <v>8121000.0</v>
      </c>
      <c r="H80" s="1">
        <v>3.3996E7</v>
      </c>
      <c r="I80" s="1">
        <v>3.45498E8</v>
      </c>
      <c r="J80" s="1">
        <v>1.30589E8</v>
      </c>
      <c r="K80" s="1">
        <v>1.30589E8</v>
      </c>
      <c r="L80" s="1">
        <v>-3.6467E7</v>
      </c>
      <c r="M80" s="1">
        <v>0.0</v>
      </c>
      <c r="N80" s="1">
        <v>4.83386E8</v>
      </c>
      <c r="O80" s="1">
        <v>3.52797E8</v>
      </c>
      <c r="P80" s="1">
        <v>1.37888E8</v>
      </c>
      <c r="Q80" s="1">
        <v>-1.05056E8</v>
      </c>
      <c r="R80" s="1">
        <v>2.5533E7</v>
      </c>
      <c r="S80" s="1">
        <v>7979000.0</v>
      </c>
      <c r="W80" s="4" t="str">
        <f>Raw_Data!C79&amp;"|"&amp;Raw_Data!D79&amp;"|"&amp;TEXT(Raw_Data!B79,"yyyy-mm-dd")</f>
        <v>Alexandria Real Estate Equities|ARE|2021-06-30</v>
      </c>
    </row>
    <row r="81">
      <c r="A81" s="1">
        <v>79.0</v>
      </c>
      <c r="B81" s="3">
        <v>44196.0</v>
      </c>
      <c r="C81" s="1" t="s">
        <v>55</v>
      </c>
      <c r="D81" s="1" t="s">
        <v>56</v>
      </c>
      <c r="F81" s="1">
        <v>4.57133E8</v>
      </c>
      <c r="G81" s="1">
        <v>4.41484E8</v>
      </c>
      <c r="H81" s="1">
        <v>3.269E7</v>
      </c>
      <c r="I81" s="1">
        <v>3.30546E8</v>
      </c>
      <c r="J81" s="1">
        <v>1.20106E8</v>
      </c>
      <c r="K81" s="1">
        <v>1.20106E8</v>
      </c>
      <c r="L81" s="1">
        <v>-3.7538E7</v>
      </c>
      <c r="M81" s="1">
        <v>0.0</v>
      </c>
      <c r="N81" s="1">
        <v>4.67313E8</v>
      </c>
      <c r="O81" s="1">
        <v>3.47207E8</v>
      </c>
      <c r="P81" s="1">
        <v>1.36767E8</v>
      </c>
      <c r="Q81" s="1">
        <v>3.37027E8</v>
      </c>
      <c r="R81" s="1">
        <v>4.57133E8</v>
      </c>
      <c r="S81" s="1">
        <v>4.3662E8</v>
      </c>
      <c r="W81" s="4" t="str">
        <f>Raw_Data!C80&amp;"|"&amp;Raw_Data!D80&amp;"|"&amp;TEXT(Raw_Data!B80,"yyyy-mm-dd")</f>
        <v>Alexandria Real Estate Equities|ARE|2021-03-31</v>
      </c>
    </row>
    <row r="82">
      <c r="A82" s="1">
        <v>80.0</v>
      </c>
      <c r="B82" s="3">
        <v>44469.0</v>
      </c>
      <c r="C82" s="1" t="s">
        <v>57</v>
      </c>
      <c r="D82" s="1" t="s">
        <v>58</v>
      </c>
      <c r="E82" s="1">
        <v>6.5587E7</v>
      </c>
      <c r="F82" s="1">
        <v>2.61988E8</v>
      </c>
      <c r="G82" s="1">
        <v>1.80969E8</v>
      </c>
      <c r="H82" s="1">
        <v>4.28409E8</v>
      </c>
      <c r="I82" s="1">
        <v>7.55156E8</v>
      </c>
      <c r="J82" s="1">
        <v>2.6116E8</v>
      </c>
      <c r="K82" s="1">
        <v>2.6116E8</v>
      </c>
      <c r="M82" s="1">
        <v>8.1019E7</v>
      </c>
      <c r="N82" s="1">
        <v>1.015906E9</v>
      </c>
      <c r="O82" s="1">
        <v>7.54746E8</v>
      </c>
      <c r="P82" s="1">
        <v>2.6075E8</v>
      </c>
      <c r="Q82" s="1">
        <v>828000.0</v>
      </c>
      <c r="R82" s="1">
        <v>1.80969E8</v>
      </c>
      <c r="S82" s="1">
        <v>1.80969E8</v>
      </c>
      <c r="W82" s="4" t="str">
        <f>Raw_Data!C81&amp;"|"&amp;Raw_Data!D81&amp;"|"&amp;TEXT(Raw_Data!B81,"yyyy-mm-dd")</f>
        <v>Alexandria Real Estate Equities|ARE|2020-12-31</v>
      </c>
    </row>
    <row r="83">
      <c r="A83" s="1">
        <v>81.0</v>
      </c>
      <c r="B83" s="3">
        <v>44377.0</v>
      </c>
      <c r="C83" s="1" t="s">
        <v>57</v>
      </c>
      <c r="D83" s="1" t="s">
        <v>58</v>
      </c>
      <c r="E83" s="1">
        <v>5.7715E7</v>
      </c>
      <c r="F83" s="1">
        <v>2.68802E8</v>
      </c>
      <c r="G83" s="1">
        <v>1.99714E8</v>
      </c>
      <c r="H83" s="1">
        <v>4.31921E8</v>
      </c>
      <c r="I83" s="1">
        <v>7.58538E8</v>
      </c>
      <c r="J83" s="1">
        <v>2.68902E8</v>
      </c>
      <c r="K83" s="1">
        <v>2.68902E8</v>
      </c>
      <c r="M83" s="1">
        <v>6.9088E7</v>
      </c>
      <c r="N83" s="1">
        <v>1.010808E9</v>
      </c>
      <c r="O83" s="1">
        <v>7.41906E8</v>
      </c>
      <c r="P83" s="1">
        <v>2.5227E8</v>
      </c>
      <c r="Q83" s="1">
        <v>-100000.0</v>
      </c>
      <c r="R83" s="1">
        <v>1.99714E8</v>
      </c>
      <c r="S83" s="1">
        <v>1.99714E8</v>
      </c>
      <c r="W83" s="4" t="str">
        <f>Raw_Data!C82&amp;"|"&amp;Raw_Data!D82&amp;"|"&amp;TEXT(Raw_Data!B82,"yyyy-mm-dd")</f>
        <v>Align Technology|ALGN|2021-09-30</v>
      </c>
    </row>
    <row r="84">
      <c r="A84" s="1">
        <v>82.0</v>
      </c>
      <c r="B84" s="3">
        <v>44286.0</v>
      </c>
      <c r="C84" s="1" t="s">
        <v>57</v>
      </c>
      <c r="D84" s="1" t="s">
        <v>58</v>
      </c>
      <c r="E84" s="1">
        <v>5.4537E7</v>
      </c>
      <c r="F84" s="1">
        <v>2.61621E8</v>
      </c>
      <c r="G84" s="1">
        <v>2.00376E8</v>
      </c>
      <c r="H84" s="1">
        <v>3.97115E8</v>
      </c>
      <c r="I84" s="1">
        <v>6.77098E8</v>
      </c>
      <c r="J84" s="1">
        <v>2.25446E8</v>
      </c>
      <c r="K84" s="1">
        <v>2.25446E8</v>
      </c>
      <c r="M84" s="1">
        <v>6.1245E7</v>
      </c>
      <c r="N84" s="1">
        <v>8.94771E8</v>
      </c>
      <c r="O84" s="1">
        <v>6.69325E8</v>
      </c>
      <c r="P84" s="1">
        <v>2.17673E8</v>
      </c>
      <c r="Q84" s="1">
        <v>3.6175E7</v>
      </c>
      <c r="R84" s="1">
        <v>2.00376E8</v>
      </c>
      <c r="S84" s="1">
        <v>2.00376E8</v>
      </c>
      <c r="W84" s="4" t="str">
        <f>Raw_Data!C83&amp;"|"&amp;Raw_Data!D83&amp;"|"&amp;TEXT(Raw_Data!B83,"yyyy-mm-dd")</f>
        <v>Align Technology|ALGN|2021-06-30</v>
      </c>
    </row>
    <row r="85">
      <c r="A85" s="1">
        <v>83.0</v>
      </c>
      <c r="B85" s="3">
        <v>44196.0</v>
      </c>
      <c r="C85" s="1" t="s">
        <v>57</v>
      </c>
      <c r="D85" s="1" t="s">
        <v>58</v>
      </c>
      <c r="E85" s="1">
        <v>4.8887E7</v>
      </c>
      <c r="F85" s="1">
        <v>2.14542E8</v>
      </c>
      <c r="G85" s="1">
        <v>1.58988E8</v>
      </c>
      <c r="H85" s="1">
        <v>3.48392E8</v>
      </c>
      <c r="I85" s="1">
        <v>6.10463E8</v>
      </c>
      <c r="J85" s="1">
        <v>2.13184E8</v>
      </c>
      <c r="K85" s="1">
        <v>2.13184E8</v>
      </c>
      <c r="M85" s="1">
        <v>5.5554E7</v>
      </c>
      <c r="N85" s="1">
        <v>8.3452E8</v>
      </c>
      <c r="O85" s="1">
        <v>6.21336E8</v>
      </c>
      <c r="P85" s="1">
        <v>2.24057E8</v>
      </c>
      <c r="Q85" s="1">
        <v>1358000.0</v>
      </c>
      <c r="R85" s="1">
        <v>1.58988E8</v>
      </c>
      <c r="S85" s="1">
        <v>1.58988E8</v>
      </c>
      <c r="W85" s="4" t="str">
        <f>Raw_Data!C84&amp;"|"&amp;Raw_Data!D84&amp;"|"&amp;TEXT(Raw_Data!B84,"yyyy-mm-dd")</f>
        <v>Align Technology|ALGN|2021-03-31</v>
      </c>
    </row>
    <row r="86">
      <c r="A86" s="1">
        <v>84.0</v>
      </c>
      <c r="B86" s="3">
        <v>44469.0</v>
      </c>
      <c r="C86" s="1" t="s">
        <v>59</v>
      </c>
      <c r="D86" s="1" t="s">
        <v>60</v>
      </c>
      <c r="F86" s="1">
        <v>1.408E8</v>
      </c>
      <c r="G86" s="1">
        <v>1.435E8</v>
      </c>
      <c r="H86" s="1">
        <v>1.6E8</v>
      </c>
      <c r="I86" s="1">
        <v>3.005E8</v>
      </c>
      <c r="J86" s="1">
        <v>1.405E8</v>
      </c>
      <c r="K86" s="1">
        <v>1.405E8</v>
      </c>
      <c r="L86" s="1">
        <v>-1.23E7</v>
      </c>
      <c r="M86" s="1">
        <v>-2800000.0</v>
      </c>
      <c r="N86" s="1">
        <v>7.17E8</v>
      </c>
      <c r="O86" s="1">
        <v>5.765E8</v>
      </c>
      <c r="P86" s="1">
        <v>4.165E8</v>
      </c>
      <c r="Q86" s="1">
        <v>300000.0</v>
      </c>
      <c r="R86" s="1">
        <v>1.436E8</v>
      </c>
      <c r="S86" s="1">
        <v>1.435E8</v>
      </c>
      <c r="W86" s="4" t="str">
        <f>Raw_Data!C85&amp;"|"&amp;Raw_Data!D85&amp;"|"&amp;TEXT(Raw_Data!B85,"yyyy-mm-dd")</f>
        <v>Align Technology|ALGN|2020-12-31</v>
      </c>
    </row>
    <row r="87">
      <c r="A87" s="1">
        <v>85.0</v>
      </c>
      <c r="B87" s="3">
        <v>44377.0</v>
      </c>
      <c r="C87" s="1" t="s">
        <v>59</v>
      </c>
      <c r="D87" s="1" t="s">
        <v>60</v>
      </c>
      <c r="F87" s="1">
        <v>1.362E8</v>
      </c>
      <c r="G87" s="1">
        <v>1.187E8</v>
      </c>
      <c r="H87" s="1">
        <v>1.731E8</v>
      </c>
      <c r="I87" s="1">
        <v>3.205E8</v>
      </c>
      <c r="J87" s="1">
        <v>1.474E8</v>
      </c>
      <c r="K87" s="1">
        <v>1.474E8</v>
      </c>
      <c r="L87" s="1">
        <v>-1.24E7</v>
      </c>
      <c r="M87" s="1">
        <v>1.74E7</v>
      </c>
      <c r="N87" s="1">
        <v>7.469E8</v>
      </c>
      <c r="O87" s="1">
        <v>5.995E8</v>
      </c>
      <c r="P87" s="1">
        <v>4.264E8</v>
      </c>
      <c r="Q87" s="1">
        <v>-1.12E7</v>
      </c>
      <c r="R87" s="1">
        <v>1.188E8</v>
      </c>
      <c r="S87" s="1">
        <v>1.187E8</v>
      </c>
      <c r="W87" s="4" t="str">
        <f>Raw_Data!C86&amp;"|"&amp;Raw_Data!D86&amp;"|"&amp;TEXT(Raw_Data!B86,"yyyy-mm-dd")</f>
        <v>Allegion|ALLE|2021-09-30</v>
      </c>
    </row>
    <row r="88">
      <c r="A88" s="1">
        <v>86.0</v>
      </c>
      <c r="B88" s="3">
        <v>44286.0</v>
      </c>
      <c r="C88" s="1" t="s">
        <v>59</v>
      </c>
      <c r="D88" s="1" t="s">
        <v>60</v>
      </c>
      <c r="F88" s="1">
        <v>1.225E8</v>
      </c>
      <c r="G88" s="1">
        <v>1.08E8</v>
      </c>
      <c r="H88" s="1">
        <v>1.642E8</v>
      </c>
      <c r="I88" s="1">
        <v>2.974E8</v>
      </c>
      <c r="J88" s="1">
        <v>1.332E8</v>
      </c>
      <c r="K88" s="1">
        <v>1.332E8</v>
      </c>
      <c r="L88" s="1">
        <v>-1.23E7</v>
      </c>
      <c r="M88" s="1">
        <v>1.43E7</v>
      </c>
      <c r="N88" s="1">
        <v>6.943E8</v>
      </c>
      <c r="O88" s="1">
        <v>5.611E8</v>
      </c>
      <c r="P88" s="1">
        <v>3.969E8</v>
      </c>
      <c r="Q88" s="1">
        <v>-1.07E7</v>
      </c>
      <c r="R88" s="1">
        <v>1.082E8</v>
      </c>
      <c r="S88" s="1">
        <v>1.08E8</v>
      </c>
      <c r="W88" s="4" t="str">
        <f>Raw_Data!C87&amp;"|"&amp;Raw_Data!D87&amp;"|"&amp;TEXT(Raw_Data!B87,"yyyy-mm-dd")</f>
        <v>Allegion|ALLE|2021-06-30</v>
      </c>
    </row>
    <row r="89">
      <c r="A89" s="1">
        <v>87.0</v>
      </c>
      <c r="B89" s="3">
        <v>44196.0</v>
      </c>
      <c r="C89" s="1" t="s">
        <v>59</v>
      </c>
      <c r="D89" s="1" t="s">
        <v>60</v>
      </c>
      <c r="F89" s="1">
        <v>1.058E8</v>
      </c>
      <c r="G89" s="1">
        <v>9.33E7</v>
      </c>
      <c r="H89" s="1">
        <v>1.566E8</v>
      </c>
      <c r="I89" s="1">
        <v>3.207E8</v>
      </c>
      <c r="J89" s="1">
        <v>1.641E8</v>
      </c>
      <c r="K89" s="1">
        <v>1.641E8</v>
      </c>
      <c r="L89" s="1">
        <v>-1.23E7</v>
      </c>
      <c r="M89" s="1">
        <v>1.24E7</v>
      </c>
      <c r="N89" s="1">
        <v>7.273E8</v>
      </c>
      <c r="O89" s="1">
        <v>5.632E8</v>
      </c>
      <c r="P89" s="1">
        <v>4.066E8</v>
      </c>
      <c r="Q89" s="1">
        <v>-5.83E7</v>
      </c>
      <c r="R89" s="1">
        <v>9.34E7</v>
      </c>
      <c r="S89" s="1">
        <v>9.33E7</v>
      </c>
      <c r="W89" s="4" t="str">
        <f>Raw_Data!C88&amp;"|"&amp;Raw_Data!D88&amp;"|"&amp;TEXT(Raw_Data!B88,"yyyy-mm-dd")</f>
        <v>Allegion|ALLE|2021-03-31</v>
      </c>
    </row>
    <row r="90">
      <c r="A90" s="1">
        <v>88.0</v>
      </c>
      <c r="B90" s="3">
        <v>44469.0</v>
      </c>
      <c r="C90" s="1" t="s">
        <v>61</v>
      </c>
      <c r="D90" s="1" t="s">
        <v>62</v>
      </c>
      <c r="F90" s="1">
        <v>2.35E8</v>
      </c>
      <c r="G90" s="1">
        <v>2.56E8</v>
      </c>
      <c r="I90" s="1">
        <v>4.8E8</v>
      </c>
      <c r="J90" s="1">
        <v>2.89E8</v>
      </c>
      <c r="K90" s="1">
        <v>2.89E8</v>
      </c>
      <c r="L90" s="1">
        <v>-7.1E7</v>
      </c>
      <c r="M90" s="1">
        <v>-2.1E7</v>
      </c>
      <c r="N90" s="1">
        <v>1.024E9</v>
      </c>
      <c r="O90" s="1">
        <v>7.35E8</v>
      </c>
      <c r="P90" s="1">
        <v>5.44E8</v>
      </c>
      <c r="Q90" s="1">
        <v>-5.4E7</v>
      </c>
      <c r="R90" s="1">
        <v>2.56E8</v>
      </c>
      <c r="S90" s="1">
        <v>2.56E8</v>
      </c>
      <c r="W90" s="4" t="str">
        <f>Raw_Data!C89&amp;"|"&amp;Raw_Data!D89&amp;"|"&amp;TEXT(Raw_Data!B89,"yyyy-mm-dd")</f>
        <v>Allegion|ALLE|2020-12-31</v>
      </c>
    </row>
    <row r="91">
      <c r="A91" s="1">
        <v>89.0</v>
      </c>
      <c r="B91" s="3">
        <v>44377.0</v>
      </c>
      <c r="C91" s="1" t="s">
        <v>61</v>
      </c>
      <c r="D91" s="1" t="s">
        <v>62</v>
      </c>
      <c r="F91" s="1">
        <v>1.27E8</v>
      </c>
      <c r="G91" s="1">
        <v>1.44E8</v>
      </c>
      <c r="I91" s="1">
        <v>3.67E8</v>
      </c>
      <c r="J91" s="1">
        <v>1.76E8</v>
      </c>
      <c r="K91" s="1">
        <v>1.76E8</v>
      </c>
      <c r="L91" s="1">
        <v>-7.1E7</v>
      </c>
      <c r="M91" s="1">
        <v>-1.7E7</v>
      </c>
      <c r="N91" s="1">
        <v>8.17E8</v>
      </c>
      <c r="O91" s="1">
        <v>6.41E8</v>
      </c>
      <c r="P91" s="1">
        <v>4.5E8</v>
      </c>
      <c r="Q91" s="1">
        <v>-4.9E7</v>
      </c>
      <c r="R91" s="1">
        <v>1.44E8</v>
      </c>
      <c r="S91" s="1">
        <v>1.44E8</v>
      </c>
      <c r="W91" s="4" t="str">
        <f>Raw_Data!C90&amp;"|"&amp;Raw_Data!D90&amp;"|"&amp;TEXT(Raw_Data!B90,"yyyy-mm-dd")</f>
        <v>Alliant Energy|LNT|2021-09-30</v>
      </c>
    </row>
    <row r="92">
      <c r="A92" s="1">
        <v>90.0</v>
      </c>
      <c r="B92" s="3">
        <v>44286.0</v>
      </c>
      <c r="C92" s="1" t="s">
        <v>61</v>
      </c>
      <c r="D92" s="1" t="s">
        <v>62</v>
      </c>
      <c r="F92" s="1">
        <v>1.43E8</v>
      </c>
      <c r="G92" s="1">
        <v>1.71E8</v>
      </c>
      <c r="I92" s="1">
        <v>3.88E8</v>
      </c>
      <c r="J92" s="1">
        <v>1.98E8</v>
      </c>
      <c r="K92" s="1">
        <v>1.98E8</v>
      </c>
      <c r="L92" s="1">
        <v>-7.2E7</v>
      </c>
      <c r="M92" s="1">
        <v>-2.8E7</v>
      </c>
      <c r="N92" s="1">
        <v>9.01E8</v>
      </c>
      <c r="O92" s="1">
        <v>7.03E8</v>
      </c>
      <c r="P92" s="1">
        <v>5.13E8</v>
      </c>
      <c r="Q92" s="1">
        <v>-5.5E7</v>
      </c>
      <c r="R92" s="1">
        <v>1.71E8</v>
      </c>
      <c r="S92" s="1">
        <v>1.71E8</v>
      </c>
      <c r="W92" s="4" t="str">
        <f>Raw_Data!C91&amp;"|"&amp;Raw_Data!D91&amp;"|"&amp;TEXT(Raw_Data!B91,"yyyy-mm-dd")</f>
        <v>Alliant Energy|LNT|2021-06-30</v>
      </c>
    </row>
    <row r="93">
      <c r="A93" s="1">
        <v>91.0</v>
      </c>
      <c r="B93" s="3">
        <v>44196.0</v>
      </c>
      <c r="C93" s="1" t="s">
        <v>61</v>
      </c>
      <c r="D93" s="1" t="s">
        <v>62</v>
      </c>
      <c r="F93" s="1">
        <v>5.4E7</v>
      </c>
      <c r="G93" s="1">
        <v>6.4E7</v>
      </c>
      <c r="H93" s="1">
        <v>2.4E7</v>
      </c>
      <c r="I93" s="1">
        <v>2.99E8</v>
      </c>
      <c r="J93" s="1">
        <v>8.8E7</v>
      </c>
      <c r="K93" s="1">
        <v>8.8E7</v>
      </c>
      <c r="L93" s="1">
        <v>-7.0E7</v>
      </c>
      <c r="M93" s="1">
        <v>-1.0E7</v>
      </c>
      <c r="N93" s="1">
        <v>8.17E8</v>
      </c>
      <c r="O93" s="1">
        <v>7.29E8</v>
      </c>
      <c r="P93" s="1">
        <v>5.18E8</v>
      </c>
      <c r="Q93" s="1">
        <v>-3.4E7</v>
      </c>
      <c r="R93" s="1">
        <v>6.4E7</v>
      </c>
      <c r="S93" s="1">
        <v>6.4E7</v>
      </c>
      <c r="W93" s="4" t="str">
        <f>Raw_Data!C92&amp;"|"&amp;Raw_Data!D92&amp;"|"&amp;TEXT(Raw_Data!B92,"yyyy-mm-dd")</f>
        <v>Alliant Energy|LNT|2021-03-31</v>
      </c>
    </row>
    <row r="94">
      <c r="A94" s="1">
        <v>92.0</v>
      </c>
      <c r="B94" s="3">
        <v>44469.0</v>
      </c>
      <c r="C94" s="1" t="s">
        <v>63</v>
      </c>
      <c r="D94" s="1" t="s">
        <v>64</v>
      </c>
      <c r="F94" s="1">
        <v>2.26E8</v>
      </c>
      <c r="G94" s="1">
        <v>5.38E8</v>
      </c>
      <c r="H94" s="1">
        <v>1.93E9</v>
      </c>
      <c r="I94" s="1">
        <v>2.357E9</v>
      </c>
      <c r="J94" s="1">
        <v>3.18E8</v>
      </c>
      <c r="K94" s="1">
        <v>3.18E8</v>
      </c>
      <c r="L94" s="1">
        <v>-6.9E7</v>
      </c>
      <c r="M94" s="1">
        <v>2.0E7</v>
      </c>
      <c r="N94" s="1">
        <v>1.248E10</v>
      </c>
      <c r="O94" s="1">
        <v>1.2162E10</v>
      </c>
      <c r="P94" s="1">
        <v>1.0123E10</v>
      </c>
      <c r="Q94" s="1">
        <v>-9.2E7</v>
      </c>
      <c r="R94" s="1">
        <v>2.06E8</v>
      </c>
      <c r="S94" s="1">
        <v>5.08E8</v>
      </c>
      <c r="W94" s="4" t="str">
        <f>Raw_Data!C93&amp;"|"&amp;Raw_Data!D93&amp;"|"&amp;TEXT(Raw_Data!B93,"yyyy-mm-dd")</f>
        <v>Alliant Energy|LNT|2020-12-31</v>
      </c>
    </row>
    <row r="95">
      <c r="A95" s="1">
        <v>93.0</v>
      </c>
      <c r="B95" s="3">
        <v>44377.0</v>
      </c>
      <c r="C95" s="1" t="s">
        <v>63</v>
      </c>
      <c r="D95" s="1" t="s">
        <v>64</v>
      </c>
      <c r="F95" s="1">
        <v>1.797E9</v>
      </c>
      <c r="G95" s="1">
        <v>1.625E9</v>
      </c>
      <c r="H95" s="1">
        <v>1.549E9</v>
      </c>
      <c r="I95" s="1">
        <v>3.642E9</v>
      </c>
      <c r="J95" s="1">
        <v>1.988E9</v>
      </c>
      <c r="K95" s="1">
        <v>1.988E9</v>
      </c>
      <c r="L95" s="1">
        <v>-9.1E7</v>
      </c>
      <c r="M95" s="1">
        <v>3.62E8</v>
      </c>
      <c r="N95" s="1">
        <v>1.2646E10</v>
      </c>
      <c r="O95" s="1">
        <v>1.0658E10</v>
      </c>
      <c r="P95" s="1">
        <v>9.004E9</v>
      </c>
      <c r="Q95" s="1">
        <v>-1.91E8</v>
      </c>
      <c r="R95" s="1">
        <v>1.435E9</v>
      </c>
      <c r="S95" s="1">
        <v>1.595E9</v>
      </c>
      <c r="W95" s="4" t="str">
        <f>Raw_Data!C94&amp;"|"&amp;Raw_Data!D94&amp;"|"&amp;TEXT(Raw_Data!B94,"yyyy-mm-dd")</f>
        <v>Allstate Corp|ALL|2021-09-30</v>
      </c>
    </row>
    <row r="96">
      <c r="A96" s="1">
        <v>94.0</v>
      </c>
      <c r="B96" s="3">
        <v>44286.0</v>
      </c>
      <c r="C96" s="1" t="s">
        <v>63</v>
      </c>
      <c r="D96" s="1" t="s">
        <v>64</v>
      </c>
      <c r="F96" s="1">
        <v>3.032E9</v>
      </c>
      <c r="G96" s="1">
        <v>-1.381E9</v>
      </c>
      <c r="H96" s="1">
        <v>1.399E9</v>
      </c>
      <c r="I96" s="1">
        <v>4.643E9</v>
      </c>
      <c r="J96" s="1">
        <v>3.191E9</v>
      </c>
      <c r="K96" s="1">
        <v>3.191E9</v>
      </c>
      <c r="L96" s="1">
        <v>-8.6E7</v>
      </c>
      <c r="M96" s="1">
        <v>6.26E8</v>
      </c>
      <c r="N96" s="1">
        <v>1.2451E10</v>
      </c>
      <c r="O96" s="1">
        <v>9.26E9</v>
      </c>
      <c r="P96" s="1">
        <v>7.808E9</v>
      </c>
      <c r="Q96" s="1">
        <v>-1.59E8</v>
      </c>
      <c r="R96" s="1">
        <v>2.406E9</v>
      </c>
      <c r="S96" s="1">
        <v>-1.408E9</v>
      </c>
      <c r="W96" s="4" t="str">
        <f>Raw_Data!C95&amp;"|"&amp;Raw_Data!D95&amp;"|"&amp;TEXT(Raw_Data!B95,"yyyy-mm-dd")</f>
        <v>Allstate Corp|ALL|2021-06-30</v>
      </c>
    </row>
    <row r="97">
      <c r="A97" s="1">
        <v>95.0</v>
      </c>
      <c r="B97" s="3">
        <v>44196.0</v>
      </c>
      <c r="C97" s="1" t="s">
        <v>63</v>
      </c>
      <c r="D97" s="1" t="s">
        <v>64</v>
      </c>
      <c r="F97" s="1">
        <v>3.31E9</v>
      </c>
      <c r="G97" s="1">
        <v>2.624E9</v>
      </c>
      <c r="H97" s="1">
        <v>1.131E9</v>
      </c>
      <c r="I97" s="1">
        <v>4.59E9</v>
      </c>
      <c r="J97" s="1">
        <v>3.429E9</v>
      </c>
      <c r="K97" s="1">
        <v>3.429E9</v>
      </c>
      <c r="L97" s="1">
        <v>-8.0E7</v>
      </c>
      <c r="M97" s="1">
        <v>6.86E8</v>
      </c>
      <c r="N97" s="1">
        <v>1.2018E10</v>
      </c>
      <c r="O97" s="1">
        <v>8.589E9</v>
      </c>
      <c r="P97" s="1">
        <v>7.428E9</v>
      </c>
      <c r="Q97" s="1">
        <v>-1.19E8</v>
      </c>
      <c r="R97" s="1">
        <v>2.624E9</v>
      </c>
      <c r="S97" s="1">
        <v>2.598E9</v>
      </c>
      <c r="W97" s="4" t="str">
        <f>Raw_Data!C96&amp;"|"&amp;Raw_Data!D96&amp;"|"&amp;TEXT(Raw_Data!B96,"yyyy-mm-dd")</f>
        <v>Allstate Corp|ALL|2021-03-31</v>
      </c>
    </row>
    <row r="98">
      <c r="A98" s="1">
        <v>96.0</v>
      </c>
      <c r="B98" s="3">
        <v>44377.0</v>
      </c>
      <c r="C98" s="1" t="s">
        <v>65</v>
      </c>
      <c r="D98" s="1" t="s">
        <v>66</v>
      </c>
      <c r="E98" s="1">
        <v>7.675E9</v>
      </c>
      <c r="F98" s="1">
        <v>2.1985E10</v>
      </c>
      <c r="G98" s="1">
        <v>1.8525E10</v>
      </c>
      <c r="H98" s="1">
        <v>8.617E9</v>
      </c>
      <c r="I98" s="1">
        <v>3.5653E10</v>
      </c>
      <c r="J98" s="1">
        <v>1.9361E10</v>
      </c>
      <c r="K98" s="1">
        <v>1.9361E10</v>
      </c>
      <c r="L98" s="1">
        <v>-7.6E7</v>
      </c>
      <c r="M98" s="1">
        <v>3.46E9</v>
      </c>
      <c r="N98" s="1">
        <v>6.188E10</v>
      </c>
      <c r="O98" s="1">
        <v>4.2519E10</v>
      </c>
      <c r="P98" s="1">
        <v>2.6227E10</v>
      </c>
      <c r="Q98" s="1">
        <v>2.624E9</v>
      </c>
      <c r="R98" s="1">
        <v>1.8525E10</v>
      </c>
      <c r="S98" s="1">
        <v>1.8525E10</v>
      </c>
      <c r="W98" s="4" t="str">
        <f>Raw_Data!C97&amp;"|"&amp;Raw_Data!D97&amp;"|"&amp;TEXT(Raw_Data!B97,"yyyy-mm-dd")</f>
        <v>Allstate Corp|ALL|2020-12-31</v>
      </c>
    </row>
    <row r="99">
      <c r="A99" s="1">
        <v>97.0</v>
      </c>
      <c r="B99" s="3">
        <v>44286.0</v>
      </c>
      <c r="C99" s="1" t="s">
        <v>65</v>
      </c>
      <c r="D99" s="1" t="s">
        <v>66</v>
      </c>
      <c r="E99" s="1">
        <v>7.485E9</v>
      </c>
      <c r="F99" s="1">
        <v>2.1283E10</v>
      </c>
      <c r="G99" s="1">
        <v>1.793E10</v>
      </c>
      <c r="H99" s="1">
        <v>7.289E9</v>
      </c>
      <c r="I99" s="1">
        <v>3.1211E10</v>
      </c>
      <c r="J99" s="1">
        <v>1.6437E10</v>
      </c>
      <c r="K99" s="1">
        <v>1.6437E10</v>
      </c>
      <c r="L99" s="1">
        <v>-7.6E7</v>
      </c>
      <c r="M99" s="1">
        <v>3.353E9</v>
      </c>
      <c r="N99" s="1">
        <v>5.5314E10</v>
      </c>
      <c r="O99" s="1">
        <v>3.8877E10</v>
      </c>
      <c r="P99" s="1">
        <v>2.4103E10</v>
      </c>
      <c r="Q99" s="1">
        <v>4.846E9</v>
      </c>
      <c r="R99" s="1">
        <v>1.793E10</v>
      </c>
      <c r="S99" s="1">
        <v>1.793E10</v>
      </c>
      <c r="W99" s="4" t="str">
        <f>Raw_Data!C98&amp;"|"&amp;Raw_Data!D98&amp;"|"&amp;TEXT(Raw_Data!B98,"yyyy-mm-dd")</f>
        <v>Alphabet (Class A)|GOOGL|2021-06-30</v>
      </c>
    </row>
    <row r="100">
      <c r="A100" s="1">
        <v>98.0</v>
      </c>
      <c r="B100" s="3">
        <v>44196.0</v>
      </c>
      <c r="C100" s="1" t="s">
        <v>65</v>
      </c>
      <c r="D100" s="1" t="s">
        <v>66</v>
      </c>
      <c r="E100" s="1">
        <v>7.022E9</v>
      </c>
      <c r="F100" s="1">
        <v>1.8689E10</v>
      </c>
      <c r="G100" s="1">
        <v>1.5227E10</v>
      </c>
      <c r="H100" s="1">
        <v>8.145E9</v>
      </c>
      <c r="I100" s="1">
        <v>3.0818E10</v>
      </c>
      <c r="J100" s="1">
        <v>1.5651E10</v>
      </c>
      <c r="K100" s="1">
        <v>1.5651E10</v>
      </c>
      <c r="L100" s="1">
        <v>-5.3E7</v>
      </c>
      <c r="M100" s="1">
        <v>3.462E9</v>
      </c>
      <c r="N100" s="1">
        <v>5.6898E10</v>
      </c>
      <c r="O100" s="1">
        <v>4.1247E10</v>
      </c>
      <c r="P100" s="1">
        <v>2.608E10</v>
      </c>
      <c r="Q100" s="1">
        <v>3.038E9</v>
      </c>
      <c r="R100" s="1">
        <v>1.5227E10</v>
      </c>
      <c r="S100" s="1">
        <v>1.5227E10</v>
      </c>
      <c r="W100" s="4" t="str">
        <f>Raw_Data!C99&amp;"|"&amp;Raw_Data!D99&amp;"|"&amp;TEXT(Raw_Data!B99,"yyyy-mm-dd")</f>
        <v>Alphabet (Class A)|GOOGL|2021-03-31</v>
      </c>
    </row>
    <row r="101">
      <c r="A101" s="1">
        <v>99.0</v>
      </c>
      <c r="B101" s="3">
        <v>44104.0</v>
      </c>
      <c r="C101" s="1" t="s">
        <v>65</v>
      </c>
      <c r="D101" s="1" t="s">
        <v>66</v>
      </c>
      <c r="E101" s="1">
        <v>6.856E9</v>
      </c>
      <c r="F101" s="1">
        <v>1.3359E10</v>
      </c>
      <c r="G101" s="1">
        <v>1.1247E10</v>
      </c>
      <c r="H101" s="1">
        <v>6.987E9</v>
      </c>
      <c r="I101" s="1">
        <v>2.5056E10</v>
      </c>
      <c r="J101" s="1">
        <v>1.1213E10</v>
      </c>
      <c r="K101" s="1">
        <v>1.1213E10</v>
      </c>
      <c r="L101" s="1">
        <v>-4.8E7</v>
      </c>
      <c r="M101" s="1">
        <v>2.112E9</v>
      </c>
      <c r="N101" s="1">
        <v>4.6173E10</v>
      </c>
      <c r="O101" s="1">
        <v>3.496E10</v>
      </c>
      <c r="P101" s="1">
        <v>2.1117E10</v>
      </c>
      <c r="Q101" s="1">
        <v>2.146E9</v>
      </c>
      <c r="R101" s="1">
        <v>1.1247E10</v>
      </c>
      <c r="S101" s="1">
        <v>1.1247E10</v>
      </c>
      <c r="W101" s="4" t="str">
        <f>Raw_Data!C100&amp;"|"&amp;Raw_Data!D100&amp;"|"&amp;TEXT(Raw_Data!B100,"yyyy-mm-dd")</f>
        <v>Alphabet (Class A)|GOOGL|2020-12-31</v>
      </c>
    </row>
    <row r="102">
      <c r="A102" s="1">
        <v>100.0</v>
      </c>
      <c r="B102" s="3">
        <v>44377.0</v>
      </c>
      <c r="C102" s="1" t="s">
        <v>67</v>
      </c>
      <c r="D102" s="1" t="s">
        <v>68</v>
      </c>
      <c r="E102" s="1">
        <v>7.675E9</v>
      </c>
      <c r="F102" s="1">
        <v>2.1985E10</v>
      </c>
      <c r="G102" s="1">
        <v>1.8525E10</v>
      </c>
      <c r="H102" s="1">
        <v>8.617E9</v>
      </c>
      <c r="I102" s="1">
        <v>3.5653E10</v>
      </c>
      <c r="J102" s="1">
        <v>1.9361E10</v>
      </c>
      <c r="K102" s="1">
        <v>1.9361E10</v>
      </c>
      <c r="L102" s="1">
        <v>-7.6E7</v>
      </c>
      <c r="M102" s="1">
        <v>3.46E9</v>
      </c>
      <c r="N102" s="1">
        <v>6.188E10</v>
      </c>
      <c r="O102" s="1">
        <v>4.2519E10</v>
      </c>
      <c r="P102" s="1">
        <v>2.6227E10</v>
      </c>
      <c r="Q102" s="1">
        <v>2.624E9</v>
      </c>
      <c r="R102" s="1">
        <v>1.8525E10</v>
      </c>
      <c r="S102" s="1">
        <v>1.8525E10</v>
      </c>
      <c r="W102" s="4" t="str">
        <f>Raw_Data!C101&amp;"|"&amp;Raw_Data!D101&amp;"|"&amp;TEXT(Raw_Data!B101,"yyyy-mm-dd")</f>
        <v>Alphabet (Class A)|GOOGL|2020-09-30</v>
      </c>
    </row>
    <row r="103">
      <c r="A103" s="1">
        <v>101.0</v>
      </c>
      <c r="B103" s="3">
        <v>44286.0</v>
      </c>
      <c r="C103" s="1" t="s">
        <v>67</v>
      </c>
      <c r="D103" s="1" t="s">
        <v>68</v>
      </c>
      <c r="E103" s="1">
        <v>7.485E9</v>
      </c>
      <c r="F103" s="1">
        <v>2.1283E10</v>
      </c>
      <c r="G103" s="1">
        <v>1.793E10</v>
      </c>
      <c r="H103" s="1">
        <v>7.289E9</v>
      </c>
      <c r="I103" s="1">
        <v>3.1211E10</v>
      </c>
      <c r="J103" s="1">
        <v>1.6437E10</v>
      </c>
      <c r="K103" s="1">
        <v>1.6437E10</v>
      </c>
      <c r="L103" s="1">
        <v>-7.6E7</v>
      </c>
      <c r="M103" s="1">
        <v>3.353E9</v>
      </c>
      <c r="N103" s="1">
        <v>5.5314E10</v>
      </c>
      <c r="O103" s="1">
        <v>3.8877E10</v>
      </c>
      <c r="P103" s="1">
        <v>2.4103E10</v>
      </c>
      <c r="Q103" s="1">
        <v>4.846E9</v>
      </c>
      <c r="R103" s="1">
        <v>1.793E10</v>
      </c>
      <c r="S103" s="1">
        <v>1.793E10</v>
      </c>
      <c r="W103" s="4" t="str">
        <f>Raw_Data!C102&amp;"|"&amp;Raw_Data!D102&amp;"|"&amp;TEXT(Raw_Data!B102,"yyyy-mm-dd")</f>
        <v>Alphabet (Class C)|GOOG|2021-06-30</v>
      </c>
    </row>
    <row r="104">
      <c r="A104" s="1">
        <v>102.0</v>
      </c>
      <c r="B104" s="3">
        <v>44196.0</v>
      </c>
      <c r="C104" s="1" t="s">
        <v>67</v>
      </c>
      <c r="D104" s="1" t="s">
        <v>68</v>
      </c>
      <c r="E104" s="1">
        <v>7.022E9</v>
      </c>
      <c r="F104" s="1">
        <v>1.8689E10</v>
      </c>
      <c r="G104" s="1">
        <v>1.5227E10</v>
      </c>
      <c r="H104" s="1">
        <v>8.145E9</v>
      </c>
      <c r="I104" s="1">
        <v>3.0818E10</v>
      </c>
      <c r="J104" s="1">
        <v>1.5651E10</v>
      </c>
      <c r="K104" s="1">
        <v>1.5651E10</v>
      </c>
      <c r="L104" s="1">
        <v>-5.3E7</v>
      </c>
      <c r="M104" s="1">
        <v>3.462E9</v>
      </c>
      <c r="N104" s="1">
        <v>5.6898E10</v>
      </c>
      <c r="O104" s="1">
        <v>4.1247E10</v>
      </c>
      <c r="P104" s="1">
        <v>2.608E10</v>
      </c>
      <c r="Q104" s="1">
        <v>3.038E9</v>
      </c>
      <c r="R104" s="1">
        <v>1.5227E10</v>
      </c>
      <c r="S104" s="1">
        <v>1.5227E10</v>
      </c>
      <c r="W104" s="4" t="str">
        <f>Raw_Data!C103&amp;"|"&amp;Raw_Data!D103&amp;"|"&amp;TEXT(Raw_Data!B103,"yyyy-mm-dd")</f>
        <v>Alphabet (Class C)|GOOG|2021-03-31</v>
      </c>
    </row>
    <row r="105">
      <c r="A105" s="1">
        <v>103.0</v>
      </c>
      <c r="B105" s="3">
        <v>44104.0</v>
      </c>
      <c r="C105" s="1" t="s">
        <v>67</v>
      </c>
      <c r="D105" s="1" t="s">
        <v>68</v>
      </c>
      <c r="E105" s="1">
        <v>6.856E9</v>
      </c>
      <c r="F105" s="1">
        <v>1.3359E10</v>
      </c>
      <c r="G105" s="1">
        <v>1.1247E10</v>
      </c>
      <c r="H105" s="1">
        <v>6.987E9</v>
      </c>
      <c r="I105" s="1">
        <v>2.5056E10</v>
      </c>
      <c r="J105" s="1">
        <v>1.1213E10</v>
      </c>
      <c r="K105" s="1">
        <v>1.1213E10</v>
      </c>
      <c r="L105" s="1">
        <v>-4.8E7</v>
      </c>
      <c r="M105" s="1">
        <v>2.112E9</v>
      </c>
      <c r="N105" s="1">
        <v>4.6173E10</v>
      </c>
      <c r="O105" s="1">
        <v>3.496E10</v>
      </c>
      <c r="P105" s="1">
        <v>2.1117E10</v>
      </c>
      <c r="Q105" s="1">
        <v>2.146E9</v>
      </c>
      <c r="R105" s="1">
        <v>1.1247E10</v>
      </c>
      <c r="S105" s="1">
        <v>1.1247E10</v>
      </c>
      <c r="W105" s="4" t="str">
        <f>Raw_Data!C104&amp;"|"&amp;Raw_Data!D104&amp;"|"&amp;TEXT(Raw_Data!B104,"yyyy-mm-dd")</f>
        <v>Alphabet (Class C)|GOOG|2020-12-31</v>
      </c>
    </row>
    <row r="106">
      <c r="A106" s="1">
        <v>104.0</v>
      </c>
      <c r="B106" s="3">
        <v>44377.0</v>
      </c>
      <c r="C106" s="1" t="s">
        <v>69</v>
      </c>
      <c r="D106" s="1" t="s">
        <v>70</v>
      </c>
      <c r="F106" s="1">
        <v>2.909E9</v>
      </c>
      <c r="G106" s="1">
        <v>2.149E9</v>
      </c>
      <c r="H106" s="1">
        <v>4.92E8</v>
      </c>
      <c r="I106" s="1">
        <v>3.732E9</v>
      </c>
      <c r="J106" s="1">
        <v>3.24E9</v>
      </c>
      <c r="K106" s="1">
        <v>3.24E9</v>
      </c>
      <c r="L106" s="1">
        <v>-2.97E8</v>
      </c>
      <c r="M106" s="1">
        <v>7.59E8</v>
      </c>
      <c r="N106" s="1">
        <v>5.614E9</v>
      </c>
      <c r="O106" s="1">
        <v>2.374E9</v>
      </c>
      <c r="P106" s="1">
        <v>1.882E9</v>
      </c>
      <c r="Q106" s="1">
        <v>-3.31E8</v>
      </c>
      <c r="R106" s="1">
        <v>2.15E9</v>
      </c>
      <c r="S106" s="1">
        <v>2.146E9</v>
      </c>
      <c r="W106" s="4" t="str">
        <f>Raw_Data!C105&amp;"|"&amp;Raw_Data!D105&amp;"|"&amp;TEXT(Raw_Data!B105,"yyyy-mm-dd")</f>
        <v>Alphabet (Class C)|GOOG|2020-09-30</v>
      </c>
    </row>
    <row r="107">
      <c r="A107" s="1">
        <v>105.0</v>
      </c>
      <c r="B107" s="3">
        <v>44286.0</v>
      </c>
      <c r="C107" s="1" t="s">
        <v>69</v>
      </c>
      <c r="D107" s="1" t="s">
        <v>70</v>
      </c>
      <c r="F107" s="1">
        <v>1.937E9</v>
      </c>
      <c r="G107" s="1">
        <v>1.424E9</v>
      </c>
      <c r="H107" s="1">
        <v>4.67E8</v>
      </c>
      <c r="I107" s="1">
        <v>3.273E9</v>
      </c>
      <c r="J107" s="1">
        <v>2.806E9</v>
      </c>
      <c r="K107" s="1">
        <v>2.806E9</v>
      </c>
      <c r="L107" s="1">
        <v>-3.13E8</v>
      </c>
      <c r="M107" s="1">
        <v>5.16E8</v>
      </c>
      <c r="N107" s="1">
        <v>4.88E9</v>
      </c>
      <c r="O107" s="1">
        <v>2.074E9</v>
      </c>
      <c r="P107" s="1">
        <v>1.607E9</v>
      </c>
      <c r="Q107" s="1">
        <v>-8.69E8</v>
      </c>
      <c r="R107" s="1">
        <v>1.421E9</v>
      </c>
      <c r="S107" s="1">
        <v>1.421E9</v>
      </c>
      <c r="W107" s="4" t="str">
        <f>Raw_Data!C106&amp;"|"&amp;Raw_Data!D106&amp;"|"&amp;TEXT(Raw_Data!B106,"yyyy-mm-dd")</f>
        <v>Altria Group|MO|2021-06-30</v>
      </c>
    </row>
    <row r="108">
      <c r="A108" s="1">
        <v>106.0</v>
      </c>
      <c r="B108" s="3">
        <v>44196.0</v>
      </c>
      <c r="C108" s="1" t="s">
        <v>69</v>
      </c>
      <c r="D108" s="1" t="s">
        <v>70</v>
      </c>
      <c r="F108" s="1">
        <v>2.541E9</v>
      </c>
      <c r="G108" s="1">
        <v>1.924E9</v>
      </c>
      <c r="H108" s="1">
        <v>4.34E8</v>
      </c>
      <c r="I108" s="1">
        <v>3.166E9</v>
      </c>
      <c r="J108" s="1">
        <v>2.732E9</v>
      </c>
      <c r="K108" s="1">
        <v>2.732E9</v>
      </c>
      <c r="L108" s="1">
        <v>-3.36E8</v>
      </c>
      <c r="M108" s="1">
        <v>6.19E8</v>
      </c>
      <c r="N108" s="1">
        <v>5.055E9</v>
      </c>
      <c r="O108" s="1">
        <v>2.323E9</v>
      </c>
      <c r="P108" s="1">
        <v>1.889E9</v>
      </c>
      <c r="Q108" s="1">
        <v>-1.91E8</v>
      </c>
      <c r="R108" s="1">
        <v>1.922E9</v>
      </c>
      <c r="S108" s="1">
        <v>1.922E9</v>
      </c>
      <c r="W108" s="4" t="str">
        <f>Raw_Data!C107&amp;"|"&amp;Raw_Data!D107&amp;"|"&amp;TEXT(Raw_Data!B107,"yyyy-mm-dd")</f>
        <v>Altria Group|MO|2021-03-31</v>
      </c>
    </row>
    <row r="109">
      <c r="A109" s="1">
        <v>107.0</v>
      </c>
      <c r="B109" s="3">
        <v>44104.0</v>
      </c>
      <c r="C109" s="1" t="s">
        <v>69</v>
      </c>
      <c r="D109" s="1" t="s">
        <v>70</v>
      </c>
      <c r="F109" s="1">
        <v>-3.24E8</v>
      </c>
      <c r="G109" s="1">
        <v>-9.52E8</v>
      </c>
      <c r="H109" s="1">
        <v>5.2E8</v>
      </c>
      <c r="I109" s="1">
        <v>3.718E9</v>
      </c>
      <c r="J109" s="1">
        <v>3.198E9</v>
      </c>
      <c r="K109" s="1">
        <v>3.198E9</v>
      </c>
      <c r="L109" s="1">
        <v>-3.18E8</v>
      </c>
      <c r="M109" s="1">
        <v>6.32E8</v>
      </c>
      <c r="N109" s="1">
        <v>5.678E9</v>
      </c>
      <c r="O109" s="1">
        <v>2.48E9</v>
      </c>
      <c r="P109" s="1">
        <v>1.96E9</v>
      </c>
      <c r="Q109" s="1">
        <v>-3.522E9</v>
      </c>
      <c r="R109" s="1">
        <v>-9.56E8</v>
      </c>
      <c r="S109" s="1">
        <v>-9.53E8</v>
      </c>
      <c r="W109" s="4" t="str">
        <f>Raw_Data!C108&amp;"|"&amp;Raw_Data!D108&amp;"|"&amp;TEXT(Raw_Data!B108,"yyyy-mm-dd")</f>
        <v>Altria Group|MO|2020-12-31</v>
      </c>
    </row>
    <row r="110">
      <c r="A110" s="1">
        <v>108.0</v>
      </c>
      <c r="B110" s="3">
        <v>44377.0</v>
      </c>
      <c r="C110" s="1" t="s">
        <v>71</v>
      </c>
      <c r="D110" s="1" t="s">
        <v>72</v>
      </c>
      <c r="E110" s="1">
        <v>1.1794E10</v>
      </c>
      <c r="F110" s="1">
        <v>8.646E9</v>
      </c>
      <c r="G110" s="1">
        <v>7.778E9</v>
      </c>
      <c r="H110" s="1">
        <v>2.9397E10</v>
      </c>
      <c r="I110" s="1">
        <v>4.8904E10</v>
      </c>
      <c r="J110" s="1">
        <v>7.702E9</v>
      </c>
      <c r="K110" s="1">
        <v>7.702E9</v>
      </c>
      <c r="L110" s="1">
        <v>-4.35E8</v>
      </c>
      <c r="M110" s="1">
        <v>8.68E8</v>
      </c>
      <c r="N110" s="1">
        <v>1.1308E11</v>
      </c>
      <c r="O110" s="1">
        <v>1.05378E11</v>
      </c>
      <c r="P110" s="1">
        <v>6.4176E10</v>
      </c>
      <c r="Q110" s="1">
        <v>9.44E8</v>
      </c>
      <c r="R110" s="1">
        <v>7.778E9</v>
      </c>
      <c r="S110" s="1">
        <v>7.778E9</v>
      </c>
      <c r="W110" s="4" t="str">
        <f>Raw_Data!C109&amp;"|"&amp;Raw_Data!D109&amp;"|"&amp;TEXT(Raw_Data!B109,"yyyy-mm-dd")</f>
        <v>Altria Group|MO|2020-09-30</v>
      </c>
    </row>
    <row r="111">
      <c r="A111" s="1">
        <v>109.0</v>
      </c>
      <c r="B111" s="3">
        <v>44286.0</v>
      </c>
      <c r="C111" s="1" t="s">
        <v>71</v>
      </c>
      <c r="D111" s="1" t="s">
        <v>72</v>
      </c>
      <c r="E111" s="1">
        <v>1.0584E10</v>
      </c>
      <c r="F111" s="1">
        <v>1.0263E10</v>
      </c>
      <c r="G111" s="1">
        <v>8.107E9</v>
      </c>
      <c r="H111" s="1">
        <v>2.6628E10</v>
      </c>
      <c r="I111" s="1">
        <v>4.6115E10</v>
      </c>
      <c r="J111" s="1">
        <v>8.865E9</v>
      </c>
      <c r="K111" s="1">
        <v>8.865E9</v>
      </c>
      <c r="L111" s="1">
        <v>-3.99E8</v>
      </c>
      <c r="M111" s="1">
        <v>2.156E9</v>
      </c>
      <c r="N111" s="1">
        <v>1.08518E11</v>
      </c>
      <c r="O111" s="1">
        <v>9.9653E10</v>
      </c>
      <c r="P111" s="1">
        <v>6.2403E10</v>
      </c>
      <c r="Q111" s="1">
        <v>1.398E9</v>
      </c>
      <c r="R111" s="1">
        <v>8.107E9</v>
      </c>
      <c r="S111" s="1">
        <v>8.107E9</v>
      </c>
      <c r="W111" s="4" t="str">
        <f>Raw_Data!C110&amp;"|"&amp;Raw_Data!D110&amp;"|"&amp;TEXT(Raw_Data!B110,"yyyy-mm-dd")</f>
        <v>Amazon|AMZN|2021-06-30</v>
      </c>
    </row>
    <row r="112">
      <c r="A112" s="1">
        <v>110.0</v>
      </c>
      <c r="B112" s="3">
        <v>44196.0</v>
      </c>
      <c r="C112" s="1" t="s">
        <v>71</v>
      </c>
      <c r="D112" s="1" t="s">
        <v>72</v>
      </c>
      <c r="E112" s="1">
        <v>1.6466E10</v>
      </c>
      <c r="F112" s="1">
        <v>7.787E9</v>
      </c>
      <c r="G112" s="1">
        <v>7.222E9</v>
      </c>
      <c r="H112" s="1">
        <v>2.3428E10</v>
      </c>
      <c r="I112" s="1">
        <v>4.6271E10</v>
      </c>
      <c r="J112" s="1">
        <v>6.873E9</v>
      </c>
      <c r="K112" s="1">
        <v>6.873E9</v>
      </c>
      <c r="L112" s="1">
        <v>-4.14E8</v>
      </c>
      <c r="M112" s="1">
        <v>5.65E8</v>
      </c>
      <c r="N112" s="1">
        <v>1.25555E11</v>
      </c>
      <c r="O112" s="1">
        <v>1.18682E11</v>
      </c>
      <c r="P112" s="1">
        <v>7.9284E10</v>
      </c>
      <c r="Q112" s="1">
        <v>9.14E8</v>
      </c>
      <c r="R112" s="1">
        <v>7.222E9</v>
      </c>
      <c r="S112" s="1">
        <v>7.222E9</v>
      </c>
      <c r="W112" s="4" t="str">
        <f>Raw_Data!C111&amp;"|"&amp;Raw_Data!D111&amp;"|"&amp;TEXT(Raw_Data!B111,"yyyy-mm-dd")</f>
        <v>Amazon|AMZN|2021-03-31</v>
      </c>
    </row>
    <row r="113">
      <c r="A113" s="1">
        <v>111.0</v>
      </c>
      <c r="B113" s="3">
        <v>44104.0</v>
      </c>
      <c r="C113" s="1" t="s">
        <v>71</v>
      </c>
      <c r="D113" s="1" t="s">
        <v>72</v>
      </c>
      <c r="E113" s="1">
        <v>9.334E9</v>
      </c>
      <c r="F113" s="1">
        <v>6.9E9</v>
      </c>
      <c r="G113" s="1">
        <v>6.331E9</v>
      </c>
      <c r="H113" s="1">
        <v>2.3449E10</v>
      </c>
      <c r="I113" s="1">
        <v>3.9039E10</v>
      </c>
      <c r="J113" s="1">
        <v>6.194E9</v>
      </c>
      <c r="K113" s="1">
        <v>6.194E9</v>
      </c>
      <c r="L113" s="1">
        <v>-4.28E8</v>
      </c>
      <c r="M113" s="1">
        <v>5.69E8</v>
      </c>
      <c r="N113" s="1">
        <v>9.6145E10</v>
      </c>
      <c r="O113" s="1">
        <v>8.9951E10</v>
      </c>
      <c r="P113" s="1">
        <v>5.7106E10</v>
      </c>
      <c r="Q113" s="1">
        <v>7.06E8</v>
      </c>
      <c r="R113" s="1">
        <v>6.331E9</v>
      </c>
      <c r="S113" s="1">
        <v>6.331E9</v>
      </c>
      <c r="W113" s="4" t="str">
        <f>Raw_Data!C112&amp;"|"&amp;Raw_Data!D112&amp;"|"&amp;TEXT(Raw_Data!B112,"yyyy-mm-dd")</f>
        <v>Amazon|AMZN|2020-12-31</v>
      </c>
    </row>
    <row r="114">
      <c r="A114" s="1">
        <v>112.0</v>
      </c>
      <c r="B114" s="3">
        <v>44377.0</v>
      </c>
      <c r="C114" s="1" t="s">
        <v>73</v>
      </c>
      <c r="D114" s="1" t="s">
        <v>74</v>
      </c>
      <c r="E114" s="1">
        <v>2.6E7</v>
      </c>
      <c r="F114" s="1">
        <v>3.33E8</v>
      </c>
      <c r="G114" s="1">
        <v>2.55E8</v>
      </c>
      <c r="H114" s="1">
        <v>3.27E8</v>
      </c>
      <c r="I114" s="1">
        <v>7.45E8</v>
      </c>
      <c r="J114" s="1">
        <v>4.56E8</v>
      </c>
      <c r="K114" s="1">
        <v>4.56E8</v>
      </c>
      <c r="L114" s="1">
        <v>-4.0E7</v>
      </c>
      <c r="M114" s="1">
        <v>7.4E7</v>
      </c>
      <c r="N114" s="1">
        <v>3.454E9</v>
      </c>
      <c r="O114" s="1">
        <v>2.998E9</v>
      </c>
      <c r="P114" s="1">
        <v>2.709E9</v>
      </c>
      <c r="Q114" s="1">
        <v>-1.23E8</v>
      </c>
      <c r="R114" s="1">
        <v>2.59E8</v>
      </c>
      <c r="S114" s="1">
        <v>2.54E8</v>
      </c>
      <c r="W114" s="4" t="str">
        <f>Raw_Data!C113&amp;"|"&amp;Raw_Data!D113&amp;"|"&amp;TEXT(Raw_Data!B113,"yyyy-mm-dd")</f>
        <v>Amazon|AMZN|2020-09-30</v>
      </c>
    </row>
    <row r="115">
      <c r="A115" s="1">
        <v>113.0</v>
      </c>
      <c r="B115" s="3">
        <v>44286.0</v>
      </c>
      <c r="C115" s="1" t="s">
        <v>73</v>
      </c>
      <c r="D115" s="1" t="s">
        <v>74</v>
      </c>
      <c r="E115" s="1">
        <v>2.5E7</v>
      </c>
      <c r="F115" s="1">
        <v>3.41E8</v>
      </c>
      <c r="G115" s="1">
        <v>2.67E8</v>
      </c>
      <c r="H115" s="1">
        <v>3.21E8</v>
      </c>
      <c r="I115" s="1">
        <v>6.82E8</v>
      </c>
      <c r="J115" s="1">
        <v>3.5E8</v>
      </c>
      <c r="K115" s="1">
        <v>3.5E8</v>
      </c>
      <c r="L115" s="1">
        <v>-3.6E7</v>
      </c>
      <c r="M115" s="1">
        <v>7.1E7</v>
      </c>
      <c r="N115" s="1">
        <v>3.207E9</v>
      </c>
      <c r="O115" s="1">
        <v>2.857E9</v>
      </c>
      <c r="P115" s="1">
        <v>2.525E9</v>
      </c>
      <c r="Q115" s="1">
        <v>-9000000.0</v>
      </c>
      <c r="R115" s="1">
        <v>2.7E8</v>
      </c>
      <c r="S115" s="1">
        <v>2.67E8</v>
      </c>
      <c r="W115" s="4" t="str">
        <f>Raw_Data!C114&amp;"|"&amp;Raw_Data!D114&amp;"|"&amp;TEXT(Raw_Data!B114,"yyyy-mm-dd")</f>
        <v>Amcor|AMCR|2021-06-30</v>
      </c>
    </row>
    <row r="116">
      <c r="A116" s="1">
        <v>114.0</v>
      </c>
      <c r="B116" s="3">
        <v>44196.0</v>
      </c>
      <c r="C116" s="1" t="s">
        <v>73</v>
      </c>
      <c r="D116" s="1" t="s">
        <v>74</v>
      </c>
      <c r="E116" s="1">
        <v>2.3E7</v>
      </c>
      <c r="F116" s="1">
        <v>2.77E8</v>
      </c>
      <c r="G116" s="1">
        <v>2.19E8</v>
      </c>
      <c r="H116" s="1">
        <v>3.05E8</v>
      </c>
      <c r="I116" s="1">
        <v>6.51E8</v>
      </c>
      <c r="J116" s="1">
        <v>3.27E8</v>
      </c>
      <c r="K116" s="1">
        <v>3.27E8</v>
      </c>
      <c r="L116" s="1">
        <v>-3.7E7</v>
      </c>
      <c r="M116" s="1">
        <v>5.5E7</v>
      </c>
      <c r="N116" s="1">
        <v>3.103E9</v>
      </c>
      <c r="O116" s="1">
        <v>2.776E9</v>
      </c>
      <c r="P116" s="1">
        <v>2.452E9</v>
      </c>
      <c r="Q116" s="1">
        <v>-5.0E7</v>
      </c>
      <c r="R116" s="1">
        <v>2.22E8</v>
      </c>
      <c r="S116" s="1">
        <v>2.19E8</v>
      </c>
      <c r="W116" s="4" t="str">
        <f>Raw_Data!C115&amp;"|"&amp;Raw_Data!D115&amp;"|"&amp;TEXT(Raw_Data!B115,"yyyy-mm-dd")</f>
        <v>Amcor|AMCR|2021-03-31</v>
      </c>
    </row>
    <row r="117">
      <c r="A117" s="1">
        <v>115.0</v>
      </c>
      <c r="B117" s="3">
        <v>44104.0</v>
      </c>
      <c r="C117" s="1" t="s">
        <v>73</v>
      </c>
      <c r="D117" s="1" t="s">
        <v>74</v>
      </c>
      <c r="E117" s="1">
        <v>2.6E7</v>
      </c>
      <c r="F117" s="1">
        <v>2.61E8</v>
      </c>
      <c r="G117" s="1">
        <v>1.98E8</v>
      </c>
      <c r="H117" s="1">
        <v>3.26E8</v>
      </c>
      <c r="I117" s="1">
        <v>6.54E8</v>
      </c>
      <c r="J117" s="1">
        <v>3.05E8</v>
      </c>
      <c r="K117" s="1">
        <v>3.05E8</v>
      </c>
      <c r="L117" s="1">
        <v>-4.4E7</v>
      </c>
      <c r="M117" s="1">
        <v>6.1E7</v>
      </c>
      <c r="N117" s="1">
        <v>3.097E9</v>
      </c>
      <c r="O117" s="1">
        <v>2.792E9</v>
      </c>
      <c r="P117" s="1">
        <v>2.443E9</v>
      </c>
      <c r="Q117" s="1">
        <v>-4.4E7</v>
      </c>
      <c r="R117" s="1">
        <v>2.0E8</v>
      </c>
      <c r="S117" s="1">
        <v>1.98E8</v>
      </c>
      <c r="W117" s="4" t="str">
        <f>Raw_Data!C116&amp;"|"&amp;Raw_Data!D116&amp;"|"&amp;TEXT(Raw_Data!B116,"yyyy-mm-dd")</f>
        <v>Amcor|AMCR|2020-12-31</v>
      </c>
    </row>
    <row r="118">
      <c r="A118" s="1">
        <v>116.0</v>
      </c>
      <c r="B118" s="3">
        <v>44377.0</v>
      </c>
      <c r="C118" s="1" t="s">
        <v>75</v>
      </c>
      <c r="D118" s="1" t="s">
        <v>76</v>
      </c>
      <c r="F118" s="1">
        <v>2.39E8</v>
      </c>
      <c r="G118" s="1">
        <v>2.07E8</v>
      </c>
      <c r="H118" s="1">
        <v>-3.4E7</v>
      </c>
      <c r="I118" s="1">
        <v>6.93E8</v>
      </c>
      <c r="J118" s="1">
        <v>3.2E8</v>
      </c>
      <c r="K118" s="1">
        <v>3.2E8</v>
      </c>
      <c r="L118" s="1">
        <v>-9.6E7</v>
      </c>
      <c r="M118" s="1">
        <v>3.1E7</v>
      </c>
      <c r="N118" s="1">
        <v>1.41E9</v>
      </c>
      <c r="O118" s="1">
        <v>1.09E9</v>
      </c>
      <c r="P118" s="1">
        <v>7.17E8</v>
      </c>
      <c r="Q118" s="1">
        <v>-8.1E7</v>
      </c>
      <c r="R118" s="1">
        <v>2.08E8</v>
      </c>
      <c r="S118" s="1">
        <v>2.07E8</v>
      </c>
      <c r="W118" s="4" t="str">
        <f>Raw_Data!C117&amp;"|"&amp;Raw_Data!D117&amp;"|"&amp;TEXT(Raw_Data!B117,"yyyy-mm-dd")</f>
        <v>Amcor|AMCR|2020-09-30</v>
      </c>
    </row>
    <row r="119">
      <c r="A119" s="1">
        <v>117.0</v>
      </c>
      <c r="B119" s="3">
        <v>44286.0</v>
      </c>
      <c r="C119" s="1" t="s">
        <v>75</v>
      </c>
      <c r="D119" s="1" t="s">
        <v>76</v>
      </c>
      <c r="F119" s="1">
        <v>2.62E8</v>
      </c>
      <c r="G119" s="1">
        <v>2.33E8</v>
      </c>
      <c r="H119" s="1">
        <v>-3.4E7</v>
      </c>
      <c r="I119" s="1">
        <v>7.25E8</v>
      </c>
      <c r="J119" s="1">
        <v>3.5E8</v>
      </c>
      <c r="K119" s="1">
        <v>3.5E8</v>
      </c>
      <c r="L119" s="1">
        <v>-1.0E8</v>
      </c>
      <c r="M119" s="1">
        <v>2.7E7</v>
      </c>
      <c r="N119" s="1">
        <v>1.496E9</v>
      </c>
      <c r="O119" s="1">
        <v>1.146E9</v>
      </c>
      <c r="P119" s="1">
        <v>7.71E8</v>
      </c>
      <c r="Q119" s="1">
        <v>-8.8E7</v>
      </c>
      <c r="R119" s="1">
        <v>2.35E8</v>
      </c>
      <c r="S119" s="1">
        <v>2.33E8</v>
      </c>
      <c r="W119" s="4" t="str">
        <f>Raw_Data!C118&amp;"|"&amp;Raw_Data!D118&amp;"|"&amp;TEXT(Raw_Data!B118,"yyyy-mm-dd")</f>
        <v>Ameren Corp|AEE|2021-06-30</v>
      </c>
    </row>
    <row r="120">
      <c r="A120" s="1">
        <v>118.0</v>
      </c>
      <c r="B120" s="3">
        <v>44196.0</v>
      </c>
      <c r="C120" s="1" t="s">
        <v>75</v>
      </c>
      <c r="D120" s="1" t="s">
        <v>76</v>
      </c>
      <c r="F120" s="1">
        <v>1.37E8</v>
      </c>
      <c r="G120" s="1">
        <v>1.15E8</v>
      </c>
      <c r="H120" s="1">
        <v>-3.1E7</v>
      </c>
      <c r="I120" s="1">
        <v>5.98E8</v>
      </c>
      <c r="J120" s="1">
        <v>2.42E8</v>
      </c>
      <c r="K120" s="1">
        <v>2.42E8</v>
      </c>
      <c r="L120" s="1">
        <v>-1.08E8</v>
      </c>
      <c r="M120" s="1">
        <v>2.1E7</v>
      </c>
      <c r="N120" s="1">
        <v>1.272E9</v>
      </c>
      <c r="O120" s="1">
        <v>1.03E9</v>
      </c>
      <c r="P120" s="1">
        <v>6.74E8</v>
      </c>
      <c r="Q120" s="1">
        <v>-1.05E8</v>
      </c>
      <c r="R120" s="1">
        <v>1.16E8</v>
      </c>
      <c r="S120" s="1">
        <v>1.15E8</v>
      </c>
      <c r="W120" s="4" t="str">
        <f>Raw_Data!C119&amp;"|"&amp;Raw_Data!D119&amp;"|"&amp;TEXT(Raw_Data!B119,"yyyy-mm-dd")</f>
        <v>Ameren Corp|AEE|2021-03-31</v>
      </c>
    </row>
    <row r="121">
      <c r="A121" s="1">
        <v>119.0</v>
      </c>
      <c r="B121" s="3">
        <v>44104.0</v>
      </c>
      <c r="C121" s="1" t="s">
        <v>75</v>
      </c>
      <c r="D121" s="1" t="s">
        <v>76</v>
      </c>
      <c r="F121" s="1">
        <v>4.32E8</v>
      </c>
      <c r="G121" s="1">
        <v>3.67E8</v>
      </c>
      <c r="H121" s="1">
        <v>-3.2E7</v>
      </c>
      <c r="I121" s="1">
        <v>8.95E8</v>
      </c>
      <c r="J121" s="1">
        <v>5.26E8</v>
      </c>
      <c r="K121" s="1">
        <v>5.26E8</v>
      </c>
      <c r="L121" s="1">
        <v>-1.1E8</v>
      </c>
      <c r="M121" s="1">
        <v>6.3E7</v>
      </c>
      <c r="N121" s="1">
        <v>1.557E9</v>
      </c>
      <c r="O121" s="1">
        <v>1.031E9</v>
      </c>
      <c r="P121" s="1">
        <v>6.62E8</v>
      </c>
      <c r="Q121" s="1">
        <v>-9.4E7</v>
      </c>
      <c r="R121" s="1">
        <v>3.69E8</v>
      </c>
      <c r="S121" s="1">
        <v>3.67E8</v>
      </c>
      <c r="W121" s="4" t="str">
        <f>Raw_Data!C120&amp;"|"&amp;Raw_Data!D120&amp;"|"&amp;TEXT(Raw_Data!B120,"yyyy-mm-dd")</f>
        <v>Ameren Corp|AEE|2020-12-31</v>
      </c>
    </row>
    <row r="122">
      <c r="A122" s="1">
        <v>120.0</v>
      </c>
      <c r="B122" s="3">
        <v>44377.0</v>
      </c>
      <c r="C122" s="1" t="s">
        <v>77</v>
      </c>
      <c r="D122" s="1" t="s">
        <v>78</v>
      </c>
      <c r="F122" s="1">
        <v>9000000.0</v>
      </c>
      <c r="G122" s="1">
        <v>1.9E7</v>
      </c>
      <c r="H122" s="1">
        <v>2.77E8</v>
      </c>
      <c r="I122" s="1">
        <v>7.87E8</v>
      </c>
      <c r="J122" s="1">
        <v>-9.29E8</v>
      </c>
      <c r="K122" s="1">
        <v>-9.29E8</v>
      </c>
      <c r="L122" s="1">
        <v>-4.86E8</v>
      </c>
      <c r="M122" s="1">
        <v>-1.0E7</v>
      </c>
      <c r="N122" s="1">
        <v>7.478E9</v>
      </c>
      <c r="O122" s="1">
        <v>8.407E9</v>
      </c>
      <c r="P122" s="1">
        <v>6.691E9</v>
      </c>
      <c r="Q122" s="1">
        <v>9.38E8</v>
      </c>
      <c r="R122" s="1">
        <v>1.9E7</v>
      </c>
      <c r="S122" s="1">
        <v>1.9E7</v>
      </c>
      <c r="W122" s="4" t="str">
        <f>Raw_Data!C121&amp;"|"&amp;Raw_Data!D121&amp;"|"&amp;TEXT(Raw_Data!B121,"yyyy-mm-dd")</f>
        <v>Ameren Corp|AEE|2020-09-30</v>
      </c>
    </row>
    <row r="123">
      <c r="A123" s="1">
        <v>121.0</v>
      </c>
      <c r="B123" s="3">
        <v>44286.0</v>
      </c>
      <c r="C123" s="1" t="s">
        <v>77</v>
      </c>
      <c r="D123" s="1" t="s">
        <v>78</v>
      </c>
      <c r="F123" s="1">
        <v>-1.573E9</v>
      </c>
      <c r="G123" s="1">
        <v>-1.25E9</v>
      </c>
      <c r="H123" s="1">
        <v>1.51E8</v>
      </c>
      <c r="I123" s="1">
        <v>-1.806E9</v>
      </c>
      <c r="J123" s="1">
        <v>-3.151E9</v>
      </c>
      <c r="K123" s="1">
        <v>-3.151E9</v>
      </c>
      <c r="L123" s="1">
        <v>-3.71E8</v>
      </c>
      <c r="M123" s="1">
        <v>-3.23E8</v>
      </c>
      <c r="N123" s="1">
        <v>4.008E9</v>
      </c>
      <c r="O123" s="1">
        <v>7.159E9</v>
      </c>
      <c r="P123" s="1">
        <v>5.814E9</v>
      </c>
      <c r="Q123" s="1">
        <v>1.578E9</v>
      </c>
      <c r="R123" s="1">
        <v>-1.25E9</v>
      </c>
      <c r="S123" s="1">
        <v>-1.25E9</v>
      </c>
      <c r="W123" s="4" t="str">
        <f>Raw_Data!C122&amp;"|"&amp;Raw_Data!D122&amp;"|"&amp;TEXT(Raw_Data!B122,"yyyy-mm-dd")</f>
        <v>American Airlines Group|AAL|2021-06-30</v>
      </c>
    </row>
    <row r="124">
      <c r="A124" s="1">
        <v>122.0</v>
      </c>
      <c r="B124" s="3">
        <v>44196.0</v>
      </c>
      <c r="C124" s="1" t="s">
        <v>77</v>
      </c>
      <c r="D124" s="1" t="s">
        <v>78</v>
      </c>
      <c r="F124" s="1">
        <v>-2.809E9</v>
      </c>
      <c r="G124" s="1">
        <v>-2.178E9</v>
      </c>
      <c r="H124" s="1">
        <v>9.5E7</v>
      </c>
      <c r="I124" s="1">
        <v>-9.23E8</v>
      </c>
      <c r="J124" s="1">
        <v>-2.066E9</v>
      </c>
      <c r="K124" s="1">
        <v>-2.066E9</v>
      </c>
      <c r="L124" s="1">
        <v>-3.76E8</v>
      </c>
      <c r="M124" s="1">
        <v>-6.31E8</v>
      </c>
      <c r="N124" s="1">
        <v>4.028E9</v>
      </c>
      <c r="O124" s="1">
        <v>6.094E9</v>
      </c>
      <c r="P124" s="1">
        <v>4.951E9</v>
      </c>
      <c r="Q124" s="1">
        <v>-7.43E8</v>
      </c>
      <c r="R124" s="1">
        <v>-2.178E9</v>
      </c>
      <c r="S124" s="1">
        <v>-2.178E9</v>
      </c>
      <c r="W124" s="4" t="str">
        <f>Raw_Data!C123&amp;"|"&amp;Raw_Data!D123&amp;"|"&amp;TEXT(Raw_Data!B123,"yyyy-mm-dd")</f>
        <v>American Airlines Group|AAL|2021-03-31</v>
      </c>
    </row>
    <row r="125">
      <c r="A125" s="1">
        <v>123.0</v>
      </c>
      <c r="B125" s="3">
        <v>44104.0</v>
      </c>
      <c r="C125" s="1" t="s">
        <v>77</v>
      </c>
      <c r="D125" s="1" t="s">
        <v>78</v>
      </c>
      <c r="F125" s="1">
        <v>-3.095E9</v>
      </c>
      <c r="G125" s="1">
        <v>-2.399E9</v>
      </c>
      <c r="H125" s="1">
        <v>7.0E7</v>
      </c>
      <c r="I125" s="1">
        <v>-2.489E9</v>
      </c>
      <c r="J125" s="1">
        <v>-3.716E9</v>
      </c>
      <c r="K125" s="1">
        <v>-3.716E9</v>
      </c>
      <c r="L125" s="1">
        <v>-3.4E8</v>
      </c>
      <c r="M125" s="1">
        <v>-6.96E8</v>
      </c>
      <c r="N125" s="1">
        <v>3.173E9</v>
      </c>
      <c r="O125" s="1">
        <v>6.889E9</v>
      </c>
      <c r="P125" s="1">
        <v>5.662E9</v>
      </c>
      <c r="Q125" s="1">
        <v>6.21E8</v>
      </c>
      <c r="R125" s="1">
        <v>-2.399E9</v>
      </c>
      <c r="S125" s="1">
        <v>-2.399E9</v>
      </c>
      <c r="W125" s="4" t="str">
        <f>Raw_Data!C124&amp;"|"&amp;Raw_Data!D124&amp;"|"&amp;TEXT(Raw_Data!B124,"yyyy-mm-dd")</f>
        <v>American Airlines Group|AAL|2020-12-31</v>
      </c>
    </row>
    <row r="126">
      <c r="A126" s="1">
        <v>124.0</v>
      </c>
      <c r="B126" s="3">
        <v>44377.0</v>
      </c>
      <c r="C126" s="1" t="s">
        <v>79</v>
      </c>
      <c r="D126" s="1" t="s">
        <v>80</v>
      </c>
      <c r="F126" s="1">
        <v>6.35E8</v>
      </c>
      <c r="G126" s="1">
        <v>5.782E8</v>
      </c>
      <c r="H126" s="1">
        <v>-2.97E7</v>
      </c>
      <c r="I126" s="1">
        <v>1.8713E9</v>
      </c>
      <c r="J126" s="1">
        <v>8.396E8</v>
      </c>
      <c r="K126" s="1">
        <v>8.396E8</v>
      </c>
      <c r="L126" s="1">
        <v>-3.016E8</v>
      </c>
      <c r="M126" s="1">
        <v>6.12E7</v>
      </c>
      <c r="N126" s="1">
        <v>3.8265E9</v>
      </c>
      <c r="O126" s="1">
        <v>2.9869E9</v>
      </c>
      <c r="P126" s="1">
        <v>1.9552E9</v>
      </c>
      <c r="Q126" s="1">
        <v>-2.046E8</v>
      </c>
      <c r="R126" s="1">
        <v>5.738E8</v>
      </c>
      <c r="S126" s="1">
        <v>5.782E8</v>
      </c>
      <c r="W126" s="4" t="str">
        <f>Raw_Data!C125&amp;"|"&amp;Raw_Data!D125&amp;"|"&amp;TEXT(Raw_Data!B125,"yyyy-mm-dd")</f>
        <v>American Airlines Group|AAL|2020-09-30</v>
      </c>
    </row>
    <row r="127">
      <c r="A127" s="1">
        <v>125.0</v>
      </c>
      <c r="B127" s="3">
        <v>44286.0</v>
      </c>
      <c r="C127" s="1" t="s">
        <v>79</v>
      </c>
      <c r="D127" s="1" t="s">
        <v>80</v>
      </c>
      <c r="F127" s="1">
        <v>6.333E8</v>
      </c>
      <c r="G127" s="1">
        <v>5.75E8</v>
      </c>
      <c r="H127" s="1">
        <v>-2.96E7</v>
      </c>
      <c r="I127" s="1">
        <v>1.8531E9</v>
      </c>
      <c r="J127" s="1">
        <v>8.399E8</v>
      </c>
      <c r="K127" s="1">
        <v>8.399E8</v>
      </c>
      <c r="L127" s="1">
        <v>-2.902E8</v>
      </c>
      <c r="M127" s="1">
        <v>5.45E7</v>
      </c>
      <c r="N127" s="1">
        <v>4.2811E9</v>
      </c>
      <c r="O127" s="1">
        <v>3.4412E9</v>
      </c>
      <c r="P127" s="1">
        <v>2.428E9</v>
      </c>
      <c r="Q127" s="1">
        <v>-2.066E8</v>
      </c>
      <c r="R127" s="1">
        <v>5.788E8</v>
      </c>
      <c r="S127" s="1">
        <v>5.75E8</v>
      </c>
      <c r="W127" s="4" t="str">
        <f>Raw_Data!C126&amp;"|"&amp;Raw_Data!D126&amp;"|"&amp;TEXT(Raw_Data!B126,"yyyy-mm-dd")</f>
        <v>American Electric Power|AEP|2021-06-30</v>
      </c>
    </row>
    <row r="128">
      <c r="A128" s="1">
        <v>126.0</v>
      </c>
      <c r="B128" s="3">
        <v>44196.0</v>
      </c>
      <c r="C128" s="1" t="s">
        <v>79</v>
      </c>
      <c r="D128" s="1" t="s">
        <v>80</v>
      </c>
      <c r="F128" s="1">
        <v>4.173E8</v>
      </c>
      <c r="G128" s="1">
        <v>4.355E8</v>
      </c>
      <c r="H128" s="1">
        <v>-2.98E7</v>
      </c>
      <c r="I128" s="1">
        <v>1.5759E9</v>
      </c>
      <c r="J128" s="1">
        <v>6.0E8</v>
      </c>
      <c r="K128" s="1">
        <v>6.0E8</v>
      </c>
      <c r="L128" s="1">
        <v>-2.883E8</v>
      </c>
      <c r="M128" s="1">
        <v>-1.74E7</v>
      </c>
      <c r="N128" s="1">
        <v>3.6106E9</v>
      </c>
      <c r="O128" s="1">
        <v>3.0106E9</v>
      </c>
      <c r="P128" s="1">
        <v>2.0347E9</v>
      </c>
      <c r="Q128" s="1">
        <v>-1.827E8</v>
      </c>
      <c r="R128" s="1">
        <v>4.347E8</v>
      </c>
      <c r="S128" s="1">
        <v>4.355E8</v>
      </c>
      <c r="W128" s="4" t="str">
        <f>Raw_Data!C127&amp;"|"&amp;Raw_Data!D127&amp;"|"&amp;TEXT(Raw_Data!B127,"yyyy-mm-dd")</f>
        <v>American Electric Power|AEP|2021-03-31</v>
      </c>
    </row>
    <row r="129">
      <c r="A129" s="1">
        <v>127.0</v>
      </c>
      <c r="B129" s="3">
        <v>44104.0</v>
      </c>
      <c r="C129" s="1" t="s">
        <v>79</v>
      </c>
      <c r="D129" s="1" t="s">
        <v>80</v>
      </c>
      <c r="F129" s="1">
        <v>7.47E8</v>
      </c>
      <c r="G129" s="1">
        <v>7.486E8</v>
      </c>
      <c r="H129" s="1">
        <v>-2.97E7</v>
      </c>
      <c r="I129" s="1">
        <v>1.9255E9</v>
      </c>
      <c r="J129" s="1">
        <v>9.729E8</v>
      </c>
      <c r="K129" s="1">
        <v>9.729E8</v>
      </c>
      <c r="L129" s="1">
        <v>-2.913E8</v>
      </c>
      <c r="M129" s="1">
        <v>-1200000.0</v>
      </c>
      <c r="N129" s="1">
        <v>4.0664E9</v>
      </c>
      <c r="O129" s="1">
        <v>3.0935E9</v>
      </c>
      <c r="P129" s="1">
        <v>2.1409E9</v>
      </c>
      <c r="Q129" s="1">
        <v>-2.259E8</v>
      </c>
      <c r="R129" s="1">
        <v>7.482E8</v>
      </c>
      <c r="S129" s="1">
        <v>7.486E8</v>
      </c>
      <c r="W129" s="4" t="str">
        <f>Raw_Data!C128&amp;"|"&amp;Raw_Data!D128&amp;"|"&amp;TEXT(Raw_Data!B128,"yyyy-mm-dd")</f>
        <v>American Electric Power|AEP|2020-12-31</v>
      </c>
    </row>
    <row r="130">
      <c r="A130" s="1">
        <v>128.0</v>
      </c>
      <c r="B130" s="3">
        <v>44377.0</v>
      </c>
      <c r="C130" s="1" t="s">
        <v>81</v>
      </c>
      <c r="D130" s="1" t="s">
        <v>82</v>
      </c>
      <c r="F130" s="1">
        <v>2.94E9</v>
      </c>
      <c r="G130" s="1">
        <v>2.28E9</v>
      </c>
      <c r="H130" s="1">
        <v>3.758E9</v>
      </c>
      <c r="I130" s="1">
        <v>7.705E9</v>
      </c>
      <c r="J130" s="1">
        <v>0.0</v>
      </c>
      <c r="K130" s="1">
        <v>2.701E9</v>
      </c>
      <c r="M130" s="1">
        <v>6.6E8</v>
      </c>
      <c r="N130" s="1">
        <v>1.0849E10</v>
      </c>
      <c r="O130" s="1">
        <v>8.148E9</v>
      </c>
      <c r="P130" s="1">
        <v>3.144E9</v>
      </c>
      <c r="Q130" s="1">
        <v>2.39E8</v>
      </c>
      <c r="R130" s="1">
        <v>2.28E9</v>
      </c>
      <c r="S130" s="1">
        <v>2.249E9</v>
      </c>
      <c r="W130" s="4" t="str">
        <f>Raw_Data!C129&amp;"|"&amp;Raw_Data!D129&amp;"|"&amp;TEXT(Raw_Data!B129,"yyyy-mm-dd")</f>
        <v>American Electric Power|AEP|2020-09-30</v>
      </c>
    </row>
    <row r="131">
      <c r="A131" s="1">
        <v>129.0</v>
      </c>
      <c r="B131" s="3">
        <v>44286.0</v>
      </c>
      <c r="C131" s="1" t="s">
        <v>81</v>
      </c>
      <c r="D131" s="1" t="s">
        <v>82</v>
      </c>
      <c r="F131" s="1">
        <v>2.993E9</v>
      </c>
      <c r="G131" s="1">
        <v>2.235E9</v>
      </c>
      <c r="H131" s="1">
        <v>3.316E9</v>
      </c>
      <c r="I131" s="1">
        <v>7.179E9</v>
      </c>
      <c r="J131" s="1">
        <v>0.0</v>
      </c>
      <c r="K131" s="1">
        <v>2.621E9</v>
      </c>
      <c r="M131" s="1">
        <v>7.58E8</v>
      </c>
      <c r="N131" s="1">
        <v>9.739E9</v>
      </c>
      <c r="O131" s="1">
        <v>7.118E9</v>
      </c>
      <c r="P131" s="1">
        <v>2.56E9</v>
      </c>
      <c r="Q131" s="1">
        <v>3.72E8</v>
      </c>
      <c r="R131" s="1">
        <v>2.235E9</v>
      </c>
      <c r="S131" s="1">
        <v>2.206E9</v>
      </c>
      <c r="W131" s="4" t="str">
        <f>Raw_Data!C130&amp;"|"&amp;Raw_Data!D130&amp;"|"&amp;TEXT(Raw_Data!B130,"yyyy-mm-dd")</f>
        <v>American Express|AXP|2021-06-30</v>
      </c>
    </row>
    <row r="132">
      <c r="A132" s="1">
        <v>130.0</v>
      </c>
      <c r="B132" s="3">
        <v>44196.0</v>
      </c>
      <c r="C132" s="1" t="s">
        <v>81</v>
      </c>
      <c r="D132" s="1" t="s">
        <v>82</v>
      </c>
      <c r="F132" s="1">
        <v>1.858E9</v>
      </c>
      <c r="G132" s="1">
        <v>1.438E9</v>
      </c>
      <c r="H132" s="1">
        <v>3.601E9</v>
      </c>
      <c r="I132" s="1">
        <v>6.859E9</v>
      </c>
      <c r="J132" s="1">
        <v>0.0</v>
      </c>
      <c r="K132" s="1">
        <v>1.995E9</v>
      </c>
      <c r="M132" s="1">
        <v>4.2E8</v>
      </c>
      <c r="N132" s="1">
        <v>9.462E9</v>
      </c>
      <c r="O132" s="1">
        <v>7.467E9</v>
      </c>
      <c r="P132" s="1">
        <v>2.603E9</v>
      </c>
      <c r="Q132" s="1">
        <v>-1.37E8</v>
      </c>
      <c r="R132" s="1">
        <v>1.438E9</v>
      </c>
      <c r="S132" s="1">
        <v>1.414E9</v>
      </c>
      <c r="W132" s="4" t="str">
        <f>Raw_Data!C131&amp;"|"&amp;Raw_Data!D131&amp;"|"&amp;TEXT(Raw_Data!B131,"yyyy-mm-dd")</f>
        <v>American Express|AXP|2021-03-31</v>
      </c>
    </row>
    <row r="133">
      <c r="A133" s="1">
        <v>131.0</v>
      </c>
      <c r="B133" s="3">
        <v>44104.0</v>
      </c>
      <c r="C133" s="1" t="s">
        <v>81</v>
      </c>
      <c r="D133" s="1" t="s">
        <v>82</v>
      </c>
      <c r="F133" s="1">
        <v>1.364E9</v>
      </c>
      <c r="G133" s="1">
        <v>1.073E9</v>
      </c>
      <c r="H133" s="1">
        <v>3.23E9</v>
      </c>
      <c r="I133" s="1">
        <v>5.823E9</v>
      </c>
      <c r="J133" s="1">
        <v>0.0</v>
      </c>
      <c r="K133" s="1">
        <v>1.36E9</v>
      </c>
      <c r="M133" s="1">
        <v>2.91E8</v>
      </c>
      <c r="N133" s="1">
        <v>8.086E9</v>
      </c>
      <c r="O133" s="1">
        <v>6.726E9</v>
      </c>
      <c r="P133" s="1">
        <v>2.263E9</v>
      </c>
      <c r="Q133" s="1">
        <v>4000000.0</v>
      </c>
      <c r="R133" s="1">
        <v>1.073E9</v>
      </c>
      <c r="S133" s="1">
        <v>1.05E9</v>
      </c>
      <c r="W133" s="4" t="str">
        <f>Raw_Data!C132&amp;"|"&amp;Raw_Data!D132&amp;"|"&amp;TEXT(Raw_Data!B132,"yyyy-mm-dd")</f>
        <v>American Express|AXP|2020-12-31</v>
      </c>
    </row>
    <row r="134">
      <c r="A134" s="1">
        <v>132.0</v>
      </c>
      <c r="B134" s="3">
        <v>44377.0</v>
      </c>
      <c r="C134" s="1" t="s">
        <v>83</v>
      </c>
      <c r="D134" s="1" t="s">
        <v>84</v>
      </c>
      <c r="F134" s="1">
        <v>1.47E8</v>
      </c>
      <c r="G134" s="1">
        <v>9.9E7</v>
      </c>
      <c r="H134" s="1">
        <v>2.092E9</v>
      </c>
      <c r="I134" s="1">
        <v>2.662E9</v>
      </c>
      <c r="J134" s="1">
        <v>5.7E8</v>
      </c>
      <c r="K134" s="1">
        <v>5.7E8</v>
      </c>
      <c r="L134" s="1">
        <v>-3.38E8</v>
      </c>
      <c r="M134" s="1">
        <v>-3000000.0</v>
      </c>
      <c r="N134" s="1">
        <v>1.0533E10</v>
      </c>
      <c r="O134" s="1">
        <v>9.963E9</v>
      </c>
      <c r="P134" s="1">
        <v>7.871E9</v>
      </c>
      <c r="Q134" s="1">
        <v>-4.23E8</v>
      </c>
      <c r="R134" s="1">
        <v>1.5E8</v>
      </c>
      <c r="S134" s="1">
        <v>9.1E7</v>
      </c>
      <c r="W134" s="4" t="str">
        <f>Raw_Data!C133&amp;"|"&amp;Raw_Data!D133&amp;"|"&amp;TEXT(Raw_Data!B133,"yyyy-mm-dd")</f>
        <v>American Express|AXP|2020-09-30</v>
      </c>
    </row>
    <row r="135">
      <c r="A135" s="1">
        <v>133.0</v>
      </c>
      <c r="B135" s="3">
        <v>44286.0</v>
      </c>
      <c r="C135" s="1" t="s">
        <v>83</v>
      </c>
      <c r="D135" s="1" t="s">
        <v>84</v>
      </c>
      <c r="F135" s="1">
        <v>4.728E9</v>
      </c>
      <c r="G135" s="1">
        <v>3.876E9</v>
      </c>
      <c r="H135" s="1">
        <v>2.014E9</v>
      </c>
      <c r="I135" s="1">
        <v>7.198E9</v>
      </c>
      <c r="J135" s="1">
        <v>5.184E9</v>
      </c>
      <c r="K135" s="1">
        <v>5.184E9</v>
      </c>
      <c r="L135" s="1">
        <v>-3.42E8</v>
      </c>
      <c r="M135" s="1">
        <v>7.98E8</v>
      </c>
      <c r="N135" s="1">
        <v>1.4509E10</v>
      </c>
      <c r="O135" s="1">
        <v>9.325E9</v>
      </c>
      <c r="P135" s="1">
        <v>7.311E9</v>
      </c>
      <c r="Q135" s="1">
        <v>-4.56E8</v>
      </c>
      <c r="R135" s="1">
        <v>3.93E9</v>
      </c>
      <c r="S135" s="1">
        <v>3.869E9</v>
      </c>
      <c r="W135" s="4" t="str">
        <f>Raw_Data!C134&amp;"|"&amp;Raw_Data!D134&amp;"|"&amp;TEXT(Raw_Data!B134,"yyyy-mm-dd")</f>
        <v>American International Group|AIG|2021-06-30</v>
      </c>
    </row>
    <row r="136">
      <c r="A136" s="1">
        <v>134.0</v>
      </c>
      <c r="B136" s="3">
        <v>44196.0</v>
      </c>
      <c r="C136" s="1" t="s">
        <v>83</v>
      </c>
      <c r="D136" s="1" t="s">
        <v>84</v>
      </c>
      <c r="F136" s="1">
        <v>-5.58E8</v>
      </c>
      <c r="G136" s="1">
        <v>-5.3E7</v>
      </c>
      <c r="H136" s="1">
        <v>2.054E9</v>
      </c>
      <c r="I136" s="1">
        <v>1.491E9</v>
      </c>
      <c r="J136" s="1">
        <v>-5.63E8</v>
      </c>
      <c r="K136" s="1">
        <v>-5.63E8</v>
      </c>
      <c r="L136" s="1">
        <v>-3.58E8</v>
      </c>
      <c r="M136" s="1">
        <v>-5.42E8</v>
      </c>
      <c r="N136" s="1">
        <v>9.332E9</v>
      </c>
      <c r="O136" s="1">
        <v>9.895E9</v>
      </c>
      <c r="P136" s="1">
        <v>7.841E9</v>
      </c>
      <c r="Q136" s="1">
        <v>5000000.0</v>
      </c>
      <c r="R136" s="1">
        <v>-1.6E7</v>
      </c>
      <c r="S136" s="1">
        <v>-6.0E7</v>
      </c>
      <c r="W136" s="4" t="str">
        <f>Raw_Data!C135&amp;"|"&amp;Raw_Data!D135&amp;"|"&amp;TEXT(Raw_Data!B135,"yyyy-mm-dd")</f>
        <v>American International Group|AIG|2021-03-31</v>
      </c>
    </row>
    <row r="137">
      <c r="A137" s="1">
        <v>135.0</v>
      </c>
      <c r="B137" s="3">
        <v>44104.0</v>
      </c>
      <c r="C137" s="1" t="s">
        <v>83</v>
      </c>
      <c r="D137" s="1" t="s">
        <v>84</v>
      </c>
      <c r="F137" s="1">
        <v>3.68E8</v>
      </c>
      <c r="G137" s="1">
        <v>2.88E8</v>
      </c>
      <c r="H137" s="1">
        <v>1.891E9</v>
      </c>
      <c r="I137" s="1">
        <v>2.504E9</v>
      </c>
      <c r="J137" s="1">
        <v>6.13E8</v>
      </c>
      <c r="K137" s="1">
        <v>6.13E8</v>
      </c>
      <c r="L137" s="1">
        <v>-3.79E8</v>
      </c>
      <c r="M137" s="1">
        <v>7.4E7</v>
      </c>
      <c r="N137" s="1">
        <v>9.965E9</v>
      </c>
      <c r="O137" s="1">
        <v>9.352E9</v>
      </c>
      <c r="P137" s="1">
        <v>7.461E9</v>
      </c>
      <c r="Q137" s="1">
        <v>-2.45E8</v>
      </c>
      <c r="R137" s="1">
        <v>2.94E8</v>
      </c>
      <c r="S137" s="1">
        <v>2.81E8</v>
      </c>
      <c r="W137" s="4" t="str">
        <f>Raw_Data!C136&amp;"|"&amp;Raw_Data!D136&amp;"|"&amp;TEXT(Raw_Data!B136,"yyyy-mm-dd")</f>
        <v>American International Group|AIG|2020-12-31</v>
      </c>
    </row>
    <row r="138">
      <c r="A138" s="1">
        <v>136.0</v>
      </c>
      <c r="B138" s="3">
        <v>44377.0</v>
      </c>
      <c r="C138" s="1" t="s">
        <v>85</v>
      </c>
      <c r="D138" s="1" t="s">
        <v>86</v>
      </c>
      <c r="F138" s="1">
        <v>8.207E8</v>
      </c>
      <c r="G138" s="1">
        <v>7.463E8</v>
      </c>
      <c r="H138" s="1">
        <v>2.072E8</v>
      </c>
      <c r="I138" s="1">
        <v>1.651E9</v>
      </c>
      <c r="J138" s="1">
        <v>8.875E8</v>
      </c>
      <c r="K138" s="1">
        <v>8.875E8</v>
      </c>
      <c r="L138" s="1">
        <v>-2.137E8</v>
      </c>
      <c r="M138" s="1">
        <v>7.28E7</v>
      </c>
      <c r="N138" s="1">
        <v>2.2989E9</v>
      </c>
      <c r="O138" s="1">
        <v>1.4114E9</v>
      </c>
      <c r="P138" s="1">
        <v>6.479E8</v>
      </c>
      <c r="Q138" s="1">
        <v>-6.68E7</v>
      </c>
      <c r="R138" s="1">
        <v>7.479E8</v>
      </c>
      <c r="S138" s="1">
        <v>7.463E8</v>
      </c>
      <c r="W138" s="4" t="str">
        <f>Raw_Data!C137&amp;"|"&amp;Raw_Data!D137&amp;"|"&amp;TEXT(Raw_Data!B137,"yyyy-mm-dd")</f>
        <v>American International Group|AIG|2020-09-30</v>
      </c>
    </row>
    <row r="139">
      <c r="A139" s="1">
        <v>137.0</v>
      </c>
      <c r="B139" s="3">
        <v>44286.0</v>
      </c>
      <c r="C139" s="1" t="s">
        <v>85</v>
      </c>
      <c r="D139" s="1" t="s">
        <v>86</v>
      </c>
      <c r="F139" s="1">
        <v>7.026E8</v>
      </c>
      <c r="G139" s="1">
        <v>6.45E8</v>
      </c>
      <c r="H139" s="1">
        <v>1.826E8</v>
      </c>
      <c r="I139" s="1">
        <v>1.5842E9</v>
      </c>
      <c r="J139" s="1">
        <v>8.759E8</v>
      </c>
      <c r="K139" s="1">
        <v>8.759E8</v>
      </c>
      <c r="L139" s="1">
        <v>-2.07E8</v>
      </c>
      <c r="M139" s="1">
        <v>5.03E7</v>
      </c>
      <c r="N139" s="1">
        <v>2.1585E9</v>
      </c>
      <c r="O139" s="1">
        <v>1.2826E9</v>
      </c>
      <c r="P139" s="1">
        <v>5.743E8</v>
      </c>
      <c r="Q139" s="1">
        <v>-1.733E8</v>
      </c>
      <c r="R139" s="1">
        <v>6.523E8</v>
      </c>
      <c r="S139" s="1">
        <v>6.45E8</v>
      </c>
      <c r="W139" s="4" t="str">
        <f>Raw_Data!C138&amp;"|"&amp;Raw_Data!D138&amp;"|"&amp;TEXT(Raw_Data!B138,"yyyy-mm-dd")</f>
        <v>American Tower|AMT|2021-06-30</v>
      </c>
    </row>
    <row r="140">
      <c r="A140" s="1">
        <v>138.0</v>
      </c>
      <c r="B140" s="3">
        <v>44196.0</v>
      </c>
      <c r="C140" s="1" t="s">
        <v>85</v>
      </c>
      <c r="D140" s="1" t="s">
        <v>86</v>
      </c>
      <c r="F140" s="1">
        <v>4.197E8</v>
      </c>
      <c r="G140" s="1">
        <v>3.651E8</v>
      </c>
      <c r="H140" s="1">
        <v>1.963E8</v>
      </c>
      <c r="I140" s="1">
        <v>1.5499E9</v>
      </c>
      <c r="J140" s="1">
        <v>8.598E8</v>
      </c>
      <c r="K140" s="1">
        <v>8.598E8</v>
      </c>
      <c r="L140" s="1">
        <v>-1.961E8</v>
      </c>
      <c r="M140" s="1">
        <v>5.81E7</v>
      </c>
      <c r="N140" s="1">
        <v>2.1225E9</v>
      </c>
      <c r="O140" s="1">
        <v>1.2627E9</v>
      </c>
      <c r="P140" s="1">
        <v>5.726E8</v>
      </c>
      <c r="Q140" s="1">
        <v>-4.401E8</v>
      </c>
      <c r="R140" s="1">
        <v>3.616E8</v>
      </c>
      <c r="S140" s="1">
        <v>3.651E8</v>
      </c>
      <c r="W140" s="4" t="str">
        <f>Raw_Data!C139&amp;"|"&amp;Raw_Data!D139&amp;"|"&amp;TEXT(Raw_Data!B139,"yyyy-mm-dd")</f>
        <v>American Tower|AMT|2021-03-31</v>
      </c>
    </row>
    <row r="141">
      <c r="A141" s="1">
        <v>139.0</v>
      </c>
      <c r="B141" s="3">
        <v>44104.0</v>
      </c>
      <c r="C141" s="1" t="s">
        <v>85</v>
      </c>
      <c r="D141" s="1" t="s">
        <v>86</v>
      </c>
      <c r="F141" s="1">
        <v>5.022E8</v>
      </c>
      <c r="G141" s="1">
        <v>4.644E8</v>
      </c>
      <c r="H141" s="1">
        <v>1.76E8</v>
      </c>
      <c r="I141" s="1">
        <v>1.4503E9</v>
      </c>
      <c r="J141" s="1">
        <v>8.027E8</v>
      </c>
      <c r="K141" s="1">
        <v>8.027E8</v>
      </c>
      <c r="L141" s="1">
        <v>-1.909E8</v>
      </c>
      <c r="M141" s="1">
        <v>3.93E7</v>
      </c>
      <c r="N141" s="1">
        <v>2.0129E9</v>
      </c>
      <c r="O141" s="1">
        <v>1.2102E9</v>
      </c>
      <c r="P141" s="1">
        <v>5.626E8</v>
      </c>
      <c r="Q141" s="1">
        <v>-3.005E8</v>
      </c>
      <c r="R141" s="1">
        <v>4.629E8</v>
      </c>
      <c r="S141" s="1">
        <v>4.644E8</v>
      </c>
      <c r="W141" s="4" t="str">
        <f>Raw_Data!C140&amp;"|"&amp;Raw_Data!D140&amp;"|"&amp;TEXT(Raw_Data!B140,"yyyy-mm-dd")</f>
        <v>American Tower|AMT|2020-12-31</v>
      </c>
    </row>
    <row r="142">
      <c r="A142" s="1">
        <v>140.0</v>
      </c>
      <c r="B142" s="3">
        <v>44377.0</v>
      </c>
      <c r="C142" s="1" t="s">
        <v>87</v>
      </c>
      <c r="D142" s="1" t="s">
        <v>88</v>
      </c>
      <c r="F142" s="1">
        <v>2.51E8</v>
      </c>
      <c r="G142" s="1">
        <v>2.07E8</v>
      </c>
      <c r="H142" s="1">
        <v>-1.9E7</v>
      </c>
      <c r="I142" s="1">
        <v>5.68E8</v>
      </c>
      <c r="J142" s="1">
        <v>3.49E8</v>
      </c>
      <c r="K142" s="1">
        <v>3.49E8</v>
      </c>
      <c r="L142" s="1">
        <v>-1.01E8</v>
      </c>
      <c r="M142" s="1">
        <v>4.4E7</v>
      </c>
      <c r="N142" s="1">
        <v>9.99E8</v>
      </c>
      <c r="O142" s="1">
        <v>6.5E8</v>
      </c>
      <c r="P142" s="1">
        <v>4.31E8</v>
      </c>
      <c r="Q142" s="1">
        <v>-9.8E7</v>
      </c>
      <c r="R142" s="1">
        <v>2.07E8</v>
      </c>
      <c r="S142" s="1">
        <v>2.07E8</v>
      </c>
      <c r="W142" s="4" t="str">
        <f>Raw_Data!C141&amp;"|"&amp;Raw_Data!D141&amp;"|"&amp;TEXT(Raw_Data!B141,"yyyy-mm-dd")</f>
        <v>American Tower|AMT|2020-09-30</v>
      </c>
    </row>
    <row r="143">
      <c r="A143" s="1">
        <v>141.0</v>
      </c>
      <c r="B143" s="3">
        <v>44286.0</v>
      </c>
      <c r="C143" s="1" t="s">
        <v>87</v>
      </c>
      <c r="D143" s="1" t="s">
        <v>88</v>
      </c>
      <c r="F143" s="1">
        <v>1.55E8</v>
      </c>
      <c r="G143" s="1">
        <v>1.33E8</v>
      </c>
      <c r="H143" s="1">
        <v>-2.0E7</v>
      </c>
      <c r="I143" s="1">
        <v>4.69E8</v>
      </c>
      <c r="J143" s="1">
        <v>2.49E8</v>
      </c>
      <c r="K143" s="1">
        <v>2.49E8</v>
      </c>
      <c r="L143" s="1">
        <v>-9.8E7</v>
      </c>
      <c r="M143" s="1">
        <v>2.2E7</v>
      </c>
      <c r="N143" s="1">
        <v>8.88E8</v>
      </c>
      <c r="O143" s="1">
        <v>6.39E8</v>
      </c>
      <c r="P143" s="1">
        <v>4.19E8</v>
      </c>
      <c r="Q143" s="1">
        <v>-9.4E7</v>
      </c>
      <c r="R143" s="1">
        <v>1.33E8</v>
      </c>
      <c r="S143" s="1">
        <v>1.33E8</v>
      </c>
      <c r="W143" s="4" t="str">
        <f>Raw_Data!C142&amp;"|"&amp;Raw_Data!D142&amp;"|"&amp;TEXT(Raw_Data!B142,"yyyy-mm-dd")</f>
        <v>American Water Works|AWK|2021-06-30</v>
      </c>
    </row>
    <row r="144">
      <c r="A144" s="1">
        <v>142.0</v>
      </c>
      <c r="B144" s="3">
        <v>44196.0</v>
      </c>
      <c r="C144" s="1" t="s">
        <v>87</v>
      </c>
      <c r="D144" s="1" t="s">
        <v>88</v>
      </c>
      <c r="F144" s="1">
        <v>1.81E8</v>
      </c>
      <c r="G144" s="1">
        <v>1.45E8</v>
      </c>
      <c r="H144" s="1">
        <v>-1.2E7</v>
      </c>
      <c r="I144" s="1">
        <v>4.94E8</v>
      </c>
      <c r="J144" s="1">
        <v>2.75E8</v>
      </c>
      <c r="K144" s="1">
        <v>2.75E8</v>
      </c>
      <c r="L144" s="1">
        <v>-9.9E7</v>
      </c>
      <c r="M144" s="1">
        <v>3.6E7</v>
      </c>
      <c r="N144" s="1">
        <v>9.23E8</v>
      </c>
      <c r="O144" s="1">
        <v>6.48E8</v>
      </c>
      <c r="P144" s="1">
        <v>4.29E8</v>
      </c>
      <c r="Q144" s="1">
        <v>-9.4E7</v>
      </c>
      <c r="R144" s="1">
        <v>1.45E8</v>
      </c>
      <c r="S144" s="1">
        <v>1.45E8</v>
      </c>
      <c r="W144" s="4" t="str">
        <f>Raw_Data!C143&amp;"|"&amp;Raw_Data!D143&amp;"|"&amp;TEXT(Raw_Data!B143,"yyyy-mm-dd")</f>
        <v>American Water Works|AWK|2021-03-31</v>
      </c>
    </row>
    <row r="145">
      <c r="A145" s="1">
        <v>143.0</v>
      </c>
      <c r="B145" s="3">
        <v>44104.0</v>
      </c>
      <c r="C145" s="1" t="s">
        <v>87</v>
      </c>
      <c r="D145" s="1" t="s">
        <v>88</v>
      </c>
      <c r="F145" s="1">
        <v>3.52E8</v>
      </c>
      <c r="G145" s="1">
        <v>2.64E8</v>
      </c>
      <c r="H145" s="1">
        <v>-1.2E7</v>
      </c>
      <c r="I145" s="1">
        <v>6.6E8</v>
      </c>
      <c r="J145" s="1">
        <v>4.45E8</v>
      </c>
      <c r="K145" s="1">
        <v>4.45E8</v>
      </c>
      <c r="L145" s="1">
        <v>-9.9E7</v>
      </c>
      <c r="M145" s="1">
        <v>8.8E7</v>
      </c>
      <c r="N145" s="1">
        <v>1.079E9</v>
      </c>
      <c r="O145" s="1">
        <v>6.34E8</v>
      </c>
      <c r="P145" s="1">
        <v>4.19E8</v>
      </c>
      <c r="Q145" s="1">
        <v>-9.3E7</v>
      </c>
      <c r="R145" s="1">
        <v>2.64E8</v>
      </c>
      <c r="S145" s="1">
        <v>2.64E8</v>
      </c>
      <c r="W145" s="4" t="str">
        <f>Raw_Data!C144&amp;"|"&amp;Raw_Data!D144&amp;"|"&amp;TEXT(Raw_Data!B144,"yyyy-mm-dd")</f>
        <v>American Water Works|AWK|2020-12-31</v>
      </c>
    </row>
    <row r="146">
      <c r="A146" s="1">
        <v>144.0</v>
      </c>
      <c r="B146" s="3">
        <v>44377.0</v>
      </c>
      <c r="C146" s="1" t="s">
        <v>90</v>
      </c>
      <c r="D146" s="1" t="s">
        <v>91</v>
      </c>
      <c r="F146" s="1">
        <v>7.21E8</v>
      </c>
      <c r="G146" s="1">
        <v>5.91E8</v>
      </c>
      <c r="H146" s="1">
        <v>8.23E8</v>
      </c>
      <c r="I146" s="1">
        <v>1.72E9</v>
      </c>
      <c r="J146" s="1">
        <v>8.97E8</v>
      </c>
      <c r="K146" s="1">
        <v>8.97E8</v>
      </c>
      <c r="L146" s="1">
        <v>-1.69E8</v>
      </c>
      <c r="M146" s="1">
        <v>1.3E8</v>
      </c>
      <c r="N146" s="1">
        <v>3.42E9</v>
      </c>
      <c r="O146" s="1">
        <v>2.523E9</v>
      </c>
      <c r="P146" s="1">
        <v>1.7E9</v>
      </c>
      <c r="Q146" s="1">
        <v>-1.76E8</v>
      </c>
      <c r="R146" s="1">
        <v>5.91E8</v>
      </c>
      <c r="S146" s="1">
        <v>5.91E8</v>
      </c>
      <c r="W146" s="4" t="str">
        <f>Raw_Data!C145&amp;"|"&amp;Raw_Data!D145&amp;"|"&amp;TEXT(Raw_Data!B145,"yyyy-mm-dd")</f>
        <v>American Water Works|AWK|2020-09-30</v>
      </c>
    </row>
    <row r="147">
      <c r="A147" s="1">
        <v>145.0</v>
      </c>
      <c r="B147" s="3">
        <v>44286.0</v>
      </c>
      <c r="C147" s="1" t="s">
        <v>90</v>
      </c>
      <c r="D147" s="1" t="s">
        <v>91</v>
      </c>
      <c r="F147" s="1">
        <v>4.93E8</v>
      </c>
      <c r="G147" s="1">
        <v>4.37E8</v>
      </c>
      <c r="H147" s="1">
        <v>8.23E8</v>
      </c>
      <c r="I147" s="1">
        <v>1.522E9</v>
      </c>
      <c r="J147" s="1">
        <v>6.99E8</v>
      </c>
      <c r="K147" s="1">
        <v>6.99E8</v>
      </c>
      <c r="L147" s="1">
        <v>-2.06E8</v>
      </c>
      <c r="M147" s="1">
        <v>5.6E7</v>
      </c>
      <c r="N147" s="1">
        <v>3.355E9</v>
      </c>
      <c r="O147" s="1">
        <v>2.656E9</v>
      </c>
      <c r="P147" s="1">
        <v>1.833E9</v>
      </c>
      <c r="Q147" s="1">
        <v>-2.06E8</v>
      </c>
      <c r="R147" s="1">
        <v>4.37E8</v>
      </c>
      <c r="S147" s="1">
        <v>4.37E8</v>
      </c>
      <c r="W147" s="4" t="str">
        <f>Raw_Data!C146&amp;"|"&amp;Raw_Data!D146&amp;"|"&amp;TEXT(Raw_Data!B146,"yyyy-mm-dd")</f>
        <v>Ameriprise Financial|AMP|2021-06-30</v>
      </c>
    </row>
    <row r="148">
      <c r="A148" s="1">
        <v>146.0</v>
      </c>
      <c r="B148" s="3">
        <v>44196.0</v>
      </c>
      <c r="C148" s="1" t="s">
        <v>90</v>
      </c>
      <c r="D148" s="1" t="s">
        <v>91</v>
      </c>
      <c r="F148" s="1">
        <v>1.9E8</v>
      </c>
      <c r="G148" s="1">
        <v>1.77E8</v>
      </c>
      <c r="H148" s="1">
        <v>8.28E8</v>
      </c>
      <c r="I148" s="1">
        <v>1.183E9</v>
      </c>
      <c r="J148" s="1">
        <v>3.55E8</v>
      </c>
      <c r="K148" s="1">
        <v>3.55E8</v>
      </c>
      <c r="L148" s="1">
        <v>-1.65E8</v>
      </c>
      <c r="M148" s="1">
        <v>1.3E7</v>
      </c>
      <c r="N148" s="1">
        <v>3.189E9</v>
      </c>
      <c r="O148" s="1">
        <v>2.834E9</v>
      </c>
      <c r="P148" s="1">
        <v>2.006E9</v>
      </c>
      <c r="Q148" s="1">
        <v>-1.65E8</v>
      </c>
      <c r="R148" s="1">
        <v>1.77E8</v>
      </c>
      <c r="S148" s="1">
        <v>1.77E8</v>
      </c>
      <c r="W148" s="4" t="str">
        <f>Raw_Data!C147&amp;"|"&amp;Raw_Data!D147&amp;"|"&amp;TEXT(Raw_Data!B147,"yyyy-mm-dd")</f>
        <v>Ameriprise Financial|AMP|2021-03-31</v>
      </c>
    </row>
    <row r="149">
      <c r="A149" s="1">
        <v>147.0</v>
      </c>
      <c r="B149" s="3">
        <v>44104.0</v>
      </c>
      <c r="C149" s="1" t="s">
        <v>90</v>
      </c>
      <c r="D149" s="1" t="s">
        <v>91</v>
      </c>
      <c r="F149" s="1">
        <v>-1.84E8</v>
      </c>
      <c r="G149" s="1">
        <v>-1.4E8</v>
      </c>
      <c r="H149" s="1">
        <v>7.62E8</v>
      </c>
      <c r="I149" s="1">
        <v>7.96E8</v>
      </c>
      <c r="J149" s="1">
        <v>3.4E7</v>
      </c>
      <c r="K149" s="1">
        <v>3.4E7</v>
      </c>
      <c r="L149" s="1">
        <v>-2.17E8</v>
      </c>
      <c r="M149" s="1">
        <v>-4.4E7</v>
      </c>
      <c r="N149" s="1">
        <v>3.013E9</v>
      </c>
      <c r="O149" s="1">
        <v>2.979E9</v>
      </c>
      <c r="P149" s="1">
        <v>2.217E9</v>
      </c>
      <c r="Q149" s="1">
        <v>-2.18E8</v>
      </c>
      <c r="R149" s="1">
        <v>-1.4E8</v>
      </c>
      <c r="S149" s="1">
        <v>-1.4E8</v>
      </c>
      <c r="W149" s="4" t="str">
        <f>Raw_Data!C148&amp;"|"&amp;Raw_Data!D148&amp;"|"&amp;TEXT(Raw_Data!B148,"yyyy-mm-dd")</f>
        <v>Ameriprise Financial|AMP|2020-12-31</v>
      </c>
    </row>
    <row r="150">
      <c r="A150" s="1">
        <v>148.0</v>
      </c>
      <c r="B150" s="3">
        <v>44377.0</v>
      </c>
      <c r="C150" s="1" t="s">
        <v>95</v>
      </c>
      <c r="D150" s="1" t="s">
        <v>96</v>
      </c>
      <c r="F150" s="1">
        <v>5.7353E8</v>
      </c>
      <c r="G150" s="1">
        <v>2.92122E8</v>
      </c>
      <c r="H150" s="1">
        <v>9.13414E8</v>
      </c>
      <c r="I150" s="1">
        <v>1.888206E9</v>
      </c>
      <c r="J150" s="1">
        <v>8.47691E8</v>
      </c>
      <c r="K150" s="1">
        <v>8.47691E8</v>
      </c>
      <c r="L150" s="1">
        <v>-5.3011E7</v>
      </c>
      <c r="M150" s="1">
        <v>2.78082E8</v>
      </c>
      <c r="N150" s="1">
        <v>5.3405695E10</v>
      </c>
      <c r="O150" s="1">
        <v>5.2558004E10</v>
      </c>
      <c r="P150" s="1">
        <v>5.1517489E10</v>
      </c>
      <c r="Q150" s="1">
        <v>-2.74161E8</v>
      </c>
      <c r="R150" s="1">
        <v>2.95448E8</v>
      </c>
      <c r="S150" s="1">
        <v>2.92122E8</v>
      </c>
      <c r="W150" s="4" t="str">
        <f>Raw_Data!C149&amp;"|"&amp;Raw_Data!D149&amp;"|"&amp;TEXT(Raw_Data!B149,"yyyy-mm-dd")</f>
        <v>Ameriprise Financial|AMP|2020-09-30</v>
      </c>
    </row>
    <row r="151">
      <c r="A151" s="1">
        <v>149.0</v>
      </c>
      <c r="B151" s="3">
        <v>44286.0</v>
      </c>
      <c r="C151" s="1" t="s">
        <v>95</v>
      </c>
      <c r="D151" s="1" t="s">
        <v>96</v>
      </c>
      <c r="F151" s="1">
        <v>5.66511E8</v>
      </c>
      <c r="G151" s="1">
        <v>4.35267E8</v>
      </c>
      <c r="H151" s="1">
        <v>7.30081E8</v>
      </c>
      <c r="I151" s="1">
        <v>1.533381E9</v>
      </c>
      <c r="J151" s="1">
        <v>7.02503E8</v>
      </c>
      <c r="K151" s="1">
        <v>7.02503E8</v>
      </c>
      <c r="L151" s="1">
        <v>-3.5184E7</v>
      </c>
      <c r="M151" s="1">
        <v>1.32506E8</v>
      </c>
      <c r="N151" s="1">
        <v>4.9154171E10</v>
      </c>
      <c r="O151" s="1">
        <v>4.8451668E10</v>
      </c>
      <c r="P151" s="1">
        <v>4.762079E10</v>
      </c>
      <c r="Q151" s="1">
        <v>-1.35992E8</v>
      </c>
      <c r="R151" s="1">
        <v>4.34005E8</v>
      </c>
      <c r="S151" s="1">
        <v>4.35267E8</v>
      </c>
      <c r="W151" s="4" t="str">
        <f>Raw_Data!C150&amp;"|"&amp;Raw_Data!D150&amp;"|"&amp;TEXT(Raw_Data!B150,"yyyy-mm-dd")</f>
        <v>AmerisourceBergen|ABC|2021-06-30</v>
      </c>
    </row>
    <row r="152">
      <c r="A152" s="1">
        <v>150.0</v>
      </c>
      <c r="B152" s="3">
        <v>44196.0</v>
      </c>
      <c r="C152" s="1" t="s">
        <v>95</v>
      </c>
      <c r="D152" s="1" t="s">
        <v>96</v>
      </c>
      <c r="F152" s="1">
        <v>5.27882E8</v>
      </c>
      <c r="G152" s="1">
        <v>3.74845E8</v>
      </c>
      <c r="H152" s="1">
        <v>7.35068E8</v>
      </c>
      <c r="I152" s="1">
        <v>1.45223E9</v>
      </c>
      <c r="J152" s="1">
        <v>6.17609E8</v>
      </c>
      <c r="K152" s="1">
        <v>6.17609E8</v>
      </c>
      <c r="L152" s="1">
        <v>-3.4578E7</v>
      </c>
      <c r="M152" s="1">
        <v>1.49175E8</v>
      </c>
      <c r="N152" s="1">
        <v>5.2516556E10</v>
      </c>
      <c r="O152" s="1">
        <v>5.1898947E10</v>
      </c>
      <c r="P152" s="1">
        <v>5.1064326E10</v>
      </c>
      <c r="Q152" s="1">
        <v>-8.9727E7</v>
      </c>
      <c r="R152" s="1">
        <v>3.78707E8</v>
      </c>
      <c r="S152" s="1">
        <v>3.74845E8</v>
      </c>
      <c r="W152" s="4" t="str">
        <f>Raw_Data!C151&amp;"|"&amp;Raw_Data!D151&amp;"|"&amp;TEXT(Raw_Data!B151,"yyyy-mm-dd")</f>
        <v>AmerisourceBergen|ABC|2021-03-31</v>
      </c>
    </row>
    <row r="153">
      <c r="A153" s="1">
        <v>151.0</v>
      </c>
      <c r="B153" s="3">
        <v>44104.0</v>
      </c>
      <c r="C153" s="1" t="s">
        <v>95</v>
      </c>
      <c r="D153" s="1" t="s">
        <v>96</v>
      </c>
      <c r="F153" s="1">
        <v>-6.143457E9</v>
      </c>
      <c r="G153" s="1">
        <v>-4.846072E9</v>
      </c>
      <c r="H153" s="1">
        <v>6.71028E8</v>
      </c>
      <c r="I153" s="1">
        <v>1.346317E9</v>
      </c>
      <c r="J153" s="1">
        <v>5.77952E8</v>
      </c>
      <c r="K153" s="1">
        <v>5.77952E8</v>
      </c>
      <c r="L153" s="1">
        <v>-3.5761E7</v>
      </c>
      <c r="M153" s="1">
        <v>-1.298952E9</v>
      </c>
      <c r="N153" s="1">
        <v>4.9244768E10</v>
      </c>
      <c r="O153" s="1">
        <v>4.8666816E10</v>
      </c>
      <c r="P153" s="1">
        <v>4.7898451E10</v>
      </c>
      <c r="Q153" s="1">
        <v>-6.721409E9</v>
      </c>
      <c r="R153" s="1">
        <v>-4.844505E9</v>
      </c>
      <c r="S153" s="1">
        <v>-4.846072E9</v>
      </c>
      <c r="W153" s="4" t="str">
        <f>Raw_Data!C152&amp;"|"&amp;Raw_Data!D152&amp;"|"&amp;TEXT(Raw_Data!B152,"yyyy-mm-dd")</f>
        <v>AmerisourceBergen|ABC|2020-12-31</v>
      </c>
    </row>
    <row r="154">
      <c r="A154" s="1">
        <v>152.0</v>
      </c>
      <c r="B154" s="3">
        <v>44377.0</v>
      </c>
      <c r="C154" s="1" t="s">
        <v>97</v>
      </c>
      <c r="D154" s="1" t="s">
        <v>98</v>
      </c>
      <c r="F154" s="1">
        <v>2.91755E8</v>
      </c>
      <c r="G154" s="1">
        <v>2.31679E8</v>
      </c>
      <c r="H154" s="1">
        <v>1.57023E8</v>
      </c>
      <c r="I154" s="1">
        <v>4.73634E8</v>
      </c>
      <c r="J154" s="1">
        <v>3.16611E8</v>
      </c>
      <c r="K154" s="1">
        <v>3.16611E8</v>
      </c>
      <c r="L154" s="1">
        <v>-2.0442E7</v>
      </c>
      <c r="M154" s="1">
        <v>6.0076E7</v>
      </c>
      <c r="N154" s="1">
        <v>1.386346E9</v>
      </c>
      <c r="O154" s="1">
        <v>1.069735E9</v>
      </c>
      <c r="P154" s="1">
        <v>9.12712E8</v>
      </c>
      <c r="Q154" s="1">
        <v>-2.4856E7</v>
      </c>
      <c r="R154" s="1">
        <v>2.31679E8</v>
      </c>
      <c r="S154" s="1">
        <v>2.31679E8</v>
      </c>
      <c r="W154" s="4" t="str">
        <f>Raw_Data!C153&amp;"|"&amp;Raw_Data!D153&amp;"|"&amp;TEXT(Raw_Data!B153,"yyyy-mm-dd")</f>
        <v>AmerisourceBergen|ABC|2020-09-30</v>
      </c>
    </row>
    <row r="155">
      <c r="A155" s="1">
        <v>153.0</v>
      </c>
      <c r="B155" s="3">
        <v>44286.0</v>
      </c>
      <c r="C155" s="1" t="s">
        <v>97</v>
      </c>
      <c r="D155" s="1" t="s">
        <v>98</v>
      </c>
      <c r="F155" s="1">
        <v>2.72456E8</v>
      </c>
      <c r="G155" s="1">
        <v>2.19233E8</v>
      </c>
      <c r="H155" s="1">
        <v>1.3844E8</v>
      </c>
      <c r="I155" s="1">
        <v>4.2635E8</v>
      </c>
      <c r="J155" s="1">
        <v>2.8791E8</v>
      </c>
      <c r="K155" s="1">
        <v>2.8791E8</v>
      </c>
      <c r="L155" s="1">
        <v>-1.8947E7</v>
      </c>
      <c r="M155" s="1">
        <v>5.3223E7</v>
      </c>
      <c r="N155" s="1">
        <v>1.215742E9</v>
      </c>
      <c r="O155" s="1">
        <v>9.27832E8</v>
      </c>
      <c r="P155" s="1">
        <v>7.89392E8</v>
      </c>
      <c r="Q155" s="1">
        <v>-1.5454E7</v>
      </c>
      <c r="R155" s="1">
        <v>2.19233E8</v>
      </c>
      <c r="S155" s="1">
        <v>2.19233E8</v>
      </c>
      <c r="W155" s="4" t="str">
        <f>Raw_Data!C154&amp;"|"&amp;Raw_Data!D154&amp;"|"&amp;TEXT(Raw_Data!B154,"yyyy-mm-dd")</f>
        <v>Ametek|AME|2021-06-30</v>
      </c>
    </row>
    <row r="156">
      <c r="A156" s="1">
        <v>154.0</v>
      </c>
      <c r="B156" s="3">
        <v>44196.0</v>
      </c>
      <c r="C156" s="1" t="s">
        <v>97</v>
      </c>
      <c r="D156" s="1" t="s">
        <v>98</v>
      </c>
      <c r="F156" s="1">
        <v>2.76707E8</v>
      </c>
      <c r="G156" s="1">
        <v>2.21025E8</v>
      </c>
      <c r="H156" s="1">
        <v>1.35844E8</v>
      </c>
      <c r="I156" s="1">
        <v>4.28979E8</v>
      </c>
      <c r="J156" s="1">
        <v>2.93135E8</v>
      </c>
      <c r="K156" s="1">
        <v>2.93135E8</v>
      </c>
      <c r="L156" s="1">
        <v>-1.9465E7</v>
      </c>
      <c r="M156" s="1">
        <v>5.5682E7</v>
      </c>
      <c r="N156" s="1">
        <v>1.198947E9</v>
      </c>
      <c r="O156" s="1">
        <v>9.05812E8</v>
      </c>
      <c r="P156" s="1">
        <v>7.69968E8</v>
      </c>
      <c r="Q156" s="1">
        <v>-1.6428E7</v>
      </c>
      <c r="R156" s="1">
        <v>2.21025E8</v>
      </c>
      <c r="S156" s="1">
        <v>2.21025E8</v>
      </c>
      <c r="W156" s="4" t="str">
        <f>Raw_Data!C155&amp;"|"&amp;Raw_Data!D155&amp;"|"&amp;TEXT(Raw_Data!B155,"yyyy-mm-dd")</f>
        <v>Ametek|AME|2021-03-31</v>
      </c>
    </row>
    <row r="157">
      <c r="A157" s="1">
        <v>155.0</v>
      </c>
      <c r="B157" s="3">
        <v>44104.0</v>
      </c>
      <c r="C157" s="1" t="s">
        <v>97</v>
      </c>
      <c r="D157" s="1" t="s">
        <v>98</v>
      </c>
      <c r="F157" s="1">
        <v>2.48075E8</v>
      </c>
      <c r="G157" s="1">
        <v>2.04581E8</v>
      </c>
      <c r="H157" s="1">
        <v>1.28482E8</v>
      </c>
      <c r="I157" s="1">
        <v>3.94237E8</v>
      </c>
      <c r="J157" s="1">
        <v>2.65755E8</v>
      </c>
      <c r="K157" s="1">
        <v>2.65755E8</v>
      </c>
      <c r="L157" s="1">
        <v>-2.1187E7</v>
      </c>
      <c r="M157" s="1">
        <v>4.3494E7</v>
      </c>
      <c r="N157" s="1">
        <v>1.126942E9</v>
      </c>
      <c r="O157" s="1">
        <v>8.61187E8</v>
      </c>
      <c r="P157" s="1">
        <v>7.32705E8</v>
      </c>
      <c r="Q157" s="1">
        <v>-1.768E7</v>
      </c>
      <c r="R157" s="1">
        <v>2.04581E8</v>
      </c>
      <c r="S157" s="1">
        <v>2.04581E8</v>
      </c>
      <c r="W157" s="4" t="str">
        <f>Raw_Data!C156&amp;"|"&amp;Raw_Data!D156&amp;"|"&amp;TEXT(Raw_Data!B156,"yyyy-mm-dd")</f>
        <v>Ametek|AME|2020-12-31</v>
      </c>
    </row>
    <row r="158">
      <c r="A158" s="1">
        <v>156.0</v>
      </c>
      <c r="B158" s="3">
        <v>44377.0</v>
      </c>
      <c r="C158" s="1" t="s">
        <v>99</v>
      </c>
      <c r="D158" s="1" t="s">
        <v>100</v>
      </c>
      <c r="E158" s="1">
        <v>1.082E9</v>
      </c>
      <c r="F158" s="1">
        <v>5.58E8</v>
      </c>
      <c r="G158" s="1">
        <v>4.64E8</v>
      </c>
      <c r="H158" s="1">
        <v>1.384E9</v>
      </c>
      <c r="I158" s="1">
        <v>4.889E9</v>
      </c>
      <c r="J158" s="1">
        <v>2.333E9</v>
      </c>
      <c r="K158" s="1">
        <v>2.333E9</v>
      </c>
      <c r="L158" s="1">
        <v>-2.81E8</v>
      </c>
      <c r="M158" s="1">
        <v>9.4E7</v>
      </c>
      <c r="N158" s="1">
        <v>6.526E9</v>
      </c>
      <c r="O158" s="1">
        <v>4.193E9</v>
      </c>
      <c r="P158" s="1">
        <v>1.637E9</v>
      </c>
      <c r="Q158" s="1">
        <v>-1.775E9</v>
      </c>
      <c r="R158" s="1">
        <v>4.64E8</v>
      </c>
      <c r="S158" s="1">
        <v>4.64E8</v>
      </c>
      <c r="W158" s="4" t="str">
        <f>Raw_Data!C157&amp;"|"&amp;Raw_Data!D157&amp;"|"&amp;TEXT(Raw_Data!B157,"yyyy-mm-dd")</f>
        <v>Ametek|AME|2020-09-30</v>
      </c>
    </row>
    <row r="159">
      <c r="A159" s="1">
        <v>157.0</v>
      </c>
      <c r="B159" s="3">
        <v>44286.0</v>
      </c>
      <c r="C159" s="1" t="s">
        <v>99</v>
      </c>
      <c r="D159" s="1" t="s">
        <v>100</v>
      </c>
      <c r="E159" s="1">
        <v>9.67E8</v>
      </c>
      <c r="F159" s="1">
        <v>1.857E9</v>
      </c>
      <c r="G159" s="1">
        <v>1.646E9</v>
      </c>
      <c r="H159" s="1">
        <v>1.254E9</v>
      </c>
      <c r="I159" s="1">
        <v>4.411E9</v>
      </c>
      <c r="J159" s="1">
        <v>2.129E9</v>
      </c>
      <c r="K159" s="1">
        <v>2.129E9</v>
      </c>
      <c r="L159" s="1">
        <v>-2.85E8</v>
      </c>
      <c r="M159" s="1">
        <v>2.11E8</v>
      </c>
      <c r="N159" s="1">
        <v>5.901E9</v>
      </c>
      <c r="O159" s="1">
        <v>3.772E9</v>
      </c>
      <c r="P159" s="1">
        <v>1.49E9</v>
      </c>
      <c r="Q159" s="1">
        <v>-2.72E8</v>
      </c>
      <c r="R159" s="1">
        <v>1.646E9</v>
      </c>
      <c r="S159" s="1">
        <v>1.646E9</v>
      </c>
      <c r="W159" s="4" t="str">
        <f>Raw_Data!C158&amp;"|"&amp;Raw_Data!D158&amp;"|"&amp;TEXT(Raw_Data!B158,"yyyy-mm-dd")</f>
        <v>Amgen|AMGN|2021-06-30</v>
      </c>
    </row>
    <row r="160">
      <c r="A160" s="1">
        <v>158.0</v>
      </c>
      <c r="B160" s="3">
        <v>44196.0</v>
      </c>
      <c r="C160" s="1" t="s">
        <v>99</v>
      </c>
      <c r="D160" s="1" t="s">
        <v>100</v>
      </c>
      <c r="E160" s="1">
        <v>1.229E9</v>
      </c>
      <c r="F160" s="1">
        <v>1.877E9</v>
      </c>
      <c r="G160" s="1">
        <v>1.615E9</v>
      </c>
      <c r="H160" s="1">
        <v>1.773E9</v>
      </c>
      <c r="I160" s="1">
        <v>5.037E9</v>
      </c>
      <c r="J160" s="1">
        <v>2.035E9</v>
      </c>
      <c r="K160" s="1">
        <v>2.035E9</v>
      </c>
      <c r="L160" s="1">
        <v>-9.4E7</v>
      </c>
      <c r="M160" s="1">
        <v>2.62E8</v>
      </c>
      <c r="N160" s="1">
        <v>6.634E9</v>
      </c>
      <c r="O160" s="1">
        <v>4.599E9</v>
      </c>
      <c r="P160" s="1">
        <v>1.597E9</v>
      </c>
      <c r="Q160" s="1">
        <v>-1.58E8</v>
      </c>
      <c r="R160" s="1">
        <v>1.615E9</v>
      </c>
      <c r="S160" s="1">
        <v>1.615E9</v>
      </c>
      <c r="W160" s="4" t="str">
        <f>Raw_Data!C159&amp;"|"&amp;Raw_Data!D159&amp;"|"&amp;TEXT(Raw_Data!B159,"yyyy-mm-dd")</f>
        <v>Amgen|AMGN|2021-03-31</v>
      </c>
    </row>
    <row r="161">
      <c r="A161" s="1">
        <v>159.0</v>
      </c>
      <c r="B161" s="3">
        <v>44104.0</v>
      </c>
      <c r="C161" s="1" t="s">
        <v>99</v>
      </c>
      <c r="D161" s="1" t="s">
        <v>100</v>
      </c>
      <c r="E161" s="1">
        <v>1.062E9</v>
      </c>
      <c r="F161" s="1">
        <v>2.206E9</v>
      </c>
      <c r="G161" s="1">
        <v>2.021E9</v>
      </c>
      <c r="H161" s="1">
        <v>1.346E9</v>
      </c>
      <c r="I161" s="1">
        <v>4.862E9</v>
      </c>
      <c r="J161" s="1">
        <v>2.453E9</v>
      </c>
      <c r="K161" s="1">
        <v>2.453E9</v>
      </c>
      <c r="L161" s="1">
        <v>-3.02E8</v>
      </c>
      <c r="M161" s="1">
        <v>1.85E8</v>
      </c>
      <c r="N161" s="1">
        <v>6.423E9</v>
      </c>
      <c r="O161" s="1">
        <v>3.97E9</v>
      </c>
      <c r="P161" s="1">
        <v>1.561E9</v>
      </c>
      <c r="Q161" s="1">
        <v>-2.47E8</v>
      </c>
      <c r="R161" s="1">
        <v>2.021E9</v>
      </c>
      <c r="S161" s="1">
        <v>2.021E9</v>
      </c>
      <c r="W161" s="4" t="str">
        <f>Raw_Data!C160&amp;"|"&amp;Raw_Data!D160&amp;"|"&amp;TEXT(Raw_Data!B160,"yyyy-mm-dd")</f>
        <v>Amgen|AMGN|2020-12-31</v>
      </c>
    </row>
    <row r="162">
      <c r="A162" s="1">
        <v>160.0</v>
      </c>
      <c r="B162" s="3">
        <v>44286.0</v>
      </c>
      <c r="C162" s="1" t="s">
        <v>102</v>
      </c>
      <c r="D162" s="1" t="s">
        <v>103</v>
      </c>
      <c r="F162" s="1">
        <v>4.359E8</v>
      </c>
      <c r="G162" s="1">
        <v>3.296E8</v>
      </c>
      <c r="H162" s="1">
        <v>2.627E8</v>
      </c>
      <c r="I162" s="1">
        <v>7.275E8</v>
      </c>
      <c r="J162" s="1">
        <v>4.648E8</v>
      </c>
      <c r="K162" s="1">
        <v>4.648E8</v>
      </c>
      <c r="L162" s="1">
        <v>-2.86E7</v>
      </c>
      <c r="M162" s="1">
        <v>1.041E8</v>
      </c>
      <c r="N162" s="1">
        <v>2.3771E9</v>
      </c>
      <c r="O162" s="1">
        <v>1.9123E9</v>
      </c>
      <c r="P162" s="1">
        <v>1.6496E9</v>
      </c>
      <c r="Q162" s="1">
        <v>-2.89E7</v>
      </c>
      <c r="R162" s="1">
        <v>3.318E8</v>
      </c>
      <c r="S162" s="1">
        <v>3.296E8</v>
      </c>
      <c r="W162" s="4" t="str">
        <f>Raw_Data!C161&amp;"|"&amp;Raw_Data!D161&amp;"|"&amp;TEXT(Raw_Data!B161,"yyyy-mm-dd")</f>
        <v>Amgen|AMGN|2020-09-30</v>
      </c>
    </row>
    <row r="163">
      <c r="A163" s="1">
        <v>161.0</v>
      </c>
      <c r="B163" s="3">
        <v>44196.0</v>
      </c>
      <c r="C163" s="1" t="s">
        <v>102</v>
      </c>
      <c r="D163" s="1" t="s">
        <v>103</v>
      </c>
      <c r="E163" s="1">
        <v>2.607E8</v>
      </c>
      <c r="F163" s="1">
        <v>4.602E8</v>
      </c>
      <c r="G163" s="1">
        <v>3.57E8</v>
      </c>
      <c r="H163" s="1">
        <v>1.19E7</v>
      </c>
      <c r="I163" s="1">
        <v>7.656E8</v>
      </c>
      <c r="J163" s="1">
        <v>4.93E8</v>
      </c>
      <c r="K163" s="1">
        <v>4.93E8</v>
      </c>
      <c r="L163" s="1">
        <v>-2.83E7</v>
      </c>
      <c r="M163" s="1">
        <v>1.0E8</v>
      </c>
      <c r="N163" s="1">
        <v>2.426E9</v>
      </c>
      <c r="O163" s="1">
        <v>1.933E9</v>
      </c>
      <c r="P163" s="1">
        <v>1.6604E9</v>
      </c>
      <c r="Q163" s="1">
        <v>-3.28E7</v>
      </c>
      <c r="R163" s="1">
        <v>3.602E8</v>
      </c>
      <c r="S163" s="1">
        <v>3.57E8</v>
      </c>
      <c r="W163" s="4" t="str">
        <f>Raw_Data!C162&amp;"|"&amp;Raw_Data!D162&amp;"|"&amp;TEXT(Raw_Data!B162,"yyyy-mm-dd")</f>
        <v>Amphenol|APH|2021-03-31</v>
      </c>
    </row>
    <row r="164">
      <c r="A164" s="1">
        <v>162.0</v>
      </c>
      <c r="B164" s="3">
        <v>44104.0</v>
      </c>
      <c r="C164" s="1" t="s">
        <v>102</v>
      </c>
      <c r="D164" s="1" t="s">
        <v>103</v>
      </c>
      <c r="E164" s="1">
        <v>2.607E8</v>
      </c>
      <c r="F164" s="1">
        <v>4.488E8</v>
      </c>
      <c r="G164" s="1">
        <v>3.466E8</v>
      </c>
      <c r="H164" s="1">
        <v>2.591E8</v>
      </c>
      <c r="I164" s="1">
        <v>7.349E8</v>
      </c>
      <c r="J164" s="1">
        <v>4.758E8</v>
      </c>
      <c r="K164" s="1">
        <v>4.758E8</v>
      </c>
      <c r="L164" s="1">
        <v>-2.8E7</v>
      </c>
      <c r="M164" s="1">
        <v>9.93E7</v>
      </c>
      <c r="N164" s="1">
        <v>2.3234E9</v>
      </c>
      <c r="O164" s="1">
        <v>1.8476E9</v>
      </c>
      <c r="P164" s="1">
        <v>1.5885E9</v>
      </c>
      <c r="Q164" s="1">
        <v>-2.7E7</v>
      </c>
      <c r="R164" s="1">
        <v>3.495E8</v>
      </c>
      <c r="S164" s="1">
        <v>3.466E8</v>
      </c>
      <c r="W164" s="4" t="str">
        <f>Raw_Data!C163&amp;"|"&amp;Raw_Data!D163&amp;"|"&amp;TEXT(Raw_Data!B163,"yyyy-mm-dd")</f>
        <v>Amphenol|APH|2020-12-31</v>
      </c>
    </row>
    <row r="165">
      <c r="A165" s="1">
        <v>163.0</v>
      </c>
      <c r="B165" s="3">
        <v>44012.0</v>
      </c>
      <c r="C165" s="1" t="s">
        <v>102</v>
      </c>
      <c r="D165" s="1" t="s">
        <v>103</v>
      </c>
      <c r="E165" s="1">
        <v>2.607E8</v>
      </c>
      <c r="F165" s="1">
        <v>3.285E8</v>
      </c>
      <c r="G165" s="1">
        <v>2.577E8</v>
      </c>
      <c r="H165" s="1">
        <v>2.464E8</v>
      </c>
      <c r="I165" s="1">
        <v>6.038E8</v>
      </c>
      <c r="J165" s="1">
        <v>3.574E8</v>
      </c>
      <c r="K165" s="1">
        <v>3.574E8</v>
      </c>
      <c r="L165" s="1">
        <v>-3.02E7</v>
      </c>
      <c r="M165" s="1">
        <v>6.8E7</v>
      </c>
      <c r="N165" s="1">
        <v>1.9875E9</v>
      </c>
      <c r="O165" s="1">
        <v>1.6301E9</v>
      </c>
      <c r="P165" s="1">
        <v>1.3837E9</v>
      </c>
      <c r="Q165" s="1">
        <v>-2.89E7</v>
      </c>
      <c r="R165" s="1">
        <v>2.605E8</v>
      </c>
      <c r="S165" s="1">
        <v>2.577E8</v>
      </c>
      <c r="W165" s="4" t="str">
        <f>Raw_Data!C164&amp;"|"&amp;Raw_Data!D164&amp;"|"&amp;TEXT(Raw_Data!B164,"yyyy-mm-dd")</f>
        <v>Amphenol|APH|2020-09-30</v>
      </c>
    </row>
    <row r="166">
      <c r="A166" s="1">
        <v>164.0</v>
      </c>
      <c r="B166" s="3">
        <v>44408.0</v>
      </c>
      <c r="C166" s="1" t="s">
        <v>104</v>
      </c>
      <c r="D166" s="1" t="s">
        <v>105</v>
      </c>
      <c r="E166" s="1">
        <v>3.06617E8</v>
      </c>
      <c r="F166" s="1">
        <v>5.72278E8</v>
      </c>
      <c r="G166" s="1">
        <v>5.03311E8</v>
      </c>
      <c r="H166" s="1">
        <v>1.87776E8</v>
      </c>
      <c r="I166" s="1">
        <v>1.221184E9</v>
      </c>
      <c r="J166" s="1">
        <v>6.19008E8</v>
      </c>
      <c r="K166" s="1">
        <v>6.19008E8</v>
      </c>
      <c r="L166" s="1">
        <v>-4.4659E7</v>
      </c>
      <c r="M166" s="1">
        <v>6.8967E7</v>
      </c>
      <c r="N166" s="1">
        <v>1.758853E9</v>
      </c>
      <c r="O166" s="1">
        <v>1.139845E9</v>
      </c>
      <c r="P166" s="1">
        <v>5.37669E8</v>
      </c>
      <c r="Q166" s="1">
        <v>-4.673E7</v>
      </c>
      <c r="R166" s="1">
        <v>5.03311E8</v>
      </c>
      <c r="S166" s="1">
        <v>5.03311E8</v>
      </c>
      <c r="W166" s="4" t="str">
        <f>Raw_Data!C165&amp;"|"&amp;Raw_Data!D165&amp;"|"&amp;TEXT(Raw_Data!B165,"yyyy-mm-dd")</f>
        <v>Amphenol|APH|2020-06-30</v>
      </c>
    </row>
    <row r="167">
      <c r="A167" s="1">
        <v>165.0</v>
      </c>
      <c r="B167" s="3">
        <v>44317.0</v>
      </c>
      <c r="C167" s="1" t="s">
        <v>104</v>
      </c>
      <c r="D167" s="1" t="s">
        <v>105</v>
      </c>
      <c r="E167" s="1">
        <v>3.02238E8</v>
      </c>
      <c r="F167" s="1">
        <v>4.75985E8</v>
      </c>
      <c r="G167" s="1">
        <v>4.22905E8</v>
      </c>
      <c r="H167" s="1">
        <v>1.83612E8</v>
      </c>
      <c r="I167" s="1">
        <v>1.136637E9</v>
      </c>
      <c r="J167" s="1">
        <v>5.43001E8</v>
      </c>
      <c r="K167" s="1">
        <v>5.43001E8</v>
      </c>
      <c r="L167" s="1">
        <v>-4.3066E7</v>
      </c>
      <c r="M167" s="1">
        <v>5.308E7</v>
      </c>
      <c r="N167" s="1">
        <v>1.661407E9</v>
      </c>
      <c r="O167" s="1">
        <v>1.118406E9</v>
      </c>
      <c r="P167" s="1">
        <v>5.2477E8</v>
      </c>
      <c r="Q167" s="1">
        <v>-6.7016E7</v>
      </c>
      <c r="R167" s="1">
        <v>4.22905E8</v>
      </c>
      <c r="S167" s="1">
        <v>4.22905E8</v>
      </c>
      <c r="W167" s="4" t="str">
        <f>Raw_Data!C166&amp;"|"&amp;Raw_Data!D166&amp;"|"&amp;TEXT(Raw_Data!B166,"yyyy-mm-dd")</f>
        <v>Analog Devices|ADI|2021-07-31</v>
      </c>
    </row>
    <row r="168">
      <c r="A168" s="1">
        <v>166.0</v>
      </c>
      <c r="B168" s="3">
        <v>44226.0</v>
      </c>
      <c r="C168" s="1" t="s">
        <v>104</v>
      </c>
      <c r="D168" s="1" t="s">
        <v>105</v>
      </c>
      <c r="E168" s="1">
        <v>2.8815E8</v>
      </c>
      <c r="F168" s="1">
        <v>4.36618E8</v>
      </c>
      <c r="G168" s="1">
        <v>3.88519E8</v>
      </c>
      <c r="H168" s="1">
        <v>1.70075E8</v>
      </c>
      <c r="I168" s="1">
        <v>1.045371E9</v>
      </c>
      <c r="J168" s="1">
        <v>4.79498E8</v>
      </c>
      <c r="K168" s="1">
        <v>4.79498E8</v>
      </c>
      <c r="L168" s="1">
        <v>-4.2479E7</v>
      </c>
      <c r="M168" s="1">
        <v>4.8099E7</v>
      </c>
      <c r="N168" s="1">
        <v>1.558458E9</v>
      </c>
      <c r="O168" s="1">
        <v>1.07896E9</v>
      </c>
      <c r="P168" s="1">
        <v>5.13087E8</v>
      </c>
      <c r="Q168" s="1">
        <v>-4.288E7</v>
      </c>
      <c r="R168" s="1">
        <v>3.88519E8</v>
      </c>
      <c r="S168" s="1">
        <v>3.88519E8</v>
      </c>
      <c r="W168" s="4" t="str">
        <f>Raw_Data!C167&amp;"|"&amp;Raw_Data!D167&amp;"|"&amp;TEXT(Raw_Data!B167,"yyyy-mm-dd")</f>
        <v>Analog Devices|ADI|2021-05-01</v>
      </c>
    </row>
    <row r="169">
      <c r="A169" s="1">
        <v>167.0</v>
      </c>
      <c r="B169" s="3">
        <v>44135.0</v>
      </c>
      <c r="C169" s="1" t="s">
        <v>104</v>
      </c>
      <c r="D169" s="1" t="s">
        <v>105</v>
      </c>
      <c r="E169" s="1">
        <v>2.80239E8</v>
      </c>
      <c r="F169" s="1">
        <v>4.1731E8</v>
      </c>
      <c r="G169" s="1">
        <v>3.86526E8</v>
      </c>
      <c r="H169" s="1">
        <v>1.46219E8</v>
      </c>
      <c r="I169" s="1">
        <v>1.023084E9</v>
      </c>
      <c r="J169" s="1">
        <v>4.88619E8</v>
      </c>
      <c r="K169" s="1">
        <v>4.88619E8</v>
      </c>
      <c r="L169" s="1">
        <v>-4.8593E7</v>
      </c>
      <c r="M169" s="1">
        <v>3.0784E7</v>
      </c>
      <c r="N169" s="1">
        <v>1.526295E9</v>
      </c>
      <c r="O169" s="1">
        <v>1.037676E9</v>
      </c>
      <c r="P169" s="1">
        <v>5.03211E8</v>
      </c>
      <c r="Q169" s="1">
        <v>-7.1309E7</v>
      </c>
      <c r="R169" s="1">
        <v>3.86526E8</v>
      </c>
      <c r="S169" s="1">
        <v>3.86526E8</v>
      </c>
      <c r="W169" s="4" t="str">
        <f>Raw_Data!C168&amp;"|"&amp;Raw_Data!D168&amp;"|"&amp;TEXT(Raw_Data!B168,"yyyy-mm-dd")</f>
        <v>Analog Devices|ADI|2021-01-30</v>
      </c>
    </row>
    <row r="170">
      <c r="A170" s="1">
        <v>168.0</v>
      </c>
      <c r="B170" s="3">
        <v>44377.0</v>
      </c>
      <c r="C170" s="1" t="s">
        <v>107</v>
      </c>
      <c r="D170" s="1" t="s">
        <v>108</v>
      </c>
      <c r="E170" s="1">
        <v>1.00879E8</v>
      </c>
      <c r="F170" s="1">
        <v>1.2886E8</v>
      </c>
      <c r="G170" s="1">
        <v>9.3716E7</v>
      </c>
      <c r="H170" s="1">
        <v>1.59089E8</v>
      </c>
      <c r="I170" s="1">
        <v>3.97521E8</v>
      </c>
      <c r="J170" s="1">
        <v>1.18094E8</v>
      </c>
      <c r="K170" s="1">
        <v>1.18094E8</v>
      </c>
      <c r="L170" s="1">
        <v>-3336000.0</v>
      </c>
      <c r="M170" s="1">
        <v>3.5144E7</v>
      </c>
      <c r="N170" s="1">
        <v>4.46654E8</v>
      </c>
      <c r="O170" s="1">
        <v>3.2856E8</v>
      </c>
      <c r="P170" s="1">
        <v>4.9133E7</v>
      </c>
      <c r="Q170" s="1">
        <v>1.0766E7</v>
      </c>
      <c r="R170" s="1">
        <v>9.3716E7</v>
      </c>
      <c r="S170" s="1">
        <v>9.3716E7</v>
      </c>
      <c r="W170" s="4" t="str">
        <f>Raw_Data!C169&amp;"|"&amp;Raw_Data!D169&amp;"|"&amp;TEXT(Raw_Data!B169,"yyyy-mm-dd")</f>
        <v>Analog Devices|ADI|2020-10-31</v>
      </c>
    </row>
    <row r="171">
      <c r="A171" s="1">
        <v>169.0</v>
      </c>
      <c r="B171" s="3">
        <v>44286.0</v>
      </c>
      <c r="C171" s="1" t="s">
        <v>107</v>
      </c>
      <c r="D171" s="1" t="s">
        <v>108</v>
      </c>
      <c r="E171" s="1">
        <v>1.00479E8</v>
      </c>
      <c r="F171" s="1">
        <v>4.7623E7</v>
      </c>
      <c r="G171" s="1">
        <v>7.2398E7</v>
      </c>
      <c r="H171" s="1">
        <v>1.44245E8</v>
      </c>
      <c r="I171" s="1">
        <v>3.16072E8</v>
      </c>
      <c r="J171" s="1">
        <v>5.1992E7</v>
      </c>
      <c r="K171" s="1">
        <v>5.1992E7</v>
      </c>
      <c r="L171" s="1">
        <v>-3315000.0</v>
      </c>
      <c r="M171" s="1">
        <v>-2.4775E7</v>
      </c>
      <c r="N171" s="1">
        <v>3.63226E8</v>
      </c>
      <c r="O171" s="1">
        <v>3.11234E8</v>
      </c>
      <c r="P171" s="1">
        <v>4.7154E7</v>
      </c>
      <c r="Q171" s="1">
        <v>-4369000.0</v>
      </c>
      <c r="R171" s="1">
        <v>7.2398E7</v>
      </c>
      <c r="S171" s="1">
        <v>7.2398E7</v>
      </c>
      <c r="W171" s="4" t="str">
        <f>Raw_Data!C170&amp;"|"&amp;Raw_Data!D170&amp;"|"&amp;TEXT(Raw_Data!B170,"yyyy-mm-dd")</f>
        <v>Ansys|ANSS|2021-06-30</v>
      </c>
    </row>
    <row r="172">
      <c r="A172" s="1">
        <v>170.0</v>
      </c>
      <c r="B172" s="3">
        <v>44196.0</v>
      </c>
      <c r="C172" s="1" t="s">
        <v>107</v>
      </c>
      <c r="D172" s="1" t="s">
        <v>108</v>
      </c>
      <c r="E172" s="1">
        <v>9.651E7</v>
      </c>
      <c r="F172" s="1">
        <v>2.57872E8</v>
      </c>
      <c r="G172" s="1">
        <v>2.15632E8</v>
      </c>
      <c r="H172" s="1">
        <v>1.93524E8</v>
      </c>
      <c r="I172" s="1">
        <v>5.67198E8</v>
      </c>
      <c r="J172" s="1">
        <v>2.61712E8</v>
      </c>
      <c r="K172" s="1">
        <v>2.61712E8</v>
      </c>
      <c r="L172" s="1">
        <v>-2444000.0</v>
      </c>
      <c r="M172" s="1">
        <v>4.224E7</v>
      </c>
      <c r="N172" s="1">
        <v>6.23686E8</v>
      </c>
      <c r="O172" s="1">
        <v>3.61974E8</v>
      </c>
      <c r="P172" s="1">
        <v>5.6488E7</v>
      </c>
      <c r="Q172" s="1">
        <v>-3840000.0</v>
      </c>
      <c r="R172" s="1">
        <v>2.15632E8</v>
      </c>
      <c r="S172" s="1">
        <v>2.15632E8</v>
      </c>
      <c r="W172" s="4" t="str">
        <f>Raw_Data!C171&amp;"|"&amp;Raw_Data!D171&amp;"|"&amp;TEXT(Raw_Data!B171,"yyyy-mm-dd")</f>
        <v>Ansys|ANSS|2021-03-31</v>
      </c>
    </row>
    <row r="173">
      <c r="A173" s="1">
        <v>171.0</v>
      </c>
      <c r="B173" s="3">
        <v>44104.0</v>
      </c>
      <c r="C173" s="1" t="s">
        <v>107</v>
      </c>
      <c r="D173" s="1" t="s">
        <v>108</v>
      </c>
      <c r="E173" s="1">
        <v>8.6616E7</v>
      </c>
      <c r="F173" s="1">
        <v>9.0144E7</v>
      </c>
      <c r="G173" s="1">
        <v>7.5627E7</v>
      </c>
      <c r="H173" s="1">
        <v>1.31093E8</v>
      </c>
      <c r="I173" s="1">
        <v>3.23491E8</v>
      </c>
      <c r="J173" s="1">
        <v>9.1634E7</v>
      </c>
      <c r="K173" s="1">
        <v>9.1634E7</v>
      </c>
      <c r="L173" s="1">
        <v>-1853000.0</v>
      </c>
      <c r="M173" s="1">
        <v>1.4517E7</v>
      </c>
      <c r="N173" s="1">
        <v>3.66965E8</v>
      </c>
      <c r="O173" s="1">
        <v>2.75331E8</v>
      </c>
      <c r="P173" s="1">
        <v>4.3474E7</v>
      </c>
      <c r="Q173" s="1">
        <v>-1490000.0</v>
      </c>
      <c r="R173" s="1">
        <v>7.5627E7</v>
      </c>
      <c r="S173" s="1">
        <v>7.5627E7</v>
      </c>
      <c r="W173" s="4" t="str">
        <f>Raw_Data!C172&amp;"|"&amp;Raw_Data!D172&amp;"|"&amp;TEXT(Raw_Data!B172,"yyyy-mm-dd")</f>
        <v>Ansys|ANSS|2020-12-31</v>
      </c>
    </row>
    <row r="174">
      <c r="A174" s="1">
        <v>172.0</v>
      </c>
      <c r="B174" s="3">
        <v>44469.0</v>
      </c>
      <c r="C174" s="1" t="s">
        <v>109</v>
      </c>
      <c r="D174" s="1" t="s">
        <v>110</v>
      </c>
      <c r="F174" s="1">
        <v>1.996E9</v>
      </c>
      <c r="G174" s="1">
        <v>1.509E9</v>
      </c>
      <c r="H174" s="1">
        <v>6.844E9</v>
      </c>
      <c r="I174" s="1">
        <v>9.177E9</v>
      </c>
      <c r="J174" s="1">
        <v>2.197E9</v>
      </c>
      <c r="K174" s="1">
        <v>2.197E9</v>
      </c>
      <c r="L174" s="1">
        <v>-2.01E8</v>
      </c>
      <c r="M174" s="1">
        <v>4.94E8</v>
      </c>
      <c r="N174" s="1">
        <v>3.5822E10</v>
      </c>
      <c r="O174" s="1">
        <v>3.3625E10</v>
      </c>
      <c r="P174" s="1">
        <v>2.6645E10</v>
      </c>
      <c r="Q174" s="1">
        <v>-2.01E8</v>
      </c>
      <c r="R174" s="1">
        <v>1.502E9</v>
      </c>
      <c r="S174" s="1">
        <v>1.509E9</v>
      </c>
      <c r="W174" s="4" t="str">
        <f>Raw_Data!C173&amp;"|"&amp;Raw_Data!D173&amp;"|"&amp;TEXT(Raw_Data!B173,"yyyy-mm-dd")</f>
        <v>Ansys|ANSS|2020-09-30</v>
      </c>
    </row>
    <row r="175">
      <c r="A175" s="1">
        <v>173.0</v>
      </c>
      <c r="B175" s="3">
        <v>44377.0</v>
      </c>
      <c r="C175" s="1" t="s">
        <v>109</v>
      </c>
      <c r="D175" s="1" t="s">
        <v>110</v>
      </c>
      <c r="F175" s="1">
        <v>2.353E9</v>
      </c>
      <c r="G175" s="1">
        <v>1.793E9</v>
      </c>
      <c r="H175" s="1">
        <v>6.435E9</v>
      </c>
      <c r="I175" s="1">
        <v>9.088E9</v>
      </c>
      <c r="J175" s="1">
        <v>2.563E9</v>
      </c>
      <c r="K175" s="1">
        <v>2.563E9</v>
      </c>
      <c r="L175" s="1">
        <v>-2.05E8</v>
      </c>
      <c r="M175" s="1">
        <v>5.52E8</v>
      </c>
      <c r="N175" s="1">
        <v>3.3851E10</v>
      </c>
      <c r="O175" s="1">
        <v>3.1288E10</v>
      </c>
      <c r="P175" s="1">
        <v>2.4763E10</v>
      </c>
      <c r="Q175" s="1">
        <v>-2.1E8</v>
      </c>
      <c r="R175" s="1">
        <v>1.801E9</v>
      </c>
      <c r="S175" s="1">
        <v>1.793E9</v>
      </c>
      <c r="W175" s="4" t="str">
        <f>Raw_Data!C174&amp;"|"&amp;Raw_Data!D174&amp;"|"&amp;TEXT(Raw_Data!B174,"yyyy-mm-dd")</f>
        <v>Anthem|ANTM|2021-09-30</v>
      </c>
    </row>
    <row r="176">
      <c r="A176" s="1">
        <v>174.0</v>
      </c>
      <c r="B176" s="3">
        <v>44286.0</v>
      </c>
      <c r="C176" s="1" t="s">
        <v>109</v>
      </c>
      <c r="D176" s="1" t="s">
        <v>110</v>
      </c>
      <c r="F176" s="1">
        <v>2.176E9</v>
      </c>
      <c r="G176" s="1">
        <v>1.665E9</v>
      </c>
      <c r="H176" s="1">
        <v>6.238E9</v>
      </c>
      <c r="I176" s="1">
        <v>8.686E9</v>
      </c>
      <c r="J176" s="1">
        <v>2.368E9</v>
      </c>
      <c r="K176" s="1">
        <v>2.368E9</v>
      </c>
      <c r="L176" s="1">
        <v>-1.92E8</v>
      </c>
      <c r="M176" s="1">
        <v>5.09E8</v>
      </c>
      <c r="N176" s="1">
        <v>3.2385E10</v>
      </c>
      <c r="O176" s="1">
        <v>3.0017E10</v>
      </c>
      <c r="P176" s="1">
        <v>2.3699E10</v>
      </c>
      <c r="Q176" s="1">
        <v>-1.92E8</v>
      </c>
      <c r="R176" s="1">
        <v>1.667E9</v>
      </c>
      <c r="S176" s="1">
        <v>1.665E9</v>
      </c>
      <c r="W176" s="4" t="str">
        <f>Raw_Data!C175&amp;"|"&amp;Raw_Data!D175&amp;"|"&amp;TEXT(Raw_Data!B175,"yyyy-mm-dd")</f>
        <v>Anthem|ANTM|2021-06-30</v>
      </c>
    </row>
    <row r="177">
      <c r="A177" s="1">
        <v>175.0</v>
      </c>
      <c r="B177" s="3">
        <v>44196.0</v>
      </c>
      <c r="C177" s="1" t="s">
        <v>109</v>
      </c>
      <c r="D177" s="1" t="s">
        <v>110</v>
      </c>
      <c r="F177" s="1">
        <v>6.11E8</v>
      </c>
      <c r="G177" s="1">
        <v>5.51E8</v>
      </c>
      <c r="H177" s="1">
        <v>6.84E9</v>
      </c>
      <c r="I177" s="1">
        <v>7.737E9</v>
      </c>
      <c r="J177" s="1">
        <v>8.05E8</v>
      </c>
      <c r="K177" s="1">
        <v>8.05E8</v>
      </c>
      <c r="L177" s="1">
        <v>-1.92E8</v>
      </c>
      <c r="M177" s="1">
        <v>6.0E7</v>
      </c>
      <c r="N177" s="1">
        <v>3.1825E10</v>
      </c>
      <c r="O177" s="1">
        <v>3.102E10</v>
      </c>
      <c r="P177" s="1">
        <v>2.4088E10</v>
      </c>
      <c r="Q177" s="1">
        <v>-1.94E8</v>
      </c>
      <c r="R177" s="1">
        <v>5.51E8</v>
      </c>
      <c r="S177" s="1">
        <v>5.51E8</v>
      </c>
      <c r="W177" s="4" t="str">
        <f>Raw_Data!C176&amp;"|"&amp;Raw_Data!D176&amp;"|"&amp;TEXT(Raw_Data!B176,"yyyy-mm-dd")</f>
        <v>Anthem|ANTM|2021-03-31</v>
      </c>
    </row>
    <row r="178">
      <c r="A178" s="1">
        <v>176.0</v>
      </c>
      <c r="B178" s="3">
        <v>44377.0</v>
      </c>
      <c r="C178" s="1" t="s">
        <v>111</v>
      </c>
      <c r="D178" s="1" t="s">
        <v>112</v>
      </c>
      <c r="F178" s="1">
        <v>5.96E8</v>
      </c>
      <c r="G178" s="1">
        <v>3.79E8</v>
      </c>
      <c r="H178" s="1">
        <v>4.71E8</v>
      </c>
      <c r="I178" s="1">
        <v>1.266E9</v>
      </c>
      <c r="J178" s="1">
        <v>7.18E8</v>
      </c>
      <c r="K178" s="1">
        <v>7.18E8</v>
      </c>
      <c r="L178" s="1">
        <v>-7.8E7</v>
      </c>
      <c r="M178" s="1">
        <v>2.03E8</v>
      </c>
      <c r="N178" s="1">
        <v>2.886E9</v>
      </c>
      <c r="O178" s="1">
        <v>2.168E9</v>
      </c>
      <c r="P178" s="1">
        <v>1.62E9</v>
      </c>
      <c r="Q178" s="1">
        <v>-1.22E8</v>
      </c>
      <c r="R178" s="1">
        <v>3.93E8</v>
      </c>
      <c r="S178" s="1">
        <v>3.79E8</v>
      </c>
      <c r="W178" s="4" t="str">
        <f>Raw_Data!C177&amp;"|"&amp;Raw_Data!D177&amp;"|"&amp;TEXT(Raw_Data!B177,"yyyy-mm-dd")</f>
        <v>Anthem|ANTM|2020-12-31</v>
      </c>
    </row>
    <row r="179">
      <c r="A179" s="1">
        <v>177.0</v>
      </c>
      <c r="B179" s="3">
        <v>44286.0</v>
      </c>
      <c r="C179" s="1" t="s">
        <v>111</v>
      </c>
      <c r="D179" s="1" t="s">
        <v>112</v>
      </c>
      <c r="F179" s="1">
        <v>1.167E9</v>
      </c>
      <c r="G179" s="1">
        <v>9.13E8</v>
      </c>
      <c r="H179" s="1">
        <v>4.45E8</v>
      </c>
      <c r="I179" s="1">
        <v>1.812E9</v>
      </c>
      <c r="J179" s="1">
        <v>1.286E9</v>
      </c>
      <c r="K179" s="1">
        <v>1.286E9</v>
      </c>
      <c r="L179" s="1">
        <v>-7.9E7</v>
      </c>
      <c r="M179" s="1">
        <v>2.34E8</v>
      </c>
      <c r="N179" s="1">
        <v>3.525E9</v>
      </c>
      <c r="O179" s="1">
        <v>2.239E9</v>
      </c>
      <c r="P179" s="1">
        <v>1.713E9</v>
      </c>
      <c r="Q179" s="1">
        <v>-1.19E8</v>
      </c>
      <c r="R179" s="1">
        <v>9.33E8</v>
      </c>
      <c r="S179" s="1">
        <v>9.13E8</v>
      </c>
      <c r="W179" s="4" t="str">
        <f>Raw_Data!C178&amp;"|"&amp;Raw_Data!D178&amp;"|"&amp;TEXT(Raw_Data!B178,"yyyy-mm-dd")</f>
        <v>Aon|AON|2021-06-30</v>
      </c>
    </row>
    <row r="180">
      <c r="A180" s="1">
        <v>178.0</v>
      </c>
      <c r="B180" s="3">
        <v>44196.0</v>
      </c>
      <c r="C180" s="1" t="s">
        <v>111</v>
      </c>
      <c r="D180" s="1" t="s">
        <v>112</v>
      </c>
      <c r="F180" s="1">
        <v>6.26E8</v>
      </c>
      <c r="G180" s="1">
        <v>5.24E8</v>
      </c>
      <c r="H180" s="1">
        <v>5.04E8</v>
      </c>
      <c r="I180" s="1">
        <v>1.333E9</v>
      </c>
      <c r="J180" s="1">
        <v>7.45E8</v>
      </c>
      <c r="K180" s="1">
        <v>7.45E8</v>
      </c>
      <c r="L180" s="1">
        <v>-8.2E7</v>
      </c>
      <c r="M180" s="1">
        <v>9.2E7</v>
      </c>
      <c r="N180" s="1">
        <v>2.965E9</v>
      </c>
      <c r="O180" s="1">
        <v>2.22E9</v>
      </c>
      <c r="P180" s="1">
        <v>1.632E9</v>
      </c>
      <c r="Q180" s="1">
        <v>-1.19E8</v>
      </c>
      <c r="R180" s="1">
        <v>5.34E8</v>
      </c>
      <c r="S180" s="1">
        <v>5.24E8</v>
      </c>
      <c r="W180" s="4" t="str">
        <f>Raw_Data!C179&amp;"|"&amp;Raw_Data!D179&amp;"|"&amp;TEXT(Raw_Data!B179,"yyyy-mm-dd")</f>
        <v>Aon|AON|2021-03-31</v>
      </c>
    </row>
    <row r="181">
      <c r="A181" s="1">
        <v>179.0</v>
      </c>
      <c r="B181" s="3">
        <v>44104.0</v>
      </c>
      <c r="C181" s="1" t="s">
        <v>111</v>
      </c>
      <c r="D181" s="1" t="s">
        <v>112</v>
      </c>
      <c r="F181" s="1">
        <v>3.63E8</v>
      </c>
      <c r="G181" s="1">
        <v>2.75E8</v>
      </c>
      <c r="H181" s="1">
        <v>4.22E8</v>
      </c>
      <c r="I181" s="1">
        <v>1.002E9</v>
      </c>
      <c r="J181" s="1">
        <v>4.88E8</v>
      </c>
      <c r="K181" s="1">
        <v>4.88E8</v>
      </c>
      <c r="L181" s="1">
        <v>-8.0E7</v>
      </c>
      <c r="M181" s="1">
        <v>8.2E7</v>
      </c>
      <c r="N181" s="1">
        <v>2.385E9</v>
      </c>
      <c r="O181" s="1">
        <v>1.897E9</v>
      </c>
      <c r="P181" s="1">
        <v>1.383E9</v>
      </c>
      <c r="Q181" s="1">
        <v>-1.25E8</v>
      </c>
      <c r="R181" s="1">
        <v>2.81E8</v>
      </c>
      <c r="S181" s="1">
        <v>2.75E8</v>
      </c>
      <c r="W181" s="4" t="str">
        <f>Raw_Data!C180&amp;"|"&amp;Raw_Data!D180&amp;"|"&amp;TEXT(Raw_Data!B180,"yyyy-mm-dd")</f>
        <v>Aon|AON|2020-12-31</v>
      </c>
    </row>
    <row r="182">
      <c r="A182" s="1">
        <v>180.0</v>
      </c>
      <c r="B182" s="3">
        <v>44377.0</v>
      </c>
      <c r="C182" s="1" t="s">
        <v>113</v>
      </c>
      <c r="D182" s="1" t="s">
        <v>114</v>
      </c>
      <c r="F182" s="1">
        <v>4.95E8</v>
      </c>
      <c r="G182" s="1">
        <v>3.16E8</v>
      </c>
      <c r="H182" s="1">
        <v>8.6E7</v>
      </c>
      <c r="I182" s="1">
        <v>1.196E9</v>
      </c>
      <c r="J182" s="1">
        <v>5.1E8</v>
      </c>
      <c r="K182" s="1">
        <v>5.1E8</v>
      </c>
      <c r="L182" s="1">
        <v>-1.11E8</v>
      </c>
      <c r="M182" s="1">
        <v>8.7E7</v>
      </c>
      <c r="N182" s="1">
        <v>1.83E9</v>
      </c>
      <c r="O182" s="1">
        <v>1.32E9</v>
      </c>
      <c r="P182" s="1">
        <v>6.34E8</v>
      </c>
      <c r="Q182" s="1">
        <v>-1.5E7</v>
      </c>
      <c r="R182" s="1">
        <v>4.08E8</v>
      </c>
      <c r="S182" s="1">
        <v>3.16E8</v>
      </c>
      <c r="W182" s="4" t="str">
        <f>Raw_Data!C181&amp;"|"&amp;Raw_Data!D181&amp;"|"&amp;TEXT(Raw_Data!B181,"yyyy-mm-dd")</f>
        <v>Aon|AON|2020-09-30</v>
      </c>
    </row>
    <row r="183">
      <c r="A183" s="1">
        <v>181.0</v>
      </c>
      <c r="B183" s="3">
        <v>44286.0</v>
      </c>
      <c r="C183" s="1" t="s">
        <v>113</v>
      </c>
      <c r="D183" s="1" t="s">
        <v>114</v>
      </c>
      <c r="F183" s="1">
        <v>6.2E8</v>
      </c>
      <c r="G183" s="1">
        <v>3.88E8</v>
      </c>
      <c r="H183" s="1">
        <v>8.3E7</v>
      </c>
      <c r="I183" s="1">
        <v>1.116E9</v>
      </c>
      <c r="J183" s="1">
        <v>7.45E8</v>
      </c>
      <c r="K183" s="1">
        <v>7.45E8</v>
      </c>
      <c r="L183" s="1">
        <v>-1.12E8</v>
      </c>
      <c r="M183" s="1">
        <v>1.7E8</v>
      </c>
      <c r="N183" s="1">
        <v>1.932E9</v>
      </c>
      <c r="O183" s="1">
        <v>1.187E9</v>
      </c>
      <c r="P183" s="1">
        <v>8.16E8</v>
      </c>
      <c r="Q183" s="1">
        <v>-1.25E8</v>
      </c>
      <c r="R183" s="1">
        <v>4.5E8</v>
      </c>
      <c r="S183" s="1">
        <v>3.88E8</v>
      </c>
      <c r="W183" s="4" t="str">
        <f>Raw_Data!C182&amp;"|"&amp;Raw_Data!D182&amp;"|"&amp;TEXT(Raw_Data!B182,"yyyy-mm-dd")</f>
        <v>APA Corporation|APA|2021-06-30</v>
      </c>
    </row>
    <row r="184">
      <c r="A184" s="1">
        <v>182.0</v>
      </c>
      <c r="B184" s="3">
        <v>44196.0</v>
      </c>
      <c r="C184" s="1" t="s">
        <v>113</v>
      </c>
      <c r="D184" s="1" t="s">
        <v>114</v>
      </c>
      <c r="F184" s="1">
        <v>7.0E7</v>
      </c>
      <c r="G184" s="1">
        <v>1.0E7</v>
      </c>
      <c r="H184" s="1">
        <v>7.6E7</v>
      </c>
      <c r="I184" s="1">
        <v>7.46E8</v>
      </c>
      <c r="J184" s="1">
        <v>-4.11E9</v>
      </c>
      <c r="K184" s="1">
        <v>-4.11E9</v>
      </c>
      <c r="L184" s="1">
        <v>-1.1E8</v>
      </c>
      <c r="M184" s="1">
        <v>1.5E7</v>
      </c>
      <c r="N184" s="1">
        <v>1.136E9</v>
      </c>
      <c r="O184" s="1">
        <v>5.246E9</v>
      </c>
      <c r="P184" s="1">
        <v>3.9E8</v>
      </c>
      <c r="Q184" s="1">
        <v>4.18E9</v>
      </c>
      <c r="R184" s="1">
        <v>5.5E7</v>
      </c>
      <c r="S184" s="1">
        <v>1.0E7</v>
      </c>
      <c r="W184" s="4" t="str">
        <f>Raw_Data!C183&amp;"|"&amp;Raw_Data!D183&amp;"|"&amp;TEXT(Raw_Data!B183,"yyyy-mm-dd")</f>
        <v>APA Corporation|APA|2021-03-31</v>
      </c>
    </row>
    <row r="185">
      <c r="A185" s="1">
        <v>183.0</v>
      </c>
      <c r="B185" s="3">
        <v>44104.0</v>
      </c>
      <c r="C185" s="1" t="s">
        <v>113</v>
      </c>
      <c r="D185" s="1" t="s">
        <v>114</v>
      </c>
      <c r="F185" s="1">
        <v>7.2E7</v>
      </c>
      <c r="G185" s="1">
        <v>-4000000.0</v>
      </c>
      <c r="H185" s="1">
        <v>5.2E7</v>
      </c>
      <c r="I185" s="1">
        <v>7.32E8</v>
      </c>
      <c r="J185" s="1">
        <v>1.79E8</v>
      </c>
      <c r="K185" s="1">
        <v>1.79E8</v>
      </c>
      <c r="L185" s="1">
        <v>-1.12E8</v>
      </c>
      <c r="M185" s="1">
        <v>3.1E7</v>
      </c>
      <c r="N185" s="1">
        <v>1.129E9</v>
      </c>
      <c r="O185" s="1">
        <v>9.5E8</v>
      </c>
      <c r="P185" s="1">
        <v>3.97E8</v>
      </c>
      <c r="Q185" s="1">
        <v>-1.07E8</v>
      </c>
      <c r="R185" s="1">
        <v>4.1E7</v>
      </c>
      <c r="S185" s="1">
        <v>-4000000.0</v>
      </c>
      <c r="W185" s="4" t="str">
        <f>Raw_Data!C184&amp;"|"&amp;Raw_Data!D184&amp;"|"&amp;TEXT(Raw_Data!B184,"yyyy-mm-dd")</f>
        <v>APA Corporation|APA|2020-12-31</v>
      </c>
    </row>
    <row r="186">
      <c r="A186" s="1">
        <v>184.0</v>
      </c>
      <c r="B186" s="3">
        <v>44373.0</v>
      </c>
      <c r="C186" s="1" t="s">
        <v>116</v>
      </c>
      <c r="D186" s="1" t="s">
        <v>117</v>
      </c>
      <c r="E186" s="1">
        <v>5.717E9</v>
      </c>
      <c r="F186" s="1">
        <v>2.4369E10</v>
      </c>
      <c r="G186" s="1">
        <v>2.1744E10</v>
      </c>
      <c r="H186" s="1">
        <v>5.412E9</v>
      </c>
      <c r="I186" s="1">
        <v>3.5255E10</v>
      </c>
      <c r="J186" s="1">
        <v>2.4126E10</v>
      </c>
      <c r="K186" s="1">
        <v>2.4126E10</v>
      </c>
      <c r="L186" s="1">
        <v>-6.65E8</v>
      </c>
      <c r="M186" s="1">
        <v>2.625E9</v>
      </c>
      <c r="N186" s="1">
        <v>8.1434E10</v>
      </c>
      <c r="O186" s="1">
        <v>5.7308E10</v>
      </c>
      <c r="P186" s="1">
        <v>4.6179E10</v>
      </c>
      <c r="Q186" s="1">
        <v>2.43E8</v>
      </c>
      <c r="R186" s="1">
        <v>2.1744E10</v>
      </c>
      <c r="S186" s="1">
        <v>2.1744E10</v>
      </c>
      <c r="W186" s="4" t="str">
        <f>Raw_Data!C185&amp;"|"&amp;Raw_Data!D185&amp;"|"&amp;TEXT(Raw_Data!B185,"yyyy-mm-dd")</f>
        <v>APA Corporation|APA|2020-09-30</v>
      </c>
    </row>
    <row r="187">
      <c r="A187" s="1">
        <v>185.0</v>
      </c>
      <c r="B187" s="3">
        <v>44282.0</v>
      </c>
      <c r="C187" s="1" t="s">
        <v>116</v>
      </c>
      <c r="D187" s="1" t="s">
        <v>117</v>
      </c>
      <c r="E187" s="1">
        <v>5.262E9</v>
      </c>
      <c r="F187" s="1">
        <v>2.8011E10</v>
      </c>
      <c r="G187" s="1">
        <v>2.363E10</v>
      </c>
      <c r="H187" s="1">
        <v>5.314E9</v>
      </c>
      <c r="I187" s="1">
        <v>3.8079E10</v>
      </c>
      <c r="J187" s="1">
        <v>2.7503E10</v>
      </c>
      <c r="K187" s="1">
        <v>2.7503E10</v>
      </c>
      <c r="L187" s="1">
        <v>-6.7E8</v>
      </c>
      <c r="M187" s="1">
        <v>4.381E9</v>
      </c>
      <c r="N187" s="1">
        <v>8.9584E10</v>
      </c>
      <c r="O187" s="1">
        <v>6.2081E10</v>
      </c>
      <c r="P187" s="1">
        <v>5.1505E10</v>
      </c>
      <c r="Q187" s="1">
        <v>5.08E8</v>
      </c>
      <c r="R187" s="1">
        <v>2.363E10</v>
      </c>
      <c r="S187" s="1">
        <v>2.363E10</v>
      </c>
      <c r="W187" s="4" t="str">
        <f>Raw_Data!C186&amp;"|"&amp;Raw_Data!D186&amp;"|"&amp;TEXT(Raw_Data!B186,"yyyy-mm-dd")</f>
        <v>Apple|AAPL|2021-06-26</v>
      </c>
    </row>
    <row r="188">
      <c r="A188" s="1">
        <v>186.0</v>
      </c>
      <c r="B188" s="3">
        <v>44191.0</v>
      </c>
      <c r="C188" s="1" t="s">
        <v>116</v>
      </c>
      <c r="D188" s="1" t="s">
        <v>117</v>
      </c>
      <c r="E188" s="1">
        <v>5.163E9</v>
      </c>
      <c r="F188" s="1">
        <v>3.3579E10</v>
      </c>
      <c r="G188" s="1">
        <v>2.8755E10</v>
      </c>
      <c r="H188" s="1">
        <v>5.631E9</v>
      </c>
      <c r="I188" s="1">
        <v>4.4328E10</v>
      </c>
      <c r="J188" s="1">
        <v>3.3534E10</v>
      </c>
      <c r="K188" s="1">
        <v>3.3534E10</v>
      </c>
      <c r="L188" s="1">
        <v>-6.38E8</v>
      </c>
      <c r="M188" s="1">
        <v>4.824E9</v>
      </c>
      <c r="N188" s="1">
        <v>1.11439E11</v>
      </c>
      <c r="O188" s="1">
        <v>7.7905E10</v>
      </c>
      <c r="P188" s="1">
        <v>6.7111E10</v>
      </c>
      <c r="Q188" s="1">
        <v>4.5E7</v>
      </c>
      <c r="R188" s="1">
        <v>2.8755E10</v>
      </c>
      <c r="S188" s="1">
        <v>2.8755E10</v>
      </c>
      <c r="W188" s="4" t="str">
        <f>Raw_Data!C187&amp;"|"&amp;Raw_Data!D187&amp;"|"&amp;TEXT(Raw_Data!B187,"yyyy-mm-dd")</f>
        <v>Apple|AAPL|2021-03-27</v>
      </c>
    </row>
    <row r="189">
      <c r="A189" s="1">
        <v>187.0</v>
      </c>
      <c r="B189" s="3">
        <v>44100.0</v>
      </c>
      <c r="C189" s="1" t="s">
        <v>116</v>
      </c>
      <c r="D189" s="1" t="s">
        <v>117</v>
      </c>
      <c r="E189" s="1">
        <v>4.978E9</v>
      </c>
      <c r="F189" s="1">
        <v>1.4901E10</v>
      </c>
      <c r="G189" s="1">
        <v>1.2673E10</v>
      </c>
      <c r="H189" s="1">
        <v>4.936E9</v>
      </c>
      <c r="I189" s="1">
        <v>2.4689E10</v>
      </c>
      <c r="J189" s="1">
        <v>1.4775E10</v>
      </c>
      <c r="K189" s="1">
        <v>1.4775E10</v>
      </c>
      <c r="L189" s="1">
        <v>-6.34E8</v>
      </c>
      <c r="M189" s="1">
        <v>2.228E9</v>
      </c>
      <c r="N189" s="1">
        <v>6.4698E10</v>
      </c>
      <c r="O189" s="1">
        <v>4.9923E10</v>
      </c>
      <c r="P189" s="1">
        <v>4.0009E10</v>
      </c>
      <c r="Q189" s="1">
        <v>1.26E8</v>
      </c>
      <c r="R189" s="1">
        <v>1.2673E10</v>
      </c>
      <c r="S189" s="1">
        <v>1.2673E10</v>
      </c>
      <c r="W189" s="4" t="str">
        <f>Raw_Data!C188&amp;"|"&amp;Raw_Data!D188&amp;"|"&amp;TEXT(Raw_Data!B188,"yyyy-mm-dd")</f>
        <v>Apple|AAPL|2020-12-26</v>
      </c>
    </row>
    <row r="190">
      <c r="A190" s="1">
        <v>188.0</v>
      </c>
      <c r="B190" s="3">
        <v>44409.0</v>
      </c>
      <c r="C190" s="1" t="s">
        <v>118</v>
      </c>
      <c r="D190" s="1" t="s">
        <v>119</v>
      </c>
      <c r="E190" s="1">
        <v>6.4E8</v>
      </c>
      <c r="F190" s="1">
        <v>1.98E9</v>
      </c>
      <c r="G190" s="1">
        <v>1.716E9</v>
      </c>
      <c r="H190" s="1">
        <v>3.09E8</v>
      </c>
      <c r="I190" s="1">
        <v>2.967E9</v>
      </c>
      <c r="J190" s="1">
        <v>2.018E9</v>
      </c>
      <c r="K190" s="1">
        <v>2.018E9</v>
      </c>
      <c r="L190" s="1">
        <v>-5.7E7</v>
      </c>
      <c r="M190" s="1">
        <v>2.64E8</v>
      </c>
      <c r="N190" s="1">
        <v>6.196E9</v>
      </c>
      <c r="O190" s="1">
        <v>4.178E9</v>
      </c>
      <c r="P190" s="1">
        <v>3.229E9</v>
      </c>
      <c r="Q190" s="1">
        <v>-3.8E7</v>
      </c>
      <c r="R190" s="1">
        <v>1.716E9</v>
      </c>
      <c r="S190" s="1">
        <v>1.716E9</v>
      </c>
      <c r="W190" s="4" t="str">
        <f>Raw_Data!C189&amp;"|"&amp;Raw_Data!D189&amp;"|"&amp;TEXT(Raw_Data!B189,"yyyy-mm-dd")</f>
        <v>Apple|AAPL|2020-09-26</v>
      </c>
    </row>
    <row r="191">
      <c r="A191" s="1">
        <v>189.0</v>
      </c>
      <c r="B191" s="3">
        <v>44318.0</v>
      </c>
      <c r="C191" s="1" t="s">
        <v>118</v>
      </c>
      <c r="D191" s="1" t="s">
        <v>119</v>
      </c>
      <c r="E191" s="1">
        <v>6.17E8</v>
      </c>
      <c r="F191" s="1">
        <v>1.545E9</v>
      </c>
      <c r="G191" s="1">
        <v>1.33E9</v>
      </c>
      <c r="H191" s="1">
        <v>2.85E8</v>
      </c>
      <c r="I191" s="1">
        <v>2.653E9</v>
      </c>
      <c r="J191" s="1">
        <v>1.751E9</v>
      </c>
      <c r="K191" s="1">
        <v>1.751E9</v>
      </c>
      <c r="L191" s="1">
        <v>-6.1E7</v>
      </c>
      <c r="M191" s="1">
        <v>2.15E8</v>
      </c>
      <c r="N191" s="1">
        <v>5.582E9</v>
      </c>
      <c r="O191" s="1">
        <v>3.831E9</v>
      </c>
      <c r="P191" s="1">
        <v>2.929E9</v>
      </c>
      <c r="Q191" s="1">
        <v>-2.06E8</v>
      </c>
      <c r="R191" s="1">
        <v>1.33E9</v>
      </c>
      <c r="S191" s="1">
        <v>1.33E9</v>
      </c>
      <c r="W191" s="4" t="str">
        <f>Raw_Data!C190&amp;"|"&amp;Raw_Data!D190&amp;"|"&amp;TEXT(Raw_Data!B190,"yyyy-mm-dd")</f>
        <v>Applied Materials|AMAT|2021-08-01</v>
      </c>
    </row>
    <row r="192">
      <c r="A192" s="1">
        <v>190.0</v>
      </c>
      <c r="B192" s="3">
        <v>44227.0</v>
      </c>
      <c r="C192" s="1" t="s">
        <v>118</v>
      </c>
      <c r="D192" s="1" t="s">
        <v>119</v>
      </c>
      <c r="E192" s="1">
        <v>6.06E8</v>
      </c>
      <c r="F192" s="1">
        <v>1.24E9</v>
      </c>
      <c r="G192" s="1">
        <v>1.13E9</v>
      </c>
      <c r="H192" s="1">
        <v>2.84E8</v>
      </c>
      <c r="I192" s="1">
        <v>2.361E9</v>
      </c>
      <c r="J192" s="1">
        <v>1.471E9</v>
      </c>
      <c r="K192" s="1">
        <v>1.471E9</v>
      </c>
      <c r="L192" s="1">
        <v>-6.1E7</v>
      </c>
      <c r="M192" s="1">
        <v>1.1E8</v>
      </c>
      <c r="N192" s="1">
        <v>5.162E9</v>
      </c>
      <c r="O192" s="1">
        <v>3.691E9</v>
      </c>
      <c r="P192" s="1">
        <v>2.801E9</v>
      </c>
      <c r="Q192" s="1">
        <v>-2.31E8</v>
      </c>
      <c r="R192" s="1">
        <v>1.13E9</v>
      </c>
      <c r="S192" s="1">
        <v>1.13E9</v>
      </c>
      <c r="W192" s="4" t="str">
        <f>Raw_Data!C191&amp;"|"&amp;Raw_Data!D191&amp;"|"&amp;TEXT(Raw_Data!B191,"yyyy-mm-dd")</f>
        <v>Applied Materials|AMAT|2021-05-02</v>
      </c>
    </row>
    <row r="193">
      <c r="A193" s="1">
        <v>191.0</v>
      </c>
      <c r="B193" s="3">
        <v>44129.0</v>
      </c>
      <c r="C193" s="1" t="s">
        <v>118</v>
      </c>
      <c r="D193" s="1" t="s">
        <v>119</v>
      </c>
      <c r="E193" s="1">
        <v>5.6E8</v>
      </c>
      <c r="F193" s="1">
        <v>1.243E9</v>
      </c>
      <c r="G193" s="1">
        <v>1.131E9</v>
      </c>
      <c r="H193" s="1">
        <v>2.61E8</v>
      </c>
      <c r="I193" s="1">
        <v>2.13E9</v>
      </c>
      <c r="J193" s="1">
        <v>1.309E9</v>
      </c>
      <c r="K193" s="1">
        <v>1.309E9</v>
      </c>
      <c r="L193" s="1">
        <v>-5.9E7</v>
      </c>
      <c r="M193" s="1">
        <v>1.12E8</v>
      </c>
      <c r="N193" s="1">
        <v>4.688E9</v>
      </c>
      <c r="O193" s="1">
        <v>3.379E9</v>
      </c>
      <c r="P193" s="1">
        <v>2.558E9</v>
      </c>
      <c r="Q193" s="1">
        <v>-6.6E7</v>
      </c>
      <c r="R193" s="1">
        <v>1.131E9</v>
      </c>
      <c r="S193" s="1">
        <v>1.131E9</v>
      </c>
      <c r="W193" s="4" t="str">
        <f>Raw_Data!C192&amp;"|"&amp;Raw_Data!D192&amp;"|"&amp;TEXT(Raw_Data!B192,"yyyy-mm-dd")</f>
        <v>Applied Materials|AMAT|2021-01-31</v>
      </c>
    </row>
    <row r="194">
      <c r="A194" s="1">
        <v>192.0</v>
      </c>
      <c r="B194" s="3">
        <v>44377.0</v>
      </c>
      <c r="C194" s="1" t="s">
        <v>121</v>
      </c>
      <c r="D194" s="1" t="s">
        <v>122</v>
      </c>
      <c r="F194" s="1">
        <v>1.94E8</v>
      </c>
      <c r="G194" s="1">
        <v>1.63E8</v>
      </c>
      <c r="H194" s="1">
        <v>2.75E8</v>
      </c>
      <c r="I194" s="1">
        <v>6.02E8</v>
      </c>
      <c r="J194" s="1">
        <v>2.9E8</v>
      </c>
      <c r="K194" s="1">
        <v>2.9E8</v>
      </c>
      <c r="L194" s="1">
        <v>-3.8E7</v>
      </c>
      <c r="M194" s="1">
        <v>2.8E7</v>
      </c>
      <c r="N194" s="1">
        <v>3.807E9</v>
      </c>
      <c r="O194" s="1">
        <v>3.517E9</v>
      </c>
      <c r="P194" s="1">
        <v>3.205E9</v>
      </c>
      <c r="Q194" s="1">
        <v>-9.6E7</v>
      </c>
      <c r="R194" s="1">
        <v>1.66E8</v>
      </c>
      <c r="S194" s="1">
        <v>1.47E8</v>
      </c>
      <c r="W194" s="4" t="str">
        <f>Raw_Data!C193&amp;"|"&amp;Raw_Data!D193&amp;"|"&amp;TEXT(Raw_Data!B193,"yyyy-mm-dd")</f>
        <v>Applied Materials|AMAT|2020-10-25</v>
      </c>
    </row>
    <row r="195">
      <c r="A195" s="1">
        <v>193.0</v>
      </c>
      <c r="B195" s="3">
        <v>44286.0</v>
      </c>
      <c r="C195" s="1" t="s">
        <v>121</v>
      </c>
      <c r="D195" s="1" t="s">
        <v>122</v>
      </c>
      <c r="F195" s="1">
        <v>3.48E8</v>
      </c>
      <c r="G195" s="1">
        <v>2.95E8</v>
      </c>
      <c r="H195" s="1">
        <v>2.6E8</v>
      </c>
      <c r="I195" s="1">
        <v>7.27E8</v>
      </c>
      <c r="J195" s="1">
        <v>4.3E8</v>
      </c>
      <c r="K195" s="1">
        <v>4.3E8</v>
      </c>
      <c r="L195" s="1">
        <v>-4.0E7</v>
      </c>
      <c r="M195" s="1">
        <v>4.8E7</v>
      </c>
      <c r="N195" s="1">
        <v>4.023E9</v>
      </c>
      <c r="O195" s="1">
        <v>3.593E9</v>
      </c>
      <c r="P195" s="1">
        <v>3.296E9</v>
      </c>
      <c r="Q195" s="1">
        <v>-8.2E7</v>
      </c>
      <c r="R195" s="1">
        <v>3.0E8</v>
      </c>
      <c r="S195" s="1">
        <v>2.79E8</v>
      </c>
      <c r="W195" s="4" t="str">
        <f>Raw_Data!C194&amp;"|"&amp;Raw_Data!D194&amp;"|"&amp;TEXT(Raw_Data!B194,"yyyy-mm-dd")</f>
        <v>Aptiv|APTV|2021-06-30</v>
      </c>
    </row>
    <row r="196">
      <c r="A196" s="1">
        <v>194.0</v>
      </c>
      <c r="B196" s="3">
        <v>44196.0</v>
      </c>
      <c r="C196" s="1" t="s">
        <v>121</v>
      </c>
      <c r="D196" s="1" t="s">
        <v>122</v>
      </c>
      <c r="F196" s="1">
        <v>3.7E8</v>
      </c>
      <c r="G196" s="1">
        <v>2.99E8</v>
      </c>
      <c r="H196" s="1">
        <v>3.09E8</v>
      </c>
      <c r="I196" s="1">
        <v>8.12E8</v>
      </c>
      <c r="J196" s="1">
        <v>4.66E8</v>
      </c>
      <c r="K196" s="1">
        <v>4.66E8</v>
      </c>
      <c r="L196" s="1">
        <v>-3.9E7</v>
      </c>
      <c r="M196" s="1">
        <v>5.5E7</v>
      </c>
      <c r="N196" s="1">
        <v>4.212E9</v>
      </c>
      <c r="O196" s="1">
        <v>3.746E9</v>
      </c>
      <c r="P196" s="1">
        <v>3.4E9</v>
      </c>
      <c r="Q196" s="1">
        <v>-9.6E7</v>
      </c>
      <c r="R196" s="1">
        <v>3.15E8</v>
      </c>
      <c r="S196" s="1">
        <v>2.83E8</v>
      </c>
      <c r="W196" s="4" t="str">
        <f>Raw_Data!C195&amp;"|"&amp;Raw_Data!D195&amp;"|"&amp;TEXT(Raw_Data!B195,"yyyy-mm-dd")</f>
        <v>Aptiv|APTV|2021-03-31</v>
      </c>
    </row>
    <row r="197">
      <c r="A197" s="1">
        <v>195.0</v>
      </c>
      <c r="B197" s="3">
        <v>44104.0</v>
      </c>
      <c r="C197" s="1" t="s">
        <v>121</v>
      </c>
      <c r="D197" s="1" t="s">
        <v>122</v>
      </c>
      <c r="F197" s="1">
        <v>3.03E8</v>
      </c>
      <c r="G197" s="1">
        <v>2.99E8</v>
      </c>
      <c r="H197" s="1">
        <v>2.62E8</v>
      </c>
      <c r="I197" s="1">
        <v>6.74E8</v>
      </c>
      <c r="J197" s="1">
        <v>3.76E8</v>
      </c>
      <c r="K197" s="1">
        <v>3.76E8</v>
      </c>
      <c r="L197" s="1">
        <v>-3.8E7</v>
      </c>
      <c r="M197" s="1">
        <v>-2000000.0</v>
      </c>
      <c r="N197" s="1">
        <v>3.668E9</v>
      </c>
      <c r="O197" s="1">
        <v>3.292E9</v>
      </c>
      <c r="P197" s="1">
        <v>2.994E9</v>
      </c>
      <c r="Q197" s="1">
        <v>-7.3E7</v>
      </c>
      <c r="R197" s="1">
        <v>3.05E8</v>
      </c>
      <c r="S197" s="1">
        <v>2.83E8</v>
      </c>
      <c r="W197" s="4" t="str">
        <f>Raw_Data!C196&amp;"|"&amp;Raw_Data!D196&amp;"|"&amp;TEXT(Raw_Data!B196,"yyyy-mm-dd")</f>
        <v>Aptiv|APTV|2020-12-31</v>
      </c>
    </row>
    <row r="198">
      <c r="A198" s="1">
        <v>196.0</v>
      </c>
      <c r="B198" s="3">
        <v>44377.0</v>
      </c>
      <c r="C198" s="1" t="s">
        <v>123</v>
      </c>
      <c r="D198" s="1" t="s">
        <v>124</v>
      </c>
      <c r="E198" s="1">
        <v>1.43293E8</v>
      </c>
      <c r="F198" s="1">
        <v>2.21084E8</v>
      </c>
      <c r="G198" s="1">
        <v>1.96888E8</v>
      </c>
      <c r="H198" s="1">
        <v>9.152E7</v>
      </c>
      <c r="I198" s="1">
        <v>4.54178E8</v>
      </c>
      <c r="J198" s="1">
        <v>2.19365E8</v>
      </c>
      <c r="K198" s="1">
        <v>2.19365E8</v>
      </c>
      <c r="M198" s="1">
        <v>2.4196E7</v>
      </c>
      <c r="N198" s="1">
        <v>7.07319E8</v>
      </c>
      <c r="O198" s="1">
        <v>4.87954E8</v>
      </c>
      <c r="P198" s="1">
        <v>2.53141E8</v>
      </c>
      <c r="Q198" s="1">
        <v>1719000.0</v>
      </c>
      <c r="R198" s="1">
        <v>1.96888E8</v>
      </c>
      <c r="S198" s="1">
        <v>1.96888E8</v>
      </c>
      <c r="W198" s="4" t="str">
        <f>Raw_Data!C197&amp;"|"&amp;Raw_Data!D197&amp;"|"&amp;TEXT(Raw_Data!B197,"yyyy-mm-dd")</f>
        <v>Aptiv|APTV|2020-09-30</v>
      </c>
    </row>
    <row r="199">
      <c r="A199" s="1">
        <v>197.0</v>
      </c>
      <c r="B199" s="3">
        <v>44286.0</v>
      </c>
      <c r="C199" s="1" t="s">
        <v>123</v>
      </c>
      <c r="D199" s="1" t="s">
        <v>124</v>
      </c>
      <c r="E199" s="1">
        <v>1.32487E8</v>
      </c>
      <c r="F199" s="1">
        <v>2.07867E8</v>
      </c>
      <c r="G199" s="1">
        <v>1.80366E8</v>
      </c>
      <c r="H199" s="1">
        <v>8.6493E7</v>
      </c>
      <c r="I199" s="1">
        <v>4.25272E8</v>
      </c>
      <c r="J199" s="1">
        <v>2.06292E8</v>
      </c>
      <c r="K199" s="1">
        <v>2.06292E8</v>
      </c>
      <c r="M199" s="1">
        <v>2.7501E7</v>
      </c>
      <c r="N199" s="1">
        <v>6.67562E8</v>
      </c>
      <c r="O199" s="1">
        <v>4.6127E8</v>
      </c>
      <c r="P199" s="1">
        <v>2.4229E8</v>
      </c>
      <c r="Q199" s="1">
        <v>1575000.0</v>
      </c>
      <c r="R199" s="1">
        <v>1.80366E8</v>
      </c>
      <c r="S199" s="1">
        <v>1.80366E8</v>
      </c>
      <c r="W199" s="4" t="str">
        <f>Raw_Data!C198&amp;"|"&amp;Raw_Data!D198&amp;"|"&amp;TEXT(Raw_Data!B198,"yyyy-mm-dd")</f>
        <v>Arista Networks|ANET|2021-06-30</v>
      </c>
    </row>
    <row r="200">
      <c r="A200" s="1">
        <v>198.0</v>
      </c>
      <c r="B200" s="3">
        <v>44196.0</v>
      </c>
      <c r="C200" s="1" t="s">
        <v>123</v>
      </c>
      <c r="D200" s="1" t="s">
        <v>124</v>
      </c>
      <c r="E200" s="1">
        <v>1.41147E8</v>
      </c>
      <c r="F200" s="1">
        <v>2.0018E8</v>
      </c>
      <c r="G200" s="1">
        <v>1.82958E8</v>
      </c>
      <c r="H200" s="1">
        <v>8.4099E7</v>
      </c>
      <c r="I200" s="1">
        <v>4.14584E8</v>
      </c>
      <c r="J200" s="1">
        <v>1.89338E8</v>
      </c>
      <c r="K200" s="1">
        <v>1.89338E8</v>
      </c>
      <c r="M200" s="1">
        <v>1.7222E7</v>
      </c>
      <c r="N200" s="1">
        <v>6.48482E8</v>
      </c>
      <c r="O200" s="1">
        <v>4.59144E8</v>
      </c>
      <c r="P200" s="1">
        <v>2.33898E8</v>
      </c>
      <c r="Q200" s="1">
        <v>1.0842E7</v>
      </c>
      <c r="R200" s="1">
        <v>1.82958E8</v>
      </c>
      <c r="S200" s="1">
        <v>1.82958E8</v>
      </c>
      <c r="W200" s="4" t="str">
        <f>Raw_Data!C199&amp;"|"&amp;Raw_Data!D199&amp;"|"&amp;TEXT(Raw_Data!B199,"yyyy-mm-dd")</f>
        <v>Arista Networks|ANET|2021-03-31</v>
      </c>
    </row>
    <row r="201">
      <c r="A201" s="1">
        <v>199.0</v>
      </c>
      <c r="B201" s="3">
        <v>44104.0</v>
      </c>
      <c r="C201" s="1" t="s">
        <v>123</v>
      </c>
      <c r="D201" s="1" t="s">
        <v>124</v>
      </c>
      <c r="E201" s="1">
        <v>1.28049E8</v>
      </c>
      <c r="F201" s="1">
        <v>2.01619E8</v>
      </c>
      <c r="G201" s="1">
        <v>1.68375E8</v>
      </c>
      <c r="H201" s="1">
        <v>6.8518E7</v>
      </c>
      <c r="I201" s="1">
        <v>3.84962E8</v>
      </c>
      <c r="J201" s="1">
        <v>1.88395E8</v>
      </c>
      <c r="K201" s="1">
        <v>1.88395E8</v>
      </c>
      <c r="M201" s="1">
        <v>3.3244E7</v>
      </c>
      <c r="N201" s="1">
        <v>6.05431E8</v>
      </c>
      <c r="O201" s="1">
        <v>4.17036E8</v>
      </c>
      <c r="P201" s="1">
        <v>2.20469E8</v>
      </c>
      <c r="Q201" s="1">
        <v>1.3224E7</v>
      </c>
      <c r="R201" s="1">
        <v>1.68375E8</v>
      </c>
      <c r="S201" s="1">
        <v>1.68375E8</v>
      </c>
      <c r="W201" s="4" t="str">
        <f>Raw_Data!C200&amp;"|"&amp;Raw_Data!D200&amp;"|"&amp;TEXT(Raw_Data!B200,"yyyy-mm-dd")</f>
        <v>Arista Networks|ANET|2020-12-31</v>
      </c>
    </row>
    <row r="202">
      <c r="A202" s="1">
        <v>200.0</v>
      </c>
      <c r="B202" s="3">
        <v>44377.0</v>
      </c>
      <c r="C202" s="1" t="s">
        <v>126</v>
      </c>
      <c r="D202" s="1" t="s">
        <v>127</v>
      </c>
      <c r="F202" s="1">
        <v>2.223E8</v>
      </c>
      <c r="G202" s="1">
        <v>1.902E8</v>
      </c>
      <c r="H202" s="1">
        <v>2.376E8</v>
      </c>
      <c r="I202" s="1">
        <v>6.869E8</v>
      </c>
      <c r="J202" s="1">
        <v>3.041E8</v>
      </c>
      <c r="K202" s="1">
        <v>3.041E8</v>
      </c>
      <c r="L202" s="1">
        <v>-5.62E7</v>
      </c>
      <c r="M202" s="1">
        <v>2.05E7</v>
      </c>
      <c r="N202" s="1">
        <v>1.8781E9</v>
      </c>
      <c r="O202" s="1">
        <v>1.574E9</v>
      </c>
      <c r="P202" s="1">
        <v>1.1912E9</v>
      </c>
      <c r="Q202" s="1">
        <v>-8.18E7</v>
      </c>
      <c r="R202" s="1">
        <v>2.018E8</v>
      </c>
      <c r="S202" s="1">
        <v>1.902E8</v>
      </c>
      <c r="W202" s="4" t="str">
        <f>Raw_Data!C201&amp;"|"&amp;Raw_Data!D201&amp;"|"&amp;TEXT(Raw_Data!B201,"yyyy-mm-dd")</f>
        <v>Arista Networks|ANET|2020-09-30</v>
      </c>
    </row>
    <row r="203">
      <c r="A203" s="1">
        <v>201.0</v>
      </c>
      <c r="B203" s="3">
        <v>44286.0</v>
      </c>
      <c r="C203" s="1" t="s">
        <v>126</v>
      </c>
      <c r="D203" s="1" t="s">
        <v>127</v>
      </c>
      <c r="F203" s="1">
        <v>4.084E8</v>
      </c>
      <c r="G203" s="1">
        <v>3.821E8</v>
      </c>
      <c r="H203" s="1">
        <v>2.286E8</v>
      </c>
      <c r="I203" s="1">
        <v>8.413E8</v>
      </c>
      <c r="J203" s="1">
        <v>4.694E8</v>
      </c>
      <c r="K203" s="1">
        <v>4.694E8</v>
      </c>
      <c r="L203" s="1">
        <v>-4.81E7</v>
      </c>
      <c r="M203" s="1">
        <v>1.47E7</v>
      </c>
      <c r="N203" s="1">
        <v>2.1114E9</v>
      </c>
      <c r="O203" s="1">
        <v>1.642E9</v>
      </c>
      <c r="P203" s="1">
        <v>1.2701E9</v>
      </c>
      <c r="Q203" s="1">
        <v>-6.1E7</v>
      </c>
      <c r="R203" s="1">
        <v>3.937E8</v>
      </c>
      <c r="S203" s="1">
        <v>3.821E8</v>
      </c>
      <c r="W203" s="4" t="str">
        <f>Raw_Data!C202&amp;"|"&amp;Raw_Data!D202&amp;"|"&amp;TEXT(Raw_Data!B202,"yyyy-mm-dd")</f>
        <v>Arthur J. Gallagher &amp; Co.|AJG|2021-06-30</v>
      </c>
    </row>
    <row r="204">
      <c r="A204" s="1">
        <v>202.0</v>
      </c>
      <c r="B204" s="3">
        <v>44196.0</v>
      </c>
      <c r="C204" s="1" t="s">
        <v>126</v>
      </c>
      <c r="D204" s="1" t="s">
        <v>127</v>
      </c>
      <c r="F204" s="1">
        <v>1.337E8</v>
      </c>
      <c r="G204" s="1">
        <v>1.422E8</v>
      </c>
      <c r="H204" s="1">
        <v>2.208E8</v>
      </c>
      <c r="I204" s="1">
        <v>5.696E8</v>
      </c>
      <c r="J204" s="1">
        <v>2.67E8</v>
      </c>
      <c r="K204" s="1">
        <v>2.67E8</v>
      </c>
      <c r="L204" s="1">
        <v>-4.78E7</v>
      </c>
      <c r="M204" s="1">
        <v>-1.94E7</v>
      </c>
      <c r="N204" s="1">
        <v>1.6513E9</v>
      </c>
      <c r="O204" s="1">
        <v>1.3843E9</v>
      </c>
      <c r="P204" s="1">
        <v>1.0817E9</v>
      </c>
      <c r="Q204" s="1">
        <v>-1.333E8</v>
      </c>
      <c r="R204" s="1">
        <v>1.531E8</v>
      </c>
      <c r="S204" s="1">
        <v>1.422E8</v>
      </c>
      <c r="W204" s="4" t="str">
        <f>Raw_Data!C203&amp;"|"&amp;Raw_Data!D203&amp;"|"&amp;TEXT(Raw_Data!B203,"yyyy-mm-dd")</f>
        <v>Arthur J. Gallagher &amp; Co.|AJG|2021-03-31</v>
      </c>
    </row>
    <row r="205">
      <c r="A205" s="1">
        <v>203.0</v>
      </c>
      <c r="B205" s="3">
        <v>44104.0</v>
      </c>
      <c r="C205" s="1" t="s">
        <v>126</v>
      </c>
      <c r="D205" s="1" t="s">
        <v>127</v>
      </c>
      <c r="F205" s="1">
        <v>2.095E8</v>
      </c>
      <c r="G205" s="1">
        <v>1.766E8</v>
      </c>
      <c r="H205" s="1">
        <v>1.974E8</v>
      </c>
      <c r="I205" s="1">
        <v>6.141E8</v>
      </c>
      <c r="J205" s="1">
        <v>2.828E8</v>
      </c>
      <c r="K205" s="1">
        <v>2.828E8</v>
      </c>
      <c r="L205" s="1">
        <v>-4.81E7</v>
      </c>
      <c r="M205" s="1">
        <v>2.17E7</v>
      </c>
      <c r="N205" s="1">
        <v>1.7857E9</v>
      </c>
      <c r="O205" s="1">
        <v>1.5029E9</v>
      </c>
      <c r="P205" s="1">
        <v>1.1716E9</v>
      </c>
      <c r="Q205" s="1">
        <v>-7.33E7</v>
      </c>
      <c r="R205" s="1">
        <v>1.878E8</v>
      </c>
      <c r="S205" s="1">
        <v>1.766E8</v>
      </c>
      <c r="W205" s="4" t="str">
        <f>Raw_Data!C204&amp;"|"&amp;Raw_Data!D204&amp;"|"&amp;TEXT(Raw_Data!B204,"yyyy-mm-dd")</f>
        <v>Arthur J. Gallagher &amp; Co.|AJG|2020-12-31</v>
      </c>
    </row>
    <row r="206">
      <c r="A206" s="1">
        <v>204.0</v>
      </c>
      <c r="B206" s="3">
        <v>44377.0</v>
      </c>
      <c r="C206" s="1" t="s">
        <v>128</v>
      </c>
      <c r="D206" s="1" t="s">
        <v>129</v>
      </c>
      <c r="F206" s="1">
        <v>2.366E8</v>
      </c>
      <c r="G206" s="1">
        <v>2.034E8</v>
      </c>
      <c r="I206" s="1">
        <v>3.014E8</v>
      </c>
      <c r="J206" s="1">
        <v>2.654E8</v>
      </c>
      <c r="K206" s="1">
        <v>2.654E8</v>
      </c>
      <c r="L206" s="1">
        <v>-2.88E7</v>
      </c>
      <c r="M206" s="1">
        <v>5.19E7</v>
      </c>
      <c r="N206" s="1">
        <v>2.5423E9</v>
      </c>
      <c r="O206" s="1">
        <v>2.2769E9</v>
      </c>
      <c r="P206" s="1">
        <v>2.2409E9</v>
      </c>
      <c r="Q206" s="1">
        <v>-2.88E7</v>
      </c>
      <c r="R206" s="1">
        <v>1.847E8</v>
      </c>
      <c r="S206" s="1">
        <v>2.034E8</v>
      </c>
      <c r="W206" s="4" t="str">
        <f>Raw_Data!C205&amp;"|"&amp;Raw_Data!D205&amp;"|"&amp;TEXT(Raw_Data!B205,"yyyy-mm-dd")</f>
        <v>Arthur J. Gallagher &amp; Co.|AJG|2020-09-30</v>
      </c>
    </row>
    <row r="207">
      <c r="A207" s="1">
        <v>205.0</v>
      </c>
      <c r="B207" s="3">
        <v>44286.0</v>
      </c>
      <c r="C207" s="1" t="s">
        <v>128</v>
      </c>
      <c r="D207" s="1" t="s">
        <v>129</v>
      </c>
      <c r="F207" s="1">
        <v>1.931E8</v>
      </c>
      <c r="G207" s="1">
        <v>1.63E8</v>
      </c>
      <c r="H207" s="1">
        <v>1.6824E9</v>
      </c>
      <c r="I207" s="1">
        <v>2.612E8</v>
      </c>
      <c r="J207" s="1">
        <v>2.215E8</v>
      </c>
      <c r="K207" s="1">
        <v>2.215E8</v>
      </c>
      <c r="L207" s="1">
        <v>-2.84E7</v>
      </c>
      <c r="M207" s="1">
        <v>4.46E7</v>
      </c>
      <c r="N207" s="1">
        <v>2.4326E9</v>
      </c>
      <c r="O207" s="1">
        <v>2.2111E9</v>
      </c>
      <c r="P207" s="1">
        <v>2.1714E9</v>
      </c>
      <c r="Q207" s="1">
        <v>-2.84E7</v>
      </c>
      <c r="R207" s="1">
        <v>1.485E8</v>
      </c>
      <c r="S207" s="1">
        <v>1.583E8</v>
      </c>
      <c r="W207" s="4" t="str">
        <f>Raw_Data!C206&amp;"|"&amp;Raw_Data!D206&amp;"|"&amp;TEXT(Raw_Data!B206,"yyyy-mm-dd")</f>
        <v>Assurant|AIZ|2021-06-30</v>
      </c>
    </row>
    <row r="208">
      <c r="A208" s="1">
        <v>206.0</v>
      </c>
      <c r="B208" s="3">
        <v>44196.0</v>
      </c>
      <c r="C208" s="1" t="s">
        <v>128</v>
      </c>
      <c r="D208" s="1" t="s">
        <v>129</v>
      </c>
      <c r="F208" s="1">
        <v>1.834E8</v>
      </c>
      <c r="G208" s="1">
        <v>1.392E8</v>
      </c>
      <c r="H208" s="1">
        <v>1.6824E9</v>
      </c>
      <c r="I208" s="1">
        <v>3.294E8</v>
      </c>
      <c r="J208" s="1">
        <v>2.295E8</v>
      </c>
      <c r="K208" s="1">
        <v>2.295E8</v>
      </c>
      <c r="L208" s="1">
        <v>-2.68E7</v>
      </c>
      <c r="M208" s="1">
        <v>4.44E7</v>
      </c>
      <c r="N208" s="1">
        <v>2.5551E9</v>
      </c>
      <c r="O208" s="1">
        <v>2.3256E9</v>
      </c>
      <c r="P208" s="1">
        <v>2.2257E9</v>
      </c>
      <c r="Q208" s="1">
        <v>-4.61E7</v>
      </c>
      <c r="R208" s="1">
        <v>1.39E8</v>
      </c>
      <c r="S208" s="1">
        <v>1.345E8</v>
      </c>
      <c r="W208" s="4" t="str">
        <f>Raw_Data!C207&amp;"|"&amp;Raw_Data!D207&amp;"|"&amp;TEXT(Raw_Data!B207,"yyyy-mm-dd")</f>
        <v>Assurant|AIZ|2021-03-31</v>
      </c>
    </row>
    <row r="209">
      <c r="A209" s="1">
        <v>207.0</v>
      </c>
      <c r="B209" s="3">
        <v>44104.0</v>
      </c>
      <c r="C209" s="1" t="s">
        <v>128</v>
      </c>
      <c r="D209" s="1" t="s">
        <v>129</v>
      </c>
      <c r="F209" s="1">
        <v>-4100000.0</v>
      </c>
      <c r="G209" s="1">
        <v>-3.02E7</v>
      </c>
      <c r="H209" s="1">
        <v>1.6824E9</v>
      </c>
      <c r="I209" s="1">
        <v>1.945E8</v>
      </c>
      <c r="J209" s="1">
        <v>1.653E8</v>
      </c>
      <c r="K209" s="1">
        <v>1.653E8</v>
      </c>
      <c r="L209" s="1">
        <v>-2.55E7</v>
      </c>
      <c r="M209" s="1">
        <v>2.64E7</v>
      </c>
      <c r="N209" s="1">
        <v>2.5025E9</v>
      </c>
      <c r="O209" s="1">
        <v>2.3372E9</v>
      </c>
      <c r="P209" s="1">
        <v>2.308E9</v>
      </c>
      <c r="Q209" s="1">
        <v>-1.694E8</v>
      </c>
      <c r="R209" s="1">
        <v>-3.05E7</v>
      </c>
      <c r="S209" s="1">
        <v>-3.49E7</v>
      </c>
      <c r="W209" s="4" t="str">
        <f>Raw_Data!C208&amp;"|"&amp;Raw_Data!D208&amp;"|"&amp;TEXT(Raw_Data!B208,"yyyy-mm-dd")</f>
        <v>Assurant|AIZ|2020-12-31</v>
      </c>
    </row>
    <row r="210">
      <c r="A210" s="1">
        <v>208.0</v>
      </c>
      <c r="B210" s="3">
        <v>44377.0</v>
      </c>
      <c r="C210" s="1" t="s">
        <v>131</v>
      </c>
      <c r="D210" s="1" t="s">
        <v>132</v>
      </c>
      <c r="F210" s="1">
        <v>2.625E9</v>
      </c>
      <c r="G210" s="1">
        <v>1.57E9</v>
      </c>
      <c r="H210" s="1">
        <v>8.39E9</v>
      </c>
      <c r="I210" s="1">
        <v>2.2946E10</v>
      </c>
      <c r="J210" s="1">
        <v>8.795E9</v>
      </c>
      <c r="K210" s="1">
        <v>8.795E9</v>
      </c>
      <c r="L210" s="1">
        <v>-1.684E9</v>
      </c>
      <c r="M210" s="1">
        <v>7.51E8</v>
      </c>
      <c r="N210" s="1">
        <v>4.4045E10</v>
      </c>
      <c r="O210" s="1">
        <v>3.525E10</v>
      </c>
      <c r="P210" s="1">
        <v>2.1099E10</v>
      </c>
      <c r="Q210" s="1">
        <v>-6.17E9</v>
      </c>
      <c r="R210" s="1">
        <v>1.874E9</v>
      </c>
      <c r="S210" s="1">
        <v>1.514E9</v>
      </c>
      <c r="W210" s="4" t="str">
        <f>Raw_Data!C209&amp;"|"&amp;Raw_Data!D209&amp;"|"&amp;TEXT(Raw_Data!B209,"yyyy-mm-dd")</f>
        <v>Assurant|AIZ|2020-09-30</v>
      </c>
    </row>
    <row r="211">
      <c r="A211" s="1">
        <v>209.0</v>
      </c>
      <c r="B211" s="3">
        <v>44286.0</v>
      </c>
      <c r="C211" s="1" t="s">
        <v>131</v>
      </c>
      <c r="D211" s="1" t="s">
        <v>132</v>
      </c>
      <c r="F211" s="1">
        <v>1.0064E10</v>
      </c>
      <c r="G211" s="1">
        <v>7.55E9</v>
      </c>
      <c r="H211" s="1">
        <v>5.297E9</v>
      </c>
      <c r="I211" s="1">
        <v>2.2852E10</v>
      </c>
      <c r="J211" s="1">
        <v>1.1746E10</v>
      </c>
      <c r="K211" s="1">
        <v>1.1746E10</v>
      </c>
      <c r="L211" s="1">
        <v>-1.87E9</v>
      </c>
      <c r="M211" s="1">
        <v>2.122E9</v>
      </c>
      <c r="N211" s="1">
        <v>4.3939E10</v>
      </c>
      <c r="O211" s="1">
        <v>3.2193E10</v>
      </c>
      <c r="P211" s="1">
        <v>2.1087E10</v>
      </c>
      <c r="Q211" s="1">
        <v>-1.682E9</v>
      </c>
      <c r="R211" s="1">
        <v>7.942E9</v>
      </c>
      <c r="S211" s="1">
        <v>7.5E9</v>
      </c>
      <c r="W211" s="4" t="str">
        <f>Raw_Data!C210&amp;"|"&amp;Raw_Data!D210&amp;"|"&amp;TEXT(Raw_Data!B210,"yyyy-mm-dd")</f>
        <v>AT&amp;T|T|2021-06-30</v>
      </c>
    </row>
    <row r="212">
      <c r="A212" s="1">
        <v>210.0</v>
      </c>
      <c r="B212" s="3">
        <v>44196.0</v>
      </c>
      <c r="C212" s="1" t="s">
        <v>131</v>
      </c>
      <c r="D212" s="1" t="s">
        <v>132</v>
      </c>
      <c r="F212" s="1">
        <v>-1.5553E10</v>
      </c>
      <c r="G212" s="1">
        <v>-1.3883E10</v>
      </c>
      <c r="H212" s="1">
        <v>1.2866E10</v>
      </c>
      <c r="I212" s="1">
        <v>2.2781E10</v>
      </c>
      <c r="J212" s="1">
        <v>2.936E9</v>
      </c>
      <c r="K212" s="1">
        <v>2.936E9</v>
      </c>
      <c r="L212" s="1">
        <v>-1.894E9</v>
      </c>
      <c r="M212" s="1">
        <v>-2.038E9</v>
      </c>
      <c r="N212" s="1">
        <v>4.5691E10</v>
      </c>
      <c r="O212" s="1">
        <v>4.2755E10</v>
      </c>
      <c r="P212" s="1">
        <v>2.291E10</v>
      </c>
      <c r="Q212" s="1">
        <v>-1.8489E10</v>
      </c>
      <c r="R212" s="1">
        <v>-1.3515E10</v>
      </c>
      <c r="S212" s="1">
        <v>-1.3938E10</v>
      </c>
      <c r="W212" s="4" t="str">
        <f>Raw_Data!C211&amp;"|"&amp;Raw_Data!D211&amp;"|"&amp;TEXT(Raw_Data!B211,"yyyy-mm-dd")</f>
        <v>AT&amp;T|T|2021-03-31</v>
      </c>
    </row>
    <row r="213">
      <c r="A213" s="1">
        <v>211.0</v>
      </c>
      <c r="B213" s="3">
        <v>44104.0</v>
      </c>
      <c r="C213" s="1" t="s">
        <v>131</v>
      </c>
      <c r="D213" s="1" t="s">
        <v>132</v>
      </c>
      <c r="F213" s="1">
        <v>3.934E9</v>
      </c>
      <c r="G213" s="1">
        <v>2.816E9</v>
      </c>
      <c r="H213" s="1">
        <v>8.248E9</v>
      </c>
      <c r="I213" s="1">
        <v>2.2501E10</v>
      </c>
      <c r="J213" s="1">
        <v>7.223E9</v>
      </c>
      <c r="K213" s="1">
        <v>7.223E9</v>
      </c>
      <c r="L213" s="1">
        <v>-1.972E9</v>
      </c>
      <c r="M213" s="1">
        <v>7.66E8</v>
      </c>
      <c r="N213" s="1">
        <v>4.234E10</v>
      </c>
      <c r="O213" s="1">
        <v>3.5117E10</v>
      </c>
      <c r="P213" s="1">
        <v>1.9839E10</v>
      </c>
      <c r="Q213" s="1">
        <v>-3.289E9</v>
      </c>
      <c r="R213" s="1">
        <v>3.168E9</v>
      </c>
      <c r="S213" s="1">
        <v>2.762E9</v>
      </c>
      <c r="W213" s="4" t="str">
        <f>Raw_Data!C212&amp;"|"&amp;Raw_Data!D212&amp;"|"&amp;TEXT(Raw_Data!B212,"yyyy-mm-dd")</f>
        <v>AT&amp;T|T|2020-12-31</v>
      </c>
    </row>
    <row r="214">
      <c r="A214" s="1">
        <v>212.0</v>
      </c>
      <c r="B214" s="3">
        <v>44377.0</v>
      </c>
      <c r="C214" s="1" t="s">
        <v>133</v>
      </c>
      <c r="D214" s="1" t="s">
        <v>134</v>
      </c>
      <c r="F214" s="1">
        <v>1.18315E8</v>
      </c>
      <c r="G214" s="1">
        <v>1.02411E8</v>
      </c>
      <c r="H214" s="1">
        <v>1.0133E7</v>
      </c>
      <c r="I214" s="1">
        <v>3.34213E8</v>
      </c>
      <c r="J214" s="1">
        <v>1.23257E8</v>
      </c>
      <c r="K214" s="1">
        <v>1.23257E8</v>
      </c>
      <c r="L214" s="1">
        <v>-2.0962E7</v>
      </c>
      <c r="M214" s="1">
        <v>1.5904E7</v>
      </c>
      <c r="N214" s="1">
        <v>6.05553E8</v>
      </c>
      <c r="O214" s="1">
        <v>4.82296E8</v>
      </c>
      <c r="P214" s="1">
        <v>2.7134E8</v>
      </c>
      <c r="Q214" s="1">
        <v>-4942000.0</v>
      </c>
      <c r="R214" s="1">
        <v>1.02411E8</v>
      </c>
      <c r="S214" s="1">
        <v>1.02341E8</v>
      </c>
      <c r="W214" s="4" t="str">
        <f>Raw_Data!C213&amp;"|"&amp;Raw_Data!D213&amp;"|"&amp;TEXT(Raw_Data!B213,"yyyy-mm-dd")</f>
        <v>AT&amp;T|T|2020-09-30</v>
      </c>
    </row>
    <row r="215">
      <c r="A215" s="1">
        <v>213.0</v>
      </c>
      <c r="B215" s="3">
        <v>44286.0</v>
      </c>
      <c r="C215" s="1" t="s">
        <v>133</v>
      </c>
      <c r="D215" s="1" t="s">
        <v>134</v>
      </c>
      <c r="F215" s="1">
        <v>3.58542E8</v>
      </c>
      <c r="G215" s="1">
        <v>2.96754E8</v>
      </c>
      <c r="H215" s="1">
        <v>1252000.0</v>
      </c>
      <c r="I215" s="1">
        <v>5.88889E8</v>
      </c>
      <c r="J215" s="1">
        <v>3.80552E8</v>
      </c>
      <c r="K215" s="1">
        <v>3.80552E8</v>
      </c>
      <c r="L215" s="1">
        <v>-2.6096E7</v>
      </c>
      <c r="M215" s="1">
        <v>6.1788E7</v>
      </c>
      <c r="N215" s="1">
        <v>1.319073E9</v>
      </c>
      <c r="O215" s="1">
        <v>9.38521E8</v>
      </c>
      <c r="P215" s="1">
        <v>7.30184E8</v>
      </c>
      <c r="Q215" s="1">
        <v>-2.201E7</v>
      </c>
      <c r="R215" s="1">
        <v>2.96754E8</v>
      </c>
      <c r="S215" s="1">
        <v>2.96555E8</v>
      </c>
      <c r="W215" s="4" t="str">
        <f>Raw_Data!C214&amp;"|"&amp;Raw_Data!D214&amp;"|"&amp;TEXT(Raw_Data!B214,"yyyy-mm-dd")</f>
        <v>Atmos Energy|ATO|2021-06-30</v>
      </c>
    </row>
    <row r="216">
      <c r="A216" s="1">
        <v>214.0</v>
      </c>
      <c r="B216" s="3">
        <v>44196.0</v>
      </c>
      <c r="C216" s="1" t="s">
        <v>133</v>
      </c>
      <c r="D216" s="1" t="s">
        <v>134</v>
      </c>
      <c r="F216" s="1">
        <v>2.82902E8</v>
      </c>
      <c r="G216" s="1">
        <v>2.17678E8</v>
      </c>
      <c r="H216" s="1">
        <v>1253000.0</v>
      </c>
      <c r="I216" s="1">
        <v>4.87577E8</v>
      </c>
      <c r="J216" s="1">
        <v>2.97587E8</v>
      </c>
      <c r="K216" s="1">
        <v>2.97587E8</v>
      </c>
      <c r="L216" s="1">
        <v>-2.201E7</v>
      </c>
      <c r="M216" s="1">
        <v>6.5224E7</v>
      </c>
      <c r="N216" s="1">
        <v>9.1448E8</v>
      </c>
      <c r="O216" s="1">
        <v>6.16893E8</v>
      </c>
      <c r="P216" s="1">
        <v>4.26903E8</v>
      </c>
      <c r="Q216" s="1">
        <v>-1.4685E7</v>
      </c>
      <c r="R216" s="1">
        <v>2.17678E8</v>
      </c>
      <c r="S216" s="1">
        <v>2.17527E8</v>
      </c>
      <c r="W216" s="4" t="str">
        <f>Raw_Data!C215&amp;"|"&amp;Raw_Data!D215&amp;"|"&amp;TEXT(Raw_Data!B215,"yyyy-mm-dd")</f>
        <v>Atmos Energy|ATO|2021-03-31</v>
      </c>
    </row>
    <row r="217">
      <c r="A217" s="1">
        <v>215.0</v>
      </c>
      <c r="B217" s="3">
        <v>44104.0</v>
      </c>
      <c r="C217" s="1" t="s">
        <v>133</v>
      </c>
      <c r="D217" s="1" t="s">
        <v>134</v>
      </c>
      <c r="F217" s="1">
        <v>8.3389E7</v>
      </c>
      <c r="G217" s="1">
        <v>6.5333E7</v>
      </c>
      <c r="H217" s="1">
        <v>-1866000.0</v>
      </c>
      <c r="I217" s="1">
        <v>2.76811E8</v>
      </c>
      <c r="J217" s="1">
        <v>1.02711E8</v>
      </c>
      <c r="K217" s="1">
        <v>1.02711E8</v>
      </c>
      <c r="L217" s="1">
        <v>-1.5494E7</v>
      </c>
      <c r="M217" s="1">
        <v>1.8056E7</v>
      </c>
      <c r="N217" s="1">
        <v>4.74914E8</v>
      </c>
      <c r="O217" s="1">
        <v>3.72203E8</v>
      </c>
      <c r="P217" s="1">
        <v>1.98103E8</v>
      </c>
      <c r="Q217" s="1">
        <v>-1.9322E7</v>
      </c>
      <c r="R217" s="1">
        <v>6.5333E7</v>
      </c>
      <c r="S217" s="1">
        <v>6.5297E7</v>
      </c>
      <c r="W217" s="4" t="str">
        <f>Raw_Data!C216&amp;"|"&amp;Raw_Data!D216&amp;"|"&amp;TEXT(Raw_Data!B216,"yyyy-mm-dd")</f>
        <v>Atmos Energy|ATO|2020-12-31</v>
      </c>
    </row>
    <row r="218">
      <c r="A218" s="1">
        <v>216.0</v>
      </c>
      <c r="B218" s="3">
        <v>44408.0</v>
      </c>
      <c r="C218" s="1" t="s">
        <v>136</v>
      </c>
      <c r="D218" s="1" t="s">
        <v>137</v>
      </c>
      <c r="E218" s="1">
        <v>2.678E8</v>
      </c>
      <c r="F218" s="1">
        <v>1.388E8</v>
      </c>
      <c r="G218" s="1">
        <v>1.156E8</v>
      </c>
      <c r="H218" s="1">
        <v>5.227E8</v>
      </c>
      <c r="I218" s="1">
        <v>9.681E8</v>
      </c>
      <c r="J218" s="1">
        <v>1.529E8</v>
      </c>
      <c r="K218" s="1">
        <v>1.529E8</v>
      </c>
      <c r="L218" s="1">
        <v>-1.28E7</v>
      </c>
      <c r="M218" s="1">
        <v>2.32E7</v>
      </c>
      <c r="N218" s="1">
        <v>1.0597E9</v>
      </c>
      <c r="O218" s="1">
        <v>9.068E8</v>
      </c>
      <c r="P218" s="1">
        <v>9.16E7</v>
      </c>
      <c r="Q218" s="1">
        <v>-1.41E7</v>
      </c>
      <c r="R218" s="1">
        <v>1.156E8</v>
      </c>
      <c r="S218" s="1">
        <v>1.156E8</v>
      </c>
      <c r="W218" s="4" t="str">
        <f>Raw_Data!C217&amp;"|"&amp;Raw_Data!D217&amp;"|"&amp;TEXT(Raw_Data!B217,"yyyy-mm-dd")</f>
        <v>Atmos Energy|ATO|2020-09-30</v>
      </c>
    </row>
    <row r="219">
      <c r="A219" s="1">
        <v>217.0</v>
      </c>
      <c r="B219" s="3">
        <v>44316.0</v>
      </c>
      <c r="C219" s="1" t="s">
        <v>136</v>
      </c>
      <c r="D219" s="1" t="s">
        <v>137</v>
      </c>
      <c r="E219" s="1">
        <v>2.558E8</v>
      </c>
      <c r="F219" s="1">
        <v>1.314E8</v>
      </c>
      <c r="G219" s="1">
        <v>1.556E8</v>
      </c>
      <c r="H219" s="1">
        <v>4.87E8</v>
      </c>
      <c r="I219" s="1">
        <v>9.069E8</v>
      </c>
      <c r="J219" s="1">
        <v>1.457E8</v>
      </c>
      <c r="K219" s="1">
        <v>1.457E8</v>
      </c>
      <c r="L219" s="1">
        <v>-1.06E7</v>
      </c>
      <c r="M219" s="1">
        <v>-2.42E7</v>
      </c>
      <c r="N219" s="1">
        <v>9.893E8</v>
      </c>
      <c r="O219" s="1">
        <v>8.436E8</v>
      </c>
      <c r="P219" s="1">
        <v>8.24E7</v>
      </c>
      <c r="Q219" s="1">
        <v>-1.43E7</v>
      </c>
      <c r="R219" s="1">
        <v>1.556E8</v>
      </c>
      <c r="S219" s="1">
        <v>1.556E8</v>
      </c>
      <c r="W219" s="4" t="str">
        <f>Raw_Data!C218&amp;"|"&amp;Raw_Data!D218&amp;"|"&amp;TEXT(Raw_Data!B218,"yyyy-mm-dd")</f>
        <v>Autodesk|ADSK|2021-07-31</v>
      </c>
    </row>
    <row r="220">
      <c r="A220" s="1">
        <v>218.0</v>
      </c>
      <c r="B220" s="3">
        <v>44227.0</v>
      </c>
      <c r="C220" s="1" t="s">
        <v>136</v>
      </c>
      <c r="D220" s="1" t="s">
        <v>137</v>
      </c>
      <c r="E220" s="1">
        <v>2.44E8</v>
      </c>
      <c r="F220" s="1">
        <v>1.711E8</v>
      </c>
      <c r="G220" s="1">
        <v>9.113E8</v>
      </c>
      <c r="H220" s="1">
        <v>5.016E8</v>
      </c>
      <c r="I220" s="1">
        <v>9.573E8</v>
      </c>
      <c r="J220" s="1">
        <v>1.945E8</v>
      </c>
      <c r="K220" s="1">
        <v>1.945E8</v>
      </c>
      <c r="L220" s="1">
        <v>-6200000.0</v>
      </c>
      <c r="M220" s="1">
        <v>-7.402E8</v>
      </c>
      <c r="N220" s="1">
        <v>1.0392E9</v>
      </c>
      <c r="O220" s="1">
        <v>8.447E8</v>
      </c>
      <c r="P220" s="1">
        <v>8.19E7</v>
      </c>
      <c r="Q220" s="1">
        <v>-2.34E7</v>
      </c>
      <c r="R220" s="1">
        <v>9.113E8</v>
      </c>
      <c r="S220" s="1">
        <v>9.113E8</v>
      </c>
      <c r="W220" s="4" t="str">
        <f>Raw_Data!C219&amp;"|"&amp;Raw_Data!D219&amp;"|"&amp;TEXT(Raw_Data!B219,"yyyy-mm-dd")</f>
        <v>Autodesk|ADSK|2021-04-30</v>
      </c>
    </row>
    <row r="221">
      <c r="A221" s="1">
        <v>219.0</v>
      </c>
      <c r="B221" s="3">
        <v>44135.0</v>
      </c>
      <c r="C221" s="1" t="s">
        <v>136</v>
      </c>
      <c r="D221" s="1" t="s">
        <v>137</v>
      </c>
      <c r="E221" s="1">
        <v>2.234E8</v>
      </c>
      <c r="F221" s="1">
        <v>1.561E8</v>
      </c>
      <c r="G221" s="1">
        <v>1.322E8</v>
      </c>
      <c r="H221" s="1">
        <v>4.634E8</v>
      </c>
      <c r="I221" s="1">
        <v>8.765E8</v>
      </c>
      <c r="J221" s="1">
        <v>1.725E8</v>
      </c>
      <c r="K221" s="1">
        <v>1.725E8</v>
      </c>
      <c r="L221" s="1">
        <v>-1.46E7</v>
      </c>
      <c r="M221" s="1">
        <v>2.39E7</v>
      </c>
      <c r="N221" s="1">
        <v>9.524E8</v>
      </c>
      <c r="O221" s="1">
        <v>7.799E8</v>
      </c>
      <c r="P221" s="1">
        <v>7.59E7</v>
      </c>
      <c r="Q221" s="1">
        <v>-1.64E7</v>
      </c>
      <c r="R221" s="1">
        <v>1.322E8</v>
      </c>
      <c r="S221" s="1">
        <v>1.322E8</v>
      </c>
      <c r="W221" s="4" t="str">
        <f>Raw_Data!C220&amp;"|"&amp;Raw_Data!D220&amp;"|"&amp;TEXT(Raw_Data!B220,"yyyy-mm-dd")</f>
        <v>Autodesk|ADSK|2021-01-31</v>
      </c>
    </row>
    <row r="222">
      <c r="A222" s="1">
        <v>220.0</v>
      </c>
      <c r="B222" s="3">
        <v>44377.0</v>
      </c>
      <c r="C222" s="1" t="s">
        <v>138</v>
      </c>
      <c r="D222" s="1" t="s">
        <v>139</v>
      </c>
      <c r="F222" s="1">
        <v>6.971E8</v>
      </c>
      <c r="G222" s="1">
        <v>5.382E8</v>
      </c>
      <c r="H222" s="1">
        <v>8.503E8</v>
      </c>
      <c r="I222" s="1">
        <v>1.631E9</v>
      </c>
      <c r="J222" s="1">
        <v>6.812E8</v>
      </c>
      <c r="K222" s="1">
        <v>6.812E8</v>
      </c>
      <c r="L222" s="1">
        <v>-1.73E7</v>
      </c>
      <c r="M222" s="1">
        <v>1.589E8</v>
      </c>
      <c r="N222" s="1">
        <v>3.737E9</v>
      </c>
      <c r="O222" s="1">
        <v>3.0558E9</v>
      </c>
      <c r="P222" s="1">
        <v>2.106E9</v>
      </c>
      <c r="Q222" s="1">
        <v>1.59E7</v>
      </c>
      <c r="R222" s="1">
        <v>5.382E8</v>
      </c>
      <c r="S222" s="1">
        <v>5.382E8</v>
      </c>
      <c r="W222" s="4" t="str">
        <f>Raw_Data!C221&amp;"|"&amp;Raw_Data!D221&amp;"|"&amp;TEXT(Raw_Data!B221,"yyyy-mm-dd")</f>
        <v>Autodesk|ADSK|2020-10-31</v>
      </c>
    </row>
    <row r="223">
      <c r="A223" s="1">
        <v>221.0</v>
      </c>
      <c r="B223" s="3">
        <v>44286.0</v>
      </c>
      <c r="C223" s="1" t="s">
        <v>138</v>
      </c>
      <c r="D223" s="1" t="s">
        <v>139</v>
      </c>
      <c r="F223" s="1">
        <v>1.0662E9</v>
      </c>
      <c r="G223" s="1">
        <v>8.107E8</v>
      </c>
      <c r="H223" s="1">
        <v>7.475E8</v>
      </c>
      <c r="I223" s="1">
        <v>1.9239E9</v>
      </c>
      <c r="J223" s="1">
        <v>1.0764E9</v>
      </c>
      <c r="K223" s="1">
        <v>1.0764E9</v>
      </c>
      <c r="L223" s="1">
        <v>-1.35E7</v>
      </c>
      <c r="M223" s="1">
        <v>2.555E8</v>
      </c>
      <c r="N223" s="1">
        <v>4.102E9</v>
      </c>
      <c r="O223" s="1">
        <v>3.0256E9</v>
      </c>
      <c r="P223" s="1">
        <v>2.1781E9</v>
      </c>
      <c r="Q223" s="1">
        <v>-1.02E7</v>
      </c>
      <c r="R223" s="1">
        <v>8.107E8</v>
      </c>
      <c r="S223" s="1">
        <v>8.107E8</v>
      </c>
      <c r="W223" s="4" t="str">
        <f>Raw_Data!C222&amp;"|"&amp;Raw_Data!D222&amp;"|"&amp;TEXT(Raw_Data!B222,"yyyy-mm-dd")</f>
        <v>Automatic Data Processing|ADP|2021-06-30</v>
      </c>
    </row>
    <row r="224">
      <c r="A224" s="1">
        <v>222.0</v>
      </c>
      <c r="B224" s="3">
        <v>44196.0</v>
      </c>
      <c r="C224" s="1" t="s">
        <v>138</v>
      </c>
      <c r="D224" s="1" t="s">
        <v>139</v>
      </c>
      <c r="F224" s="1">
        <v>8.326E8</v>
      </c>
      <c r="G224" s="1">
        <v>6.475E8</v>
      </c>
      <c r="H224" s="1">
        <v>7.443E8</v>
      </c>
      <c r="I224" s="1">
        <v>1.6734E9</v>
      </c>
      <c r="J224" s="1">
        <v>8.29E8</v>
      </c>
      <c r="K224" s="1">
        <v>8.29E8</v>
      </c>
      <c r="L224" s="1">
        <v>-1.39E7</v>
      </c>
      <c r="M224" s="1">
        <v>1.851E8</v>
      </c>
      <c r="N224" s="1">
        <v>3.6957E9</v>
      </c>
      <c r="O224" s="1">
        <v>2.8667E9</v>
      </c>
      <c r="P224" s="1">
        <v>2.0223E9</v>
      </c>
      <c r="Q224" s="1">
        <v>3600000.0</v>
      </c>
      <c r="R224" s="1">
        <v>6.475E8</v>
      </c>
      <c r="S224" s="1">
        <v>6.475E8</v>
      </c>
      <c r="W224" s="4" t="str">
        <f>Raw_Data!C223&amp;"|"&amp;Raw_Data!D223&amp;"|"&amp;TEXT(Raw_Data!B223,"yyyy-mm-dd")</f>
        <v>Automatic Data Processing|ADP|2021-03-31</v>
      </c>
    </row>
    <row r="225">
      <c r="A225" s="1">
        <v>223.0</v>
      </c>
      <c r="B225" s="3">
        <v>44104.0</v>
      </c>
      <c r="C225" s="1" t="s">
        <v>138</v>
      </c>
      <c r="D225" s="1" t="s">
        <v>139</v>
      </c>
      <c r="F225" s="1">
        <v>7.652E8</v>
      </c>
      <c r="G225" s="1">
        <v>6.021E8</v>
      </c>
      <c r="H225" s="1">
        <v>6.676E8</v>
      </c>
      <c r="I225" s="1">
        <v>1.5399E9</v>
      </c>
      <c r="J225" s="1">
        <v>7.688E8</v>
      </c>
      <c r="K225" s="1">
        <v>7.688E8</v>
      </c>
      <c r="L225" s="1">
        <v>-1.51E7</v>
      </c>
      <c r="M225" s="1">
        <v>1.631E8</v>
      </c>
      <c r="N225" s="1">
        <v>3.4707E9</v>
      </c>
      <c r="O225" s="1">
        <v>2.7019E9</v>
      </c>
      <c r="P225" s="1">
        <v>1.9308E9</v>
      </c>
      <c r="Q225" s="1">
        <v>-3600000.0</v>
      </c>
      <c r="R225" s="1">
        <v>6.021E8</v>
      </c>
      <c r="S225" s="1">
        <v>6.021E8</v>
      </c>
      <c r="W225" s="4" t="str">
        <f>Raw_Data!C224&amp;"|"&amp;Raw_Data!D224&amp;"|"&amp;TEXT(Raw_Data!B224,"yyyy-mm-dd")</f>
        <v>Automatic Data Processing|ADP|2020-12-31</v>
      </c>
    </row>
    <row r="226">
      <c r="A226" s="1">
        <v>224.0</v>
      </c>
      <c r="B226" s="3">
        <v>44436.0</v>
      </c>
      <c r="C226" s="1" t="s">
        <v>141</v>
      </c>
      <c r="D226" s="1" t="s">
        <v>142</v>
      </c>
      <c r="F226" s="1">
        <v>9.8591E8</v>
      </c>
      <c r="G226" s="1">
        <v>7.85771E8</v>
      </c>
      <c r="H226" s="1">
        <v>1.526809E9</v>
      </c>
      <c r="I226" s="1">
        <v>2.567839E9</v>
      </c>
      <c r="J226" s="1">
        <v>1.04103E9</v>
      </c>
      <c r="K226" s="1">
        <v>1.04103E9</v>
      </c>
      <c r="L226" s="1">
        <v>-6.3537E7</v>
      </c>
      <c r="M226" s="1">
        <v>2.00139E8</v>
      </c>
      <c r="N226" s="1">
        <v>4.913484E9</v>
      </c>
      <c r="O226" s="1">
        <v>3.872454E9</v>
      </c>
      <c r="P226" s="1">
        <v>2.345645E9</v>
      </c>
      <c r="Q226" s="1">
        <v>-5.512E7</v>
      </c>
      <c r="R226" s="1">
        <v>7.85771E8</v>
      </c>
      <c r="S226" s="1">
        <v>7.85771E8</v>
      </c>
      <c r="W226" s="4" t="str">
        <f>Raw_Data!C225&amp;"|"&amp;Raw_Data!D225&amp;"|"&amp;TEXT(Raw_Data!B225,"yyyy-mm-dd")</f>
        <v>Automatic Data Processing|ADP|2020-09-30</v>
      </c>
    </row>
    <row r="227">
      <c r="A227" s="1">
        <v>225.0</v>
      </c>
      <c r="B227" s="3">
        <v>44324.0</v>
      </c>
      <c r="C227" s="1" t="s">
        <v>141</v>
      </c>
      <c r="D227" s="1" t="s">
        <v>142</v>
      </c>
      <c r="F227" s="1">
        <v>7.58479E8</v>
      </c>
      <c r="G227" s="1">
        <v>5.96164E8</v>
      </c>
      <c r="H227" s="1">
        <v>1.111441E9</v>
      </c>
      <c r="I227" s="1">
        <v>1.914946E9</v>
      </c>
      <c r="J227" s="1">
        <v>8.03505E8</v>
      </c>
      <c r="K227" s="1">
        <v>8.03505E8</v>
      </c>
      <c r="L227" s="1">
        <v>-4.5026E7</v>
      </c>
      <c r="M227" s="1">
        <v>1.62315E8</v>
      </c>
      <c r="N227" s="1">
        <v>3.651023E9</v>
      </c>
      <c r="O227" s="1">
        <v>2.847518E9</v>
      </c>
      <c r="P227" s="1">
        <v>1.736077E9</v>
      </c>
      <c r="Q227" s="1">
        <v>-4.5026E7</v>
      </c>
      <c r="R227" s="1">
        <v>5.96164E8</v>
      </c>
      <c r="S227" s="1">
        <v>5.96164E8</v>
      </c>
      <c r="W227" s="4" t="str">
        <f>Raw_Data!C226&amp;"|"&amp;Raw_Data!D226&amp;"|"&amp;TEXT(Raw_Data!B226,"yyyy-mm-dd")</f>
        <v>AutoZone|AZO|2021-08-28</v>
      </c>
    </row>
    <row r="228">
      <c r="A228" s="1">
        <v>226.0</v>
      </c>
      <c r="B228" s="3">
        <v>44240.0</v>
      </c>
      <c r="C228" s="1" t="s">
        <v>141</v>
      </c>
      <c r="D228" s="1" t="s">
        <v>142</v>
      </c>
      <c r="F228" s="1">
        <v>4.35755E8</v>
      </c>
      <c r="G228" s="1">
        <v>3.45946E8</v>
      </c>
      <c r="H228" s="1">
        <v>1.037716E9</v>
      </c>
      <c r="I228" s="1">
        <v>1.559383E9</v>
      </c>
      <c r="J228" s="1">
        <v>5.21667E8</v>
      </c>
      <c r="K228" s="1">
        <v>5.21667E8</v>
      </c>
      <c r="L228" s="1">
        <v>-4.6012E7</v>
      </c>
      <c r="M228" s="1">
        <v>8.9809E7</v>
      </c>
      <c r="N228" s="1">
        <v>2.910818E9</v>
      </c>
      <c r="O228" s="1">
        <v>2.389151E9</v>
      </c>
      <c r="P228" s="1">
        <v>1.351435E9</v>
      </c>
      <c r="Q228" s="1">
        <v>-8.5912E7</v>
      </c>
      <c r="R228" s="1">
        <v>3.45946E8</v>
      </c>
      <c r="S228" s="1">
        <v>3.45946E8</v>
      </c>
      <c r="W228" s="4" t="str">
        <f>Raw_Data!C227&amp;"|"&amp;Raw_Data!D227&amp;"|"&amp;TEXT(Raw_Data!B227,"yyyy-mm-dd")</f>
        <v>AutoZone|AZO|2021-05-08</v>
      </c>
    </row>
    <row r="229">
      <c r="A229" s="1">
        <v>227.0</v>
      </c>
      <c r="B229" s="3">
        <v>44156.0</v>
      </c>
      <c r="C229" s="1" t="s">
        <v>141</v>
      </c>
      <c r="D229" s="1" t="s">
        <v>142</v>
      </c>
      <c r="F229" s="1">
        <v>5.69046E8</v>
      </c>
      <c r="G229" s="1">
        <v>4.42433E8</v>
      </c>
      <c r="H229" s="1">
        <v>1.060392E9</v>
      </c>
      <c r="I229" s="1">
        <v>1.675617E9</v>
      </c>
      <c r="J229" s="1">
        <v>6.15225E8</v>
      </c>
      <c r="K229" s="1">
        <v>6.15225E8</v>
      </c>
      <c r="L229" s="1">
        <v>-4.6179E7</v>
      </c>
      <c r="M229" s="1">
        <v>1.26613E8</v>
      </c>
      <c r="N229" s="1">
        <v>3.154261E9</v>
      </c>
      <c r="O229" s="1">
        <v>2.539036E9</v>
      </c>
      <c r="P229" s="1">
        <v>1.478644E9</v>
      </c>
      <c r="Q229" s="1">
        <v>-4.6179E7</v>
      </c>
      <c r="R229" s="1">
        <v>4.42433E8</v>
      </c>
      <c r="S229" s="1">
        <v>4.42433E8</v>
      </c>
      <c r="W229" s="4" t="str">
        <f>Raw_Data!C228&amp;"|"&amp;Raw_Data!D228&amp;"|"&amp;TEXT(Raw_Data!B228,"yyyy-mm-dd")</f>
        <v>AutoZone|AZO|2021-02-13</v>
      </c>
    </row>
    <row r="230">
      <c r="A230" s="1">
        <v>228.0</v>
      </c>
      <c r="B230" s="3">
        <v>44377.0</v>
      </c>
      <c r="C230" s="1" t="s">
        <v>143</v>
      </c>
      <c r="D230" s="1" t="s">
        <v>144</v>
      </c>
      <c r="F230" s="1">
        <v>4.47987E8</v>
      </c>
      <c r="G230" s="1">
        <v>4.47953E8</v>
      </c>
      <c r="H230" s="1">
        <v>1.9112E7</v>
      </c>
      <c r="I230" s="1">
        <v>3.47692E8</v>
      </c>
      <c r="J230" s="1">
        <v>1.44108E8</v>
      </c>
      <c r="K230" s="1">
        <v>1.44108E8</v>
      </c>
      <c r="L230" s="1">
        <v>-5.6104E7</v>
      </c>
      <c r="M230" s="1">
        <v>10000.0</v>
      </c>
      <c r="N230" s="1">
        <v>5.61743E8</v>
      </c>
      <c r="O230" s="1">
        <v>4.17635E8</v>
      </c>
      <c r="P230" s="1">
        <v>2.14051E8</v>
      </c>
      <c r="Q230" s="1">
        <v>3.03879E8</v>
      </c>
      <c r="R230" s="1">
        <v>4.47977E8</v>
      </c>
      <c r="S230" s="1">
        <v>4.47953E8</v>
      </c>
      <c r="W230" s="4" t="str">
        <f>Raw_Data!C229&amp;"|"&amp;Raw_Data!D229&amp;"|"&amp;TEXT(Raw_Data!B229,"yyyy-mm-dd")</f>
        <v>AutoZone|AZO|2020-11-21</v>
      </c>
    </row>
    <row r="231">
      <c r="A231" s="1">
        <v>229.0</v>
      </c>
      <c r="B231" s="3">
        <v>44286.0</v>
      </c>
      <c r="C231" s="1" t="s">
        <v>143</v>
      </c>
      <c r="D231" s="1" t="s">
        <v>144</v>
      </c>
      <c r="F231" s="1">
        <v>1.41479E8</v>
      </c>
      <c r="G231" s="1">
        <v>1.42223E8</v>
      </c>
      <c r="H231" s="1">
        <v>1.8265E7</v>
      </c>
      <c r="I231" s="1">
        <v>3.42152E8</v>
      </c>
      <c r="J231" s="1">
        <v>1.4059E8</v>
      </c>
      <c r="K231" s="1">
        <v>1.4059E8</v>
      </c>
      <c r="L231" s="1">
        <v>-5.2613E7</v>
      </c>
      <c r="M231" s="1">
        <v>-755000.0</v>
      </c>
      <c r="N231" s="1">
        <v>5.51196E8</v>
      </c>
      <c r="O231" s="1">
        <v>4.10606E8</v>
      </c>
      <c r="P231" s="1">
        <v>2.09044E8</v>
      </c>
      <c r="Q231" s="1">
        <v>889000.0</v>
      </c>
      <c r="R231" s="1">
        <v>1.42234E8</v>
      </c>
      <c r="S231" s="1">
        <v>1.41899E8</v>
      </c>
      <c r="W231" s="4" t="str">
        <f>Raw_Data!C230&amp;"|"&amp;Raw_Data!D230&amp;"|"&amp;TEXT(Raw_Data!B230,"yyyy-mm-dd")</f>
        <v>AvalonBay Communities|AVB|2021-06-30</v>
      </c>
    </row>
    <row r="232">
      <c r="A232" s="1">
        <v>230.0</v>
      </c>
      <c r="B232" s="3">
        <v>44196.0</v>
      </c>
      <c r="C232" s="1" t="s">
        <v>143</v>
      </c>
      <c r="D232" s="1" t="s">
        <v>144</v>
      </c>
      <c r="F232" s="1">
        <v>3.38936E8</v>
      </c>
      <c r="G232" s="1">
        <v>3.41128E8</v>
      </c>
      <c r="H232" s="1">
        <v>1.0914E7</v>
      </c>
      <c r="I232" s="1">
        <v>3.37684E8</v>
      </c>
      <c r="J232" s="1">
        <v>1.48947E8</v>
      </c>
      <c r="K232" s="1">
        <v>1.48947E8</v>
      </c>
      <c r="L232" s="1">
        <v>-5.1589E7</v>
      </c>
      <c r="M232" s="1">
        <v>-2178000.0</v>
      </c>
      <c r="N232" s="1">
        <v>5.4871E8</v>
      </c>
      <c r="O232" s="1">
        <v>3.99763E8</v>
      </c>
      <c r="P232" s="1">
        <v>2.11026E8</v>
      </c>
      <c r="Q232" s="1">
        <v>1.89989E8</v>
      </c>
      <c r="R232" s="1">
        <v>3.41114E8</v>
      </c>
      <c r="S232" s="1">
        <v>3.40331E8</v>
      </c>
      <c r="W232" s="4" t="str">
        <f>Raw_Data!C231&amp;"|"&amp;Raw_Data!D231&amp;"|"&amp;TEXT(Raw_Data!B231,"yyyy-mm-dd")</f>
        <v>AvalonBay Communities|AVB|2021-03-31</v>
      </c>
    </row>
    <row r="233">
      <c r="A233" s="1">
        <v>231.0</v>
      </c>
      <c r="B233" s="3">
        <v>44104.0</v>
      </c>
      <c r="C233" s="1" t="s">
        <v>143</v>
      </c>
      <c r="D233" s="1" t="s">
        <v>144</v>
      </c>
      <c r="F233" s="1">
        <v>1.4769E8</v>
      </c>
      <c r="G233" s="1">
        <v>1.47703E8</v>
      </c>
      <c r="H233" s="1">
        <v>1.3985E7</v>
      </c>
      <c r="I233" s="1">
        <v>3.59605E8</v>
      </c>
      <c r="J233" s="1">
        <v>1.70272E8</v>
      </c>
      <c r="K233" s="1">
        <v>1.70272E8</v>
      </c>
      <c r="L233" s="1">
        <v>-5.3249E7</v>
      </c>
      <c r="M233" s="1">
        <v>-27000.0</v>
      </c>
      <c r="N233" s="1">
        <v>5.73015E8</v>
      </c>
      <c r="O233" s="1">
        <v>4.02743E8</v>
      </c>
      <c r="P233" s="1">
        <v>2.1341E8</v>
      </c>
      <c r="Q233" s="1">
        <v>-2.2582E7</v>
      </c>
      <c r="R233" s="1">
        <v>1.47717E8</v>
      </c>
      <c r="S233" s="1">
        <v>1.47361E8</v>
      </c>
      <c r="W233" s="4" t="str">
        <f>Raw_Data!C232&amp;"|"&amp;Raw_Data!D232&amp;"|"&amp;TEXT(Raw_Data!B232,"yyyy-mm-dd")</f>
        <v>AvalonBay Communities|AVB|2020-12-31</v>
      </c>
    </row>
    <row r="234">
      <c r="A234" s="1">
        <v>232.0</v>
      </c>
      <c r="B234" s="3">
        <v>44380.0</v>
      </c>
      <c r="C234" s="1" t="s">
        <v>146</v>
      </c>
      <c r="D234" s="1" t="s">
        <v>147</v>
      </c>
      <c r="F234" s="1">
        <v>2.542E8</v>
      </c>
      <c r="G234" s="1">
        <v>1.838E8</v>
      </c>
      <c r="H234" s="1">
        <v>3.07E8</v>
      </c>
      <c r="I234" s="1">
        <v>5.763E8</v>
      </c>
      <c r="J234" s="1">
        <v>2.693E8</v>
      </c>
      <c r="K234" s="1">
        <v>2.693E8</v>
      </c>
      <c r="L234" s="1">
        <v>-1.6E7</v>
      </c>
      <c r="M234" s="1">
        <v>7.04E7</v>
      </c>
      <c r="N234" s="1">
        <v>2.102E9</v>
      </c>
      <c r="O234" s="1">
        <v>1.8327E9</v>
      </c>
      <c r="P234" s="1">
        <v>1.5257E9</v>
      </c>
      <c r="Q234" s="1">
        <v>-1.51E7</v>
      </c>
      <c r="R234" s="1">
        <v>1.838E8</v>
      </c>
      <c r="S234" s="1">
        <v>1.838E8</v>
      </c>
      <c r="W234" s="4" t="str">
        <f>Raw_Data!C233&amp;"|"&amp;Raw_Data!D233&amp;"|"&amp;TEXT(Raw_Data!B233,"yyyy-mm-dd")</f>
        <v>AvalonBay Communities|AVB|2020-09-30</v>
      </c>
    </row>
    <row r="235">
      <c r="A235" s="1">
        <v>233.0</v>
      </c>
      <c r="B235" s="3">
        <v>44289.0</v>
      </c>
      <c r="C235" s="1" t="s">
        <v>146</v>
      </c>
      <c r="D235" s="1" t="s">
        <v>147</v>
      </c>
      <c r="F235" s="1">
        <v>2.676E8</v>
      </c>
      <c r="G235" s="1">
        <v>2.095E8</v>
      </c>
      <c r="H235" s="1">
        <v>3.123E8</v>
      </c>
      <c r="I235" s="1">
        <v>5.97E8</v>
      </c>
      <c r="J235" s="1">
        <v>2.847E8</v>
      </c>
      <c r="K235" s="1">
        <v>2.847E8</v>
      </c>
      <c r="L235" s="1">
        <v>-1.62E7</v>
      </c>
      <c r="M235" s="1">
        <v>5.81E7</v>
      </c>
      <c r="N235" s="1">
        <v>2.0513E9</v>
      </c>
      <c r="O235" s="1">
        <v>1.7666E9</v>
      </c>
      <c r="P235" s="1">
        <v>1.4543E9</v>
      </c>
      <c r="Q235" s="1">
        <v>-1.71E7</v>
      </c>
      <c r="R235" s="1">
        <v>2.095E8</v>
      </c>
      <c r="S235" s="1">
        <v>2.095E8</v>
      </c>
      <c r="W235" s="4" t="str">
        <f>Raw_Data!C234&amp;"|"&amp;Raw_Data!D234&amp;"|"&amp;TEXT(Raw_Data!B234,"yyyy-mm-dd")</f>
        <v>Avery Dennison|AVY|2021-07-03</v>
      </c>
    </row>
    <row r="236">
      <c r="A236" s="1">
        <v>234.0</v>
      </c>
      <c r="B236" s="3">
        <v>44198.0</v>
      </c>
      <c r="C236" s="1" t="s">
        <v>146</v>
      </c>
      <c r="D236" s="1" t="s">
        <v>147</v>
      </c>
      <c r="E236" s="1">
        <v>1.128E8</v>
      </c>
      <c r="F236" s="1">
        <v>2.544E8</v>
      </c>
      <c r="G236" s="1">
        <v>1.915E8</v>
      </c>
      <c r="H236" s="1">
        <v>1.782E8</v>
      </c>
      <c r="I236" s="1">
        <v>5.711E8</v>
      </c>
      <c r="J236" s="1">
        <v>2.801E8</v>
      </c>
      <c r="K236" s="1">
        <v>2.801E8</v>
      </c>
      <c r="L236" s="1">
        <v>-1.56E7</v>
      </c>
      <c r="M236" s="1">
        <v>6.29E7</v>
      </c>
      <c r="N236" s="1">
        <v>1.9909E9</v>
      </c>
      <c r="O236" s="1">
        <v>1.7108E9</v>
      </c>
      <c r="P236" s="1">
        <v>1.4198E9</v>
      </c>
      <c r="Q236" s="1">
        <v>-2.57E7</v>
      </c>
      <c r="R236" s="1">
        <v>1.915E8</v>
      </c>
      <c r="S236" s="1">
        <v>1.915E8</v>
      </c>
      <c r="W236" s="4" t="str">
        <f>Raw_Data!C235&amp;"|"&amp;Raw_Data!D235&amp;"|"&amp;TEXT(Raw_Data!B235,"yyyy-mm-dd")</f>
        <v>Avery Dennison|AVY|2021-04-03</v>
      </c>
    </row>
    <row r="237">
      <c r="A237" s="1">
        <v>235.0</v>
      </c>
      <c r="B237" s="3">
        <v>44100.0</v>
      </c>
      <c r="C237" s="1" t="s">
        <v>146</v>
      </c>
      <c r="D237" s="1" t="s">
        <v>147</v>
      </c>
      <c r="E237" s="1">
        <v>1.128E8</v>
      </c>
      <c r="F237" s="1">
        <v>1.968E8</v>
      </c>
      <c r="G237" s="1">
        <v>1.505E8</v>
      </c>
      <c r="H237" s="1">
        <v>2.583E8</v>
      </c>
      <c r="I237" s="1">
        <v>4.842E8</v>
      </c>
      <c r="J237" s="1">
        <v>2.259E8</v>
      </c>
      <c r="K237" s="1">
        <v>2.259E8</v>
      </c>
      <c r="L237" s="1">
        <v>-1.56E7</v>
      </c>
      <c r="M237" s="1">
        <v>4.63E7</v>
      </c>
      <c r="N237" s="1">
        <v>1.7291E9</v>
      </c>
      <c r="O237" s="1">
        <v>1.5032E9</v>
      </c>
      <c r="P237" s="1">
        <v>1.2449E9</v>
      </c>
      <c r="Q237" s="1">
        <v>-2.91E7</v>
      </c>
      <c r="R237" s="1">
        <v>1.505E8</v>
      </c>
      <c r="S237" s="1">
        <v>1.505E8</v>
      </c>
      <c r="W237" s="4" t="str">
        <f>Raw_Data!C236&amp;"|"&amp;Raw_Data!D236&amp;"|"&amp;TEXT(Raw_Data!B236,"yyyy-mm-dd")</f>
        <v>Avery Dennison|AVY|2021-01-02</v>
      </c>
    </row>
    <row r="238">
      <c r="A238" s="1">
        <v>236.0</v>
      </c>
      <c r="B238" s="3">
        <v>44469.0</v>
      </c>
      <c r="C238" s="1" t="s">
        <v>148</v>
      </c>
      <c r="D238" s="1" t="s">
        <v>149</v>
      </c>
      <c r="F238" s="1">
        <v>2.09E8</v>
      </c>
      <c r="G238" s="1">
        <v>8000000.0</v>
      </c>
      <c r="H238" s="1">
        <v>6.07E8</v>
      </c>
      <c r="I238" s="1">
        <v>1.01E9</v>
      </c>
      <c r="J238" s="1">
        <v>4.03E8</v>
      </c>
      <c r="K238" s="1">
        <v>4.03E8</v>
      </c>
      <c r="L238" s="1">
        <v>-6.7E7</v>
      </c>
      <c r="M238" s="1">
        <v>1.93E8</v>
      </c>
      <c r="N238" s="1">
        <v>5.093E9</v>
      </c>
      <c r="O238" s="1">
        <v>4.69E9</v>
      </c>
      <c r="P238" s="1">
        <v>4.083E9</v>
      </c>
      <c r="Q238" s="1">
        <v>-1.94E8</v>
      </c>
      <c r="R238" s="1">
        <v>1.6E7</v>
      </c>
      <c r="S238" s="1">
        <v>8000000.0</v>
      </c>
      <c r="W238" s="4" t="str">
        <f>Raw_Data!C237&amp;"|"&amp;Raw_Data!D237&amp;"|"&amp;TEXT(Raw_Data!B237,"yyyy-mm-dd")</f>
        <v>Avery Dennison|AVY|2020-09-26</v>
      </c>
    </row>
    <row r="239">
      <c r="A239" s="1">
        <v>237.0</v>
      </c>
      <c r="B239" s="3">
        <v>44377.0</v>
      </c>
      <c r="C239" s="1" t="s">
        <v>148</v>
      </c>
      <c r="D239" s="1" t="s">
        <v>149</v>
      </c>
      <c r="F239" s="1">
        <v>6.6E7</v>
      </c>
      <c r="G239" s="1">
        <v>-6.8E7</v>
      </c>
      <c r="H239" s="1">
        <v>6.36E8</v>
      </c>
      <c r="I239" s="1">
        <v>9.76E8</v>
      </c>
      <c r="J239" s="1">
        <v>2.8E8</v>
      </c>
      <c r="K239" s="1">
        <v>2.8E8</v>
      </c>
      <c r="L239" s="1">
        <v>-6.5E7</v>
      </c>
      <c r="M239" s="1">
        <v>1.43E8</v>
      </c>
      <c r="N239" s="1">
        <v>5.142E9</v>
      </c>
      <c r="O239" s="1">
        <v>4.862E9</v>
      </c>
      <c r="P239" s="1">
        <v>4.166E9</v>
      </c>
      <c r="Q239" s="1">
        <v>-2.14E8</v>
      </c>
      <c r="R239" s="1">
        <v>-7.7E7</v>
      </c>
      <c r="S239" s="1">
        <v>-6.8E7</v>
      </c>
      <c r="W239" s="4" t="str">
        <f>Raw_Data!C238&amp;"|"&amp;Raw_Data!D238&amp;"|"&amp;TEXT(Raw_Data!B238,"yyyy-mm-dd")</f>
        <v>Baker Hughes|BKR|2021-09-30</v>
      </c>
    </row>
    <row r="240">
      <c r="A240" s="1">
        <v>238.0</v>
      </c>
      <c r="B240" s="3">
        <v>44286.0</v>
      </c>
      <c r="C240" s="1" t="s">
        <v>148</v>
      </c>
      <c r="D240" s="1" t="s">
        <v>149</v>
      </c>
      <c r="F240" s="1">
        <v>-5.36E8</v>
      </c>
      <c r="G240" s="1">
        <v>-4.52E8</v>
      </c>
      <c r="H240" s="1">
        <v>5.82E8</v>
      </c>
      <c r="I240" s="1">
        <v>8.58E8</v>
      </c>
      <c r="J240" s="1">
        <v>2.61E8</v>
      </c>
      <c r="K240" s="1">
        <v>2.61E8</v>
      </c>
      <c r="L240" s="1">
        <v>-7.4E7</v>
      </c>
      <c r="M240" s="1">
        <v>6.9E7</v>
      </c>
      <c r="N240" s="1">
        <v>4.782E9</v>
      </c>
      <c r="O240" s="1">
        <v>4.521E9</v>
      </c>
      <c r="P240" s="1">
        <v>3.924E9</v>
      </c>
      <c r="Q240" s="1">
        <v>-7.97E8</v>
      </c>
      <c r="R240" s="1">
        <v>-6.05E8</v>
      </c>
      <c r="S240" s="1">
        <v>-4.52E8</v>
      </c>
      <c r="W240" s="4" t="str">
        <f>Raw_Data!C239&amp;"|"&amp;Raw_Data!D239&amp;"|"&amp;TEXT(Raw_Data!B239,"yyyy-mm-dd")</f>
        <v>Baker Hughes|BKR|2021-06-30</v>
      </c>
    </row>
    <row r="241">
      <c r="A241" s="1">
        <v>239.0</v>
      </c>
      <c r="B241" s="3">
        <v>44196.0</v>
      </c>
      <c r="C241" s="1" t="s">
        <v>148</v>
      </c>
      <c r="D241" s="1" t="s">
        <v>149</v>
      </c>
      <c r="F241" s="1">
        <v>1.52E9</v>
      </c>
      <c r="G241" s="1">
        <v>6.52E8</v>
      </c>
      <c r="H241" s="1">
        <v>5.8E8</v>
      </c>
      <c r="I241" s="1">
        <v>1.037E9</v>
      </c>
      <c r="J241" s="1">
        <v>4.63E8</v>
      </c>
      <c r="K241" s="1">
        <v>4.63E8</v>
      </c>
      <c r="L241" s="1">
        <v>-6.2E7</v>
      </c>
      <c r="M241" s="1">
        <v>5.69E8</v>
      </c>
      <c r="N241" s="1">
        <v>5.495E9</v>
      </c>
      <c r="O241" s="1">
        <v>5.032E9</v>
      </c>
      <c r="P241" s="1">
        <v>4.458E9</v>
      </c>
      <c r="Q241" s="1">
        <v>1.057E9</v>
      </c>
      <c r="R241" s="1">
        <v>9.51E8</v>
      </c>
      <c r="S241" s="1">
        <v>6.52E8</v>
      </c>
      <c r="W241" s="4" t="str">
        <f>Raw_Data!C240&amp;"|"&amp;Raw_Data!D240&amp;"|"&amp;TEXT(Raw_Data!B240,"yyyy-mm-dd")</f>
        <v>Baker Hughes|BKR|2021-03-31</v>
      </c>
    </row>
    <row r="242">
      <c r="A242" s="1">
        <v>240.0</v>
      </c>
      <c r="B242" s="3">
        <v>44377.0</v>
      </c>
      <c r="C242" s="1" t="s">
        <v>151</v>
      </c>
      <c r="D242" s="1" t="s">
        <v>152</v>
      </c>
      <c r="F242" s="1">
        <v>3.18E8</v>
      </c>
      <c r="G242" s="1">
        <v>2.02E8</v>
      </c>
      <c r="H242" s="1">
        <v>1.66E8</v>
      </c>
      <c r="I242" s="1">
        <v>6.99E8</v>
      </c>
      <c r="J242" s="1">
        <v>3.61E8</v>
      </c>
      <c r="K242" s="1">
        <v>3.61E8</v>
      </c>
      <c r="L242" s="1">
        <v>-6.6E7</v>
      </c>
      <c r="M242" s="1">
        <v>1.16E8</v>
      </c>
      <c r="N242" s="1">
        <v>3.459E9</v>
      </c>
      <c r="O242" s="1">
        <v>3.098E9</v>
      </c>
      <c r="P242" s="1">
        <v>2.76E9</v>
      </c>
      <c r="Q242" s="1">
        <v>-4.3E7</v>
      </c>
      <c r="R242" s="1">
        <v>2.02E8</v>
      </c>
      <c r="S242" s="1">
        <v>2.02E8</v>
      </c>
      <c r="W242" s="4" t="str">
        <f>Raw_Data!C241&amp;"|"&amp;Raw_Data!D241&amp;"|"&amp;TEXT(Raw_Data!B241,"yyyy-mm-dd")</f>
        <v>Baker Hughes|BKR|2020-12-31</v>
      </c>
    </row>
    <row r="243">
      <c r="A243" s="1">
        <v>241.0</v>
      </c>
      <c r="B243" s="3">
        <v>44286.0</v>
      </c>
      <c r="C243" s="1" t="s">
        <v>151</v>
      </c>
      <c r="D243" s="1" t="s">
        <v>152</v>
      </c>
      <c r="F243" s="1">
        <v>2.32E8</v>
      </c>
      <c r="G243" s="1">
        <v>2.0E8</v>
      </c>
      <c r="H243" s="1">
        <v>1.57E8</v>
      </c>
      <c r="I243" s="1">
        <v>6.32E8</v>
      </c>
      <c r="J243" s="1">
        <v>3.07E8</v>
      </c>
      <c r="K243" s="1">
        <v>3.07E8</v>
      </c>
      <c r="L243" s="1">
        <v>-6.7E7</v>
      </c>
      <c r="M243" s="1">
        <v>3.2E7</v>
      </c>
      <c r="N243" s="1">
        <v>3.125E9</v>
      </c>
      <c r="O243" s="1">
        <v>2.818E9</v>
      </c>
      <c r="P243" s="1">
        <v>2.493E9</v>
      </c>
      <c r="Q243" s="1">
        <v>-7.5E7</v>
      </c>
      <c r="R243" s="1">
        <v>2.0E8</v>
      </c>
      <c r="S243" s="1">
        <v>2.0E8</v>
      </c>
      <c r="W243" s="4" t="str">
        <f>Raw_Data!C242&amp;"|"&amp;Raw_Data!D242&amp;"|"&amp;TEXT(Raw_Data!B242,"yyyy-mm-dd")</f>
        <v>Ball Corp|BLL|2021-06-30</v>
      </c>
    </row>
    <row r="244">
      <c r="A244" s="1">
        <v>242.0</v>
      </c>
      <c r="B244" s="3">
        <v>44196.0</v>
      </c>
      <c r="C244" s="1" t="s">
        <v>151</v>
      </c>
      <c r="D244" s="1" t="s">
        <v>152</v>
      </c>
      <c r="F244" s="1">
        <v>2.34E8</v>
      </c>
      <c r="G244" s="1">
        <v>2.27E8</v>
      </c>
      <c r="H244" s="1">
        <v>1.62E8</v>
      </c>
      <c r="I244" s="1">
        <v>6.54E8</v>
      </c>
      <c r="J244" s="1">
        <v>3.23E8</v>
      </c>
      <c r="K244" s="1">
        <v>3.23E8</v>
      </c>
      <c r="L244" s="1">
        <v>-6.9E7</v>
      </c>
      <c r="M244" s="1">
        <v>7000000.0</v>
      </c>
      <c r="N244" s="1">
        <v>3.102E9</v>
      </c>
      <c r="O244" s="1">
        <v>2.779E9</v>
      </c>
      <c r="P244" s="1">
        <v>2.448E9</v>
      </c>
      <c r="Q244" s="1">
        <v>-8.9E7</v>
      </c>
      <c r="R244" s="1">
        <v>2.27E8</v>
      </c>
      <c r="S244" s="1">
        <v>2.27E8</v>
      </c>
      <c r="W244" s="4" t="str">
        <f>Raw_Data!C243&amp;"|"&amp;Raw_Data!D243&amp;"|"&amp;TEXT(Raw_Data!B243,"yyyy-mm-dd")</f>
        <v>Ball Corp|BLL|2021-03-31</v>
      </c>
    </row>
    <row r="245">
      <c r="A245" s="1">
        <v>243.0</v>
      </c>
      <c r="B245" s="3">
        <v>44104.0</v>
      </c>
      <c r="C245" s="1" t="s">
        <v>151</v>
      </c>
      <c r="D245" s="1" t="s">
        <v>152</v>
      </c>
      <c r="F245" s="1">
        <v>3.13E8</v>
      </c>
      <c r="G245" s="1">
        <v>2.41E8</v>
      </c>
      <c r="H245" s="1">
        <v>1.21E8</v>
      </c>
      <c r="I245" s="1">
        <v>6.63E8</v>
      </c>
      <c r="J245" s="1">
        <v>3.82E8</v>
      </c>
      <c r="K245" s="1">
        <v>3.82E8</v>
      </c>
      <c r="L245" s="1">
        <v>-6.8E7</v>
      </c>
      <c r="M245" s="1">
        <v>7.3E7</v>
      </c>
      <c r="N245" s="1">
        <v>3.093E9</v>
      </c>
      <c r="O245" s="1">
        <v>2.711E9</v>
      </c>
      <c r="P245" s="1">
        <v>2.43E9</v>
      </c>
      <c r="Q245" s="1">
        <v>-6.9E7</v>
      </c>
      <c r="R245" s="1">
        <v>2.4E8</v>
      </c>
      <c r="S245" s="1">
        <v>2.41E8</v>
      </c>
      <c r="W245" s="4" t="str">
        <f>Raw_Data!C244&amp;"|"&amp;Raw_Data!D244&amp;"|"&amp;TEXT(Raw_Data!B244,"yyyy-mm-dd")</f>
        <v>Ball Corp|BLL|2020-12-31</v>
      </c>
    </row>
    <row r="246">
      <c r="A246" s="1">
        <v>244.0</v>
      </c>
      <c r="B246" s="3">
        <v>44469.0</v>
      </c>
      <c r="C246" s="1" t="s">
        <v>153</v>
      </c>
      <c r="D246" s="1" t="s">
        <v>154</v>
      </c>
      <c r="F246" s="1">
        <v>8.95E9</v>
      </c>
      <c r="G246" s="1">
        <v>7.691E9</v>
      </c>
      <c r="H246" s="1">
        <v>1.2675E10</v>
      </c>
      <c r="I246" s="1">
        <v>2.339E10</v>
      </c>
      <c r="J246" s="1">
        <v>0.0</v>
      </c>
      <c r="K246" s="1">
        <v>8.95E9</v>
      </c>
      <c r="M246" s="1">
        <v>1.259E9</v>
      </c>
      <c r="N246" s="1">
        <v>2.339E10</v>
      </c>
      <c r="O246" s="1">
        <v>1.444E10</v>
      </c>
      <c r="P246" s="1">
        <v>0.0</v>
      </c>
      <c r="Q246" s="1">
        <v>0.0</v>
      </c>
      <c r="R246" s="1">
        <v>7.691E9</v>
      </c>
      <c r="S246" s="1">
        <v>7.26E9</v>
      </c>
      <c r="W246" s="4" t="str">
        <f>Raw_Data!C245&amp;"|"&amp;Raw_Data!D245&amp;"|"&amp;TEXT(Raw_Data!B245,"yyyy-mm-dd")</f>
        <v>Ball Corp|BLL|2020-09-30</v>
      </c>
    </row>
    <row r="247">
      <c r="A247" s="1">
        <v>245.0</v>
      </c>
      <c r="B247" s="3">
        <v>44377.0</v>
      </c>
      <c r="C247" s="1" t="s">
        <v>153</v>
      </c>
      <c r="D247" s="1" t="s">
        <v>154</v>
      </c>
      <c r="F247" s="1">
        <v>8.042E9</v>
      </c>
      <c r="G247" s="1">
        <v>9.224E9</v>
      </c>
      <c r="H247" s="1">
        <v>1.3096E10</v>
      </c>
      <c r="I247" s="1">
        <v>2.3087E10</v>
      </c>
      <c r="J247" s="1">
        <v>0.0</v>
      </c>
      <c r="K247" s="1">
        <v>8.042E9</v>
      </c>
      <c r="M247" s="1">
        <v>-1.182E9</v>
      </c>
      <c r="N247" s="1">
        <v>2.3087E10</v>
      </c>
      <c r="O247" s="1">
        <v>1.5045E10</v>
      </c>
      <c r="P247" s="1">
        <v>0.0</v>
      </c>
      <c r="Q247" s="1">
        <v>0.0</v>
      </c>
      <c r="R247" s="1">
        <v>9.224E9</v>
      </c>
      <c r="S247" s="1">
        <v>8.964E9</v>
      </c>
      <c r="W247" s="4" t="str">
        <f>Raw_Data!C246&amp;"|"&amp;Raw_Data!D246&amp;"|"&amp;TEXT(Raw_Data!B246,"yyyy-mm-dd")</f>
        <v>Bank of America|BAC|2021-09-30</v>
      </c>
    </row>
    <row r="248">
      <c r="A248" s="1">
        <v>246.0</v>
      </c>
      <c r="B248" s="3">
        <v>44286.0</v>
      </c>
      <c r="C248" s="1" t="s">
        <v>153</v>
      </c>
      <c r="D248" s="1" t="s">
        <v>154</v>
      </c>
      <c r="F248" s="1">
        <v>9.166E9</v>
      </c>
      <c r="G248" s="1">
        <v>8.05E9</v>
      </c>
      <c r="H248" s="1">
        <v>1.3765E10</v>
      </c>
      <c r="I248" s="1">
        <v>2.4681E10</v>
      </c>
      <c r="J248" s="1">
        <v>0.0</v>
      </c>
      <c r="K248" s="1">
        <v>9.166E9</v>
      </c>
      <c r="M248" s="1">
        <v>1.116E9</v>
      </c>
      <c r="N248" s="1">
        <v>2.4681E10</v>
      </c>
      <c r="O248" s="1">
        <v>1.5515E10</v>
      </c>
      <c r="P248" s="1">
        <v>0.0</v>
      </c>
      <c r="Q248" s="1">
        <v>0.0</v>
      </c>
      <c r="R248" s="1">
        <v>8.05E9</v>
      </c>
      <c r="S248" s="1">
        <v>7.56E9</v>
      </c>
      <c r="W248" s="4" t="str">
        <f>Raw_Data!C247&amp;"|"&amp;Raw_Data!D247&amp;"|"&amp;TEXT(Raw_Data!B247,"yyyy-mm-dd")</f>
        <v>Bank of America|BAC|2021-06-30</v>
      </c>
    </row>
    <row r="249">
      <c r="A249" s="1">
        <v>247.0</v>
      </c>
      <c r="B249" s="3">
        <v>44196.0</v>
      </c>
      <c r="C249" s="1" t="s">
        <v>153</v>
      </c>
      <c r="D249" s="1" t="s">
        <v>154</v>
      </c>
      <c r="F249" s="1">
        <v>6.119E9</v>
      </c>
      <c r="G249" s="1">
        <v>5.47E9</v>
      </c>
      <c r="H249" s="1">
        <v>1.2395E10</v>
      </c>
      <c r="I249" s="1">
        <v>2.0046E10</v>
      </c>
      <c r="J249" s="1">
        <v>0.0</v>
      </c>
      <c r="K249" s="1">
        <v>6.119E9</v>
      </c>
      <c r="M249" s="1">
        <v>6.49E8</v>
      </c>
      <c r="N249" s="1">
        <v>2.0046E10</v>
      </c>
      <c r="O249" s="1">
        <v>1.3927E10</v>
      </c>
      <c r="P249" s="1">
        <v>0.0</v>
      </c>
      <c r="Q249" s="1">
        <v>0.0</v>
      </c>
      <c r="R249" s="1">
        <v>5.47E9</v>
      </c>
      <c r="S249" s="1">
        <v>5.208E9</v>
      </c>
      <c r="W249" s="4" t="str">
        <f>Raw_Data!C248&amp;"|"&amp;Raw_Data!D248&amp;"|"&amp;TEXT(Raw_Data!B248,"yyyy-mm-dd")</f>
        <v>Bank of America|BAC|2021-03-31</v>
      </c>
    </row>
    <row r="250">
      <c r="A250" s="1">
        <v>248.0</v>
      </c>
      <c r="B250" s="3">
        <v>44408.0</v>
      </c>
      <c r="C250" s="1" t="s">
        <v>155</v>
      </c>
      <c r="D250" s="1" t="s">
        <v>156</v>
      </c>
      <c r="F250" s="1">
        <v>4.99E8</v>
      </c>
      <c r="G250" s="1">
        <v>3.74E8</v>
      </c>
      <c r="H250" s="1">
        <v>8.99E8</v>
      </c>
      <c r="I250" s="1">
        <v>1.498E9</v>
      </c>
      <c r="J250" s="1">
        <v>5.99E8</v>
      </c>
      <c r="K250" s="1">
        <v>5.99E8</v>
      </c>
      <c r="L250" s="1">
        <v>-9.9E7</v>
      </c>
      <c r="M250" s="1">
        <v>1.25E8</v>
      </c>
      <c r="N250" s="1">
        <v>3.318E9</v>
      </c>
      <c r="O250" s="1">
        <v>2.719E9</v>
      </c>
      <c r="P250" s="1">
        <v>1.82E9</v>
      </c>
      <c r="Q250" s="1">
        <v>-1.0E8</v>
      </c>
      <c r="R250" s="1">
        <v>3.74E8</v>
      </c>
      <c r="S250" s="1">
        <v>3.74E8</v>
      </c>
      <c r="W250" s="4" t="str">
        <f>Raw_Data!C249&amp;"|"&amp;Raw_Data!D249&amp;"|"&amp;TEXT(Raw_Data!B249,"yyyy-mm-dd")</f>
        <v>Bank of America|BAC|2020-12-31</v>
      </c>
    </row>
    <row r="251">
      <c r="A251" s="1">
        <v>249.0</v>
      </c>
      <c r="B251" s="3">
        <v>44317.0</v>
      </c>
      <c r="C251" s="1" t="s">
        <v>155</v>
      </c>
      <c r="D251" s="1" t="s">
        <v>156</v>
      </c>
      <c r="F251" s="1">
        <v>3.53E8</v>
      </c>
      <c r="G251" s="1">
        <v>2.77E8</v>
      </c>
      <c r="H251" s="1">
        <v>8.42E8</v>
      </c>
      <c r="I251" s="1">
        <v>1.414E9</v>
      </c>
      <c r="J251" s="1">
        <v>5.72E8</v>
      </c>
      <c r="K251" s="1">
        <v>5.72E8</v>
      </c>
      <c r="L251" s="1">
        <v>-1.14E8</v>
      </c>
      <c r="M251" s="1">
        <v>7.6E7</v>
      </c>
      <c r="N251" s="1">
        <v>3.024E9</v>
      </c>
      <c r="O251" s="1">
        <v>2.452E9</v>
      </c>
      <c r="P251" s="1">
        <v>1.61E9</v>
      </c>
      <c r="Q251" s="1">
        <v>-2.19E8</v>
      </c>
      <c r="R251" s="1">
        <v>2.77E8</v>
      </c>
      <c r="S251" s="1">
        <v>2.77E8</v>
      </c>
      <c r="W251" s="4" t="str">
        <f>Raw_Data!C250&amp;"|"&amp;Raw_Data!D250&amp;"|"&amp;TEXT(Raw_Data!B250,"yyyy-mm-dd")</f>
        <v>Bath &amp; Body Works Inc.|BBWI|2021-07-31</v>
      </c>
    </row>
    <row r="252">
      <c r="A252" s="1">
        <v>250.0</v>
      </c>
      <c r="B252" s="3">
        <v>44226.0</v>
      </c>
      <c r="C252" s="1" t="s">
        <v>155</v>
      </c>
      <c r="D252" s="1" t="s">
        <v>156</v>
      </c>
      <c r="F252" s="1">
        <v>1.155E9</v>
      </c>
      <c r="G252" s="1">
        <v>8.6E8</v>
      </c>
      <c r="H252" s="1">
        <v>1.731E9</v>
      </c>
      <c r="I252" s="1">
        <v>3.069E9</v>
      </c>
      <c r="J252" s="1">
        <v>1.338E9</v>
      </c>
      <c r="K252" s="1">
        <v>1.338E9</v>
      </c>
      <c r="L252" s="1">
        <v>-1.16E8</v>
      </c>
      <c r="M252" s="1">
        <v>2.95E8</v>
      </c>
      <c r="N252" s="1">
        <v>4.818E9</v>
      </c>
      <c r="O252" s="1">
        <v>3.48E9</v>
      </c>
      <c r="P252" s="1">
        <v>1.749E9</v>
      </c>
      <c r="Q252" s="1">
        <v>-1.83E8</v>
      </c>
      <c r="R252" s="1">
        <v>8.6E8</v>
      </c>
      <c r="S252" s="1">
        <v>8.6E8</v>
      </c>
      <c r="W252" s="4" t="str">
        <f>Raw_Data!C251&amp;"|"&amp;Raw_Data!D251&amp;"|"&amp;TEXT(Raw_Data!B251,"yyyy-mm-dd")</f>
        <v>Bath &amp; Body Works Inc.|BBWI|2021-05-01</v>
      </c>
    </row>
    <row r="253">
      <c r="A253" s="1">
        <v>251.0</v>
      </c>
      <c r="B253" s="3">
        <v>44135.0</v>
      </c>
      <c r="C253" s="1" t="s">
        <v>155</v>
      </c>
      <c r="D253" s="1" t="s">
        <v>156</v>
      </c>
      <c r="F253" s="1">
        <v>4.1E8</v>
      </c>
      <c r="G253" s="1">
        <v>3.31E8</v>
      </c>
      <c r="H253" s="1">
        <v>8.08E8</v>
      </c>
      <c r="I253" s="1">
        <v>1.359E9</v>
      </c>
      <c r="J253" s="1">
        <v>5.51E8</v>
      </c>
      <c r="K253" s="1">
        <v>5.51E8</v>
      </c>
      <c r="L253" s="1">
        <v>-1.21E8</v>
      </c>
      <c r="M253" s="1">
        <v>7.9E7</v>
      </c>
      <c r="N253" s="1">
        <v>3.055E9</v>
      </c>
      <c r="O253" s="1">
        <v>2.504E9</v>
      </c>
      <c r="P253" s="1">
        <v>1.696E9</v>
      </c>
      <c r="Q253" s="1">
        <v>-1.41E8</v>
      </c>
      <c r="R253" s="1">
        <v>3.31E8</v>
      </c>
      <c r="S253" s="1">
        <v>3.31E8</v>
      </c>
      <c r="W253" s="4" t="str">
        <f>Raw_Data!C252&amp;"|"&amp;Raw_Data!D252&amp;"|"&amp;TEXT(Raw_Data!B252,"yyyy-mm-dd")</f>
        <v>Bath &amp; Body Works Inc.|BBWI|2021-01-30</v>
      </c>
    </row>
    <row r="254">
      <c r="A254" s="1">
        <v>252.0</v>
      </c>
      <c r="B254" s="3">
        <v>44377.0</v>
      </c>
      <c r="C254" s="1" t="s">
        <v>157</v>
      </c>
      <c r="D254" s="1" t="s">
        <v>158</v>
      </c>
      <c r="E254" s="1">
        <v>1.39E8</v>
      </c>
      <c r="F254" s="1">
        <v>3.92E8</v>
      </c>
      <c r="G254" s="1">
        <v>2.98E8</v>
      </c>
      <c r="H254" s="1">
        <v>6.52E8</v>
      </c>
      <c r="I254" s="1">
        <v>1.254E9</v>
      </c>
      <c r="J254" s="1">
        <v>4.63E8</v>
      </c>
      <c r="K254" s="1">
        <v>4.63E8</v>
      </c>
      <c r="L254" s="1">
        <v>-3.7E7</v>
      </c>
      <c r="M254" s="1">
        <v>9.1E7</v>
      </c>
      <c r="N254" s="1">
        <v>3.098E9</v>
      </c>
      <c r="O254" s="1">
        <v>2.635E9</v>
      </c>
      <c r="P254" s="1">
        <v>1.844E9</v>
      </c>
      <c r="Q254" s="1">
        <v>-7.1E7</v>
      </c>
      <c r="R254" s="1">
        <v>3.01E8</v>
      </c>
      <c r="S254" s="1">
        <v>2.98E8</v>
      </c>
      <c r="W254" s="4" t="str">
        <f>Raw_Data!C253&amp;"|"&amp;Raw_Data!D253&amp;"|"&amp;TEXT(Raw_Data!B253,"yyyy-mm-dd")</f>
        <v>Bath &amp; Body Works Inc.|BBWI|2020-10-31</v>
      </c>
    </row>
    <row r="255">
      <c r="A255" s="1">
        <v>253.0</v>
      </c>
      <c r="B255" s="3">
        <v>44286.0</v>
      </c>
      <c r="C255" s="1" t="s">
        <v>157</v>
      </c>
      <c r="D255" s="1" t="s">
        <v>158</v>
      </c>
      <c r="E255" s="1">
        <v>1.28E8</v>
      </c>
      <c r="F255" s="1">
        <v>3.51E8</v>
      </c>
      <c r="G255" s="1">
        <v>2.98E8</v>
      </c>
      <c r="H255" s="1">
        <v>6.24E8</v>
      </c>
      <c r="I255" s="1">
        <v>1.174E9</v>
      </c>
      <c r="J255" s="1">
        <v>4.22E8</v>
      </c>
      <c r="K255" s="1">
        <v>4.22E8</v>
      </c>
      <c r="L255" s="1">
        <v>-3.7E7</v>
      </c>
      <c r="M255" s="1">
        <v>5.1E7</v>
      </c>
      <c r="N255" s="1">
        <v>2.946E9</v>
      </c>
      <c r="O255" s="1">
        <v>2.524E9</v>
      </c>
      <c r="P255" s="1">
        <v>1.772E9</v>
      </c>
      <c r="Q255" s="1">
        <v>-7.1E7</v>
      </c>
      <c r="R255" s="1">
        <v>3.0E8</v>
      </c>
      <c r="S255" s="1">
        <v>2.98E8</v>
      </c>
      <c r="W255" s="4" t="str">
        <f>Raw_Data!C254&amp;"|"&amp;Raw_Data!D254&amp;"|"&amp;TEXT(Raw_Data!B254,"yyyy-mm-dd")</f>
        <v>Baxter International|BAX|2021-06-30</v>
      </c>
    </row>
    <row r="256">
      <c r="A256" s="1">
        <v>254.0</v>
      </c>
      <c r="B256" s="3">
        <v>44196.0</v>
      </c>
      <c r="C256" s="1" t="s">
        <v>157</v>
      </c>
      <c r="D256" s="1" t="s">
        <v>158</v>
      </c>
      <c r="E256" s="1">
        <v>1.32E8</v>
      </c>
      <c r="F256" s="1">
        <v>2.1E8</v>
      </c>
      <c r="G256" s="1">
        <v>1.68E8</v>
      </c>
      <c r="H256" s="1">
        <v>6.21E8</v>
      </c>
      <c r="I256" s="1">
        <v>1.26E9</v>
      </c>
      <c r="J256" s="1">
        <v>5.07E8</v>
      </c>
      <c r="K256" s="1">
        <v>5.07E8</v>
      </c>
      <c r="L256" s="1">
        <v>-4.1E7</v>
      </c>
      <c r="M256" s="1">
        <v>3.9E7</v>
      </c>
      <c r="N256" s="1">
        <v>3.181E9</v>
      </c>
      <c r="O256" s="1">
        <v>2.674E9</v>
      </c>
      <c r="P256" s="1">
        <v>1.921E9</v>
      </c>
      <c r="Q256" s="1">
        <v>-2.97E8</v>
      </c>
      <c r="R256" s="1">
        <v>1.71E8</v>
      </c>
      <c r="S256" s="1">
        <v>1.68E8</v>
      </c>
      <c r="W256" s="4" t="str">
        <f>Raw_Data!C255&amp;"|"&amp;Raw_Data!D255&amp;"|"&amp;TEXT(Raw_Data!B255,"yyyy-mm-dd")</f>
        <v>Baxter International|BAX|2021-03-31</v>
      </c>
    </row>
    <row r="257">
      <c r="A257" s="1">
        <v>255.0</v>
      </c>
      <c r="B257" s="3">
        <v>44104.0</v>
      </c>
      <c r="C257" s="1" t="s">
        <v>157</v>
      </c>
      <c r="D257" s="1" t="s">
        <v>158</v>
      </c>
      <c r="E257" s="1">
        <v>1.22E8</v>
      </c>
      <c r="F257" s="1">
        <v>4.15E8</v>
      </c>
      <c r="G257" s="1">
        <v>3.56E8</v>
      </c>
      <c r="H257" s="1">
        <v>5.74E8</v>
      </c>
      <c r="I257" s="1">
        <v>1.209E9</v>
      </c>
      <c r="J257" s="1">
        <v>5.13E8</v>
      </c>
      <c r="K257" s="1">
        <v>5.13E8</v>
      </c>
      <c r="L257" s="1">
        <v>-4.2E7</v>
      </c>
      <c r="M257" s="1">
        <v>5.6E7</v>
      </c>
      <c r="N257" s="1">
        <v>2.972E9</v>
      </c>
      <c r="O257" s="1">
        <v>2.459E9</v>
      </c>
      <c r="P257" s="1">
        <v>1.763E9</v>
      </c>
      <c r="Q257" s="1">
        <v>-9.8E7</v>
      </c>
      <c r="R257" s="1">
        <v>3.59E8</v>
      </c>
      <c r="S257" s="1">
        <v>3.56E8</v>
      </c>
      <c r="W257" s="4" t="str">
        <f>Raw_Data!C256&amp;"|"&amp;Raw_Data!D256&amp;"|"&amp;TEXT(Raw_Data!B256,"yyyy-mm-dd")</f>
        <v>Baxter International|BAX|2020-12-31</v>
      </c>
    </row>
    <row r="258">
      <c r="A258" s="1">
        <v>256.0</v>
      </c>
      <c r="B258" s="3">
        <v>44377.0</v>
      </c>
      <c r="C258" s="1" t="s">
        <v>159</v>
      </c>
      <c r="D258" s="1" t="s">
        <v>160</v>
      </c>
      <c r="E258" s="1">
        <v>3.44E8</v>
      </c>
      <c r="F258" s="1">
        <v>5.14E8</v>
      </c>
      <c r="G258" s="1">
        <v>5.25E8</v>
      </c>
      <c r="H258" s="1">
        <v>1.238E9</v>
      </c>
      <c r="I258" s="1">
        <v>2.161E9</v>
      </c>
      <c r="J258" s="1">
        <v>5.79E8</v>
      </c>
      <c r="K258" s="1">
        <v>5.79E8</v>
      </c>
      <c r="L258" s="1">
        <v>-1.15E8</v>
      </c>
      <c r="M258" s="1">
        <v>-1.1E7</v>
      </c>
      <c r="N258" s="1">
        <v>4.89E9</v>
      </c>
      <c r="O258" s="1">
        <v>4.311E9</v>
      </c>
      <c r="P258" s="1">
        <v>2.729E9</v>
      </c>
      <c r="Q258" s="1">
        <v>-6.5E7</v>
      </c>
      <c r="R258" s="1">
        <v>5.25E8</v>
      </c>
      <c r="S258" s="1">
        <v>5.02E8</v>
      </c>
      <c r="W258" s="4" t="str">
        <f>Raw_Data!C257&amp;"|"&amp;Raw_Data!D257&amp;"|"&amp;TEXT(Raw_Data!B257,"yyyy-mm-dd")</f>
        <v>Baxter International|BAX|2020-09-30</v>
      </c>
    </row>
    <row r="259">
      <c r="A259" s="1">
        <v>257.0</v>
      </c>
      <c r="B259" s="3">
        <v>44286.0</v>
      </c>
      <c r="C259" s="1" t="s">
        <v>159</v>
      </c>
      <c r="D259" s="1" t="s">
        <v>160</v>
      </c>
      <c r="E259" s="1">
        <v>3.17E8</v>
      </c>
      <c r="F259" s="1">
        <v>3.05E8</v>
      </c>
      <c r="G259" s="1">
        <v>2.99E8</v>
      </c>
      <c r="H259" s="1">
        <v>1.144E9</v>
      </c>
      <c r="I259" s="1">
        <v>2.283E9</v>
      </c>
      <c r="J259" s="1">
        <v>8.22E8</v>
      </c>
      <c r="K259" s="1">
        <v>8.22E8</v>
      </c>
      <c r="L259" s="1">
        <v>-1.24E8</v>
      </c>
      <c r="M259" s="1">
        <v>6000000.0</v>
      </c>
      <c r="N259" s="1">
        <v>4.907E9</v>
      </c>
      <c r="O259" s="1">
        <v>4.085E9</v>
      </c>
      <c r="P259" s="1">
        <v>2.624E9</v>
      </c>
      <c r="Q259" s="1">
        <v>-5.17E8</v>
      </c>
      <c r="R259" s="1">
        <v>2.99E8</v>
      </c>
      <c r="S259" s="1">
        <v>2.76E8</v>
      </c>
      <c r="W259" s="4" t="str">
        <f>Raw_Data!C258&amp;"|"&amp;Raw_Data!D258&amp;"|"&amp;TEXT(Raw_Data!B258,"yyyy-mm-dd")</f>
        <v>Becton Dickinson|BDX|2021-06-30</v>
      </c>
    </row>
    <row r="260">
      <c r="A260" s="1">
        <v>258.0</v>
      </c>
      <c r="B260" s="3">
        <v>44196.0</v>
      </c>
      <c r="C260" s="1" t="s">
        <v>159</v>
      </c>
      <c r="D260" s="1" t="s">
        <v>160</v>
      </c>
      <c r="E260" s="1">
        <v>2.91E8</v>
      </c>
      <c r="F260" s="1">
        <v>1.157E9</v>
      </c>
      <c r="G260" s="1">
        <v>1.003E9</v>
      </c>
      <c r="H260" s="1">
        <v>1.144E9</v>
      </c>
      <c r="I260" s="1">
        <v>2.766E9</v>
      </c>
      <c r="J260" s="1">
        <v>1.331E9</v>
      </c>
      <c r="K260" s="1">
        <v>1.331E9</v>
      </c>
      <c r="L260" s="1">
        <v>-1.18E8</v>
      </c>
      <c r="M260" s="1">
        <v>1.54E8</v>
      </c>
      <c r="N260" s="1">
        <v>5.315E9</v>
      </c>
      <c r="O260" s="1">
        <v>3.984E9</v>
      </c>
      <c r="P260" s="1">
        <v>2.549E9</v>
      </c>
      <c r="Q260" s="1">
        <v>-1.74E8</v>
      </c>
      <c r="R260" s="1">
        <v>1.003E9</v>
      </c>
      <c r="S260" s="1">
        <v>9.8E8</v>
      </c>
      <c r="W260" s="4" t="str">
        <f>Raw_Data!C259&amp;"|"&amp;Raw_Data!D259&amp;"|"&amp;TEXT(Raw_Data!B259,"yyyy-mm-dd")</f>
        <v>Becton Dickinson|BDX|2021-03-31</v>
      </c>
    </row>
    <row r="261">
      <c r="A261" s="1">
        <v>259.0</v>
      </c>
      <c r="B261" s="3">
        <v>44104.0</v>
      </c>
      <c r="C261" s="1" t="s">
        <v>159</v>
      </c>
      <c r="D261" s="1" t="s">
        <v>160</v>
      </c>
      <c r="E261" s="1">
        <v>2.99E8</v>
      </c>
      <c r="F261" s="1">
        <v>1.43E8</v>
      </c>
      <c r="G261" s="1">
        <v>1.28E8</v>
      </c>
      <c r="H261" s="1">
        <v>1.205E9</v>
      </c>
      <c r="I261" s="1">
        <v>2.509E9</v>
      </c>
      <c r="J261" s="1">
        <v>9.97E8</v>
      </c>
      <c r="K261" s="1">
        <v>9.97E8</v>
      </c>
      <c r="L261" s="1">
        <v>-1.23E8</v>
      </c>
      <c r="M261" s="1">
        <v>1.5E7</v>
      </c>
      <c r="N261" s="1">
        <v>4.784E9</v>
      </c>
      <c r="O261" s="1">
        <v>3.787E9</v>
      </c>
      <c r="P261" s="1">
        <v>2.275E9</v>
      </c>
      <c r="Q261" s="1">
        <v>-8.54E8</v>
      </c>
      <c r="R261" s="1">
        <v>1.28E8</v>
      </c>
      <c r="S261" s="1">
        <v>1.05E8</v>
      </c>
      <c r="W261" s="4" t="str">
        <f>Raw_Data!C260&amp;"|"&amp;Raw_Data!D260&amp;"|"&amp;TEXT(Raw_Data!B260,"yyyy-mm-dd")</f>
        <v>Becton Dickinson|BDX|2020-12-31</v>
      </c>
    </row>
    <row r="262">
      <c r="A262" s="1">
        <v>260.0</v>
      </c>
      <c r="B262" s="3">
        <v>44408.0</v>
      </c>
      <c r="C262" s="1" t="s">
        <v>161</v>
      </c>
      <c r="D262" s="1" t="s">
        <v>162</v>
      </c>
      <c r="F262" s="1">
        <v>7.98E8</v>
      </c>
      <c r="G262" s="1">
        <v>7.34E8</v>
      </c>
      <c r="H262" s="1">
        <v>1.989E9</v>
      </c>
      <c r="I262" s="1">
        <v>2.81E9</v>
      </c>
      <c r="J262" s="1">
        <v>8.01E8</v>
      </c>
      <c r="K262" s="1">
        <v>8.01E8</v>
      </c>
      <c r="L262" s="1">
        <v>-6000000.0</v>
      </c>
      <c r="M262" s="1">
        <v>6.4E7</v>
      </c>
      <c r="N262" s="1">
        <v>1.1849E10</v>
      </c>
      <c r="O262" s="1">
        <v>1.1048E10</v>
      </c>
      <c r="P262" s="1">
        <v>9.039E9</v>
      </c>
      <c r="Q262" s="1">
        <v>-3000000.0</v>
      </c>
      <c r="R262" s="1">
        <v>7.34E8</v>
      </c>
      <c r="S262" s="1">
        <v>7.34E8</v>
      </c>
      <c r="W262" s="4" t="str">
        <f>Raw_Data!C261&amp;"|"&amp;Raw_Data!D261&amp;"|"&amp;TEXT(Raw_Data!B261,"yyyy-mm-dd")</f>
        <v>Becton Dickinson|BDX|2020-09-30</v>
      </c>
    </row>
    <row r="263">
      <c r="A263" s="1">
        <v>261.0</v>
      </c>
      <c r="B263" s="3">
        <v>44317.0</v>
      </c>
      <c r="C263" s="1" t="s">
        <v>161</v>
      </c>
      <c r="D263" s="1" t="s">
        <v>162</v>
      </c>
      <c r="F263" s="1">
        <v>7.67E8</v>
      </c>
      <c r="G263" s="1">
        <v>5.95E8</v>
      </c>
      <c r="H263" s="1">
        <v>1.968E9</v>
      </c>
      <c r="I263" s="1">
        <v>2.709E9</v>
      </c>
      <c r="J263" s="1">
        <v>7.21E8</v>
      </c>
      <c r="K263" s="1">
        <v>7.21E8</v>
      </c>
      <c r="L263" s="1">
        <v>-6000000.0</v>
      </c>
      <c r="M263" s="1">
        <v>1.72E8</v>
      </c>
      <c r="N263" s="1">
        <v>1.1637E10</v>
      </c>
      <c r="O263" s="1">
        <v>1.0916E10</v>
      </c>
      <c r="P263" s="1">
        <v>8.928E9</v>
      </c>
      <c r="Q263" s="1">
        <v>4.6E7</v>
      </c>
      <c r="R263" s="1">
        <v>5.95E8</v>
      </c>
      <c r="S263" s="1">
        <v>5.95E8</v>
      </c>
      <c r="W263" s="4" t="str">
        <f>Raw_Data!C262&amp;"|"&amp;Raw_Data!D262&amp;"|"&amp;TEXT(Raw_Data!B262,"yyyy-mm-dd")</f>
        <v>Best Buy|BBY|2021-07-31</v>
      </c>
    </row>
    <row r="264">
      <c r="A264" s="1">
        <v>262.0</v>
      </c>
      <c r="B264" s="3">
        <v>44226.0</v>
      </c>
      <c r="C264" s="1" t="s">
        <v>161</v>
      </c>
      <c r="D264" s="1" t="s">
        <v>162</v>
      </c>
      <c r="F264" s="1">
        <v>1.043E9</v>
      </c>
      <c r="G264" s="1">
        <v>8.16E8</v>
      </c>
      <c r="H264" s="1">
        <v>2.348E9</v>
      </c>
      <c r="I264" s="1">
        <v>3.53E9</v>
      </c>
      <c r="J264" s="1">
        <v>1.162E9</v>
      </c>
      <c r="K264" s="1">
        <v>1.162E9</v>
      </c>
      <c r="L264" s="1">
        <v>-9000000.0</v>
      </c>
      <c r="M264" s="1">
        <v>2.27E8</v>
      </c>
      <c r="N264" s="1">
        <v>1.6937E10</v>
      </c>
      <c r="O264" s="1">
        <v>1.5775E10</v>
      </c>
      <c r="P264" s="1">
        <v>1.3407E10</v>
      </c>
      <c r="Q264" s="1">
        <v>-1.19E8</v>
      </c>
      <c r="R264" s="1">
        <v>8.16E8</v>
      </c>
      <c r="S264" s="1">
        <v>8.16E8</v>
      </c>
      <c r="W264" s="4" t="str">
        <f>Raw_Data!C263&amp;"|"&amp;Raw_Data!D263&amp;"|"&amp;TEXT(Raw_Data!B263,"yyyy-mm-dd")</f>
        <v>Best Buy|BBY|2021-05-01</v>
      </c>
    </row>
    <row r="265">
      <c r="A265" s="1">
        <v>263.0</v>
      </c>
      <c r="B265" s="3">
        <v>44135.0</v>
      </c>
      <c r="C265" s="1" t="s">
        <v>161</v>
      </c>
      <c r="D265" s="1" t="s">
        <v>162</v>
      </c>
      <c r="F265" s="1">
        <v>5.55E8</v>
      </c>
      <c r="G265" s="1">
        <v>3.91E8</v>
      </c>
      <c r="H265" s="1">
        <v>2.103E9</v>
      </c>
      <c r="I265" s="1">
        <v>2.831E9</v>
      </c>
      <c r="J265" s="1">
        <v>7.08E8</v>
      </c>
      <c r="K265" s="1">
        <v>7.08E8</v>
      </c>
      <c r="L265" s="1">
        <v>-1.1E7</v>
      </c>
      <c r="M265" s="1">
        <v>1.64E8</v>
      </c>
      <c r="N265" s="1">
        <v>1.1853E10</v>
      </c>
      <c r="O265" s="1">
        <v>1.1145E10</v>
      </c>
      <c r="P265" s="1">
        <v>9.022E9</v>
      </c>
      <c r="Q265" s="1">
        <v>-1.53E8</v>
      </c>
      <c r="R265" s="1">
        <v>3.91E8</v>
      </c>
      <c r="S265" s="1">
        <v>3.91E8</v>
      </c>
      <c r="W265" s="4" t="str">
        <f>Raw_Data!C264&amp;"|"&amp;Raw_Data!D264&amp;"|"&amp;TEXT(Raw_Data!B264,"yyyy-mm-dd")</f>
        <v>Best Buy|BBY|2021-01-30</v>
      </c>
    </row>
    <row r="266">
      <c r="A266" s="1">
        <v>264.0</v>
      </c>
      <c r="B266" s="3">
        <v>44377.0</v>
      </c>
      <c r="C266" s="1" t="s">
        <v>163</v>
      </c>
      <c r="D266" s="1" t="s">
        <v>164</v>
      </c>
      <c r="E266" s="1">
        <v>6.5291E7</v>
      </c>
      <c r="F266" s="1">
        <v>1.156775E9</v>
      </c>
      <c r="G266" s="1">
        <v>9.14114E8</v>
      </c>
      <c r="H266" s="1">
        <v>2.21425E8</v>
      </c>
      <c r="I266" s="1">
        <v>4.02698E8</v>
      </c>
      <c r="J266" s="1">
        <v>1.15982E8</v>
      </c>
      <c r="K266" s="1">
        <v>1.15982E8</v>
      </c>
      <c r="L266" s="1">
        <v>-363000.0</v>
      </c>
      <c r="M266" s="1">
        <v>2.42661E8</v>
      </c>
      <c r="N266" s="1">
        <v>7.15931E8</v>
      </c>
      <c r="O266" s="1">
        <v>5.99949E8</v>
      </c>
      <c r="P266" s="1">
        <v>3.13233E8</v>
      </c>
      <c r="Q266" s="1">
        <v>1.040793E9</v>
      </c>
      <c r="R266" s="1">
        <v>9.14114E8</v>
      </c>
      <c r="S266" s="1">
        <v>9.14114E8</v>
      </c>
      <c r="W266" s="4" t="str">
        <f>Raw_Data!C265&amp;"|"&amp;Raw_Data!D265&amp;"|"&amp;TEXT(Raw_Data!B265,"yyyy-mm-dd")</f>
        <v>Best Buy|BBY|2020-10-31</v>
      </c>
    </row>
    <row r="267">
      <c r="A267" s="1">
        <v>265.0</v>
      </c>
      <c r="B267" s="3">
        <v>44286.0</v>
      </c>
      <c r="C267" s="1" t="s">
        <v>163</v>
      </c>
      <c r="D267" s="1" t="s">
        <v>164</v>
      </c>
      <c r="E267" s="1">
        <v>5.6912E7</v>
      </c>
      <c r="F267" s="1">
        <v>1.297203E9</v>
      </c>
      <c r="G267" s="1">
        <v>9.77414E8</v>
      </c>
      <c r="H267" s="1">
        <v>1.91653E8</v>
      </c>
      <c r="I267" s="1">
        <v>4.24527E8</v>
      </c>
      <c r="J267" s="1">
        <v>1.75962E8</v>
      </c>
      <c r="K267" s="1">
        <v>1.75962E8</v>
      </c>
      <c r="L267" s="1">
        <v>-398000.0</v>
      </c>
      <c r="M267" s="1">
        <v>3.19789E8</v>
      </c>
      <c r="N267" s="1">
        <v>7.26796E8</v>
      </c>
      <c r="O267" s="1">
        <v>5.50834E8</v>
      </c>
      <c r="P267" s="1">
        <v>3.02269E8</v>
      </c>
      <c r="Q267" s="1">
        <v>1.121241E9</v>
      </c>
      <c r="R267" s="1">
        <v>9.77414E8</v>
      </c>
      <c r="S267" s="1">
        <v>9.77414E8</v>
      </c>
      <c r="W267" s="4" t="str">
        <f>Raw_Data!C266&amp;"|"&amp;Raw_Data!D266&amp;"|"&amp;TEXT(Raw_Data!B266,"yyyy-mm-dd")</f>
        <v>Bio-Rad Laboratories|BIO|2021-06-30</v>
      </c>
    </row>
    <row r="268">
      <c r="A268" s="1">
        <v>266.0</v>
      </c>
      <c r="B268" s="3">
        <v>44196.0</v>
      </c>
      <c r="C268" s="1" t="s">
        <v>163</v>
      </c>
      <c r="D268" s="1" t="s">
        <v>164</v>
      </c>
      <c r="E268" s="1">
        <v>6.6965E7</v>
      </c>
      <c r="F268" s="1">
        <v>1.078533E9</v>
      </c>
      <c r="G268" s="1">
        <v>8.39102E8</v>
      </c>
      <c r="H268" s="1">
        <v>2.15448E8</v>
      </c>
      <c r="I268" s="1">
        <v>4.58255E8</v>
      </c>
      <c r="J268" s="1">
        <v>1.75842E8</v>
      </c>
      <c r="K268" s="1">
        <v>1.75842E8</v>
      </c>
      <c r="L268" s="1">
        <v>-4703000.0</v>
      </c>
      <c r="M268" s="1">
        <v>2.39431E8</v>
      </c>
      <c r="N268" s="1">
        <v>7.89839E8</v>
      </c>
      <c r="O268" s="1">
        <v>6.13997E8</v>
      </c>
      <c r="P268" s="1">
        <v>3.31584E8</v>
      </c>
      <c r="Q268" s="1">
        <v>9.02691E8</v>
      </c>
      <c r="R268" s="1">
        <v>8.39102E8</v>
      </c>
      <c r="S268" s="1">
        <v>8.39102E8</v>
      </c>
      <c r="W268" s="4" t="str">
        <f>Raw_Data!C267&amp;"|"&amp;Raw_Data!D267&amp;"|"&amp;TEXT(Raw_Data!B267,"yyyy-mm-dd")</f>
        <v>Bio-Rad Laboratories|BIO|2021-03-31</v>
      </c>
    </row>
    <row r="269">
      <c r="A269" s="1">
        <v>267.0</v>
      </c>
      <c r="B269" s="3">
        <v>44104.0</v>
      </c>
      <c r="C269" s="1" t="s">
        <v>163</v>
      </c>
      <c r="D269" s="1" t="s">
        <v>164</v>
      </c>
      <c r="E269" s="1">
        <v>5.9546E7</v>
      </c>
      <c r="F269" s="1">
        <v>1.684461E9</v>
      </c>
      <c r="G269" s="1">
        <v>1.314824E9</v>
      </c>
      <c r="H269" s="1">
        <v>1.99265E8</v>
      </c>
      <c r="I269" s="1">
        <v>3.67311E8</v>
      </c>
      <c r="J269" s="1">
        <v>1.085E8</v>
      </c>
      <c r="K269" s="1">
        <v>1.085E8</v>
      </c>
      <c r="L269" s="1">
        <v>-5728000.0</v>
      </c>
      <c r="M269" s="1">
        <v>3.69637E8</v>
      </c>
      <c r="N269" s="1">
        <v>6.47263E8</v>
      </c>
      <c r="O269" s="1">
        <v>5.38763E8</v>
      </c>
      <c r="P269" s="1">
        <v>2.79952E8</v>
      </c>
      <c r="Q269" s="1">
        <v>1.575961E9</v>
      </c>
      <c r="R269" s="1">
        <v>1.314824E9</v>
      </c>
      <c r="S269" s="1">
        <v>1.314824E9</v>
      </c>
      <c r="W269" s="4" t="str">
        <f>Raw_Data!C268&amp;"|"&amp;Raw_Data!D268&amp;"|"&amp;TEXT(Raw_Data!B268,"yyyy-mm-dd")</f>
        <v>Bio-Rad Laboratories|BIO|2020-12-31</v>
      </c>
    </row>
    <row r="270">
      <c r="A270" s="1">
        <v>268.0</v>
      </c>
      <c r="B270" s="3">
        <v>44377.0</v>
      </c>
      <c r="C270" s="1" t="s">
        <v>165</v>
      </c>
      <c r="D270" s="1" t="s">
        <v>166</v>
      </c>
      <c r="E270" s="1">
        <v>2.0721E7</v>
      </c>
      <c r="F270" s="1">
        <v>7113000.0</v>
      </c>
      <c r="G270" s="1">
        <v>1.496E7</v>
      </c>
      <c r="H270" s="1">
        <v>8.5691E7</v>
      </c>
      <c r="I270" s="1">
        <v>1.77509E8</v>
      </c>
      <c r="J270" s="1">
        <v>7.1097E7</v>
      </c>
      <c r="K270" s="1">
        <v>7.1097E7</v>
      </c>
      <c r="L270" s="1">
        <v>-3291000.0</v>
      </c>
      <c r="M270" s="1">
        <v>-7531000.0</v>
      </c>
      <c r="N270" s="1">
        <v>2.59028E8</v>
      </c>
      <c r="O270" s="1">
        <v>1.87931E8</v>
      </c>
      <c r="P270" s="1">
        <v>8.1519E7</v>
      </c>
      <c r="Q270" s="1">
        <v>-6.3984E7</v>
      </c>
      <c r="R270" s="1">
        <v>1.4644E7</v>
      </c>
      <c r="S270" s="1">
        <v>1.4951E7</v>
      </c>
      <c r="W270" s="4" t="str">
        <f>Raw_Data!C269&amp;"|"&amp;Raw_Data!D269&amp;"|"&amp;TEXT(Raw_Data!B269,"yyyy-mm-dd")</f>
        <v>Bio-Rad Laboratories|BIO|2020-09-30</v>
      </c>
    </row>
    <row r="271">
      <c r="A271" s="1">
        <v>269.0</v>
      </c>
      <c r="B271" s="3">
        <v>44286.0</v>
      </c>
      <c r="C271" s="1" t="s">
        <v>165</v>
      </c>
      <c r="D271" s="1" t="s">
        <v>166</v>
      </c>
      <c r="E271" s="1">
        <v>1.7052E7</v>
      </c>
      <c r="F271" s="1">
        <v>4.5354E7</v>
      </c>
      <c r="G271" s="1">
        <v>4.5782E7</v>
      </c>
      <c r="H271" s="1">
        <v>8.0865E7</v>
      </c>
      <c r="I271" s="1">
        <v>1.68274E8</v>
      </c>
      <c r="J271" s="1">
        <v>7.0357E7</v>
      </c>
      <c r="K271" s="1">
        <v>7.0357E7</v>
      </c>
      <c r="L271" s="1">
        <v>-2660000.0</v>
      </c>
      <c r="M271" s="1">
        <v>-48000.0</v>
      </c>
      <c r="N271" s="1">
        <v>2.43552E8</v>
      </c>
      <c r="O271" s="1">
        <v>1.73195E8</v>
      </c>
      <c r="P271" s="1">
        <v>7.5278E7</v>
      </c>
      <c r="Q271" s="1">
        <v>-2.5003E7</v>
      </c>
      <c r="R271" s="1">
        <v>4.5402E7</v>
      </c>
      <c r="S271" s="1">
        <v>4.5755E7</v>
      </c>
      <c r="W271" s="4" t="str">
        <f>Raw_Data!C270&amp;"|"&amp;Raw_Data!D270&amp;"|"&amp;TEXT(Raw_Data!B270,"yyyy-mm-dd")</f>
        <v>Bio-Techne|TECH|2021-06-30</v>
      </c>
    </row>
    <row r="272">
      <c r="A272" s="1">
        <v>270.0</v>
      </c>
      <c r="B272" s="3">
        <v>44196.0</v>
      </c>
      <c r="C272" s="1" t="s">
        <v>165</v>
      </c>
      <c r="D272" s="1" t="s">
        <v>166</v>
      </c>
      <c r="E272" s="1">
        <v>1.6789E7</v>
      </c>
      <c r="F272" s="1">
        <v>5.6368E7</v>
      </c>
      <c r="G272" s="1">
        <v>4.6274E7</v>
      </c>
      <c r="H272" s="1">
        <v>7.8695E7</v>
      </c>
      <c r="I272" s="1">
        <v>1.50923E8</v>
      </c>
      <c r="J272" s="1">
        <v>5.5439E7</v>
      </c>
      <c r="K272" s="1">
        <v>5.5439E7</v>
      </c>
      <c r="L272" s="1">
        <v>-3585000.0</v>
      </c>
      <c r="M272" s="1">
        <v>1.0224E7</v>
      </c>
      <c r="N272" s="1">
        <v>2.24253E8</v>
      </c>
      <c r="O272" s="1">
        <v>1.68814E8</v>
      </c>
      <c r="P272" s="1">
        <v>7.333E7</v>
      </c>
      <c r="Q272" s="1">
        <v>929000.0</v>
      </c>
      <c r="R272" s="1">
        <v>4.6144E7</v>
      </c>
      <c r="S272" s="1">
        <v>4.6237E7</v>
      </c>
      <c r="W272" s="4" t="str">
        <f>Raw_Data!C271&amp;"|"&amp;Raw_Data!D271&amp;"|"&amp;TEXT(Raw_Data!B271,"yyyy-mm-dd")</f>
        <v>Bio-Techne|TECH|2021-03-31</v>
      </c>
    </row>
    <row r="273">
      <c r="A273" s="1">
        <v>271.0</v>
      </c>
      <c r="B273" s="3">
        <v>44104.0</v>
      </c>
      <c r="C273" s="1" t="s">
        <v>165</v>
      </c>
      <c r="D273" s="1" t="s">
        <v>166</v>
      </c>
      <c r="E273" s="1">
        <v>1.6041E7</v>
      </c>
      <c r="F273" s="1">
        <v>3.9339E7</v>
      </c>
      <c r="G273" s="1">
        <v>3.3395E7</v>
      </c>
      <c r="H273" s="1">
        <v>7.2748E7</v>
      </c>
      <c r="I273" s="1">
        <v>1.37731E8</v>
      </c>
      <c r="J273" s="1">
        <v>4.8942E7</v>
      </c>
      <c r="K273" s="1">
        <v>4.8942E7</v>
      </c>
      <c r="L273" s="1">
        <v>-4416000.0</v>
      </c>
      <c r="M273" s="1">
        <v>5944000.0</v>
      </c>
      <c r="N273" s="1">
        <v>2.04199E8</v>
      </c>
      <c r="O273" s="1">
        <v>1.55257E8</v>
      </c>
      <c r="P273" s="1">
        <v>6.6468E7</v>
      </c>
      <c r="Q273" s="1">
        <v>-9603000.0</v>
      </c>
      <c r="R273" s="1">
        <v>3.3395E7</v>
      </c>
      <c r="S273" s="1">
        <v>3.3374E7</v>
      </c>
      <c r="W273" s="4" t="str">
        <f>Raw_Data!C272&amp;"|"&amp;Raw_Data!D272&amp;"|"&amp;TEXT(Raw_Data!B272,"yyyy-mm-dd")</f>
        <v>Bio-Techne|TECH|2020-12-31</v>
      </c>
    </row>
    <row r="274">
      <c r="A274" s="1">
        <v>272.0</v>
      </c>
      <c r="B274" s="3">
        <v>44377.0</v>
      </c>
      <c r="C274" s="1" t="s">
        <v>169</v>
      </c>
      <c r="D274" s="1" t="s">
        <v>170</v>
      </c>
      <c r="E274" s="1">
        <v>5.851E8</v>
      </c>
      <c r="F274" s="1">
        <v>6.164E8</v>
      </c>
      <c r="G274" s="1">
        <v>4.485E8</v>
      </c>
      <c r="H274" s="1">
        <v>6.373E8</v>
      </c>
      <c r="I274" s="1">
        <v>2.3153E9</v>
      </c>
      <c r="J274" s="1">
        <v>5.04E8</v>
      </c>
      <c r="K274" s="1">
        <v>5.04E8</v>
      </c>
      <c r="L274" s="1">
        <v>-5.64E7</v>
      </c>
      <c r="M274" s="1">
        <v>-4.091E8</v>
      </c>
      <c r="N274" s="1">
        <v>2.775E9</v>
      </c>
      <c r="O274" s="1">
        <v>2.271E9</v>
      </c>
      <c r="P274" s="1">
        <v>4.597E8</v>
      </c>
      <c r="Q274" s="1">
        <v>1.124E8</v>
      </c>
      <c r="R274" s="1">
        <v>1.0255E9</v>
      </c>
      <c r="S274" s="1">
        <v>4.485E8</v>
      </c>
      <c r="W274" s="4" t="str">
        <f>Raw_Data!C273&amp;"|"&amp;Raw_Data!D273&amp;"|"&amp;TEXT(Raw_Data!B273,"yyyy-mm-dd")</f>
        <v>Bio-Techne|TECH|2020-09-30</v>
      </c>
    </row>
    <row r="275">
      <c r="A275" s="1">
        <v>273.0</v>
      </c>
      <c r="B275" s="3">
        <v>44286.0</v>
      </c>
      <c r="C275" s="1" t="s">
        <v>169</v>
      </c>
      <c r="D275" s="1" t="s">
        <v>170</v>
      </c>
      <c r="E275" s="1">
        <v>5.142E8</v>
      </c>
      <c r="F275" s="1">
        <v>4.488E8</v>
      </c>
      <c r="G275" s="1">
        <v>4.102E8</v>
      </c>
      <c r="H275" s="1">
        <v>5.95E8</v>
      </c>
      <c r="I275" s="1">
        <v>2.2159E9</v>
      </c>
      <c r="J275" s="1">
        <v>9.401E8</v>
      </c>
      <c r="K275" s="1">
        <v>9.401E8</v>
      </c>
      <c r="L275" s="1">
        <v>-6.47E7</v>
      </c>
      <c r="M275" s="1">
        <v>4.42E7</v>
      </c>
      <c r="N275" s="1">
        <v>2.694E9</v>
      </c>
      <c r="O275" s="1">
        <v>1.7539E9</v>
      </c>
      <c r="P275" s="1">
        <v>4.781E8</v>
      </c>
      <c r="Q275" s="1">
        <v>-4.913E8</v>
      </c>
      <c r="R275" s="1">
        <v>4.046E8</v>
      </c>
      <c r="S275" s="1">
        <v>4.102E8</v>
      </c>
      <c r="W275" s="4" t="str">
        <f>Raw_Data!C274&amp;"|"&amp;Raw_Data!D274&amp;"|"&amp;TEXT(Raw_Data!B274,"yyyy-mm-dd")</f>
        <v>Biogen|BIIB|2021-06-30</v>
      </c>
    </row>
    <row r="276">
      <c r="A276" s="1">
        <v>274.0</v>
      </c>
      <c r="B276" s="3">
        <v>44196.0</v>
      </c>
      <c r="C276" s="1" t="s">
        <v>169</v>
      </c>
      <c r="D276" s="1" t="s">
        <v>170</v>
      </c>
      <c r="E276" s="1">
        <v>1.7198E9</v>
      </c>
      <c r="F276" s="1">
        <v>3.709E8</v>
      </c>
      <c r="G276" s="1">
        <v>3.579E8</v>
      </c>
      <c r="H276" s="1">
        <v>8.132E8</v>
      </c>
      <c r="I276" s="1">
        <v>2.362E9</v>
      </c>
      <c r="J276" s="1">
        <v>-2.962E8</v>
      </c>
      <c r="K276" s="1">
        <v>-2.962E8</v>
      </c>
      <c r="L276" s="1">
        <v>-5.6E7</v>
      </c>
      <c r="M276" s="1">
        <v>1.33E7</v>
      </c>
      <c r="N276" s="1">
        <v>2.8526E9</v>
      </c>
      <c r="O276" s="1">
        <v>3.1488E9</v>
      </c>
      <c r="P276" s="1">
        <v>4.906E8</v>
      </c>
      <c r="Q276" s="1">
        <v>6.671E8</v>
      </c>
      <c r="R276" s="1">
        <v>3.576E8</v>
      </c>
      <c r="S276" s="1">
        <v>3.579E8</v>
      </c>
      <c r="W276" s="4" t="str">
        <f>Raw_Data!C275&amp;"|"&amp;Raw_Data!D275&amp;"|"&amp;TEXT(Raw_Data!B275,"yyyy-mm-dd")</f>
        <v>Biogen|BIIB|2021-03-31</v>
      </c>
    </row>
    <row r="277">
      <c r="A277" s="1">
        <v>275.0</v>
      </c>
      <c r="B277" s="3">
        <v>44104.0</v>
      </c>
      <c r="C277" s="1" t="s">
        <v>169</v>
      </c>
      <c r="D277" s="1" t="s">
        <v>170</v>
      </c>
      <c r="E277" s="1">
        <v>1.1409E9</v>
      </c>
      <c r="F277" s="1">
        <v>9.447E8</v>
      </c>
      <c r="G277" s="1">
        <v>7.015E8</v>
      </c>
      <c r="H277" s="1">
        <v>5.731E8</v>
      </c>
      <c r="I277" s="1">
        <v>2.927E9</v>
      </c>
      <c r="J277" s="1">
        <v>1.0767E9</v>
      </c>
      <c r="K277" s="1">
        <v>1.0767E9</v>
      </c>
      <c r="L277" s="1">
        <v>-5.63E7</v>
      </c>
      <c r="M277" s="1">
        <v>2.408E8</v>
      </c>
      <c r="N277" s="1">
        <v>3.3761E9</v>
      </c>
      <c r="O277" s="1">
        <v>2.2994E9</v>
      </c>
      <c r="P277" s="1">
        <v>4.491E8</v>
      </c>
      <c r="Q277" s="1">
        <v>-1.32E8</v>
      </c>
      <c r="R277" s="1">
        <v>7.039E8</v>
      </c>
      <c r="S277" s="1">
        <v>7.015E8</v>
      </c>
      <c r="W277" s="4" t="str">
        <f>Raw_Data!C276&amp;"|"&amp;Raw_Data!D276&amp;"|"&amp;TEXT(Raw_Data!B276,"yyyy-mm-dd")</f>
        <v>Biogen|BIIB|2020-12-31</v>
      </c>
    </row>
    <row r="278">
      <c r="A278" s="1">
        <v>276.0</v>
      </c>
      <c r="B278" s="3">
        <v>44377.0</v>
      </c>
      <c r="C278" s="1" t="s">
        <v>171</v>
      </c>
      <c r="D278" s="1" t="s">
        <v>172</v>
      </c>
      <c r="F278" s="1">
        <v>2.201E9</v>
      </c>
      <c r="G278" s="1">
        <v>1.378E9</v>
      </c>
      <c r="H278" s="1">
        <v>4.6E8</v>
      </c>
      <c r="I278" s="1">
        <v>2.429E9</v>
      </c>
      <c r="J278" s="1">
        <v>1.932E9</v>
      </c>
      <c r="K278" s="1">
        <v>1.932E9</v>
      </c>
      <c r="L278" s="1">
        <v>-5.2E7</v>
      </c>
      <c r="M278" s="1">
        <v>6.54E8</v>
      </c>
      <c r="N278" s="1">
        <v>4.82E9</v>
      </c>
      <c r="O278" s="1">
        <v>2.888E9</v>
      </c>
      <c r="P278" s="1">
        <v>2.391E9</v>
      </c>
      <c r="Q278" s="1">
        <v>2.69E8</v>
      </c>
      <c r="R278" s="1">
        <v>1.547E9</v>
      </c>
      <c r="S278" s="1">
        <v>1.378E9</v>
      </c>
      <c r="W278" s="4" t="str">
        <f>Raw_Data!C277&amp;"|"&amp;Raw_Data!D277&amp;"|"&amp;TEXT(Raw_Data!B277,"yyyy-mm-dd")</f>
        <v>Biogen|BIIB|2020-09-30</v>
      </c>
    </row>
    <row r="279">
      <c r="A279" s="1">
        <v>277.0</v>
      </c>
      <c r="B279" s="3">
        <v>44286.0</v>
      </c>
      <c r="C279" s="1" t="s">
        <v>171</v>
      </c>
      <c r="D279" s="1" t="s">
        <v>172</v>
      </c>
      <c r="F279" s="1">
        <v>1.591E9</v>
      </c>
      <c r="G279" s="1">
        <v>1.199E9</v>
      </c>
      <c r="H279" s="1">
        <v>5.82E8</v>
      </c>
      <c r="I279" s="1">
        <v>2.164E9</v>
      </c>
      <c r="J279" s="1">
        <v>1.548E9</v>
      </c>
      <c r="K279" s="1">
        <v>1.548E9</v>
      </c>
      <c r="L279" s="1">
        <v>-5.5E7</v>
      </c>
      <c r="M279" s="1">
        <v>3.18E8</v>
      </c>
      <c r="N279" s="1">
        <v>4.398E9</v>
      </c>
      <c r="O279" s="1">
        <v>2.85E9</v>
      </c>
      <c r="P279" s="1">
        <v>2.234E9</v>
      </c>
      <c r="Q279" s="1">
        <v>4.3E7</v>
      </c>
      <c r="R279" s="1">
        <v>1.273E9</v>
      </c>
      <c r="S279" s="1">
        <v>1.199E9</v>
      </c>
      <c r="W279" s="4" t="str">
        <f>Raw_Data!C278&amp;"|"&amp;Raw_Data!D278&amp;"|"&amp;TEXT(Raw_Data!B278,"yyyy-mm-dd")</f>
        <v>BlackRock|BLK|2021-06-30</v>
      </c>
    </row>
    <row r="280">
      <c r="A280" s="1">
        <v>278.0</v>
      </c>
      <c r="B280" s="3">
        <v>44196.0</v>
      </c>
      <c r="C280" s="1" t="s">
        <v>171</v>
      </c>
      <c r="D280" s="1" t="s">
        <v>172</v>
      </c>
      <c r="F280" s="1">
        <v>2.167E9</v>
      </c>
      <c r="G280" s="1">
        <v>1.548E9</v>
      </c>
      <c r="H280" s="1">
        <v>4.74E8</v>
      </c>
      <c r="I280" s="1">
        <v>2.349E9</v>
      </c>
      <c r="J280" s="1">
        <v>1.848E9</v>
      </c>
      <c r="K280" s="1">
        <v>1.848E9</v>
      </c>
      <c r="L280" s="1">
        <v>-5.4E7</v>
      </c>
      <c r="M280" s="1">
        <v>4.27E8</v>
      </c>
      <c r="N280" s="1">
        <v>4.478E9</v>
      </c>
      <c r="O280" s="1">
        <v>2.63E9</v>
      </c>
      <c r="P280" s="1">
        <v>2.129E9</v>
      </c>
      <c r="Q280" s="1">
        <v>3.19E8</v>
      </c>
      <c r="R280" s="1">
        <v>1.74E9</v>
      </c>
      <c r="S280" s="1">
        <v>1.548E9</v>
      </c>
      <c r="W280" s="4" t="str">
        <f>Raw_Data!C279&amp;"|"&amp;Raw_Data!D279&amp;"|"&amp;TEXT(Raw_Data!B279,"yyyy-mm-dd")</f>
        <v>BlackRock|BLK|2021-03-31</v>
      </c>
    </row>
    <row r="281">
      <c r="A281" s="1">
        <v>279.0</v>
      </c>
      <c r="B281" s="3">
        <v>44104.0</v>
      </c>
      <c r="C281" s="1" t="s">
        <v>171</v>
      </c>
      <c r="D281" s="1" t="s">
        <v>172</v>
      </c>
      <c r="F281" s="1">
        <v>1.981E9</v>
      </c>
      <c r="G281" s="1">
        <v>1.364E9</v>
      </c>
      <c r="H281" s="1">
        <v>4.61E8</v>
      </c>
      <c r="I281" s="1">
        <v>2.245E9</v>
      </c>
      <c r="J281" s="1">
        <v>1.757E9</v>
      </c>
      <c r="K281" s="1">
        <v>1.757E9</v>
      </c>
      <c r="L281" s="1">
        <v>-5.4E7</v>
      </c>
      <c r="M281" s="1">
        <v>4.64E8</v>
      </c>
      <c r="N281" s="1">
        <v>4.369E9</v>
      </c>
      <c r="O281" s="1">
        <v>2.612E9</v>
      </c>
      <c r="P281" s="1">
        <v>2.124E9</v>
      </c>
      <c r="Q281" s="1">
        <v>2.24E8</v>
      </c>
      <c r="R281" s="1">
        <v>1.517E9</v>
      </c>
      <c r="S281" s="1">
        <v>1.364E9</v>
      </c>
      <c r="W281" s="4" t="str">
        <f>Raw_Data!C280&amp;"|"&amp;Raw_Data!D280&amp;"|"&amp;TEXT(Raw_Data!B280,"yyyy-mm-dd")</f>
        <v>BlackRock|BLK|2020-12-31</v>
      </c>
    </row>
    <row r="282">
      <c r="A282" s="1">
        <v>280.0</v>
      </c>
      <c r="B282" s="3">
        <v>44469.0</v>
      </c>
      <c r="C282" s="1" t="s">
        <v>173</v>
      </c>
      <c r="D282" s="1" t="s">
        <v>174</v>
      </c>
      <c r="F282" s="1">
        <v>1.162E9</v>
      </c>
      <c r="G282" s="1">
        <v>9.47E8</v>
      </c>
      <c r="H282" s="1">
        <v>2.461E9</v>
      </c>
      <c r="I282" s="1">
        <v>4.08E9</v>
      </c>
      <c r="J282" s="1">
        <v>0.0</v>
      </c>
      <c r="K282" s="1">
        <v>1.181E9</v>
      </c>
      <c r="M282" s="1">
        <v>2.19E8</v>
      </c>
      <c r="N282" s="1">
        <v>4.08E9</v>
      </c>
      <c r="O282" s="1">
        <v>2.899E9</v>
      </c>
      <c r="P282" s="1">
        <v>0.0</v>
      </c>
      <c r="Q282" s="1">
        <v>-1.9E7</v>
      </c>
      <c r="R282" s="1">
        <v>9.43E8</v>
      </c>
      <c r="S282" s="1">
        <v>8.81E8</v>
      </c>
      <c r="W282" s="4" t="str">
        <f>Raw_Data!C281&amp;"|"&amp;Raw_Data!D281&amp;"|"&amp;TEXT(Raw_Data!B281,"yyyy-mm-dd")</f>
        <v>BlackRock|BLK|2020-09-30</v>
      </c>
    </row>
    <row r="283">
      <c r="A283" s="1">
        <v>281.0</v>
      </c>
      <c r="B283" s="3">
        <v>44377.0</v>
      </c>
      <c r="C283" s="1" t="s">
        <v>173</v>
      </c>
      <c r="D283" s="1" t="s">
        <v>174</v>
      </c>
      <c r="F283" s="1">
        <v>1.268E9</v>
      </c>
      <c r="G283" s="1">
        <v>1.022E9</v>
      </c>
      <c r="H283" s="1">
        <v>2.39E9</v>
      </c>
      <c r="I283" s="1">
        <v>4.046E9</v>
      </c>
      <c r="J283" s="1">
        <v>0.0</v>
      </c>
      <c r="K283" s="1">
        <v>1.288E9</v>
      </c>
      <c r="M283" s="1">
        <v>2.41E8</v>
      </c>
      <c r="N283" s="1">
        <v>4.046E9</v>
      </c>
      <c r="O283" s="1">
        <v>2.758E9</v>
      </c>
      <c r="P283" s="1">
        <v>0.0</v>
      </c>
      <c r="Q283" s="1">
        <v>-2.0E7</v>
      </c>
      <c r="R283" s="1">
        <v>1.027E9</v>
      </c>
      <c r="S283" s="1">
        <v>9.9E8</v>
      </c>
      <c r="W283" s="4" t="str">
        <f>Raw_Data!C282&amp;"|"&amp;Raw_Data!D282&amp;"|"&amp;TEXT(Raw_Data!B282,"yyyy-mm-dd")</f>
        <v>BNY Mellon|BK|2021-09-30</v>
      </c>
    </row>
    <row r="284">
      <c r="A284" s="1">
        <v>282.0</v>
      </c>
      <c r="B284" s="3">
        <v>44286.0</v>
      </c>
      <c r="C284" s="1" t="s">
        <v>173</v>
      </c>
      <c r="D284" s="1" t="s">
        <v>174</v>
      </c>
      <c r="F284" s="1">
        <v>1.153E9</v>
      </c>
      <c r="G284" s="1">
        <v>9.27E8</v>
      </c>
      <c r="H284" s="1">
        <v>2.449E9</v>
      </c>
      <c r="I284" s="1">
        <v>4.004E9</v>
      </c>
      <c r="J284" s="1">
        <v>0.0</v>
      </c>
      <c r="K284" s="1">
        <v>1.177E9</v>
      </c>
      <c r="M284" s="1">
        <v>2.21E8</v>
      </c>
      <c r="N284" s="1">
        <v>4.004E9</v>
      </c>
      <c r="O284" s="1">
        <v>2.827E9</v>
      </c>
      <c r="P284" s="1">
        <v>0.0</v>
      </c>
      <c r="Q284" s="1">
        <v>-2.4E7</v>
      </c>
      <c r="R284" s="1">
        <v>9.32E8</v>
      </c>
      <c r="S284" s="1">
        <v>8.57E8</v>
      </c>
      <c r="W284" s="4" t="str">
        <f>Raw_Data!C283&amp;"|"&amp;Raw_Data!D283&amp;"|"&amp;TEXT(Raw_Data!B283,"yyyy-mm-dd")</f>
        <v>BNY Mellon|BK|2021-06-30</v>
      </c>
    </row>
    <row r="285">
      <c r="A285" s="1">
        <v>283.0</v>
      </c>
      <c r="B285" s="3">
        <v>44196.0</v>
      </c>
      <c r="C285" s="1" t="s">
        <v>173</v>
      </c>
      <c r="D285" s="1" t="s">
        <v>174</v>
      </c>
      <c r="F285" s="1">
        <v>9.03E8</v>
      </c>
      <c r="G285" s="1">
        <v>7.5E8</v>
      </c>
      <c r="H285" s="1">
        <v>2.493E9</v>
      </c>
      <c r="I285" s="1">
        <v>3.828E9</v>
      </c>
      <c r="J285" s="1">
        <v>0.0</v>
      </c>
      <c r="K285" s="1">
        <v>9.29E8</v>
      </c>
      <c r="M285" s="1">
        <v>1.48E8</v>
      </c>
      <c r="N285" s="1">
        <v>3.828E9</v>
      </c>
      <c r="O285" s="1">
        <v>2.899E9</v>
      </c>
      <c r="P285" s="1">
        <v>0.0</v>
      </c>
      <c r="Q285" s="1">
        <v>-2.6E7</v>
      </c>
      <c r="R285" s="1">
        <v>7.55E8</v>
      </c>
      <c r="S285" s="1">
        <v>7.01E8</v>
      </c>
      <c r="W285" s="4" t="str">
        <f>Raw_Data!C284&amp;"|"&amp;Raw_Data!D284&amp;"|"&amp;TEXT(Raw_Data!B284,"yyyy-mm-dd")</f>
        <v>BNY Mellon|BK|2021-03-31</v>
      </c>
    </row>
    <row r="286">
      <c r="A286" s="1">
        <v>284.0</v>
      </c>
      <c r="B286" s="3">
        <v>44469.0</v>
      </c>
      <c r="C286" s="1" t="s">
        <v>175</v>
      </c>
      <c r="D286" s="1" t="s">
        <v>176</v>
      </c>
      <c r="E286" s="1">
        <v>5.75E8</v>
      </c>
      <c r="F286" s="1">
        <v>-3.1E8</v>
      </c>
      <c r="G286" s="1">
        <v>-1.09E8</v>
      </c>
      <c r="H286" s="1">
        <v>1.062E9</v>
      </c>
      <c r="I286" s="1">
        <v>2.13E9</v>
      </c>
      <c r="J286" s="1">
        <v>4.93E8</v>
      </c>
      <c r="K286" s="1">
        <v>4.93E8</v>
      </c>
      <c r="L286" s="1">
        <v>-6.69E8</v>
      </c>
      <c r="M286" s="1">
        <v>-1.78E8</v>
      </c>
      <c r="N286" s="1">
        <v>1.5278E10</v>
      </c>
      <c r="O286" s="1">
        <v>1.4785E10</v>
      </c>
      <c r="P286" s="1">
        <v>1.3148E10</v>
      </c>
      <c r="Q286" s="1">
        <v>-8.03E8</v>
      </c>
      <c r="R286" s="1">
        <v>-1.32E8</v>
      </c>
      <c r="S286" s="1">
        <v>-1.09E8</v>
      </c>
      <c r="W286" s="4" t="str">
        <f>Raw_Data!C285&amp;"|"&amp;Raw_Data!D285&amp;"|"&amp;TEXT(Raw_Data!B285,"yyyy-mm-dd")</f>
        <v>BNY Mellon|BK|2020-12-31</v>
      </c>
    </row>
    <row r="287">
      <c r="A287" s="1">
        <v>285.0</v>
      </c>
      <c r="B287" s="3">
        <v>44377.0</v>
      </c>
      <c r="C287" s="1" t="s">
        <v>175</v>
      </c>
      <c r="D287" s="1" t="s">
        <v>176</v>
      </c>
      <c r="E287" s="1">
        <v>4.97E8</v>
      </c>
      <c r="F287" s="1">
        <v>5.49E8</v>
      </c>
      <c r="G287" s="1">
        <v>5.87E8</v>
      </c>
      <c r="H287" s="1">
        <v>8.6E8</v>
      </c>
      <c r="I287" s="1">
        <v>2.925E9</v>
      </c>
      <c r="J287" s="1">
        <v>1.568E9</v>
      </c>
      <c r="K287" s="1">
        <v>1.568E9</v>
      </c>
      <c r="L287" s="1">
        <v>-6.73E8</v>
      </c>
      <c r="M287" s="1">
        <v>-1.8E7</v>
      </c>
      <c r="N287" s="1">
        <v>1.6998E10</v>
      </c>
      <c r="O287" s="1">
        <v>1.543E10</v>
      </c>
      <c r="P287" s="1">
        <v>1.4073E10</v>
      </c>
      <c r="Q287" s="1">
        <v>-1.019E9</v>
      </c>
      <c r="R287" s="1">
        <v>5.67E8</v>
      </c>
      <c r="S287" s="1">
        <v>5.87E8</v>
      </c>
      <c r="W287" s="4" t="str">
        <f>Raw_Data!C286&amp;"|"&amp;Raw_Data!D286&amp;"|"&amp;TEXT(Raw_Data!B286,"yyyy-mm-dd")</f>
        <v>Boeing|BA|2021-09-30</v>
      </c>
    </row>
    <row r="288">
      <c r="A288" s="1">
        <v>286.0</v>
      </c>
      <c r="B288" s="3">
        <v>44286.0</v>
      </c>
      <c r="C288" s="1" t="s">
        <v>175</v>
      </c>
      <c r="D288" s="1" t="s">
        <v>176</v>
      </c>
      <c r="E288" s="1">
        <v>4.99E8</v>
      </c>
      <c r="F288" s="1">
        <v>-5.72E8</v>
      </c>
      <c r="G288" s="1">
        <v>-5.37E8</v>
      </c>
      <c r="H288" s="1">
        <v>8.5E8</v>
      </c>
      <c r="I288" s="1">
        <v>1.977E9</v>
      </c>
      <c r="J288" s="1">
        <v>6.28E8</v>
      </c>
      <c r="K288" s="1">
        <v>6.28E8</v>
      </c>
      <c r="L288" s="1">
        <v>-6.79E8</v>
      </c>
      <c r="M288" s="1">
        <v>-1.1E7</v>
      </c>
      <c r="N288" s="1">
        <v>1.5217E10</v>
      </c>
      <c r="O288" s="1">
        <v>1.4589E10</v>
      </c>
      <c r="P288" s="1">
        <v>1.324E10</v>
      </c>
      <c r="Q288" s="1">
        <v>-1.2E9</v>
      </c>
      <c r="R288" s="1">
        <v>-5.61E8</v>
      </c>
      <c r="S288" s="1">
        <v>-5.37E8</v>
      </c>
      <c r="W288" s="4" t="str">
        <f>Raw_Data!C287&amp;"|"&amp;Raw_Data!D287&amp;"|"&amp;TEXT(Raw_Data!B287,"yyyy-mm-dd")</f>
        <v>Boeing|BA|2021-06-30</v>
      </c>
    </row>
    <row r="289">
      <c r="A289" s="1">
        <v>287.0</v>
      </c>
      <c r="B289" s="3">
        <v>44196.0</v>
      </c>
      <c r="C289" s="1" t="s">
        <v>175</v>
      </c>
      <c r="D289" s="1" t="s">
        <v>176</v>
      </c>
      <c r="E289" s="1">
        <v>6.05E8</v>
      </c>
      <c r="F289" s="1">
        <v>-8.625E9</v>
      </c>
      <c r="G289" s="1">
        <v>-8.42E9</v>
      </c>
      <c r="H289" s="1">
        <v>1.722E9</v>
      </c>
      <c r="I289" s="1">
        <v>-4.062E9</v>
      </c>
      <c r="J289" s="1">
        <v>-6.389E9</v>
      </c>
      <c r="K289" s="1">
        <v>-6.389E9</v>
      </c>
      <c r="L289" s="1">
        <v>-6.98E8</v>
      </c>
      <c r="M289" s="1">
        <v>-1.86E8</v>
      </c>
      <c r="N289" s="1">
        <v>1.5304E10</v>
      </c>
      <c r="O289" s="1">
        <v>2.1693E10</v>
      </c>
      <c r="P289" s="1">
        <v>1.9366E10</v>
      </c>
      <c r="Q289" s="1">
        <v>-2.236E9</v>
      </c>
      <c r="R289" s="1">
        <v>-8.439E9</v>
      </c>
      <c r="S289" s="1">
        <v>-8.42E9</v>
      </c>
      <c r="W289" s="4" t="str">
        <f>Raw_Data!C288&amp;"|"&amp;Raw_Data!D288&amp;"|"&amp;TEXT(Raw_Data!B288,"yyyy-mm-dd")</f>
        <v>Boeing|BA|2021-03-31</v>
      </c>
    </row>
    <row r="290">
      <c r="A290" s="1">
        <v>288.0</v>
      </c>
      <c r="B290" s="3">
        <v>44377.0</v>
      </c>
      <c r="C290" s="1" t="s">
        <v>178</v>
      </c>
      <c r="D290" s="1" t="s">
        <v>179</v>
      </c>
      <c r="F290" s="1">
        <v>-4.1E7</v>
      </c>
      <c r="G290" s="1">
        <v>-1.67E8</v>
      </c>
      <c r="H290" s="1">
        <v>1.421E9</v>
      </c>
      <c r="I290" s="1">
        <v>1.474E9</v>
      </c>
      <c r="J290" s="1">
        <v>-5.5E7</v>
      </c>
      <c r="K290" s="1">
        <v>-5.5E7</v>
      </c>
      <c r="L290" s="1">
        <v>-8.1E7</v>
      </c>
      <c r="M290" s="1">
        <v>1.26E8</v>
      </c>
      <c r="N290" s="1">
        <v>2.16E9</v>
      </c>
      <c r="O290" s="1">
        <v>2.215E9</v>
      </c>
      <c r="P290" s="1">
        <v>6.86E8</v>
      </c>
      <c r="Q290" s="1">
        <v>1.4E7</v>
      </c>
      <c r="R290" s="1">
        <v>-1.67E8</v>
      </c>
      <c r="S290" s="1">
        <v>-1.67E8</v>
      </c>
      <c r="W290" s="4" t="str">
        <f>Raw_Data!C289&amp;"|"&amp;Raw_Data!D289&amp;"|"&amp;TEXT(Raw_Data!B289,"yyyy-mm-dd")</f>
        <v>Boeing|BA|2020-12-31</v>
      </c>
    </row>
    <row r="291">
      <c r="A291" s="1">
        <v>289.0</v>
      </c>
      <c r="B291" s="3">
        <v>44286.0</v>
      </c>
      <c r="C291" s="1" t="s">
        <v>178</v>
      </c>
      <c r="D291" s="1" t="s">
        <v>179</v>
      </c>
      <c r="F291" s="1">
        <v>-2.78E8</v>
      </c>
      <c r="G291" s="1">
        <v>-5.5E7</v>
      </c>
      <c r="H291" s="1">
        <v>7.79E8</v>
      </c>
      <c r="I291" s="1">
        <v>5.89E8</v>
      </c>
      <c r="J291" s="1">
        <v>-3.03E8</v>
      </c>
      <c r="K291" s="1">
        <v>-3.03E8</v>
      </c>
      <c r="L291" s="1">
        <v>-9.8E7</v>
      </c>
      <c r="M291" s="1">
        <v>-2.23E8</v>
      </c>
      <c r="N291" s="1">
        <v>1.141E9</v>
      </c>
      <c r="O291" s="1">
        <v>1.444E9</v>
      </c>
      <c r="P291" s="1">
        <v>5.52E8</v>
      </c>
      <c r="Q291" s="1">
        <v>2.5E7</v>
      </c>
      <c r="R291" s="1">
        <v>-5.5E7</v>
      </c>
      <c r="S291" s="1">
        <v>-5.5E7</v>
      </c>
      <c r="W291" s="4" t="str">
        <f>Raw_Data!C290&amp;"|"&amp;Raw_Data!D290&amp;"|"&amp;TEXT(Raw_Data!B290,"yyyy-mm-dd")</f>
        <v>Booking Holdings|BKNG|2021-06-30</v>
      </c>
    </row>
    <row r="292">
      <c r="A292" s="1">
        <v>290.0</v>
      </c>
      <c r="B292" s="3">
        <v>44196.0</v>
      </c>
      <c r="C292" s="1" t="s">
        <v>178</v>
      </c>
      <c r="D292" s="1" t="s">
        <v>179</v>
      </c>
      <c r="F292" s="1">
        <v>2.45E8</v>
      </c>
      <c r="G292" s="1">
        <v>-1.65E8</v>
      </c>
      <c r="H292" s="1">
        <v>7.12E8</v>
      </c>
      <c r="I292" s="1">
        <v>7.47E8</v>
      </c>
      <c r="J292" s="1">
        <v>-7.9E7</v>
      </c>
      <c r="K292" s="1">
        <v>-7.9E7</v>
      </c>
      <c r="L292" s="1">
        <v>-9.8E7</v>
      </c>
      <c r="M292" s="1">
        <v>4.1E8</v>
      </c>
      <c r="N292" s="1">
        <v>1.238E9</v>
      </c>
      <c r="O292" s="1">
        <v>1.317E9</v>
      </c>
      <c r="P292" s="1">
        <v>4.91E8</v>
      </c>
      <c r="Q292" s="1">
        <v>3.24E8</v>
      </c>
      <c r="R292" s="1">
        <v>-1.65E8</v>
      </c>
      <c r="S292" s="1">
        <v>-1.65E8</v>
      </c>
      <c r="W292" s="4" t="str">
        <f>Raw_Data!C291&amp;"|"&amp;Raw_Data!D291&amp;"|"&amp;TEXT(Raw_Data!B291,"yyyy-mm-dd")</f>
        <v>Booking Holdings|BKNG|2021-03-31</v>
      </c>
    </row>
    <row r="293">
      <c r="A293" s="1">
        <v>291.0</v>
      </c>
      <c r="B293" s="3">
        <v>44104.0</v>
      </c>
      <c r="C293" s="1" t="s">
        <v>178</v>
      </c>
      <c r="D293" s="1" t="s">
        <v>179</v>
      </c>
      <c r="F293" s="1">
        <v>8.35E8</v>
      </c>
      <c r="G293" s="1">
        <v>8.01E8</v>
      </c>
      <c r="H293" s="1">
        <v>1.079E9</v>
      </c>
      <c r="I293" s="1">
        <v>2.123E9</v>
      </c>
      <c r="J293" s="1">
        <v>9.29E8</v>
      </c>
      <c r="K293" s="1">
        <v>9.29E8</v>
      </c>
      <c r="L293" s="1">
        <v>-9.8E7</v>
      </c>
      <c r="M293" s="1">
        <v>3.4E7</v>
      </c>
      <c r="N293" s="1">
        <v>2.64E9</v>
      </c>
      <c r="O293" s="1">
        <v>1.711E9</v>
      </c>
      <c r="P293" s="1">
        <v>5.17E8</v>
      </c>
      <c r="Q293" s="1">
        <v>-9.4E7</v>
      </c>
      <c r="R293" s="1">
        <v>8.01E8</v>
      </c>
      <c r="S293" s="1">
        <v>8.01E8</v>
      </c>
      <c r="W293" s="4" t="str">
        <f>Raw_Data!C292&amp;"|"&amp;Raw_Data!D292&amp;"|"&amp;TEXT(Raw_Data!B292,"yyyy-mm-dd")</f>
        <v>Booking Holdings|BKNG|2020-12-31</v>
      </c>
    </row>
    <row r="294">
      <c r="A294" s="1">
        <v>292.0</v>
      </c>
      <c r="B294" s="3">
        <v>44377.0</v>
      </c>
      <c r="C294" s="1" t="s">
        <v>180</v>
      </c>
      <c r="D294" s="1" t="s">
        <v>181</v>
      </c>
      <c r="F294" s="1">
        <v>3.02E8</v>
      </c>
      <c r="G294" s="1">
        <v>2.47E8</v>
      </c>
      <c r="H294" s="1">
        <v>3.52E8</v>
      </c>
      <c r="I294" s="1">
        <v>7.62E8</v>
      </c>
      <c r="J294" s="1">
        <v>4.13E8</v>
      </c>
      <c r="K294" s="1">
        <v>4.13E8</v>
      </c>
      <c r="L294" s="1">
        <v>-4.2E7</v>
      </c>
      <c r="M294" s="1">
        <v>2.8E7</v>
      </c>
      <c r="N294" s="1">
        <v>3.758E9</v>
      </c>
      <c r="O294" s="1">
        <v>3.345E9</v>
      </c>
      <c r="P294" s="1">
        <v>2.996E9</v>
      </c>
      <c r="Q294" s="1">
        <v>-1.11E8</v>
      </c>
      <c r="R294" s="1">
        <v>2.74E8</v>
      </c>
      <c r="S294" s="1">
        <v>2.47E8</v>
      </c>
      <c r="W294" s="4" t="str">
        <f>Raw_Data!C293&amp;"|"&amp;Raw_Data!D293&amp;"|"&amp;TEXT(Raw_Data!B293,"yyyy-mm-dd")</f>
        <v>Booking Holdings|BKNG|2020-09-30</v>
      </c>
    </row>
    <row r="295">
      <c r="A295" s="1">
        <v>293.0</v>
      </c>
      <c r="B295" s="3">
        <v>44286.0</v>
      </c>
      <c r="C295" s="1" t="s">
        <v>180</v>
      </c>
      <c r="D295" s="1" t="s">
        <v>181</v>
      </c>
      <c r="F295" s="1">
        <v>1.36E8</v>
      </c>
      <c r="G295" s="1">
        <v>6.5E7</v>
      </c>
      <c r="H295" s="1">
        <v>3.66E8</v>
      </c>
      <c r="I295" s="1">
        <v>8.18E8</v>
      </c>
      <c r="J295" s="1">
        <v>4.55E8</v>
      </c>
      <c r="K295" s="1">
        <v>4.55E8</v>
      </c>
      <c r="L295" s="1">
        <v>-2.1E7</v>
      </c>
      <c r="M295" s="1">
        <v>4.2E7</v>
      </c>
      <c r="N295" s="1">
        <v>4.009E9</v>
      </c>
      <c r="O295" s="1">
        <v>3.554E9</v>
      </c>
      <c r="P295" s="1">
        <v>3.191E9</v>
      </c>
      <c r="Q295" s="1">
        <v>-3.19E8</v>
      </c>
      <c r="R295" s="1">
        <v>9.4E7</v>
      </c>
      <c r="S295" s="1">
        <v>6.5E7</v>
      </c>
      <c r="W295" s="4" t="str">
        <f>Raw_Data!C294&amp;"|"&amp;Raw_Data!D294&amp;"|"&amp;TEXT(Raw_Data!B294,"yyyy-mm-dd")</f>
        <v>BorgWarner|BWA|2021-06-30</v>
      </c>
    </row>
    <row r="296">
      <c r="A296" s="1">
        <v>294.0</v>
      </c>
      <c r="B296" s="3">
        <v>44196.0</v>
      </c>
      <c r="C296" s="1" t="s">
        <v>180</v>
      </c>
      <c r="D296" s="1" t="s">
        <v>181</v>
      </c>
      <c r="F296" s="1">
        <v>5.96E8</v>
      </c>
      <c r="G296" s="1">
        <v>3.58E8</v>
      </c>
      <c r="H296" s="1">
        <v>3.48E8</v>
      </c>
      <c r="I296" s="1">
        <v>7.72E8</v>
      </c>
      <c r="J296" s="1">
        <v>4.23E8</v>
      </c>
      <c r="K296" s="1">
        <v>4.23E8</v>
      </c>
      <c r="L296" s="1">
        <v>-2.3E7</v>
      </c>
      <c r="M296" s="1">
        <v>2.11E8</v>
      </c>
      <c r="N296" s="1">
        <v>3.926E9</v>
      </c>
      <c r="O296" s="1">
        <v>3.503E9</v>
      </c>
      <c r="P296" s="1">
        <v>3.154E9</v>
      </c>
      <c r="Q296" s="1">
        <v>1.73E8</v>
      </c>
      <c r="R296" s="1">
        <v>3.85E8</v>
      </c>
      <c r="S296" s="1">
        <v>3.58E8</v>
      </c>
      <c r="W296" s="4" t="str">
        <f>Raw_Data!C295&amp;"|"&amp;Raw_Data!D295&amp;"|"&amp;TEXT(Raw_Data!B295,"yyyy-mm-dd")</f>
        <v>BorgWarner|BWA|2021-03-31</v>
      </c>
    </row>
    <row r="297">
      <c r="A297" s="1">
        <v>295.0</v>
      </c>
      <c r="B297" s="3">
        <v>44104.0</v>
      </c>
      <c r="C297" s="1" t="s">
        <v>180</v>
      </c>
      <c r="D297" s="1" t="s">
        <v>181</v>
      </c>
      <c r="F297" s="1">
        <v>2.72E8</v>
      </c>
      <c r="G297" s="1">
        <v>1.11E8</v>
      </c>
      <c r="H297" s="1">
        <v>2.02E8</v>
      </c>
      <c r="I297" s="1">
        <v>5.17E8</v>
      </c>
      <c r="J297" s="1">
        <v>3.19E8</v>
      </c>
      <c r="K297" s="1">
        <v>3.19E8</v>
      </c>
      <c r="L297" s="1">
        <v>-2.0E7</v>
      </c>
      <c r="M297" s="1">
        <v>1.43E8</v>
      </c>
      <c r="N297" s="1">
        <v>2.534E9</v>
      </c>
      <c r="O297" s="1">
        <v>2.215E9</v>
      </c>
      <c r="P297" s="1">
        <v>2.017E9</v>
      </c>
      <c r="Q297" s="1">
        <v>-4.7E7</v>
      </c>
      <c r="R297" s="1">
        <v>1.29E8</v>
      </c>
      <c r="S297" s="1">
        <v>1.11E8</v>
      </c>
      <c r="W297" s="4" t="str">
        <f>Raw_Data!C296&amp;"|"&amp;Raw_Data!D296&amp;"|"&amp;TEXT(Raw_Data!B296,"yyyy-mm-dd")</f>
        <v>BorgWarner|BWA|2020-12-31</v>
      </c>
    </row>
    <row r="298">
      <c r="A298" s="1">
        <v>296.0</v>
      </c>
      <c r="B298" s="3">
        <v>44377.0</v>
      </c>
      <c r="C298" s="1" t="s">
        <v>182</v>
      </c>
      <c r="D298" s="1" t="s">
        <v>183</v>
      </c>
      <c r="F298" s="1">
        <v>1.4125E8</v>
      </c>
      <c r="G298" s="1">
        <v>1.11703E8</v>
      </c>
      <c r="H298" s="1">
        <v>3.8405E7</v>
      </c>
      <c r="I298" s="1">
        <v>4.57565E8</v>
      </c>
      <c r="J298" s="1">
        <v>2.45822E8</v>
      </c>
      <c r="K298" s="1">
        <v>2.45822E8</v>
      </c>
      <c r="L298" s="1">
        <v>-1.06319E8</v>
      </c>
      <c r="M298" s="1">
        <v>0.0</v>
      </c>
      <c r="N298" s="1">
        <v>7.09015E8</v>
      </c>
      <c r="O298" s="1">
        <v>4.63193E8</v>
      </c>
      <c r="P298" s="1">
        <v>2.5145E8</v>
      </c>
      <c r="Q298" s="1">
        <v>-1.04572E8</v>
      </c>
      <c r="R298" s="1">
        <v>1.4125E8</v>
      </c>
      <c r="S298" s="1">
        <v>1.11703E8</v>
      </c>
      <c r="W298" s="4" t="str">
        <f>Raw_Data!C297&amp;"|"&amp;Raw_Data!D297&amp;"|"&amp;TEXT(Raw_Data!B297,"yyyy-mm-dd")</f>
        <v>BorgWarner|BWA|2020-09-30</v>
      </c>
    </row>
    <row r="299">
      <c r="A299" s="1">
        <v>297.0</v>
      </c>
      <c r="B299" s="3">
        <v>44286.0</v>
      </c>
      <c r="C299" s="1" t="s">
        <v>182</v>
      </c>
      <c r="D299" s="1" t="s">
        <v>183</v>
      </c>
      <c r="F299" s="1">
        <v>1.28147E8</v>
      </c>
      <c r="G299" s="1">
        <v>1.00596E8</v>
      </c>
      <c r="H299" s="1">
        <v>4.4959E7</v>
      </c>
      <c r="I299" s="1">
        <v>4.46779E8</v>
      </c>
      <c r="J299" s="1">
        <v>2.31055E8</v>
      </c>
      <c r="K299" s="1">
        <v>2.31055E8</v>
      </c>
      <c r="L299" s="1">
        <v>-1.07902E8</v>
      </c>
      <c r="M299" s="1">
        <v>0.0</v>
      </c>
      <c r="N299" s="1">
        <v>7.0655E8</v>
      </c>
      <c r="O299" s="1">
        <v>4.75495E8</v>
      </c>
      <c r="P299" s="1">
        <v>2.59771E8</v>
      </c>
      <c r="Q299" s="1">
        <v>-1.02908E8</v>
      </c>
      <c r="R299" s="1">
        <v>1.28147E8</v>
      </c>
      <c r="S299" s="1">
        <v>9.1624E7</v>
      </c>
      <c r="W299" s="4" t="str">
        <f>Raw_Data!C298&amp;"|"&amp;Raw_Data!D298&amp;"|"&amp;TEXT(Raw_Data!B298,"yyyy-mm-dd")</f>
        <v>Boston Properties|BXP|2021-06-30</v>
      </c>
    </row>
    <row r="300">
      <c r="A300" s="1">
        <v>298.0</v>
      </c>
      <c r="B300" s="3">
        <v>44196.0</v>
      </c>
      <c r="C300" s="1" t="s">
        <v>182</v>
      </c>
      <c r="D300" s="1" t="s">
        <v>183</v>
      </c>
      <c r="F300" s="1">
        <v>2.4905E7</v>
      </c>
      <c r="G300" s="1">
        <v>1.0311E7</v>
      </c>
      <c r="H300" s="1">
        <v>3.1053E7</v>
      </c>
      <c r="I300" s="1">
        <v>3.9312E8</v>
      </c>
      <c r="J300" s="1">
        <v>1.94054E8</v>
      </c>
      <c r="K300" s="1">
        <v>1.94054E8</v>
      </c>
      <c r="L300" s="1">
        <v>-1.11991E8</v>
      </c>
      <c r="M300" s="1">
        <v>0.0</v>
      </c>
      <c r="N300" s="1">
        <v>6.50769E8</v>
      </c>
      <c r="O300" s="1">
        <v>4.56715E8</v>
      </c>
      <c r="P300" s="1">
        <v>2.57649E8</v>
      </c>
      <c r="Q300" s="1">
        <v>-1.69149E8</v>
      </c>
      <c r="R300" s="1">
        <v>2.4905E7</v>
      </c>
      <c r="S300" s="1">
        <v>8088000.0</v>
      </c>
      <c r="W300" s="4" t="str">
        <f>Raw_Data!C299&amp;"|"&amp;Raw_Data!D299&amp;"|"&amp;TEXT(Raw_Data!B299,"yyyy-mm-dd")</f>
        <v>Boston Properties|BXP|2021-03-31</v>
      </c>
    </row>
    <row r="301">
      <c r="A301" s="1">
        <v>299.0</v>
      </c>
      <c r="B301" s="3">
        <v>44104.0</v>
      </c>
      <c r="C301" s="1" t="s">
        <v>182</v>
      </c>
      <c r="D301" s="1" t="s">
        <v>183</v>
      </c>
      <c r="F301" s="1">
        <v>1.1806E8</v>
      </c>
      <c r="G301" s="1">
        <v>9.2479E7</v>
      </c>
      <c r="H301" s="1">
        <v>2.7862E7</v>
      </c>
      <c r="I301" s="1">
        <v>4.24219E8</v>
      </c>
      <c r="J301" s="1">
        <v>2.29901E8</v>
      </c>
      <c r="K301" s="1">
        <v>2.29901E8</v>
      </c>
      <c r="L301" s="1">
        <v>-1.10993E8</v>
      </c>
      <c r="M301" s="1">
        <v>0.0</v>
      </c>
      <c r="N301" s="1">
        <v>6.85951E8</v>
      </c>
      <c r="O301" s="1">
        <v>4.5605E8</v>
      </c>
      <c r="P301" s="1">
        <v>2.61732E8</v>
      </c>
      <c r="Q301" s="1">
        <v>-1.11841E8</v>
      </c>
      <c r="R301" s="1">
        <v>1.1806E8</v>
      </c>
      <c r="S301" s="1">
        <v>8.9854E7</v>
      </c>
      <c r="W301" s="4" t="str">
        <f>Raw_Data!C300&amp;"|"&amp;Raw_Data!D300&amp;"|"&amp;TEXT(Raw_Data!B300,"yyyy-mm-dd")</f>
        <v>Boston Properties|BXP|2020-12-31</v>
      </c>
    </row>
    <row r="302">
      <c r="A302" s="1">
        <v>300.0</v>
      </c>
      <c r="B302" s="3">
        <v>44377.0</v>
      </c>
      <c r="C302" s="1" t="s">
        <v>185</v>
      </c>
      <c r="D302" s="1" t="s">
        <v>186</v>
      </c>
      <c r="E302" s="1">
        <v>2.98E8</v>
      </c>
      <c r="F302" s="1">
        <v>1.49E8</v>
      </c>
      <c r="G302" s="1">
        <v>1.86E8</v>
      </c>
      <c r="H302" s="1">
        <v>1.121E9</v>
      </c>
      <c r="I302" s="1">
        <v>2.12E9</v>
      </c>
      <c r="J302" s="1">
        <v>5.21E8</v>
      </c>
      <c r="K302" s="1">
        <v>5.21E8</v>
      </c>
      <c r="L302" s="1">
        <v>-8.6E7</v>
      </c>
      <c r="M302" s="1">
        <v>-3.7E7</v>
      </c>
      <c r="N302" s="1">
        <v>3.077E9</v>
      </c>
      <c r="O302" s="1">
        <v>2.556E9</v>
      </c>
      <c r="P302" s="1">
        <v>9.57E8</v>
      </c>
      <c r="Q302" s="1">
        <v>-3.72E8</v>
      </c>
      <c r="R302" s="1">
        <v>1.86E8</v>
      </c>
      <c r="S302" s="1">
        <v>1.72E8</v>
      </c>
      <c r="W302" s="4" t="str">
        <f>Raw_Data!C301&amp;"|"&amp;Raw_Data!D301&amp;"|"&amp;TEXT(Raw_Data!B301,"yyyy-mm-dd")</f>
        <v>Boston Properties|BXP|2020-09-30</v>
      </c>
    </row>
    <row r="303">
      <c r="A303" s="1">
        <v>301.0</v>
      </c>
      <c r="B303" s="3">
        <v>44286.0</v>
      </c>
      <c r="C303" s="1" t="s">
        <v>185</v>
      </c>
      <c r="D303" s="1" t="s">
        <v>186</v>
      </c>
      <c r="E303" s="1">
        <v>2.76E8</v>
      </c>
      <c r="F303" s="1">
        <v>3.25E8</v>
      </c>
      <c r="G303" s="1">
        <v>3.41E8</v>
      </c>
      <c r="H303" s="1">
        <v>1.019E9</v>
      </c>
      <c r="I303" s="1">
        <v>1.846E9</v>
      </c>
      <c r="J303" s="1">
        <v>3.66E8</v>
      </c>
      <c r="K303" s="1">
        <v>3.66E8</v>
      </c>
      <c r="L303" s="1">
        <v>-8.2E7</v>
      </c>
      <c r="M303" s="1">
        <v>-1.6E7</v>
      </c>
      <c r="N303" s="1">
        <v>2.752E9</v>
      </c>
      <c r="O303" s="1">
        <v>2.386E9</v>
      </c>
      <c r="P303" s="1">
        <v>9.06E8</v>
      </c>
      <c r="Q303" s="1">
        <v>-4.1E7</v>
      </c>
      <c r="R303" s="1">
        <v>3.41E8</v>
      </c>
      <c r="S303" s="1">
        <v>3.27E8</v>
      </c>
      <c r="W303" s="4" t="str">
        <f>Raw_Data!C302&amp;"|"&amp;Raw_Data!D302&amp;"|"&amp;TEXT(Raw_Data!B302,"yyyy-mm-dd")</f>
        <v>Boston Scientific|BSX|2021-06-30</v>
      </c>
    </row>
    <row r="304">
      <c r="A304" s="1">
        <v>302.0</v>
      </c>
      <c r="B304" s="3">
        <v>44196.0</v>
      </c>
      <c r="C304" s="1" t="s">
        <v>185</v>
      </c>
      <c r="D304" s="1" t="s">
        <v>186</v>
      </c>
      <c r="E304" s="1">
        <v>2.82E8</v>
      </c>
      <c r="F304" s="1">
        <v>3.06E8</v>
      </c>
      <c r="G304" s="1">
        <v>2.1E8</v>
      </c>
      <c r="H304" s="1">
        <v>9.76E8</v>
      </c>
      <c r="I304" s="1">
        <v>2.086E9</v>
      </c>
      <c r="J304" s="1">
        <v>6.34E8</v>
      </c>
      <c r="K304" s="1">
        <v>6.34E8</v>
      </c>
      <c r="L304" s="1">
        <v>-9.6E7</v>
      </c>
      <c r="M304" s="1">
        <v>9.6E7</v>
      </c>
      <c r="N304" s="1">
        <v>2.709E9</v>
      </c>
      <c r="O304" s="1">
        <v>2.075E9</v>
      </c>
      <c r="P304" s="1">
        <v>6.23E8</v>
      </c>
      <c r="Q304" s="1">
        <v>-3.28E8</v>
      </c>
      <c r="R304" s="1">
        <v>2.1E8</v>
      </c>
      <c r="S304" s="1">
        <v>1.96E8</v>
      </c>
      <c r="W304" s="4" t="str">
        <f>Raw_Data!C303&amp;"|"&amp;Raw_Data!D303&amp;"|"&amp;TEXT(Raw_Data!B303,"yyyy-mm-dd")</f>
        <v>Boston Scientific|BSX|2021-03-31</v>
      </c>
    </row>
    <row r="305">
      <c r="A305" s="1">
        <v>303.0</v>
      </c>
      <c r="B305" s="3">
        <v>44104.0</v>
      </c>
      <c r="C305" s="1" t="s">
        <v>185</v>
      </c>
      <c r="D305" s="1" t="s">
        <v>186</v>
      </c>
      <c r="E305" s="1">
        <v>3.15E8</v>
      </c>
      <c r="F305" s="1">
        <v>-2.27E8</v>
      </c>
      <c r="G305" s="1">
        <v>-1.55E8</v>
      </c>
      <c r="H305" s="1">
        <v>9.84E8</v>
      </c>
      <c r="I305" s="1">
        <v>1.778E9</v>
      </c>
      <c r="J305" s="1">
        <v>2.82E8</v>
      </c>
      <c r="K305" s="1">
        <v>2.82E8</v>
      </c>
      <c r="L305" s="1">
        <v>-8.6E7</v>
      </c>
      <c r="M305" s="1">
        <v>-7.2E7</v>
      </c>
      <c r="N305" s="1">
        <v>2.659E9</v>
      </c>
      <c r="O305" s="1">
        <v>2.377E9</v>
      </c>
      <c r="P305" s="1">
        <v>8.81E8</v>
      </c>
      <c r="Q305" s="1">
        <v>-5.09E8</v>
      </c>
      <c r="R305" s="1">
        <v>-1.55E8</v>
      </c>
      <c r="S305" s="1">
        <v>-1.69E8</v>
      </c>
      <c r="W305" s="4" t="str">
        <f>Raw_Data!C304&amp;"|"&amp;Raw_Data!D304&amp;"|"&amp;TEXT(Raw_Data!B304,"yyyy-mm-dd")</f>
        <v>Boston Scientific|BSX|2020-12-31</v>
      </c>
    </row>
    <row r="306">
      <c r="A306" s="1">
        <v>304.0</v>
      </c>
      <c r="B306" s="3">
        <v>44377.0</v>
      </c>
      <c r="C306" s="1" t="s">
        <v>187</v>
      </c>
      <c r="D306" s="1" t="s">
        <v>188</v>
      </c>
      <c r="E306" s="1">
        <v>2.261E9</v>
      </c>
      <c r="F306" s="1">
        <v>1.553E9</v>
      </c>
      <c r="G306" s="1">
        <v>1.055E9</v>
      </c>
      <c r="H306" s="1">
        <v>1.866E9</v>
      </c>
      <c r="I306" s="1">
        <v>9.34E9</v>
      </c>
      <c r="J306" s="1">
        <v>2.666E9</v>
      </c>
      <c r="K306" s="1">
        <v>2.666E9</v>
      </c>
      <c r="L306" s="1">
        <v>-3.2E8</v>
      </c>
      <c r="M306" s="1">
        <v>4.92E8</v>
      </c>
      <c r="N306" s="1">
        <v>1.1703E10</v>
      </c>
      <c r="O306" s="1">
        <v>9.037E9</v>
      </c>
      <c r="P306" s="1">
        <v>2.363E9</v>
      </c>
      <c r="Q306" s="1">
        <v>-1.113E9</v>
      </c>
      <c r="R306" s="1">
        <v>1.061E9</v>
      </c>
      <c r="S306" s="1">
        <v>1.055E9</v>
      </c>
      <c r="W306" s="4" t="str">
        <f>Raw_Data!C305&amp;"|"&amp;Raw_Data!D305&amp;"|"&amp;TEXT(Raw_Data!B305,"yyyy-mm-dd")</f>
        <v>Boston Scientific|BSX|2020-09-30</v>
      </c>
    </row>
    <row r="307">
      <c r="A307" s="1">
        <v>305.0</v>
      </c>
      <c r="B307" s="3">
        <v>44286.0</v>
      </c>
      <c r="C307" s="1" t="s">
        <v>187</v>
      </c>
      <c r="D307" s="1" t="s">
        <v>188</v>
      </c>
      <c r="E307" s="1">
        <v>2.225E9</v>
      </c>
      <c r="F307" s="1">
        <v>2.53E9</v>
      </c>
      <c r="G307" s="1">
        <v>2.021E9</v>
      </c>
      <c r="H307" s="1">
        <v>1.667E9</v>
      </c>
      <c r="I307" s="1">
        <v>8.649E9</v>
      </c>
      <c r="J307" s="1">
        <v>2.244E9</v>
      </c>
      <c r="K307" s="1">
        <v>2.244E9</v>
      </c>
      <c r="L307" s="1">
        <v>-3.42E8</v>
      </c>
      <c r="M307" s="1">
        <v>5.01E8</v>
      </c>
      <c r="N307" s="1">
        <v>1.1073E10</v>
      </c>
      <c r="O307" s="1">
        <v>8.829E9</v>
      </c>
      <c r="P307" s="1">
        <v>2.424E9</v>
      </c>
      <c r="Q307" s="1">
        <v>2.86E8</v>
      </c>
      <c r="R307" s="1">
        <v>2.029E9</v>
      </c>
      <c r="S307" s="1">
        <v>2.021E9</v>
      </c>
      <c r="W307" s="4" t="str">
        <f>Raw_Data!C306&amp;"|"&amp;Raw_Data!D306&amp;"|"&amp;TEXT(Raw_Data!B306,"yyyy-mm-dd")</f>
        <v>Bristol Myers Squibb|BMY|2021-06-30</v>
      </c>
    </row>
    <row r="308">
      <c r="A308" s="1">
        <v>306.0</v>
      </c>
      <c r="B308" s="3">
        <v>44196.0</v>
      </c>
      <c r="C308" s="1" t="s">
        <v>187</v>
      </c>
      <c r="D308" s="1" t="s">
        <v>188</v>
      </c>
      <c r="E308" s="1">
        <v>2.579E9</v>
      </c>
      <c r="F308" s="1">
        <v>-1.0451E10</v>
      </c>
      <c r="G308" s="1">
        <v>-1.0027E10</v>
      </c>
      <c r="H308" s="1">
        <v>2.48E9</v>
      </c>
      <c r="I308" s="1">
        <v>8.833E9</v>
      </c>
      <c r="J308" s="1">
        <v>1.248E9</v>
      </c>
      <c r="K308" s="1">
        <v>1.248E9</v>
      </c>
      <c r="L308" s="1">
        <v>-3.45E8</v>
      </c>
      <c r="M308" s="1">
        <v>-4.24E8</v>
      </c>
      <c r="N308" s="1">
        <v>1.1068E10</v>
      </c>
      <c r="O308" s="1">
        <v>9.82E9</v>
      </c>
      <c r="P308" s="1">
        <v>2.235E9</v>
      </c>
      <c r="Q308" s="1">
        <v>-1.1699E10</v>
      </c>
      <c r="R308" s="1">
        <v>-1.0027E10</v>
      </c>
      <c r="S308" s="1">
        <v>-1.0027E10</v>
      </c>
      <c r="W308" s="4" t="str">
        <f>Raw_Data!C307&amp;"|"&amp;Raw_Data!D307&amp;"|"&amp;TEXT(Raw_Data!B307,"yyyy-mm-dd")</f>
        <v>Bristol Myers Squibb|BMY|2021-03-31</v>
      </c>
    </row>
    <row r="309">
      <c r="A309" s="1">
        <v>307.0</v>
      </c>
      <c r="B309" s="3">
        <v>44104.0</v>
      </c>
      <c r="C309" s="1" t="s">
        <v>187</v>
      </c>
      <c r="D309" s="1" t="s">
        <v>188</v>
      </c>
      <c r="E309" s="1">
        <v>2.273E9</v>
      </c>
      <c r="F309" s="1">
        <v>2.257E9</v>
      </c>
      <c r="G309" s="1">
        <v>1.872E9</v>
      </c>
      <c r="H309" s="1">
        <v>1.694E9</v>
      </c>
      <c r="I309" s="1">
        <v>8.497E9</v>
      </c>
      <c r="J309" s="1">
        <v>2.039E9</v>
      </c>
      <c r="K309" s="1">
        <v>2.039E9</v>
      </c>
      <c r="L309" s="1">
        <v>-3.36E8</v>
      </c>
      <c r="M309" s="1">
        <v>3.79E8</v>
      </c>
      <c r="N309" s="1">
        <v>1.054E10</v>
      </c>
      <c r="O309" s="1">
        <v>8.501E9</v>
      </c>
      <c r="P309" s="1">
        <v>2.043E9</v>
      </c>
      <c r="Q309" s="1">
        <v>2.18E8</v>
      </c>
      <c r="R309" s="1">
        <v>1.878E9</v>
      </c>
      <c r="S309" s="1">
        <v>1.872E9</v>
      </c>
      <c r="W309" s="4" t="str">
        <f>Raw_Data!C308&amp;"|"&amp;Raw_Data!D308&amp;"|"&amp;TEXT(Raw_Data!B308,"yyyy-mm-dd")</f>
        <v>Bristol Myers Squibb|BMY|2020-12-31</v>
      </c>
    </row>
    <row r="310">
      <c r="A310" s="1">
        <v>308.0</v>
      </c>
      <c r="B310" s="3">
        <v>44409.0</v>
      </c>
      <c r="C310" s="1" t="s">
        <v>189</v>
      </c>
      <c r="D310" s="1" t="s">
        <v>190</v>
      </c>
      <c r="E310" s="1">
        <v>1.205E9</v>
      </c>
      <c r="F310" s="1">
        <v>1.726E9</v>
      </c>
      <c r="G310" s="1">
        <v>1.876E9</v>
      </c>
      <c r="H310" s="1">
        <v>3.46E8</v>
      </c>
      <c r="I310" s="1">
        <v>5.049E9</v>
      </c>
      <c r="J310" s="1">
        <v>2.153E9</v>
      </c>
      <c r="K310" s="1">
        <v>2.153E9</v>
      </c>
      <c r="L310" s="1">
        <v>-4.15E8</v>
      </c>
      <c r="M310" s="1">
        <v>-1.5E8</v>
      </c>
      <c r="N310" s="1">
        <v>6.778E9</v>
      </c>
      <c r="O310" s="1">
        <v>4.625E9</v>
      </c>
      <c r="P310" s="1">
        <v>1.729E9</v>
      </c>
      <c r="Q310" s="1">
        <v>-4.27E8</v>
      </c>
      <c r="R310" s="1">
        <v>1.876E9</v>
      </c>
      <c r="S310" s="1">
        <v>1.802E9</v>
      </c>
      <c r="W310" s="4" t="str">
        <f>Raw_Data!C309&amp;"|"&amp;Raw_Data!D309&amp;"|"&amp;TEXT(Raw_Data!B309,"yyyy-mm-dd")</f>
        <v>Bristol Myers Squibb|BMY|2020-09-30</v>
      </c>
    </row>
    <row r="311">
      <c r="A311" s="1">
        <v>309.0</v>
      </c>
      <c r="B311" s="3">
        <v>44318.0</v>
      </c>
      <c r="C311" s="1" t="s">
        <v>189</v>
      </c>
      <c r="D311" s="1" t="s">
        <v>190</v>
      </c>
      <c r="E311" s="1">
        <v>1.238E9</v>
      </c>
      <c r="F311" s="1">
        <v>1.486E9</v>
      </c>
      <c r="G311" s="1">
        <v>1.493E9</v>
      </c>
      <c r="H311" s="1">
        <v>3.25E8</v>
      </c>
      <c r="I311" s="1">
        <v>4.911E9</v>
      </c>
      <c r="J311" s="1">
        <v>2.001E9</v>
      </c>
      <c r="K311" s="1">
        <v>2.001E9</v>
      </c>
      <c r="L311" s="1">
        <v>-4.66E8</v>
      </c>
      <c r="M311" s="1">
        <v>-7000000.0</v>
      </c>
      <c r="N311" s="1">
        <v>6.61E9</v>
      </c>
      <c r="O311" s="1">
        <v>4.609E9</v>
      </c>
      <c r="P311" s="1">
        <v>1.699E9</v>
      </c>
      <c r="Q311" s="1">
        <v>-5.15E8</v>
      </c>
      <c r="R311" s="1">
        <v>1.493E9</v>
      </c>
      <c r="S311" s="1">
        <v>1.417E9</v>
      </c>
      <c r="W311" s="4" t="str">
        <f>Raw_Data!C310&amp;"|"&amp;Raw_Data!D310&amp;"|"&amp;TEXT(Raw_Data!B310,"yyyy-mm-dd")</f>
        <v>Broadcom|AVGO|2021-08-01</v>
      </c>
    </row>
    <row r="312">
      <c r="A312" s="1">
        <v>310.0</v>
      </c>
      <c r="B312" s="3">
        <v>44227.0</v>
      </c>
      <c r="C312" s="1" t="s">
        <v>189</v>
      </c>
      <c r="D312" s="1" t="s">
        <v>190</v>
      </c>
      <c r="E312" s="1">
        <v>1.211E9</v>
      </c>
      <c r="F312" s="1">
        <v>1.384E9</v>
      </c>
      <c r="G312" s="1">
        <v>1.378E9</v>
      </c>
      <c r="H312" s="1">
        <v>3.39E8</v>
      </c>
      <c r="I312" s="1">
        <v>4.841E9</v>
      </c>
      <c r="J312" s="1">
        <v>1.923E9</v>
      </c>
      <c r="K312" s="1">
        <v>1.923E9</v>
      </c>
      <c r="L312" s="1">
        <v>-5.7E8</v>
      </c>
      <c r="M312" s="1">
        <v>6000000.0</v>
      </c>
      <c r="N312" s="1">
        <v>6.655E9</v>
      </c>
      <c r="O312" s="1">
        <v>4.732E9</v>
      </c>
      <c r="P312" s="1">
        <v>1.814E9</v>
      </c>
      <c r="Q312" s="1">
        <v>-5.39E8</v>
      </c>
      <c r="R312" s="1">
        <v>1.378E9</v>
      </c>
      <c r="S312" s="1">
        <v>1.304E9</v>
      </c>
      <c r="W312" s="4" t="str">
        <f>Raw_Data!C311&amp;"|"&amp;Raw_Data!D311&amp;"|"&amp;TEXT(Raw_Data!B311,"yyyy-mm-dd")</f>
        <v>Broadcom|AVGO|2021-05-02</v>
      </c>
    </row>
    <row r="313">
      <c r="A313" s="1">
        <v>311.0</v>
      </c>
      <c r="B313" s="3">
        <v>44136.0</v>
      </c>
      <c r="C313" s="1" t="s">
        <v>189</v>
      </c>
      <c r="D313" s="1" t="s">
        <v>190</v>
      </c>
      <c r="E313" s="1">
        <v>1.182E9</v>
      </c>
      <c r="F313" s="1">
        <v>1.137E9</v>
      </c>
      <c r="G313" s="1">
        <v>1.324E9</v>
      </c>
      <c r="H313" s="1">
        <v>5.12E8</v>
      </c>
      <c r="I313" s="1">
        <v>4.714E9</v>
      </c>
      <c r="J313" s="1">
        <v>1.459E9</v>
      </c>
      <c r="K313" s="1">
        <v>1.459E9</v>
      </c>
      <c r="L313" s="1">
        <v>-4.2E8</v>
      </c>
      <c r="M313" s="1">
        <v>-1.87E8</v>
      </c>
      <c r="N313" s="1">
        <v>6.467E9</v>
      </c>
      <c r="O313" s="1">
        <v>5.008E9</v>
      </c>
      <c r="P313" s="1">
        <v>1.753E9</v>
      </c>
      <c r="Q313" s="1">
        <v>-3.22E8</v>
      </c>
      <c r="R313" s="1">
        <v>1.324E9</v>
      </c>
      <c r="S313" s="1">
        <v>1.25E9</v>
      </c>
      <c r="W313" s="4" t="str">
        <f>Raw_Data!C312&amp;"|"&amp;Raw_Data!D312&amp;"|"&amp;TEXT(Raw_Data!B312,"yyyy-mm-dd")</f>
        <v>Broadcom|AVGO|2021-01-31</v>
      </c>
    </row>
    <row r="314">
      <c r="A314" s="1">
        <v>312.0</v>
      </c>
      <c r="B314" s="3">
        <v>44286.0</v>
      </c>
      <c r="C314" s="1" t="s">
        <v>192</v>
      </c>
      <c r="D314" s="1" t="s">
        <v>193</v>
      </c>
      <c r="F314" s="1">
        <v>2.169E8</v>
      </c>
      <c r="G314" s="1">
        <v>1.65E8</v>
      </c>
      <c r="H314" s="1">
        <v>1.9E8</v>
      </c>
      <c r="I314" s="1">
        <v>4.293E8</v>
      </c>
      <c r="J314" s="1">
        <v>2.393E8</v>
      </c>
      <c r="K314" s="1">
        <v>2.393E8</v>
      </c>
      <c r="L314" s="1">
        <v>-1.2E7</v>
      </c>
      <c r="M314" s="1">
        <v>5.19E7</v>
      </c>
      <c r="N314" s="1">
        <v>1.3898E9</v>
      </c>
      <c r="O314" s="1">
        <v>1.1505E9</v>
      </c>
      <c r="P314" s="1">
        <v>9.605E8</v>
      </c>
      <c r="Q314" s="1">
        <v>-2.24E7</v>
      </c>
      <c r="R314" s="1">
        <v>1.65E8</v>
      </c>
      <c r="S314" s="1">
        <v>1.65E8</v>
      </c>
      <c r="W314" s="4" t="str">
        <f>Raw_Data!C313&amp;"|"&amp;Raw_Data!D313&amp;"|"&amp;TEXT(Raw_Data!B313,"yyyy-mm-dd")</f>
        <v>Broadcom|AVGO|2020-11-01</v>
      </c>
    </row>
    <row r="315">
      <c r="A315" s="1">
        <v>313.0</v>
      </c>
      <c r="B315" s="3">
        <v>44196.0</v>
      </c>
      <c r="C315" s="1" t="s">
        <v>192</v>
      </c>
      <c r="D315" s="1" t="s">
        <v>193</v>
      </c>
      <c r="F315" s="1">
        <v>6.94E7</v>
      </c>
      <c r="G315" s="1">
        <v>5.63E7</v>
      </c>
      <c r="H315" s="1">
        <v>1.69E8</v>
      </c>
      <c r="I315" s="1">
        <v>2.484E8</v>
      </c>
      <c r="J315" s="1">
        <v>7.94E7</v>
      </c>
      <c r="K315" s="1">
        <v>7.94E7</v>
      </c>
      <c r="L315" s="1">
        <v>-1.21E7</v>
      </c>
      <c r="M315" s="1">
        <v>1.31E7</v>
      </c>
      <c r="N315" s="1">
        <v>1.0549E9</v>
      </c>
      <c r="O315" s="1">
        <v>9.755E8</v>
      </c>
      <c r="P315" s="1">
        <v>8.065E8</v>
      </c>
      <c r="Q315" s="1">
        <v>-1.0E7</v>
      </c>
      <c r="R315" s="1">
        <v>5.63E7</v>
      </c>
      <c r="S315" s="1">
        <v>5.63E7</v>
      </c>
      <c r="W315" s="4" t="str">
        <f>Raw_Data!C314&amp;"|"&amp;Raw_Data!D314&amp;"|"&amp;TEXT(Raw_Data!B314,"yyyy-mm-dd")</f>
        <v>Broadridge Financial Solutions|BR|2021-03-31</v>
      </c>
    </row>
    <row r="316">
      <c r="A316" s="1">
        <v>314.0</v>
      </c>
      <c r="B316" s="3">
        <v>44104.0</v>
      </c>
      <c r="C316" s="1" t="s">
        <v>192</v>
      </c>
      <c r="D316" s="1" t="s">
        <v>193</v>
      </c>
      <c r="F316" s="1">
        <v>7.36E7</v>
      </c>
      <c r="G316" s="1">
        <v>6.58E7</v>
      </c>
      <c r="H316" s="1">
        <v>1.517E8</v>
      </c>
      <c r="I316" s="1">
        <v>2.303E8</v>
      </c>
      <c r="J316" s="1">
        <v>7.86E7</v>
      </c>
      <c r="K316" s="1">
        <v>7.86E7</v>
      </c>
      <c r="L316" s="1">
        <v>-1.5E7</v>
      </c>
      <c r="M316" s="1">
        <v>7800000.0</v>
      </c>
      <c r="N316" s="1">
        <v>1.0174E9</v>
      </c>
      <c r="O316" s="1">
        <v>9.388E8</v>
      </c>
      <c r="P316" s="1">
        <v>7.871E8</v>
      </c>
      <c r="Q316" s="1">
        <v>-5000000.0</v>
      </c>
      <c r="R316" s="1">
        <v>6.58E7</v>
      </c>
      <c r="S316" s="1">
        <v>6.58E7</v>
      </c>
      <c r="W316" s="4" t="str">
        <f>Raw_Data!C315&amp;"|"&amp;Raw_Data!D315&amp;"|"&amp;TEXT(Raw_Data!B315,"yyyy-mm-dd")</f>
        <v>Broadridge Financial Solutions|BR|2020-12-31</v>
      </c>
    </row>
    <row r="317">
      <c r="A317" s="1">
        <v>315.0</v>
      </c>
      <c r="B317" s="3">
        <v>44012.0</v>
      </c>
      <c r="C317" s="1" t="s">
        <v>192</v>
      </c>
      <c r="D317" s="1" t="s">
        <v>193</v>
      </c>
      <c r="F317" s="1">
        <v>2.947E8</v>
      </c>
      <c r="G317" s="1">
        <v>2.297E8</v>
      </c>
      <c r="H317" s="1">
        <v>1.789E8</v>
      </c>
      <c r="I317" s="1">
        <v>4.777E8</v>
      </c>
      <c r="J317" s="1">
        <v>2.988E8</v>
      </c>
      <c r="K317" s="1">
        <v>2.988E8</v>
      </c>
      <c r="L317" s="1">
        <v>-1.62E7</v>
      </c>
      <c r="M317" s="1">
        <v>6.5E7</v>
      </c>
      <c r="N317" s="1">
        <v>1.3619E9</v>
      </c>
      <c r="O317" s="1">
        <v>1.0631E9</v>
      </c>
      <c r="P317" s="1">
        <v>8.842E8</v>
      </c>
      <c r="Q317" s="1">
        <v>-4100000.0</v>
      </c>
      <c r="R317" s="1">
        <v>2.297E8</v>
      </c>
      <c r="S317" s="1">
        <v>2.297E8</v>
      </c>
      <c r="W317" s="4" t="str">
        <f>Raw_Data!C316&amp;"|"&amp;Raw_Data!D316&amp;"|"&amp;TEXT(Raw_Data!B316,"yyyy-mm-dd")</f>
        <v>Broadridge Financial Solutions|BR|2020-09-30</v>
      </c>
    </row>
    <row r="318">
      <c r="A318" s="1">
        <v>316.0</v>
      </c>
      <c r="B318" s="3">
        <v>44286.0</v>
      </c>
      <c r="C318" s="1" t="s">
        <v>194</v>
      </c>
      <c r="D318" s="1" t="s">
        <v>195</v>
      </c>
      <c r="F318" s="1">
        <v>2.39207E8</v>
      </c>
      <c r="G318" s="1">
        <v>1.99744E8</v>
      </c>
      <c r="I318" s="1">
        <v>3.85528E8</v>
      </c>
      <c r="J318" s="1">
        <v>2.54216E8</v>
      </c>
      <c r="K318" s="1">
        <v>2.54216E8</v>
      </c>
      <c r="L318" s="1">
        <v>-1.6342E7</v>
      </c>
      <c r="M318" s="1">
        <v>3.9463E7</v>
      </c>
      <c r="N318" s="1">
        <v>8.15026E8</v>
      </c>
      <c r="O318" s="1">
        <v>5.6081E8</v>
      </c>
      <c r="P318" s="1">
        <v>4.29498E8</v>
      </c>
      <c r="Q318" s="1">
        <v>-1.5009E7</v>
      </c>
      <c r="R318" s="1">
        <v>1.99744E8</v>
      </c>
      <c r="S318" s="1">
        <v>1.99744E8</v>
      </c>
      <c r="W318" s="4" t="str">
        <f>Raw_Data!C317&amp;"|"&amp;Raw_Data!D317&amp;"|"&amp;TEXT(Raw_Data!B317,"yyyy-mm-dd")</f>
        <v>Broadridge Financial Solutions|BR|2020-06-30</v>
      </c>
    </row>
    <row r="319">
      <c r="A319" s="1">
        <v>317.0</v>
      </c>
      <c r="B319" s="3">
        <v>44196.0</v>
      </c>
      <c r="C319" s="1" t="s">
        <v>194</v>
      </c>
      <c r="D319" s="1" t="s">
        <v>195</v>
      </c>
      <c r="F319" s="1">
        <v>1.30916E8</v>
      </c>
      <c r="G319" s="1">
        <v>9.732E7</v>
      </c>
      <c r="I319" s="1">
        <v>2.67038E8</v>
      </c>
      <c r="J319" s="1">
        <v>1.39395E8</v>
      </c>
      <c r="K319" s="1">
        <v>1.39395E8</v>
      </c>
      <c r="L319" s="1">
        <v>-1.6639E7</v>
      </c>
      <c r="M319" s="1">
        <v>3.3596E7</v>
      </c>
      <c r="N319" s="1">
        <v>6.44508E8</v>
      </c>
      <c r="O319" s="1">
        <v>5.05113E8</v>
      </c>
      <c r="P319" s="1">
        <v>3.7747E8</v>
      </c>
      <c r="Q319" s="1">
        <v>-8479000.0</v>
      </c>
      <c r="R319" s="1">
        <v>9.732E7</v>
      </c>
      <c r="S319" s="1">
        <v>9.732E7</v>
      </c>
      <c r="W319" s="4" t="str">
        <f>Raw_Data!C318&amp;"|"&amp;Raw_Data!D318&amp;"|"&amp;TEXT(Raw_Data!B318,"yyyy-mm-dd")</f>
        <v>Brown &amp; Brown|BRO|2021-03-31</v>
      </c>
    </row>
    <row r="320">
      <c r="A320" s="1">
        <v>318.0</v>
      </c>
      <c r="B320" s="3">
        <v>44104.0</v>
      </c>
      <c r="C320" s="1" t="s">
        <v>194</v>
      </c>
      <c r="D320" s="1" t="s">
        <v>195</v>
      </c>
      <c r="F320" s="1">
        <v>1.58528E8</v>
      </c>
      <c r="G320" s="1">
        <v>1.33979E8</v>
      </c>
      <c r="I320" s="1">
        <v>3.08629E8</v>
      </c>
      <c r="J320" s="1">
        <v>1.8352E8</v>
      </c>
      <c r="K320" s="1">
        <v>1.8352E8</v>
      </c>
      <c r="L320" s="1">
        <v>-1.3234E7</v>
      </c>
      <c r="M320" s="1">
        <v>2.4549E7</v>
      </c>
      <c r="N320" s="1">
        <v>6.71396E8</v>
      </c>
      <c r="O320" s="1">
        <v>4.87876E8</v>
      </c>
      <c r="P320" s="1">
        <v>3.62767E8</v>
      </c>
      <c r="Q320" s="1">
        <v>-2.4992E7</v>
      </c>
      <c r="R320" s="1">
        <v>1.33979E8</v>
      </c>
      <c r="S320" s="1">
        <v>1.33979E8</v>
      </c>
      <c r="W320" s="4" t="str">
        <f>Raw_Data!C319&amp;"|"&amp;Raw_Data!D319&amp;"|"&amp;TEXT(Raw_Data!B319,"yyyy-mm-dd")</f>
        <v>Brown &amp; Brown|BRO|2020-12-31</v>
      </c>
    </row>
    <row r="321">
      <c r="A321" s="1">
        <v>319.0</v>
      </c>
      <c r="B321" s="3">
        <v>44012.0</v>
      </c>
      <c r="C321" s="1" t="s">
        <v>194</v>
      </c>
      <c r="D321" s="1" t="s">
        <v>195</v>
      </c>
      <c r="F321" s="1">
        <v>1.29401E8</v>
      </c>
      <c r="G321" s="1">
        <v>9.6784E7</v>
      </c>
      <c r="I321" s="1">
        <v>2.51642E8</v>
      </c>
      <c r="J321" s="1">
        <v>1.43165E8</v>
      </c>
      <c r="K321" s="1">
        <v>1.43165E8</v>
      </c>
      <c r="L321" s="1">
        <v>-1.3809E7</v>
      </c>
      <c r="M321" s="1">
        <v>3.2617E7</v>
      </c>
      <c r="N321" s="1">
        <v>5.98157E8</v>
      </c>
      <c r="O321" s="1">
        <v>4.54992E8</v>
      </c>
      <c r="P321" s="1">
        <v>3.46515E8</v>
      </c>
      <c r="Q321" s="1">
        <v>-1.3764E7</v>
      </c>
      <c r="R321" s="1">
        <v>9.6784E7</v>
      </c>
      <c r="S321" s="1">
        <v>9.6784E7</v>
      </c>
      <c r="W321" s="4" t="str">
        <f>Raw_Data!C320&amp;"|"&amp;Raw_Data!D320&amp;"|"&amp;TEXT(Raw_Data!B320,"yyyy-mm-dd")</f>
        <v>Brown &amp; Brown|BRO|2020-09-30</v>
      </c>
    </row>
    <row r="322">
      <c r="A322" s="1">
        <v>320.0</v>
      </c>
      <c r="B322" s="3">
        <v>44286.0</v>
      </c>
      <c r="C322" s="1" t="s">
        <v>197</v>
      </c>
      <c r="D322" s="1" t="s">
        <v>198</v>
      </c>
      <c r="F322" s="1">
        <v>2.12069E8</v>
      </c>
      <c r="G322" s="1">
        <v>1.73305E8</v>
      </c>
      <c r="H322" s="1">
        <v>1.18216E8</v>
      </c>
      <c r="I322" s="1">
        <v>3.41545E8</v>
      </c>
      <c r="J322" s="1">
        <v>2.23329E8</v>
      </c>
      <c r="K322" s="1">
        <v>2.23329E8</v>
      </c>
      <c r="L322" s="1">
        <v>-1.22E7</v>
      </c>
      <c r="M322" s="1">
        <v>3.8764E7</v>
      </c>
      <c r="N322" s="1">
        <v>4.803869E9</v>
      </c>
      <c r="O322" s="1">
        <v>4.58054E9</v>
      </c>
      <c r="P322" s="1">
        <v>4.462324E9</v>
      </c>
      <c r="Q322" s="1">
        <v>-1.126E7</v>
      </c>
      <c r="R322" s="1">
        <v>1.73305E8</v>
      </c>
      <c r="S322" s="1">
        <v>1.73305E8</v>
      </c>
      <c r="W322" s="4" t="str">
        <f>Raw_Data!C321&amp;"|"&amp;Raw_Data!D321&amp;"|"&amp;TEXT(Raw_Data!B321,"yyyy-mm-dd")</f>
        <v>Brown &amp; Brown|BRO|2020-06-30</v>
      </c>
    </row>
    <row r="323">
      <c r="A323" s="1">
        <v>321.0</v>
      </c>
      <c r="B323" s="3">
        <v>44196.0</v>
      </c>
      <c r="C323" s="1" t="s">
        <v>197</v>
      </c>
      <c r="D323" s="1" t="s">
        <v>198</v>
      </c>
      <c r="F323" s="1">
        <v>1.94769E8</v>
      </c>
      <c r="G323" s="1">
        <v>1.47807E8</v>
      </c>
      <c r="H323" s="1">
        <v>1.24516E8</v>
      </c>
      <c r="I323" s="1">
        <v>3.31318E8</v>
      </c>
      <c r="J323" s="1">
        <v>2.06802E8</v>
      </c>
      <c r="K323" s="1">
        <v>2.06802E8</v>
      </c>
      <c r="L323" s="1">
        <v>-1.25E7</v>
      </c>
      <c r="M323" s="1">
        <v>4.6962E7</v>
      </c>
      <c r="N323" s="1">
        <v>4.549452E9</v>
      </c>
      <c r="O323" s="1">
        <v>4.34265E9</v>
      </c>
      <c r="P323" s="1">
        <v>4.218134E9</v>
      </c>
      <c r="Q323" s="1">
        <v>-1.2033E7</v>
      </c>
      <c r="R323" s="1">
        <v>1.47807E8</v>
      </c>
      <c r="S323" s="1">
        <v>1.47807E8</v>
      </c>
      <c r="W323" s="4" t="str">
        <f>Raw_Data!C322&amp;"|"&amp;Raw_Data!D322&amp;"|"&amp;TEXT(Raw_Data!B322,"yyyy-mm-dd")</f>
        <v>C. H. Robinson|CHRW|2021-03-31</v>
      </c>
    </row>
    <row r="324">
      <c r="A324" s="1">
        <v>322.0</v>
      </c>
      <c r="B324" s="3">
        <v>44104.0</v>
      </c>
      <c r="C324" s="1" t="s">
        <v>197</v>
      </c>
      <c r="D324" s="1" t="s">
        <v>198</v>
      </c>
      <c r="F324" s="1">
        <v>1.60774E8</v>
      </c>
      <c r="G324" s="1">
        <v>1.36529E8</v>
      </c>
      <c r="H324" s="1">
        <v>1.1813E8</v>
      </c>
      <c r="I324" s="1">
        <v>2.86369E8</v>
      </c>
      <c r="J324" s="1">
        <v>1.68239E8</v>
      </c>
      <c r="K324" s="1">
        <v>1.68239E8</v>
      </c>
      <c r="L324" s="1">
        <v>-1.19E7</v>
      </c>
      <c r="M324" s="1">
        <v>2.4245E7</v>
      </c>
      <c r="N324" s="1">
        <v>4.2248E9</v>
      </c>
      <c r="O324" s="1">
        <v>4.056561E9</v>
      </c>
      <c r="P324" s="1">
        <v>3.938431E9</v>
      </c>
      <c r="Q324" s="1">
        <v>-7465000.0</v>
      </c>
      <c r="R324" s="1">
        <v>1.36529E8</v>
      </c>
      <c r="S324" s="1">
        <v>1.36529E8</v>
      </c>
      <c r="W324" s="4" t="str">
        <f>Raw_Data!C323&amp;"|"&amp;Raw_Data!D323&amp;"|"&amp;TEXT(Raw_Data!B323,"yyyy-mm-dd")</f>
        <v>C. H. Robinson|CHRW|2020-12-31</v>
      </c>
    </row>
    <row r="325">
      <c r="A325" s="1">
        <v>323.0</v>
      </c>
      <c r="B325" s="3">
        <v>44012.0</v>
      </c>
      <c r="C325" s="1" t="s">
        <v>197</v>
      </c>
      <c r="D325" s="1" t="s">
        <v>198</v>
      </c>
      <c r="F325" s="1">
        <v>1.78576E8</v>
      </c>
      <c r="G325" s="1">
        <v>1.43939E8</v>
      </c>
      <c r="H325" s="1">
        <v>1.25183E8</v>
      </c>
      <c r="I325" s="1">
        <v>3.1397E8</v>
      </c>
      <c r="J325" s="1">
        <v>1.88787E8</v>
      </c>
      <c r="K325" s="1">
        <v>1.88787E8</v>
      </c>
      <c r="L325" s="1">
        <v>-1.24E7</v>
      </c>
      <c r="M325" s="1">
        <v>3.4637E7</v>
      </c>
      <c r="N325" s="1">
        <v>3.627846E9</v>
      </c>
      <c r="O325" s="1">
        <v>3.439059E9</v>
      </c>
      <c r="P325" s="1">
        <v>3.313876E9</v>
      </c>
      <c r="Q325" s="1">
        <v>-1.0211E7</v>
      </c>
      <c r="R325" s="1">
        <v>1.43939E8</v>
      </c>
      <c r="S325" s="1">
        <v>1.43939E8</v>
      </c>
      <c r="W325" s="4" t="str">
        <f>Raw_Data!C324&amp;"|"&amp;Raw_Data!D324&amp;"|"&amp;TEXT(Raw_Data!B324,"yyyy-mm-dd")</f>
        <v>C. H. Robinson|CHRW|2020-09-30</v>
      </c>
    </row>
    <row r="326">
      <c r="A326" s="1">
        <v>324.0</v>
      </c>
      <c r="B326" s="3">
        <v>44380.0</v>
      </c>
      <c r="C326" s="1" t="s">
        <v>202</v>
      </c>
      <c r="D326" s="1" t="s">
        <v>203</v>
      </c>
      <c r="E326" s="1">
        <v>2.85227E8</v>
      </c>
      <c r="F326" s="1">
        <v>1.83265E8</v>
      </c>
      <c r="G326" s="1">
        <v>1.559E8</v>
      </c>
      <c r="H326" s="1">
        <v>1.763E8</v>
      </c>
      <c r="I326" s="1">
        <v>6.51526E8</v>
      </c>
      <c r="J326" s="1">
        <v>1.84969E8</v>
      </c>
      <c r="K326" s="1">
        <v>1.84969E8</v>
      </c>
      <c r="L326" s="1">
        <v>-4316000.0</v>
      </c>
      <c r="M326" s="1">
        <v>2.7365E7</v>
      </c>
      <c r="N326" s="1">
        <v>7.28285E8</v>
      </c>
      <c r="O326" s="1">
        <v>5.43316E8</v>
      </c>
      <c r="P326" s="1">
        <v>7.6759E7</v>
      </c>
      <c r="Q326" s="1">
        <v>-1704000.0</v>
      </c>
      <c r="R326" s="1">
        <v>1.559E8</v>
      </c>
      <c r="S326" s="1">
        <v>1.559E8</v>
      </c>
      <c r="W326" s="4" t="str">
        <f>Raw_Data!C325&amp;"|"&amp;Raw_Data!D325&amp;"|"&amp;TEXT(Raw_Data!B325,"yyyy-mm-dd")</f>
        <v>C. H. Robinson|CHRW|2020-06-30</v>
      </c>
    </row>
    <row r="327">
      <c r="A327" s="1">
        <v>325.0</v>
      </c>
      <c r="B327" s="3">
        <v>44289.0</v>
      </c>
      <c r="C327" s="1" t="s">
        <v>202</v>
      </c>
      <c r="D327" s="1" t="s">
        <v>203</v>
      </c>
      <c r="E327" s="1">
        <v>2.70992E8</v>
      </c>
      <c r="F327" s="1">
        <v>2.02421E8</v>
      </c>
      <c r="G327" s="1">
        <v>1.87169E8</v>
      </c>
      <c r="H327" s="1">
        <v>1.72778E8</v>
      </c>
      <c r="I327" s="1">
        <v>6.52061E8</v>
      </c>
      <c r="J327" s="1">
        <v>2.0366E8</v>
      </c>
      <c r="K327" s="1">
        <v>2.0366E8</v>
      </c>
      <c r="L327" s="1">
        <v>-4217000.0</v>
      </c>
      <c r="M327" s="1">
        <v>1.5252E7</v>
      </c>
      <c r="N327" s="1">
        <v>7.36028E8</v>
      </c>
      <c r="O327" s="1">
        <v>5.32368E8</v>
      </c>
      <c r="P327" s="1">
        <v>8.3967E7</v>
      </c>
      <c r="Q327" s="1">
        <v>-1239000.0</v>
      </c>
      <c r="R327" s="1">
        <v>1.87169E8</v>
      </c>
      <c r="S327" s="1">
        <v>1.87169E8</v>
      </c>
      <c r="W327" s="4" t="str">
        <f>Raw_Data!C326&amp;"|"&amp;Raw_Data!D326&amp;"|"&amp;TEXT(Raw_Data!B326,"yyyy-mm-dd")</f>
        <v>Cadence Design Systems|CDNS|2021-07-03</v>
      </c>
    </row>
    <row r="328">
      <c r="A328" s="1">
        <v>326.0</v>
      </c>
      <c r="B328" s="3">
        <v>44198.0</v>
      </c>
      <c r="C328" s="1" t="s">
        <v>202</v>
      </c>
      <c r="D328" s="1" t="s">
        <v>203</v>
      </c>
      <c r="E328" s="1">
        <v>2.90309E8</v>
      </c>
      <c r="F328" s="1">
        <v>1.86189E8</v>
      </c>
      <c r="G328" s="1">
        <v>1.73738E8</v>
      </c>
      <c r="H328" s="1">
        <v>1.95766E8</v>
      </c>
      <c r="I328" s="1">
        <v>6.86373E8</v>
      </c>
      <c r="J328" s="1">
        <v>1.95523E8</v>
      </c>
      <c r="K328" s="1">
        <v>1.95523E8</v>
      </c>
      <c r="L328" s="1">
        <v>-4873000.0</v>
      </c>
      <c r="M328" s="1">
        <v>1.2451E7</v>
      </c>
      <c r="N328" s="1">
        <v>7.59909E8</v>
      </c>
      <c r="O328" s="1">
        <v>5.64386E8</v>
      </c>
      <c r="P328" s="1">
        <v>7.3536E7</v>
      </c>
      <c r="Q328" s="1">
        <v>-9334000.0</v>
      </c>
      <c r="R328" s="1">
        <v>1.73738E8</v>
      </c>
      <c r="S328" s="1">
        <v>1.73738E8</v>
      </c>
      <c r="W328" s="4" t="str">
        <f>Raw_Data!C327&amp;"|"&amp;Raw_Data!D327&amp;"|"&amp;TEXT(Raw_Data!B327,"yyyy-mm-dd")</f>
        <v>Cadence Design Systems|CDNS|2021-04-03</v>
      </c>
    </row>
    <row r="329">
      <c r="A329" s="1">
        <v>327.0</v>
      </c>
      <c r="B329" s="3">
        <v>44100.0</v>
      </c>
      <c r="C329" s="1" t="s">
        <v>202</v>
      </c>
      <c r="D329" s="1" t="s">
        <v>203</v>
      </c>
      <c r="E329" s="1">
        <v>2.50934E8</v>
      </c>
      <c r="F329" s="1">
        <v>1.65713E8</v>
      </c>
      <c r="G329" s="1">
        <v>1.6163E8</v>
      </c>
      <c r="H329" s="1">
        <v>1.59666E8</v>
      </c>
      <c r="I329" s="1">
        <v>5.84323E8</v>
      </c>
      <c r="J329" s="1">
        <v>1.69285E8</v>
      </c>
      <c r="K329" s="1">
        <v>1.69285E8</v>
      </c>
      <c r="L329" s="1">
        <v>-5325000.0</v>
      </c>
      <c r="M329" s="1">
        <v>4083000.0</v>
      </c>
      <c r="N329" s="1">
        <v>6.66607E8</v>
      </c>
      <c r="O329" s="1">
        <v>4.97322E8</v>
      </c>
      <c r="P329" s="1">
        <v>8.2284E7</v>
      </c>
      <c r="Q329" s="1">
        <v>-3572000.0</v>
      </c>
      <c r="R329" s="1">
        <v>1.6163E8</v>
      </c>
      <c r="S329" s="1">
        <v>1.6163E8</v>
      </c>
      <c r="W329" s="4" t="str">
        <f>Raw_Data!C328&amp;"|"&amp;Raw_Data!D328&amp;"|"&amp;TEXT(Raw_Data!B328,"yyyy-mm-dd")</f>
        <v>Cadence Design Systems|CDNS|2021-01-02</v>
      </c>
    </row>
    <row r="330">
      <c r="A330" s="1">
        <v>328.0</v>
      </c>
      <c r="B330" s="3">
        <v>44377.0</v>
      </c>
      <c r="C330" s="1" t="s">
        <v>204</v>
      </c>
      <c r="D330" s="1" t="s">
        <v>205</v>
      </c>
      <c r="F330" s="1">
        <v>1.01E8</v>
      </c>
      <c r="G330" s="1">
        <v>7.1E7</v>
      </c>
      <c r="H330" s="1">
        <v>4.94E8</v>
      </c>
      <c r="I330" s="1">
        <v>1.457E9</v>
      </c>
      <c r="J330" s="1">
        <v>6.62E8</v>
      </c>
      <c r="K330" s="1">
        <v>6.62E8</v>
      </c>
      <c r="L330" s="1">
        <v>-5.76E8</v>
      </c>
      <c r="M330" s="1">
        <v>-1000000.0</v>
      </c>
      <c r="N330" s="1">
        <v>2.502E9</v>
      </c>
      <c r="O330" s="1">
        <v>1.84E9</v>
      </c>
      <c r="P330" s="1">
        <v>1.045E9</v>
      </c>
      <c r="Q330" s="1">
        <v>-5.61E8</v>
      </c>
      <c r="R330" s="1">
        <v>1.02E8</v>
      </c>
      <c r="S330" s="1">
        <v>7.1E7</v>
      </c>
      <c r="W330" s="4" t="str">
        <f>Raw_Data!C329&amp;"|"&amp;Raw_Data!D329&amp;"|"&amp;TEXT(Raw_Data!B329,"yyyy-mm-dd")</f>
        <v>Cadence Design Systems|CDNS|2020-09-26</v>
      </c>
    </row>
    <row r="331">
      <c r="A331" s="1">
        <v>329.0</v>
      </c>
      <c r="B331" s="3">
        <v>44286.0</v>
      </c>
      <c r="C331" s="1" t="s">
        <v>204</v>
      </c>
      <c r="D331" s="1" t="s">
        <v>205</v>
      </c>
      <c r="F331" s="1">
        <v>-4.96E8</v>
      </c>
      <c r="G331" s="1">
        <v>-4.23E8</v>
      </c>
      <c r="H331" s="1">
        <v>4.46E8</v>
      </c>
      <c r="I331" s="1">
        <v>9.47E8</v>
      </c>
      <c r="J331" s="1">
        <v>2.36E8</v>
      </c>
      <c r="K331" s="1">
        <v>2.36E8</v>
      </c>
      <c r="L331" s="1">
        <v>-5.79E8</v>
      </c>
      <c r="M331" s="1">
        <v>-7.6E7</v>
      </c>
      <c r="N331" s="1">
        <v>1.792E9</v>
      </c>
      <c r="O331" s="1">
        <v>1.556E9</v>
      </c>
      <c r="P331" s="1">
        <v>8.45E8</v>
      </c>
      <c r="Q331" s="1">
        <v>-7.32E8</v>
      </c>
      <c r="R331" s="1">
        <v>-4.2E8</v>
      </c>
      <c r="S331" s="1">
        <v>-4.23E8</v>
      </c>
      <c r="W331" s="4" t="str">
        <f>Raw_Data!C330&amp;"|"&amp;Raw_Data!D330&amp;"|"&amp;TEXT(Raw_Data!B330,"yyyy-mm-dd")</f>
        <v>Caesars Entertainment|CZR|2021-06-30</v>
      </c>
    </row>
    <row r="332">
      <c r="A332" s="1">
        <v>330.0</v>
      </c>
      <c r="B332" s="3">
        <v>44196.0</v>
      </c>
      <c r="C332" s="1" t="s">
        <v>204</v>
      </c>
      <c r="D332" s="1" t="s">
        <v>205</v>
      </c>
      <c r="F332" s="1">
        <v>-4.96E8</v>
      </c>
      <c r="G332" s="1">
        <v>-5.55E8</v>
      </c>
      <c r="H332" s="1">
        <v>4.62E8</v>
      </c>
      <c r="I332" s="1">
        <v>7.12E8</v>
      </c>
      <c r="J332" s="1">
        <v>1.02E8</v>
      </c>
      <c r="K332" s="1">
        <v>1.02E8</v>
      </c>
      <c r="L332" s="1">
        <v>-5.66E8</v>
      </c>
      <c r="M332" s="1">
        <v>6.2E7</v>
      </c>
      <c r="N332" s="1">
        <v>1.489E9</v>
      </c>
      <c r="O332" s="1">
        <v>1.387E9</v>
      </c>
      <c r="P332" s="1">
        <v>7.77E8</v>
      </c>
      <c r="Q332" s="1">
        <v>-5.98E8</v>
      </c>
      <c r="R332" s="1">
        <v>-5.58E8</v>
      </c>
      <c r="S332" s="1">
        <v>-5.55E8</v>
      </c>
      <c r="W332" s="4" t="str">
        <f>Raw_Data!C331&amp;"|"&amp;Raw_Data!D331&amp;"|"&amp;TEXT(Raw_Data!B331,"yyyy-mm-dd")</f>
        <v>Caesars Entertainment|CZR|2021-03-31</v>
      </c>
    </row>
    <row r="333">
      <c r="A333" s="1">
        <v>331.0</v>
      </c>
      <c r="B333" s="3">
        <v>44104.0</v>
      </c>
      <c r="C333" s="1" t="s">
        <v>204</v>
      </c>
      <c r="D333" s="1" t="s">
        <v>205</v>
      </c>
      <c r="F333" s="1">
        <v>-7.89E8</v>
      </c>
      <c r="G333" s="1">
        <v>-9.26E8</v>
      </c>
      <c r="H333" s="1">
        <v>4.2E8</v>
      </c>
      <c r="I333" s="1">
        <v>7.1E8</v>
      </c>
      <c r="J333" s="1">
        <v>-4.5E7</v>
      </c>
      <c r="K333" s="1">
        <v>-4.5E7</v>
      </c>
      <c r="L333" s="1">
        <v>-4.73E8</v>
      </c>
      <c r="M333" s="1">
        <v>1.35E8</v>
      </c>
      <c r="N333" s="1">
        <v>1.377E9</v>
      </c>
      <c r="O333" s="1">
        <v>1.422E9</v>
      </c>
      <c r="P333" s="1">
        <v>6.67E8</v>
      </c>
      <c r="Q333" s="1">
        <v>-7.44E8</v>
      </c>
      <c r="R333" s="1">
        <v>-9.24E8</v>
      </c>
      <c r="S333" s="1">
        <v>-9.26E8</v>
      </c>
      <c r="W333" s="4" t="str">
        <f>Raw_Data!C332&amp;"|"&amp;Raw_Data!D332&amp;"|"&amp;TEXT(Raw_Data!B332,"yyyy-mm-dd")</f>
        <v>Caesars Entertainment|CZR|2020-12-31</v>
      </c>
    </row>
    <row r="334">
      <c r="A334" s="1">
        <v>332.0</v>
      </c>
      <c r="B334" s="3">
        <v>44318.0</v>
      </c>
      <c r="C334" s="1" t="s">
        <v>206</v>
      </c>
      <c r="D334" s="1" t="s">
        <v>207</v>
      </c>
      <c r="E334" s="1">
        <v>2.2E7</v>
      </c>
      <c r="F334" s="1">
        <v>2.19E8</v>
      </c>
      <c r="G334" s="1">
        <v>1.6E8</v>
      </c>
      <c r="H334" s="1">
        <v>3.44E8</v>
      </c>
      <c r="I334" s="1">
        <v>6.3E8</v>
      </c>
      <c r="J334" s="1">
        <v>2.87E8</v>
      </c>
      <c r="K334" s="1">
        <v>2.87E8</v>
      </c>
      <c r="L334" s="1">
        <v>-5.3E7</v>
      </c>
      <c r="M334" s="1">
        <v>5.3E7</v>
      </c>
      <c r="N334" s="1">
        <v>1.984E9</v>
      </c>
      <c r="O334" s="1">
        <v>1.697E9</v>
      </c>
      <c r="P334" s="1">
        <v>1.354E9</v>
      </c>
      <c r="Q334" s="1">
        <v>-6.8E7</v>
      </c>
      <c r="R334" s="1">
        <v>1.66E8</v>
      </c>
      <c r="S334" s="1">
        <v>1.6E8</v>
      </c>
      <c r="W334" s="4" t="str">
        <f>Raw_Data!C333&amp;"|"&amp;Raw_Data!D333&amp;"|"&amp;TEXT(Raw_Data!B333,"yyyy-mm-dd")</f>
        <v>Caesars Entertainment|CZR|2020-09-30</v>
      </c>
    </row>
    <row r="335">
      <c r="A335" s="1">
        <v>333.0</v>
      </c>
      <c r="B335" s="3">
        <v>44227.0</v>
      </c>
      <c r="C335" s="1" t="s">
        <v>206</v>
      </c>
      <c r="D335" s="1" t="s">
        <v>207</v>
      </c>
      <c r="E335" s="1">
        <v>1.9E7</v>
      </c>
      <c r="F335" s="1">
        <v>3.47E8</v>
      </c>
      <c r="G335" s="1">
        <v>2.45E8</v>
      </c>
      <c r="H335" s="1">
        <v>3.84E8</v>
      </c>
      <c r="I335" s="1">
        <v>7.81E8</v>
      </c>
      <c r="J335" s="1">
        <v>4.23E8</v>
      </c>
      <c r="K335" s="1">
        <v>4.23E8</v>
      </c>
      <c r="L335" s="1">
        <v>-5.5E7</v>
      </c>
      <c r="M335" s="1">
        <v>1.02E8</v>
      </c>
      <c r="N335" s="1">
        <v>2.279E9</v>
      </c>
      <c r="O335" s="1">
        <v>1.856E9</v>
      </c>
      <c r="P335" s="1">
        <v>1.498E9</v>
      </c>
      <c r="Q335" s="1">
        <v>-7.6E7</v>
      </c>
      <c r="R335" s="1">
        <v>2.45E8</v>
      </c>
      <c r="S335" s="1">
        <v>2.45E8</v>
      </c>
      <c r="W335" s="4" t="str">
        <f>Raw_Data!C334&amp;"|"&amp;Raw_Data!D334&amp;"|"&amp;TEXT(Raw_Data!B334,"yyyy-mm-dd")</f>
        <v>Campbell Soup|CPB|2021-05-02</v>
      </c>
    </row>
    <row r="336">
      <c r="A336" s="1">
        <v>334.0</v>
      </c>
      <c r="B336" s="3">
        <v>44136.0</v>
      </c>
      <c r="C336" s="1" t="s">
        <v>206</v>
      </c>
      <c r="D336" s="1" t="s">
        <v>207</v>
      </c>
      <c r="E336" s="1">
        <v>2.0E7</v>
      </c>
      <c r="F336" s="1">
        <v>4.06E8</v>
      </c>
      <c r="G336" s="1">
        <v>3.09E8</v>
      </c>
      <c r="H336" s="1">
        <v>3.45E8</v>
      </c>
      <c r="I336" s="1">
        <v>8.14E8</v>
      </c>
      <c r="J336" s="1">
        <v>4.67E8</v>
      </c>
      <c r="K336" s="1">
        <v>4.67E8</v>
      </c>
      <c r="L336" s="1">
        <v>-5.5E7</v>
      </c>
      <c r="M336" s="1">
        <v>9.7E7</v>
      </c>
      <c r="N336" s="1">
        <v>2.34E9</v>
      </c>
      <c r="O336" s="1">
        <v>1.873E9</v>
      </c>
      <c r="P336" s="1">
        <v>1.526E9</v>
      </c>
      <c r="Q336" s="1">
        <v>-6.1E7</v>
      </c>
      <c r="R336" s="1">
        <v>3.09E8</v>
      </c>
      <c r="S336" s="1">
        <v>3.09E8</v>
      </c>
      <c r="W336" s="4" t="str">
        <f>Raw_Data!C335&amp;"|"&amp;Raw_Data!D335&amp;"|"&amp;TEXT(Raw_Data!B335,"yyyy-mm-dd")</f>
        <v>Campbell Soup|CPB|2021-01-31</v>
      </c>
    </row>
    <row r="337">
      <c r="A337" s="1">
        <v>335.0</v>
      </c>
      <c r="B337" s="3">
        <v>44045.0</v>
      </c>
      <c r="C337" s="1" t="s">
        <v>206</v>
      </c>
      <c r="D337" s="1" t="s">
        <v>207</v>
      </c>
      <c r="E337" s="1">
        <v>2.4E7</v>
      </c>
      <c r="F337" s="1">
        <v>1.07E8</v>
      </c>
      <c r="G337" s="1">
        <v>8.6E7</v>
      </c>
      <c r="H337" s="1">
        <v>4.34E8</v>
      </c>
      <c r="I337" s="1">
        <v>7.5E8</v>
      </c>
      <c r="J337" s="1">
        <v>1.86E8</v>
      </c>
      <c r="K337" s="1">
        <v>1.86E8</v>
      </c>
      <c r="L337" s="1">
        <v>-6.1E7</v>
      </c>
      <c r="M337" s="1">
        <v>2.1E7</v>
      </c>
      <c r="N337" s="1">
        <v>2.108E9</v>
      </c>
      <c r="O337" s="1">
        <v>1.922E9</v>
      </c>
      <c r="P337" s="1">
        <v>1.358E9</v>
      </c>
      <c r="Q337" s="1">
        <v>-7.9E7</v>
      </c>
      <c r="R337" s="1">
        <v>8.6E7</v>
      </c>
      <c r="S337" s="1">
        <v>8.6E7</v>
      </c>
      <c r="W337" s="4" t="str">
        <f>Raw_Data!C336&amp;"|"&amp;Raw_Data!D336&amp;"|"&amp;TEXT(Raw_Data!B336,"yyyy-mm-dd")</f>
        <v>Campbell Soup|CPB|2020-11-01</v>
      </c>
    </row>
    <row r="338">
      <c r="A338" s="1">
        <v>336.0</v>
      </c>
      <c r="B338" s="3">
        <v>44377.0</v>
      </c>
      <c r="C338" s="1" t="s">
        <v>208</v>
      </c>
      <c r="D338" s="1" t="s">
        <v>209</v>
      </c>
      <c r="F338" s="1">
        <v>4.568E9</v>
      </c>
      <c r="G338" s="1">
        <v>3.536E9</v>
      </c>
      <c r="H338" s="1">
        <v>3.58E9</v>
      </c>
      <c r="I338" s="1">
        <v>8.534E9</v>
      </c>
      <c r="J338" s="1">
        <v>0.0</v>
      </c>
      <c r="K338" s="1">
        <v>4.613E9</v>
      </c>
      <c r="M338" s="1">
        <v>1.031E9</v>
      </c>
      <c r="N338" s="1">
        <v>8.534E9</v>
      </c>
      <c r="O338" s="1">
        <v>3.921E9</v>
      </c>
      <c r="P338" s="1">
        <v>0.0</v>
      </c>
      <c r="Q338" s="1">
        <v>-4.5E7</v>
      </c>
      <c r="R338" s="1">
        <v>3.537E9</v>
      </c>
      <c r="S338" s="1">
        <v>3.446E9</v>
      </c>
      <c r="W338" s="4" t="str">
        <f>Raw_Data!C337&amp;"|"&amp;Raw_Data!D337&amp;"|"&amp;TEXT(Raw_Data!B337,"yyyy-mm-dd")</f>
        <v>Campbell Soup|CPB|2020-08-02</v>
      </c>
    </row>
    <row r="339">
      <c r="A339" s="1">
        <v>337.0</v>
      </c>
      <c r="B339" s="3">
        <v>44286.0</v>
      </c>
      <c r="C339" s="1" t="s">
        <v>208</v>
      </c>
      <c r="D339" s="1" t="s">
        <v>209</v>
      </c>
      <c r="F339" s="1">
        <v>4.196E9</v>
      </c>
      <c r="G339" s="1">
        <v>3.325E9</v>
      </c>
      <c r="H339" s="1">
        <v>3.414E9</v>
      </c>
      <c r="I339" s="1">
        <v>7.936E9</v>
      </c>
      <c r="J339" s="1">
        <v>0.0</v>
      </c>
      <c r="K339" s="1">
        <v>4.237E9</v>
      </c>
      <c r="M339" s="1">
        <v>8.69E8</v>
      </c>
      <c r="N339" s="1">
        <v>7.936E9</v>
      </c>
      <c r="O339" s="1">
        <v>3.699E9</v>
      </c>
      <c r="P339" s="1">
        <v>0.0</v>
      </c>
      <c r="Q339" s="1">
        <v>-4.1E7</v>
      </c>
      <c r="R339" s="1">
        <v>3.327E9</v>
      </c>
      <c r="S339" s="1">
        <v>3.236E9</v>
      </c>
      <c r="W339" s="4" t="str">
        <f>Raw_Data!C338&amp;"|"&amp;Raw_Data!D338&amp;"|"&amp;TEXT(Raw_Data!B338,"yyyy-mm-dd")</f>
        <v>Capital One Financial|COF|2021-06-30</v>
      </c>
    </row>
    <row r="340">
      <c r="A340" s="1">
        <v>338.0</v>
      </c>
      <c r="B340" s="3">
        <v>44196.0</v>
      </c>
      <c r="C340" s="1" t="s">
        <v>208</v>
      </c>
      <c r="D340" s="1" t="s">
        <v>209</v>
      </c>
      <c r="F340" s="1">
        <v>3.064E9</v>
      </c>
      <c r="G340" s="1">
        <v>2.566E9</v>
      </c>
      <c r="H340" s="1">
        <v>3.579E9</v>
      </c>
      <c r="I340" s="1">
        <v>7.073E9</v>
      </c>
      <c r="J340" s="1">
        <v>0.0</v>
      </c>
      <c r="K340" s="1">
        <v>3.401E9</v>
      </c>
      <c r="M340" s="1">
        <v>4.96E8</v>
      </c>
      <c r="N340" s="1">
        <v>7.073E9</v>
      </c>
      <c r="O340" s="1">
        <v>3.672E9</v>
      </c>
      <c r="P340" s="1">
        <v>0.0</v>
      </c>
      <c r="Q340" s="1">
        <v>-3.37E8</v>
      </c>
      <c r="R340" s="1">
        <v>2.568E9</v>
      </c>
      <c r="S340" s="1">
        <v>2.466E9</v>
      </c>
      <c r="W340" s="4" t="str">
        <f>Raw_Data!C339&amp;"|"&amp;Raw_Data!D339&amp;"|"&amp;TEXT(Raw_Data!B339,"yyyy-mm-dd")</f>
        <v>Capital One Financial|COF|2021-03-31</v>
      </c>
    </row>
    <row r="341">
      <c r="A341" s="1">
        <v>339.0</v>
      </c>
      <c r="B341" s="3">
        <v>44104.0</v>
      </c>
      <c r="C341" s="1" t="s">
        <v>208</v>
      </c>
      <c r="D341" s="1" t="s">
        <v>209</v>
      </c>
      <c r="F341" s="1">
        <v>3.502E9</v>
      </c>
      <c r="G341" s="1">
        <v>2.406E9</v>
      </c>
      <c r="H341" s="1">
        <v>3.145E9</v>
      </c>
      <c r="I341" s="1">
        <v>7.05E9</v>
      </c>
      <c r="J341" s="1">
        <v>0.0</v>
      </c>
      <c r="K341" s="1">
        <v>3.565E9</v>
      </c>
      <c r="M341" s="1">
        <v>1.096E9</v>
      </c>
      <c r="N341" s="1">
        <v>7.05E9</v>
      </c>
      <c r="O341" s="1">
        <v>3.485E9</v>
      </c>
      <c r="P341" s="1">
        <v>0.0</v>
      </c>
      <c r="Q341" s="1">
        <v>-6.3E7</v>
      </c>
      <c r="R341" s="1">
        <v>2.406E9</v>
      </c>
      <c r="S341" s="1">
        <v>2.319E9</v>
      </c>
      <c r="W341" s="4" t="str">
        <f>Raw_Data!C340&amp;"|"&amp;Raw_Data!D340&amp;"|"&amp;TEXT(Raw_Data!B340,"yyyy-mm-dd")</f>
        <v>Capital One Financial|COF|2020-12-31</v>
      </c>
    </row>
    <row r="342">
      <c r="A342" s="1">
        <v>340.0</v>
      </c>
      <c r="B342" s="3">
        <v>44377.0</v>
      </c>
      <c r="C342" s="1" t="s">
        <v>210</v>
      </c>
      <c r="D342" s="1" t="s">
        <v>211</v>
      </c>
      <c r="F342" s="1">
        <v>1.19E8</v>
      </c>
      <c r="G342" s="1">
        <v>1.16E8</v>
      </c>
      <c r="H342" s="1">
        <v>1.129E9</v>
      </c>
      <c r="I342" s="1">
        <v>1.672E9</v>
      </c>
      <c r="J342" s="1">
        <v>4.37E8</v>
      </c>
      <c r="K342" s="1">
        <v>4.37E8</v>
      </c>
      <c r="L342" s="1">
        <v>-4.4E7</v>
      </c>
      <c r="M342" s="1">
        <v>4000000.0</v>
      </c>
      <c r="N342" s="1">
        <v>4.2586E10</v>
      </c>
      <c r="O342" s="1">
        <v>4.2149E10</v>
      </c>
      <c r="P342" s="1">
        <v>4.0914E10</v>
      </c>
      <c r="Q342" s="1">
        <v>-3.18E8</v>
      </c>
      <c r="R342" s="1">
        <v>1.15E8</v>
      </c>
      <c r="S342" s="1">
        <v>1.16E8</v>
      </c>
      <c r="W342" s="4" t="str">
        <f>Raw_Data!C341&amp;"|"&amp;Raw_Data!D341&amp;"|"&amp;TEXT(Raw_Data!B341,"yyyy-mm-dd")</f>
        <v>Capital One Financial|COF|2020-09-30</v>
      </c>
    </row>
    <row r="343">
      <c r="A343" s="1">
        <v>341.0</v>
      </c>
      <c r="B343" s="3">
        <v>44286.0</v>
      </c>
      <c r="C343" s="1" t="s">
        <v>210</v>
      </c>
      <c r="D343" s="1" t="s">
        <v>211</v>
      </c>
      <c r="F343" s="1">
        <v>4.4E8</v>
      </c>
      <c r="G343" s="1">
        <v>1.19E8</v>
      </c>
      <c r="H343" s="1">
        <v>1.12E9</v>
      </c>
      <c r="I343" s="1">
        <v>1.812E9</v>
      </c>
      <c r="J343" s="1">
        <v>5.81E8</v>
      </c>
      <c r="K343" s="1">
        <v>5.81E8</v>
      </c>
      <c r="L343" s="1">
        <v>-4.5E7</v>
      </c>
      <c r="M343" s="1">
        <v>3.2E8</v>
      </c>
      <c r="N343" s="1">
        <v>3.9275E10</v>
      </c>
      <c r="O343" s="1">
        <v>3.8694E10</v>
      </c>
      <c r="P343" s="1">
        <v>3.7463E10</v>
      </c>
      <c r="Q343" s="1">
        <v>-1.41E8</v>
      </c>
      <c r="R343" s="1">
        <v>1.2E8</v>
      </c>
      <c r="S343" s="1">
        <v>1.19E8</v>
      </c>
      <c r="W343" s="4" t="str">
        <f>Raw_Data!C342&amp;"|"&amp;Raw_Data!D342&amp;"|"&amp;TEXT(Raw_Data!B342,"yyyy-mm-dd")</f>
        <v>Cardinal Health|CAH|2021-06-30</v>
      </c>
    </row>
    <row r="344">
      <c r="A344" s="1">
        <v>342.0</v>
      </c>
      <c r="B344" s="3">
        <v>44196.0</v>
      </c>
      <c r="C344" s="1" t="s">
        <v>210</v>
      </c>
      <c r="D344" s="1" t="s">
        <v>211</v>
      </c>
      <c r="F344" s="1">
        <v>4.27E8</v>
      </c>
      <c r="G344" s="1">
        <v>6.29E8</v>
      </c>
      <c r="H344" s="1">
        <v>1.147E9</v>
      </c>
      <c r="I344" s="1">
        <v>1.776E9</v>
      </c>
      <c r="J344" s="1">
        <v>5.13E8</v>
      </c>
      <c r="K344" s="1">
        <v>5.13E8</v>
      </c>
      <c r="L344" s="1">
        <v>-4.6E7</v>
      </c>
      <c r="M344" s="1">
        <v>-2.03E8</v>
      </c>
      <c r="N344" s="1">
        <v>4.1541E10</v>
      </c>
      <c r="O344" s="1">
        <v>4.1028E10</v>
      </c>
      <c r="P344" s="1">
        <v>3.9765E10</v>
      </c>
      <c r="Q344" s="1">
        <v>-8.6E7</v>
      </c>
      <c r="R344" s="1">
        <v>6.3E8</v>
      </c>
      <c r="S344" s="1">
        <v>6.29E8</v>
      </c>
      <c r="W344" s="4" t="str">
        <f>Raw_Data!C343&amp;"|"&amp;Raw_Data!D343&amp;"|"&amp;TEXT(Raw_Data!B343,"yyyy-mm-dd")</f>
        <v>Cardinal Health|CAH|2021-03-31</v>
      </c>
    </row>
    <row r="345">
      <c r="A345" s="1">
        <v>343.0</v>
      </c>
      <c r="B345" s="3">
        <v>44104.0</v>
      </c>
      <c r="C345" s="1" t="s">
        <v>210</v>
      </c>
      <c r="D345" s="1" t="s">
        <v>211</v>
      </c>
      <c r="F345" s="1">
        <v>-6.63E8</v>
      </c>
      <c r="G345" s="1">
        <v>-2.53E8</v>
      </c>
      <c r="H345" s="1">
        <v>1.137E9</v>
      </c>
      <c r="I345" s="1">
        <v>1.715E9</v>
      </c>
      <c r="J345" s="1">
        <v>4.6E8</v>
      </c>
      <c r="K345" s="1">
        <v>4.6E8</v>
      </c>
      <c r="L345" s="1">
        <v>-4.5E7</v>
      </c>
      <c r="M345" s="1">
        <v>-4.1E8</v>
      </c>
      <c r="N345" s="1">
        <v>3.9065E10</v>
      </c>
      <c r="O345" s="1">
        <v>3.8605E10</v>
      </c>
      <c r="P345" s="1">
        <v>3.735E10</v>
      </c>
      <c r="Q345" s="1">
        <v>-1.123E9</v>
      </c>
      <c r="R345" s="1">
        <v>-2.53E8</v>
      </c>
      <c r="S345" s="1">
        <v>-2.53E8</v>
      </c>
      <c r="W345" s="4" t="str">
        <f>Raw_Data!C344&amp;"|"&amp;Raw_Data!D344&amp;"|"&amp;TEXT(Raw_Data!B344,"yyyy-mm-dd")</f>
        <v>Cardinal Health|CAH|2020-12-31</v>
      </c>
    </row>
    <row r="346">
      <c r="A346" s="1">
        <v>344.0</v>
      </c>
      <c r="B346" s="3">
        <v>44347.0</v>
      </c>
      <c r="C346" s="1" t="s">
        <v>212</v>
      </c>
      <c r="D346" s="1" t="s">
        <v>213</v>
      </c>
      <c r="F346" s="1">
        <v>5.67324E8</v>
      </c>
      <c r="G346" s="1">
        <v>4.36756E8</v>
      </c>
      <c r="H346" s="1">
        <v>5.54069E8</v>
      </c>
      <c r="I346" s="1">
        <v>1.16624E9</v>
      </c>
      <c r="J346" s="1">
        <v>5.62281E8</v>
      </c>
      <c r="K346" s="1">
        <v>5.62281E8</v>
      </c>
      <c r="L346" s="1">
        <v>-2.0534E7</v>
      </c>
      <c r="M346" s="1">
        <v>1.30568E8</v>
      </c>
      <c r="N346" s="1">
        <v>8.007899E9</v>
      </c>
      <c r="O346" s="1">
        <v>7.445618E9</v>
      </c>
      <c r="P346" s="1">
        <v>6.841659E9</v>
      </c>
      <c r="Q346" s="1">
        <v>5043000.0</v>
      </c>
      <c r="R346" s="1">
        <v>4.36756E8</v>
      </c>
      <c r="S346" s="1">
        <v>4.36756E8</v>
      </c>
      <c r="W346" s="4" t="str">
        <f>Raw_Data!C345&amp;"|"&amp;Raw_Data!D345&amp;"|"&amp;TEXT(Raw_Data!B345,"yyyy-mm-dd")</f>
        <v>Cardinal Health|CAH|2020-09-30</v>
      </c>
    </row>
    <row r="347">
      <c r="A347" s="1">
        <v>345.0</v>
      </c>
      <c r="B347" s="3">
        <v>44255.0</v>
      </c>
      <c r="C347" s="1" t="s">
        <v>212</v>
      </c>
      <c r="D347" s="1" t="s">
        <v>213</v>
      </c>
      <c r="F347" s="1">
        <v>2.62249E8</v>
      </c>
      <c r="G347" s="1">
        <v>2.09945E8</v>
      </c>
      <c r="H347" s="1">
        <v>5.56128E8</v>
      </c>
      <c r="I347" s="1">
        <v>8.29589E8</v>
      </c>
      <c r="J347" s="1">
        <v>2.73535E8</v>
      </c>
      <c r="K347" s="1">
        <v>2.73535E8</v>
      </c>
      <c r="L347" s="1">
        <v>-2.0289E7</v>
      </c>
      <c r="M347" s="1">
        <v>5.2304E7</v>
      </c>
      <c r="N347" s="1">
        <v>5.455157E9</v>
      </c>
      <c r="O347" s="1">
        <v>5.181622E9</v>
      </c>
      <c r="P347" s="1">
        <v>4.625568E9</v>
      </c>
      <c r="Q347" s="1">
        <v>-1.1286E7</v>
      </c>
      <c r="R347" s="1">
        <v>2.09945E8</v>
      </c>
      <c r="S347" s="1">
        <v>2.09945E8</v>
      </c>
      <c r="W347" s="4" t="str">
        <f>Raw_Data!C346&amp;"|"&amp;Raw_Data!D346&amp;"|"&amp;TEXT(Raw_Data!B346,"yyyy-mm-dd")</f>
        <v>CarMax|KMX|2021-05-31</v>
      </c>
    </row>
    <row r="348">
      <c r="A348" s="1">
        <v>346.0</v>
      </c>
      <c r="B348" s="3">
        <v>44165.0</v>
      </c>
      <c r="C348" s="1" t="s">
        <v>212</v>
      </c>
      <c r="D348" s="1" t="s">
        <v>213</v>
      </c>
      <c r="F348" s="1">
        <v>3.10503E8</v>
      </c>
      <c r="G348" s="1">
        <v>2.353E8</v>
      </c>
      <c r="H348" s="1">
        <v>4.788E8</v>
      </c>
      <c r="I348" s="1">
        <v>8.07875E8</v>
      </c>
      <c r="J348" s="1">
        <v>3.29078E8</v>
      </c>
      <c r="K348" s="1">
        <v>3.29078E8</v>
      </c>
      <c r="L348" s="1">
        <v>-1.9462E7</v>
      </c>
      <c r="M348" s="1">
        <v>7.5203E7</v>
      </c>
      <c r="N348" s="1">
        <v>5.473444E9</v>
      </c>
      <c r="O348" s="1">
        <v>5.144366E9</v>
      </c>
      <c r="P348" s="1">
        <v>4.665569E9</v>
      </c>
      <c r="Q348" s="1">
        <v>-1.8575E7</v>
      </c>
      <c r="R348" s="1">
        <v>2.353E8</v>
      </c>
      <c r="S348" s="1">
        <v>2.353E8</v>
      </c>
      <c r="W348" s="4" t="str">
        <f>Raw_Data!C347&amp;"|"&amp;Raw_Data!D347&amp;"|"&amp;TEXT(Raw_Data!B347,"yyyy-mm-dd")</f>
        <v>CarMax|KMX|2021-02-28</v>
      </c>
    </row>
    <row r="349">
      <c r="A349" s="1">
        <v>347.0</v>
      </c>
      <c r="B349" s="3">
        <v>44074.0</v>
      </c>
      <c r="C349" s="1" t="s">
        <v>212</v>
      </c>
      <c r="D349" s="1" t="s">
        <v>213</v>
      </c>
      <c r="F349" s="1">
        <v>3.88341E8</v>
      </c>
      <c r="G349" s="1">
        <v>2.96696E8</v>
      </c>
      <c r="H349" s="1">
        <v>4.90208E8</v>
      </c>
      <c r="I349" s="1">
        <v>8.99338E8</v>
      </c>
      <c r="J349" s="1">
        <v>4.0913E8</v>
      </c>
      <c r="K349" s="1">
        <v>4.0913E8</v>
      </c>
      <c r="L349" s="1">
        <v>-2.2469E7</v>
      </c>
      <c r="M349" s="1">
        <v>9.1645E7</v>
      </c>
      <c r="N349" s="1">
        <v>5.652266E9</v>
      </c>
      <c r="O349" s="1">
        <v>5.243136E9</v>
      </c>
      <c r="P349" s="1">
        <v>4.752928E9</v>
      </c>
      <c r="Q349" s="1">
        <v>-2.0789E7</v>
      </c>
      <c r="R349" s="1">
        <v>2.96696E8</v>
      </c>
      <c r="S349" s="1">
        <v>2.96696E8</v>
      </c>
      <c r="W349" s="4" t="str">
        <f>Raw_Data!C348&amp;"|"&amp;Raw_Data!D348&amp;"|"&amp;TEXT(Raw_Data!B348,"yyyy-mm-dd")</f>
        <v>CarMax|KMX|2020-11-30</v>
      </c>
    </row>
    <row r="350">
      <c r="A350" s="1">
        <v>348.0</v>
      </c>
      <c r="B350" s="3">
        <v>44347.0</v>
      </c>
      <c r="C350" s="1" t="s">
        <v>214</v>
      </c>
      <c r="D350" s="1" t="s">
        <v>215</v>
      </c>
      <c r="F350" s="1">
        <v>-2.06E9</v>
      </c>
      <c r="G350" s="1">
        <v>-2.072E9</v>
      </c>
      <c r="H350" s="1">
        <v>4.17E8</v>
      </c>
      <c r="I350" s="1">
        <v>-3.59E8</v>
      </c>
      <c r="J350" s="1">
        <v>-1.567E9</v>
      </c>
      <c r="K350" s="1">
        <v>-1.567E9</v>
      </c>
      <c r="L350" s="1">
        <v>-4.37E8</v>
      </c>
      <c r="M350" s="1">
        <v>1.2E7</v>
      </c>
      <c r="N350" s="1">
        <v>4.9E7</v>
      </c>
      <c r="O350" s="1">
        <v>1.616E9</v>
      </c>
      <c r="P350" s="1">
        <v>4.08E8</v>
      </c>
      <c r="Q350" s="1">
        <v>-4.93E8</v>
      </c>
      <c r="R350" s="1">
        <v>-2.072E9</v>
      </c>
      <c r="S350" s="1">
        <v>-2.072E9</v>
      </c>
      <c r="W350" s="4" t="str">
        <f>Raw_Data!C349&amp;"|"&amp;Raw_Data!D349&amp;"|"&amp;TEXT(Raw_Data!B349,"yyyy-mm-dd")</f>
        <v>CarMax|KMX|2020-08-31</v>
      </c>
    </row>
    <row r="351">
      <c r="A351" s="1">
        <v>349.0</v>
      </c>
      <c r="B351" s="3">
        <v>44255.0</v>
      </c>
      <c r="C351" s="1" t="s">
        <v>214</v>
      </c>
      <c r="D351" s="1" t="s">
        <v>215</v>
      </c>
      <c r="F351" s="1">
        <v>-1.979E9</v>
      </c>
      <c r="G351" s="1">
        <v>-1.973E9</v>
      </c>
      <c r="H351" s="1">
        <v>4.62E8</v>
      </c>
      <c r="I351" s="1">
        <v>-3.28E8</v>
      </c>
      <c r="J351" s="1">
        <v>-1.523E9</v>
      </c>
      <c r="K351" s="1">
        <v>-1.523E9</v>
      </c>
      <c r="L351" s="1">
        <v>-3.98E8</v>
      </c>
      <c r="M351" s="1">
        <v>-6000000.0</v>
      </c>
      <c r="N351" s="1">
        <v>2.6E7</v>
      </c>
      <c r="O351" s="1">
        <v>1.549E9</v>
      </c>
      <c r="P351" s="1">
        <v>3.54E8</v>
      </c>
      <c r="Q351" s="1">
        <v>-4.56E8</v>
      </c>
      <c r="R351" s="1">
        <v>-1.973E9</v>
      </c>
      <c r="S351" s="1">
        <v>-1.973E9</v>
      </c>
      <c r="W351" s="4" t="str">
        <f>Raw_Data!C350&amp;"|"&amp;Raw_Data!D350&amp;"|"&amp;TEXT(Raw_Data!B350,"yyyy-mm-dd")</f>
        <v>Carnival Corporation|CCL|2021-05-31</v>
      </c>
    </row>
    <row r="352">
      <c r="A352" s="1">
        <v>350.0</v>
      </c>
      <c r="B352" s="3">
        <v>44165.0</v>
      </c>
      <c r="C352" s="1" t="s">
        <v>214</v>
      </c>
      <c r="D352" s="1" t="s">
        <v>215</v>
      </c>
      <c r="F352" s="1">
        <v>-2.237E9</v>
      </c>
      <c r="G352" s="1">
        <v>-2.222E9</v>
      </c>
      <c r="H352" s="1">
        <v>4.92E8</v>
      </c>
      <c r="I352" s="1">
        <v>-3.51E8</v>
      </c>
      <c r="J352" s="1">
        <v>-1.555E9</v>
      </c>
      <c r="K352" s="1">
        <v>-1.555E9</v>
      </c>
      <c r="L352" s="1">
        <v>-3.48E8</v>
      </c>
      <c r="M352" s="1">
        <v>-1.5E7</v>
      </c>
      <c r="N352" s="1">
        <v>3.3E7</v>
      </c>
      <c r="O352" s="1">
        <v>1.588E9</v>
      </c>
      <c r="P352" s="1">
        <v>3.84E8</v>
      </c>
      <c r="Q352" s="1">
        <v>-6.82E8</v>
      </c>
      <c r="R352" s="1">
        <v>-2.222E9</v>
      </c>
      <c r="S352" s="1">
        <v>-2.222E9</v>
      </c>
      <c r="W352" s="4" t="str">
        <f>Raw_Data!C351&amp;"|"&amp;Raw_Data!D351&amp;"|"&amp;TEXT(Raw_Data!B351,"yyyy-mm-dd")</f>
        <v>Carnival Corporation|CCL|2021-02-28</v>
      </c>
    </row>
    <row r="353">
      <c r="A353" s="1">
        <v>351.0</v>
      </c>
      <c r="B353" s="3">
        <v>44074.0</v>
      </c>
      <c r="C353" s="1" t="s">
        <v>214</v>
      </c>
      <c r="D353" s="1" t="s">
        <v>215</v>
      </c>
      <c r="F353" s="1">
        <v>-2.86E9</v>
      </c>
      <c r="G353" s="1">
        <v>-2.858E9</v>
      </c>
      <c r="H353" s="1">
        <v>2.62E8</v>
      </c>
      <c r="I353" s="1">
        <v>-4.0E8</v>
      </c>
      <c r="J353" s="1">
        <v>-1.421E9</v>
      </c>
      <c r="K353" s="1">
        <v>-1.421E9</v>
      </c>
      <c r="L353" s="1">
        <v>-3.1E8</v>
      </c>
      <c r="M353" s="1">
        <v>-2000000.0</v>
      </c>
      <c r="N353" s="1">
        <v>3.1E7</v>
      </c>
      <c r="O353" s="1">
        <v>1.452E9</v>
      </c>
      <c r="P353" s="1">
        <v>4.31E8</v>
      </c>
      <c r="Q353" s="1">
        <v>-1.439E9</v>
      </c>
      <c r="R353" s="1">
        <v>-2.858E9</v>
      </c>
      <c r="S353" s="1">
        <v>-2.858E9</v>
      </c>
      <c r="W353" s="4" t="str">
        <f>Raw_Data!C352&amp;"|"&amp;Raw_Data!D352&amp;"|"&amp;TEXT(Raw_Data!B352,"yyyy-mm-dd")</f>
        <v>Carnival Corporation|CCL|2020-11-30</v>
      </c>
    </row>
    <row r="354">
      <c r="A354" s="1">
        <v>352.0</v>
      </c>
      <c r="B354" s="3">
        <v>44377.0</v>
      </c>
      <c r="C354" s="1" t="s">
        <v>216</v>
      </c>
      <c r="D354" s="1" t="s">
        <v>217</v>
      </c>
      <c r="E354" s="1">
        <v>1.25E8</v>
      </c>
      <c r="F354" s="1">
        <v>7.31E8</v>
      </c>
      <c r="G354" s="1">
        <v>4.87E8</v>
      </c>
      <c r="H354" s="1">
        <v>7.76E8</v>
      </c>
      <c r="I354" s="1">
        <v>1.625E9</v>
      </c>
      <c r="J354" s="1">
        <v>7.39E8</v>
      </c>
      <c r="K354" s="1">
        <v>7.39E8</v>
      </c>
      <c r="L354" s="1">
        <v>-7.5E7</v>
      </c>
      <c r="M354" s="1">
        <v>2.34E8</v>
      </c>
      <c r="N354" s="1">
        <v>5.44E9</v>
      </c>
      <c r="O354" s="1">
        <v>4.701E9</v>
      </c>
      <c r="P354" s="1">
        <v>3.815E9</v>
      </c>
      <c r="Q354" s="1">
        <v>-8000000.0</v>
      </c>
      <c r="R354" s="1">
        <v>4.97E8</v>
      </c>
      <c r="S354" s="1">
        <v>4.87E8</v>
      </c>
      <c r="W354" s="4" t="str">
        <f>Raw_Data!C353&amp;"|"&amp;Raw_Data!D353&amp;"|"&amp;TEXT(Raw_Data!B353,"yyyy-mm-dd")</f>
        <v>Carnival Corporation|CCL|2020-08-31</v>
      </c>
    </row>
    <row r="355">
      <c r="A355" s="1">
        <v>353.0</v>
      </c>
      <c r="B355" s="3">
        <v>44286.0</v>
      </c>
      <c r="C355" s="1" t="s">
        <v>216</v>
      </c>
      <c r="D355" s="1" t="s">
        <v>217</v>
      </c>
      <c r="E355" s="1">
        <v>1.21E8</v>
      </c>
      <c r="F355" s="1">
        <v>4.96E8</v>
      </c>
      <c r="G355" s="1">
        <v>3.84E8</v>
      </c>
      <c r="H355" s="1">
        <v>7.12E8</v>
      </c>
      <c r="I355" s="1">
        <v>1.399E9</v>
      </c>
      <c r="J355" s="1">
        <v>5.69E8</v>
      </c>
      <c r="K355" s="1">
        <v>5.69E8</v>
      </c>
      <c r="L355" s="1">
        <v>-9.6E7</v>
      </c>
      <c r="M355" s="1">
        <v>1.04E8</v>
      </c>
      <c r="N355" s="1">
        <v>4.699E9</v>
      </c>
      <c r="O355" s="1">
        <v>4.13E9</v>
      </c>
      <c r="P355" s="1">
        <v>3.3E9</v>
      </c>
      <c r="Q355" s="1">
        <v>-7.3E7</v>
      </c>
      <c r="R355" s="1">
        <v>3.92E8</v>
      </c>
      <c r="S355" s="1">
        <v>3.84E8</v>
      </c>
      <c r="W355" s="4" t="str">
        <f>Raw_Data!C354&amp;"|"&amp;Raw_Data!D354&amp;"|"&amp;TEXT(Raw_Data!B354,"yyyy-mm-dd")</f>
        <v>Carrier Global|CARR|2021-06-30</v>
      </c>
    </row>
    <row r="356">
      <c r="A356" s="1">
        <v>354.0</v>
      </c>
      <c r="B356" s="3">
        <v>44196.0</v>
      </c>
      <c r="C356" s="1" t="s">
        <v>216</v>
      </c>
      <c r="D356" s="1" t="s">
        <v>217</v>
      </c>
      <c r="E356" s="1">
        <v>1.27E8</v>
      </c>
      <c r="F356" s="1">
        <v>1.176E9</v>
      </c>
      <c r="G356" s="1">
        <v>8.84E8</v>
      </c>
      <c r="H356" s="1">
        <v>8.74E8</v>
      </c>
      <c r="I356" s="1">
        <v>1.3E9</v>
      </c>
      <c r="J356" s="1">
        <v>2.63E8</v>
      </c>
      <c r="K356" s="1">
        <v>2.63E8</v>
      </c>
      <c r="L356" s="1">
        <v>-8.5E7</v>
      </c>
      <c r="M356" s="1">
        <v>2.89E8</v>
      </c>
      <c r="N356" s="1">
        <v>4.594E9</v>
      </c>
      <c r="O356" s="1">
        <v>4.331E9</v>
      </c>
      <c r="P356" s="1">
        <v>3.294E9</v>
      </c>
      <c r="Q356" s="1">
        <v>9.13E8</v>
      </c>
      <c r="R356" s="1">
        <v>8.87E8</v>
      </c>
      <c r="S356" s="1">
        <v>8.84E8</v>
      </c>
      <c r="W356" s="4" t="str">
        <f>Raw_Data!C355&amp;"|"&amp;Raw_Data!D355&amp;"|"&amp;TEXT(Raw_Data!B355,"yyyy-mm-dd")</f>
        <v>Carrier Global|CARR|2021-03-31</v>
      </c>
    </row>
    <row r="357">
      <c r="A357" s="1">
        <v>355.0</v>
      </c>
      <c r="B357" s="3">
        <v>44104.0</v>
      </c>
      <c r="C357" s="1" t="s">
        <v>216</v>
      </c>
      <c r="D357" s="1" t="s">
        <v>217</v>
      </c>
      <c r="E357" s="1">
        <v>1.0E8</v>
      </c>
      <c r="F357" s="1">
        <v>1.009E9</v>
      </c>
      <c r="G357" s="1">
        <v>7.41E8</v>
      </c>
      <c r="H357" s="1">
        <v>6.37E8</v>
      </c>
      <c r="I357" s="1">
        <v>1.56E9</v>
      </c>
      <c r="J357" s="1">
        <v>8.21E8</v>
      </c>
      <c r="K357" s="1">
        <v>8.21E8</v>
      </c>
      <c r="L357" s="1">
        <v>-9.0E7</v>
      </c>
      <c r="M357" s="1">
        <v>2.61E8</v>
      </c>
      <c r="N357" s="1">
        <v>5.002E9</v>
      </c>
      <c r="O357" s="1">
        <v>4.181E9</v>
      </c>
      <c r="P357" s="1">
        <v>3.442E9</v>
      </c>
      <c r="Q357" s="1">
        <v>1.88E8</v>
      </c>
      <c r="R357" s="1">
        <v>7.48E8</v>
      </c>
      <c r="S357" s="1">
        <v>7.41E8</v>
      </c>
      <c r="W357" s="4" t="str">
        <f>Raw_Data!C356&amp;"|"&amp;Raw_Data!D356&amp;"|"&amp;TEXT(Raw_Data!B356,"yyyy-mm-dd")</f>
        <v>Carrier Global|CARR|2020-12-31</v>
      </c>
    </row>
    <row r="358">
      <c r="A358" s="1">
        <v>356.0</v>
      </c>
      <c r="B358" s="3">
        <v>44377.0</v>
      </c>
      <c r="C358" s="1" t="s">
        <v>218</v>
      </c>
      <c r="D358" s="1" t="s">
        <v>219</v>
      </c>
      <c r="F358" s="1">
        <v>2.215E8</v>
      </c>
      <c r="G358" s="1">
        <v>1.824E8</v>
      </c>
      <c r="H358" s="1">
        <v>1.862E8</v>
      </c>
      <c r="I358" s="1">
        <v>4.393E8</v>
      </c>
      <c r="J358" s="1">
        <v>2.531E8</v>
      </c>
      <c r="K358" s="1">
        <v>2.531E8</v>
      </c>
      <c r="L358" s="1">
        <v>-3.19E7</v>
      </c>
      <c r="M358" s="1">
        <v>3.91E7</v>
      </c>
      <c r="N358" s="1">
        <v>1.1882E9</v>
      </c>
      <c r="O358" s="1">
        <v>9.351E8</v>
      </c>
      <c r="P358" s="1">
        <v>7.489E8</v>
      </c>
      <c r="Q358" s="1">
        <v>-3.16E7</v>
      </c>
      <c r="R358" s="1">
        <v>1.824E8</v>
      </c>
      <c r="S358" s="1">
        <v>1.689E8</v>
      </c>
      <c r="W358" s="4" t="str">
        <f>Raw_Data!C357&amp;"|"&amp;Raw_Data!D357&amp;"|"&amp;TEXT(Raw_Data!B357,"yyyy-mm-dd")</f>
        <v>Carrier Global|CARR|2020-09-30</v>
      </c>
    </row>
    <row r="359">
      <c r="A359" s="1">
        <v>357.0</v>
      </c>
      <c r="B359" s="3">
        <v>44286.0</v>
      </c>
      <c r="C359" s="1" t="s">
        <v>218</v>
      </c>
      <c r="D359" s="1" t="s">
        <v>219</v>
      </c>
      <c r="F359" s="1">
        <v>3.171E8</v>
      </c>
      <c r="G359" s="1">
        <v>2.318E8</v>
      </c>
      <c r="H359" s="1">
        <v>1.72E8</v>
      </c>
      <c r="I359" s="1">
        <v>3.656E8</v>
      </c>
      <c r="J359" s="1">
        <v>1.936E8</v>
      </c>
      <c r="K359" s="1">
        <v>1.936E8</v>
      </c>
      <c r="L359" s="1">
        <v>-2.69E7</v>
      </c>
      <c r="M359" s="1">
        <v>8.53E7</v>
      </c>
      <c r="N359" s="1">
        <v>1.0533E9</v>
      </c>
      <c r="O359" s="1">
        <v>8.597E8</v>
      </c>
      <c r="P359" s="1">
        <v>6.877E8</v>
      </c>
      <c r="Q359" s="1">
        <v>1.235E8</v>
      </c>
      <c r="R359" s="1">
        <v>2.318E8</v>
      </c>
      <c r="S359" s="1">
        <v>2.171E8</v>
      </c>
      <c r="W359" s="4" t="str">
        <f>Raw_Data!C358&amp;"|"&amp;Raw_Data!D358&amp;"|"&amp;TEXT(Raw_Data!B358,"yyyy-mm-dd")</f>
        <v>Catalent|CTLT|2021-06-30</v>
      </c>
    </row>
    <row r="360">
      <c r="A360" s="1">
        <v>358.0</v>
      </c>
      <c r="B360" s="3">
        <v>44196.0</v>
      </c>
      <c r="C360" s="1" t="s">
        <v>218</v>
      </c>
      <c r="D360" s="1" t="s">
        <v>219</v>
      </c>
      <c r="F360" s="1">
        <v>1.09E8</v>
      </c>
      <c r="G360" s="1">
        <v>8.84E7</v>
      </c>
      <c r="H360" s="1">
        <v>1.648E8</v>
      </c>
      <c r="I360" s="1">
        <v>2.982E8</v>
      </c>
      <c r="J360" s="1">
        <v>1.334E8</v>
      </c>
      <c r="K360" s="1">
        <v>1.334E8</v>
      </c>
      <c r="L360" s="1">
        <v>-2.59E7</v>
      </c>
      <c r="M360" s="1">
        <v>2.06E7</v>
      </c>
      <c r="N360" s="1">
        <v>9.108E8</v>
      </c>
      <c r="O360" s="1">
        <v>7.774E8</v>
      </c>
      <c r="P360" s="1">
        <v>6.126E8</v>
      </c>
      <c r="Q360" s="1">
        <v>-2.44E7</v>
      </c>
      <c r="R360" s="1">
        <v>8.84E7</v>
      </c>
      <c r="S360" s="1">
        <v>7.42E7</v>
      </c>
      <c r="W360" s="4" t="str">
        <f>Raw_Data!C359&amp;"|"&amp;Raw_Data!D359&amp;"|"&amp;TEXT(Raw_Data!B359,"yyyy-mm-dd")</f>
        <v>Catalent|CTLT|2021-03-31</v>
      </c>
    </row>
    <row r="361">
      <c r="A361" s="1">
        <v>359.0</v>
      </c>
      <c r="B361" s="3">
        <v>44104.0</v>
      </c>
      <c r="C361" s="1" t="s">
        <v>218</v>
      </c>
      <c r="D361" s="1" t="s">
        <v>219</v>
      </c>
      <c r="F361" s="1">
        <v>6.74E7</v>
      </c>
      <c r="G361" s="1">
        <v>8.24E7</v>
      </c>
      <c r="H361" s="1">
        <v>1.64E8</v>
      </c>
      <c r="I361" s="1">
        <v>2.489E8</v>
      </c>
      <c r="J361" s="1">
        <v>8.49E7</v>
      </c>
      <c r="K361" s="1">
        <v>8.49E7</v>
      </c>
      <c r="L361" s="1">
        <v>-2.53E7</v>
      </c>
      <c r="M361" s="1">
        <v>-1.5E7</v>
      </c>
      <c r="N361" s="1">
        <v>8.457E8</v>
      </c>
      <c r="O361" s="1">
        <v>7.608E8</v>
      </c>
      <c r="P361" s="1">
        <v>5.968E8</v>
      </c>
      <c r="Q361" s="1">
        <v>-1.75E7</v>
      </c>
      <c r="R361" s="1">
        <v>8.24E7</v>
      </c>
      <c r="S361" s="1">
        <v>6.88E7</v>
      </c>
      <c r="W361" s="4" t="str">
        <f>Raw_Data!C360&amp;"|"&amp;Raw_Data!D360&amp;"|"&amp;TEXT(Raw_Data!B360,"yyyy-mm-dd")</f>
        <v>Catalent|CTLT|2020-12-31</v>
      </c>
    </row>
    <row r="362">
      <c r="A362" s="1">
        <v>360.0</v>
      </c>
      <c r="B362" s="3">
        <v>44286.0</v>
      </c>
      <c r="C362" s="1" t="s">
        <v>220</v>
      </c>
      <c r="D362" s="1" t="s">
        <v>221</v>
      </c>
      <c r="E362" s="1">
        <v>3.74E8</v>
      </c>
      <c r="F362" s="1">
        <v>2.006E9</v>
      </c>
      <c r="G362" s="1">
        <v>1.53E9</v>
      </c>
      <c r="H362" s="1">
        <v>1.004E9</v>
      </c>
      <c r="I362" s="1">
        <v>3.331E9</v>
      </c>
      <c r="J362" s="1">
        <v>2.0E9</v>
      </c>
      <c r="K362" s="1">
        <v>2.0E9</v>
      </c>
      <c r="L362" s="1">
        <v>-1.42E8</v>
      </c>
      <c r="M362" s="1">
        <v>4.75E8</v>
      </c>
      <c r="N362" s="1">
        <v>1.1887E10</v>
      </c>
      <c r="O362" s="1">
        <v>9.887E9</v>
      </c>
      <c r="P362" s="1">
        <v>8.556E9</v>
      </c>
      <c r="Q362" s="1">
        <v>6000000.0</v>
      </c>
      <c r="R362" s="1">
        <v>1.531E9</v>
      </c>
      <c r="S362" s="1">
        <v>1.53E9</v>
      </c>
      <c r="W362" s="4" t="str">
        <f>Raw_Data!C361&amp;"|"&amp;Raw_Data!D361&amp;"|"&amp;TEXT(Raw_Data!B361,"yyyy-mm-dd")</f>
        <v>Catalent|CTLT|2020-09-30</v>
      </c>
    </row>
    <row r="363">
      <c r="A363" s="1">
        <v>361.0</v>
      </c>
      <c r="B363" s="3">
        <v>44196.0</v>
      </c>
      <c r="C363" s="1" t="s">
        <v>220</v>
      </c>
      <c r="D363" s="1" t="s">
        <v>221</v>
      </c>
      <c r="E363" s="1">
        <v>3.74E8</v>
      </c>
      <c r="F363" s="1">
        <v>9.47E8</v>
      </c>
      <c r="G363" s="1">
        <v>7.8E8</v>
      </c>
      <c r="H363" s="1">
        <v>1.276E9</v>
      </c>
      <c r="I363" s="1">
        <v>2.843E9</v>
      </c>
      <c r="J363" s="1">
        <v>1.2E9</v>
      </c>
      <c r="K363" s="1">
        <v>1.2E9</v>
      </c>
      <c r="L363" s="1">
        <v>-1.3E8</v>
      </c>
      <c r="M363" s="1">
        <v>1.67E8</v>
      </c>
      <c r="N363" s="1">
        <v>1.1235E10</v>
      </c>
      <c r="O363" s="1">
        <v>1.0035E10</v>
      </c>
      <c r="P363" s="1">
        <v>8.392E9</v>
      </c>
      <c r="Q363" s="1">
        <v>-2.53E8</v>
      </c>
      <c r="R363" s="1">
        <v>7.8E8</v>
      </c>
      <c r="S363" s="1">
        <v>7.8E8</v>
      </c>
      <c r="W363" s="4" t="str">
        <f>Raw_Data!C362&amp;"|"&amp;Raw_Data!D362&amp;"|"&amp;TEXT(Raw_Data!B362,"yyyy-mm-dd")</f>
        <v>Caterpillar|CAT|2021-03-31</v>
      </c>
    </row>
    <row r="364">
      <c r="A364" s="1">
        <v>362.0</v>
      </c>
      <c r="B364" s="3">
        <v>44104.0</v>
      </c>
      <c r="C364" s="1" t="s">
        <v>220</v>
      </c>
      <c r="D364" s="1" t="s">
        <v>221</v>
      </c>
      <c r="E364" s="1">
        <v>3.44E8</v>
      </c>
      <c r="F364" s="1">
        <v>8.58E8</v>
      </c>
      <c r="G364" s="1">
        <v>6.68E8</v>
      </c>
      <c r="H364" s="1">
        <v>9.33E8</v>
      </c>
      <c r="I364" s="1">
        <v>2.37E9</v>
      </c>
      <c r="J364" s="1">
        <v>1.11E9</v>
      </c>
      <c r="K364" s="1">
        <v>1.11E9</v>
      </c>
      <c r="L364" s="1">
        <v>-1.36E8</v>
      </c>
      <c r="M364" s="1">
        <v>1.87E8</v>
      </c>
      <c r="N364" s="1">
        <v>9.881E9</v>
      </c>
      <c r="O364" s="1">
        <v>8.771E9</v>
      </c>
      <c r="P364" s="1">
        <v>7.511E9</v>
      </c>
      <c r="Q364" s="1">
        <v>-2.52E8</v>
      </c>
      <c r="R364" s="1">
        <v>6.71E8</v>
      </c>
      <c r="S364" s="1">
        <v>6.68E8</v>
      </c>
      <c r="W364" s="4" t="str">
        <f>Raw_Data!C363&amp;"|"&amp;Raw_Data!D363&amp;"|"&amp;TEXT(Raw_Data!B363,"yyyy-mm-dd")</f>
        <v>Caterpillar|CAT|2020-12-31</v>
      </c>
    </row>
    <row r="365">
      <c r="A365" s="1">
        <v>363.0</v>
      </c>
      <c r="B365" s="3">
        <v>44012.0</v>
      </c>
      <c r="C365" s="1" t="s">
        <v>220</v>
      </c>
      <c r="D365" s="1" t="s">
        <v>221</v>
      </c>
      <c r="E365" s="1">
        <v>3.41E8</v>
      </c>
      <c r="F365" s="1">
        <v>6.86E8</v>
      </c>
      <c r="G365" s="1">
        <v>4.58E8</v>
      </c>
      <c r="H365" s="1">
        <v>1.02E9</v>
      </c>
      <c r="I365" s="1">
        <v>2.245E9</v>
      </c>
      <c r="J365" s="1">
        <v>9.12E8</v>
      </c>
      <c r="K365" s="1">
        <v>9.12E8</v>
      </c>
      <c r="L365" s="1">
        <v>-1.35E8</v>
      </c>
      <c r="M365" s="1">
        <v>2.27E8</v>
      </c>
      <c r="N365" s="1">
        <v>9.997E9</v>
      </c>
      <c r="O365" s="1">
        <v>9.085E9</v>
      </c>
      <c r="P365" s="1">
        <v>7.752E9</v>
      </c>
      <c r="Q365" s="1">
        <v>-2.26E8</v>
      </c>
      <c r="R365" s="1">
        <v>4.59E8</v>
      </c>
      <c r="S365" s="1">
        <v>4.58E8</v>
      </c>
      <c r="W365" s="4" t="str">
        <f>Raw_Data!C364&amp;"|"&amp;Raw_Data!D364&amp;"|"&amp;TEXT(Raw_Data!B364,"yyyy-mm-dd")</f>
        <v>Caterpillar|CAT|2020-09-30</v>
      </c>
    </row>
    <row r="366">
      <c r="A366" s="1">
        <v>364.0</v>
      </c>
      <c r="B366" s="3">
        <v>44377.0</v>
      </c>
      <c r="C366" s="1" t="s">
        <v>222</v>
      </c>
      <c r="D366" s="1" t="s">
        <v>223</v>
      </c>
      <c r="F366" s="1">
        <v>1.792E8</v>
      </c>
      <c r="G366" s="1">
        <v>1.055E8</v>
      </c>
      <c r="H366" s="1">
        <v>1.136E8</v>
      </c>
      <c r="I366" s="1">
        <v>3.506E8</v>
      </c>
      <c r="J366" s="1">
        <v>1.918E8</v>
      </c>
      <c r="K366" s="1">
        <v>1.918E8</v>
      </c>
      <c r="L366" s="1">
        <v>-1.24E7</v>
      </c>
      <c r="M366" s="1">
        <v>7.37E7</v>
      </c>
      <c r="N366" s="1">
        <v>8.008E8</v>
      </c>
      <c r="O366" s="1">
        <v>6.09E8</v>
      </c>
      <c r="P366" s="1">
        <v>4.502E8</v>
      </c>
      <c r="Q366" s="1">
        <v>-1.26E7</v>
      </c>
      <c r="R366" s="1">
        <v>1.055E8</v>
      </c>
      <c r="S366" s="1">
        <v>1.052E8</v>
      </c>
      <c r="W366" s="4" t="str">
        <f>Raw_Data!C365&amp;"|"&amp;Raw_Data!D365&amp;"|"&amp;TEXT(Raw_Data!B365,"yyyy-mm-dd")</f>
        <v>Caterpillar|CAT|2020-06-30</v>
      </c>
    </row>
    <row r="367">
      <c r="A367" s="1">
        <v>365.0</v>
      </c>
      <c r="B367" s="3">
        <v>44286.0</v>
      </c>
      <c r="C367" s="1" t="s">
        <v>222</v>
      </c>
      <c r="D367" s="1" t="s">
        <v>223</v>
      </c>
      <c r="F367" s="1">
        <v>1.929E8</v>
      </c>
      <c r="G367" s="1">
        <v>1.372E8</v>
      </c>
      <c r="H367" s="1">
        <v>1.12E8</v>
      </c>
      <c r="I367" s="1">
        <v>3.655E8</v>
      </c>
      <c r="J367" s="1">
        <v>2.08E8</v>
      </c>
      <c r="K367" s="1">
        <v>2.08E8</v>
      </c>
      <c r="L367" s="1">
        <v>-1.24E7</v>
      </c>
      <c r="M367" s="1">
        <v>5.57E7</v>
      </c>
      <c r="N367" s="1">
        <v>1.0108E9</v>
      </c>
      <c r="O367" s="1">
        <v>8.028E8</v>
      </c>
      <c r="P367" s="1">
        <v>6.453E8</v>
      </c>
      <c r="Q367" s="1">
        <v>-1.51E7</v>
      </c>
      <c r="R367" s="1">
        <v>1.372E8</v>
      </c>
      <c r="S367" s="1">
        <v>1.368E8</v>
      </c>
      <c r="W367" s="4" t="str">
        <f>Raw_Data!C366&amp;"|"&amp;Raw_Data!D366&amp;"|"&amp;TEXT(Raw_Data!B366,"yyyy-mm-dd")</f>
        <v>Cboe Global Markets|CBOE|2021-06-30</v>
      </c>
    </row>
    <row r="368">
      <c r="A368" s="1">
        <v>366.0</v>
      </c>
      <c r="B368" s="3">
        <v>44196.0</v>
      </c>
      <c r="C368" s="1" t="s">
        <v>222</v>
      </c>
      <c r="D368" s="1" t="s">
        <v>223</v>
      </c>
      <c r="F368" s="1">
        <v>1.229E8</v>
      </c>
      <c r="G368" s="1">
        <v>8.73E7</v>
      </c>
      <c r="H368" s="1">
        <v>9.74E7</v>
      </c>
      <c r="I368" s="1">
        <v>3.071E8</v>
      </c>
      <c r="J368" s="1">
        <v>1.636E8</v>
      </c>
      <c r="K368" s="1">
        <v>1.636E8</v>
      </c>
      <c r="L368" s="1">
        <v>-1.39E7</v>
      </c>
      <c r="M368" s="1">
        <v>3.56E7</v>
      </c>
      <c r="N368" s="1">
        <v>8.442E8</v>
      </c>
      <c r="O368" s="1">
        <v>6.806E8</v>
      </c>
      <c r="P368" s="1">
        <v>5.371E8</v>
      </c>
      <c r="Q368" s="1">
        <v>-4.07E7</v>
      </c>
      <c r="R368" s="1">
        <v>8.73E7</v>
      </c>
      <c r="S368" s="1">
        <v>8.71E7</v>
      </c>
      <c r="W368" s="4" t="str">
        <f>Raw_Data!C367&amp;"|"&amp;Raw_Data!D367&amp;"|"&amp;TEXT(Raw_Data!B367,"yyyy-mm-dd")</f>
        <v>Cboe Global Markets|CBOE|2021-03-31</v>
      </c>
    </row>
    <row r="369">
      <c r="A369" s="1">
        <v>367.0</v>
      </c>
      <c r="B369" s="3">
        <v>44104.0</v>
      </c>
      <c r="C369" s="1" t="s">
        <v>222</v>
      </c>
      <c r="D369" s="1" t="s">
        <v>223</v>
      </c>
      <c r="F369" s="1">
        <v>1.634E8</v>
      </c>
      <c r="G369" s="1">
        <v>1.099E8</v>
      </c>
      <c r="H369" s="1">
        <v>9.58E7</v>
      </c>
      <c r="I369" s="1">
        <v>2.92E8</v>
      </c>
      <c r="J369" s="1">
        <v>1.522E8</v>
      </c>
      <c r="K369" s="1">
        <v>1.522E8</v>
      </c>
      <c r="L369" s="1">
        <v>-9600000.0</v>
      </c>
      <c r="M369" s="1">
        <v>5.35E7</v>
      </c>
      <c r="N369" s="1">
        <v>7.927E8</v>
      </c>
      <c r="O369" s="1">
        <v>6.405E8</v>
      </c>
      <c r="P369" s="1">
        <v>5.007E8</v>
      </c>
      <c r="Q369" s="1">
        <v>1.12E7</v>
      </c>
      <c r="R369" s="1">
        <v>1.099E8</v>
      </c>
      <c r="S369" s="1">
        <v>1.096E8</v>
      </c>
      <c r="W369" s="4" t="str">
        <f>Raw_Data!C368&amp;"|"&amp;Raw_Data!D368&amp;"|"&amp;TEXT(Raw_Data!B368,"yyyy-mm-dd")</f>
        <v>Cboe Global Markets|CBOE|2020-12-31</v>
      </c>
    </row>
    <row r="370">
      <c r="A370" s="1">
        <v>368.0</v>
      </c>
      <c r="B370" s="3">
        <v>44377.0</v>
      </c>
      <c r="C370" s="1" t="s">
        <v>225</v>
      </c>
      <c r="D370" s="1" t="s">
        <v>225</v>
      </c>
      <c r="F370" s="1">
        <v>5.76887E8</v>
      </c>
      <c r="G370" s="1">
        <v>4.42637E8</v>
      </c>
      <c r="H370" s="1">
        <v>9.57216E8</v>
      </c>
      <c r="I370" s="1">
        <v>1.441854E9</v>
      </c>
      <c r="J370" s="1">
        <v>3.65553E8</v>
      </c>
      <c r="K370" s="1">
        <v>3.65553E8</v>
      </c>
      <c r="L370" s="1">
        <v>-1.3772E7</v>
      </c>
      <c r="M370" s="1">
        <v>1.33445E8</v>
      </c>
      <c r="N370" s="1">
        <v>6.458613E9</v>
      </c>
      <c r="O370" s="1">
        <v>6.09306E9</v>
      </c>
      <c r="P370" s="1">
        <v>5.016759E9</v>
      </c>
      <c r="Q370" s="1">
        <v>2.11334E8</v>
      </c>
      <c r="R370" s="1">
        <v>4.43442E8</v>
      </c>
      <c r="S370" s="1">
        <v>4.42637E8</v>
      </c>
      <c r="W370" s="4" t="str">
        <f>Raw_Data!C369&amp;"|"&amp;Raw_Data!D369&amp;"|"&amp;TEXT(Raw_Data!B369,"yyyy-mm-dd")</f>
        <v>Cboe Global Markets|CBOE|2020-09-30</v>
      </c>
    </row>
    <row r="371">
      <c r="A371" s="1">
        <v>369.0</v>
      </c>
      <c r="B371" s="3">
        <v>44286.0</v>
      </c>
      <c r="C371" s="1" t="s">
        <v>225</v>
      </c>
      <c r="D371" s="1" t="s">
        <v>225</v>
      </c>
      <c r="F371" s="1">
        <v>3.45304E8</v>
      </c>
      <c r="G371" s="1">
        <v>2.66202E8</v>
      </c>
      <c r="H371" s="1">
        <v>8.28327E8</v>
      </c>
      <c r="I371" s="1">
        <v>1.219333E9</v>
      </c>
      <c r="J371" s="1">
        <v>2.68928E8</v>
      </c>
      <c r="K371" s="1">
        <v>2.68928E8</v>
      </c>
      <c r="L371" s="1">
        <v>-1.0106E7</v>
      </c>
      <c r="M371" s="1">
        <v>7.6327E7</v>
      </c>
      <c r="N371" s="1">
        <v>5.938879E9</v>
      </c>
      <c r="O371" s="1">
        <v>5.669951E9</v>
      </c>
      <c r="P371" s="1">
        <v>4.719546E9</v>
      </c>
      <c r="Q371" s="1">
        <v>7.6376E7</v>
      </c>
      <c r="R371" s="1">
        <v>2.68977E8</v>
      </c>
      <c r="S371" s="1">
        <v>2.66202E8</v>
      </c>
      <c r="W371" s="4" t="str">
        <f>Raw_Data!C370&amp;"|"&amp;Raw_Data!D370&amp;"|"&amp;TEXT(Raw_Data!B370,"yyyy-mm-dd")</f>
        <v>CBRE|CBRE|2021-06-30</v>
      </c>
    </row>
    <row r="372">
      <c r="A372" s="1">
        <v>370.0</v>
      </c>
      <c r="B372" s="3">
        <v>44196.0</v>
      </c>
      <c r="C372" s="1" t="s">
        <v>225</v>
      </c>
      <c r="D372" s="1" t="s">
        <v>225</v>
      </c>
      <c r="F372" s="1">
        <v>4.1044E8</v>
      </c>
      <c r="G372" s="1">
        <v>3.13765E8</v>
      </c>
      <c r="H372" s="1">
        <v>8.7605E8</v>
      </c>
      <c r="I372" s="1">
        <v>1.566071E9</v>
      </c>
      <c r="J372" s="1">
        <v>5.66888E8</v>
      </c>
      <c r="K372" s="1">
        <v>5.66888E8</v>
      </c>
      <c r="L372" s="1">
        <v>-1.5958E7</v>
      </c>
      <c r="M372" s="1">
        <v>9.5054E7</v>
      </c>
      <c r="N372" s="1">
        <v>6.910501E9</v>
      </c>
      <c r="O372" s="1">
        <v>6.343613E9</v>
      </c>
      <c r="P372" s="1">
        <v>5.34443E9</v>
      </c>
      <c r="Q372" s="1">
        <v>-1.56448E8</v>
      </c>
      <c r="R372" s="1">
        <v>3.15386E8</v>
      </c>
      <c r="S372" s="1">
        <v>3.13765E8</v>
      </c>
      <c r="W372" s="4" t="str">
        <f>Raw_Data!C371&amp;"|"&amp;Raw_Data!D371&amp;"|"&amp;TEXT(Raw_Data!B371,"yyyy-mm-dd")</f>
        <v>CBRE|CBRE|2021-03-31</v>
      </c>
    </row>
    <row r="373">
      <c r="A373" s="1">
        <v>371.0</v>
      </c>
      <c r="B373" s="3">
        <v>44104.0</v>
      </c>
      <c r="C373" s="1" t="s">
        <v>225</v>
      </c>
      <c r="D373" s="1" t="s">
        <v>225</v>
      </c>
      <c r="F373" s="1">
        <v>2.33902E8</v>
      </c>
      <c r="G373" s="1">
        <v>1.84132E8</v>
      </c>
      <c r="H373" s="1">
        <v>7.54527E8</v>
      </c>
      <c r="I373" s="1">
        <v>1.096263E9</v>
      </c>
      <c r="J373" s="1">
        <v>2.14011E8</v>
      </c>
      <c r="K373" s="1">
        <v>2.14011E8</v>
      </c>
      <c r="L373" s="1">
        <v>-1.7829E7</v>
      </c>
      <c r="M373" s="1">
        <v>4.9062E7</v>
      </c>
      <c r="N373" s="1">
        <v>5.645142E9</v>
      </c>
      <c r="O373" s="1">
        <v>5.431131E9</v>
      </c>
      <c r="P373" s="1">
        <v>4.548879E9</v>
      </c>
      <c r="Q373" s="1">
        <v>1.9891E7</v>
      </c>
      <c r="R373" s="1">
        <v>1.8484E8</v>
      </c>
      <c r="S373" s="1">
        <v>1.84132E8</v>
      </c>
      <c r="W373" s="4" t="str">
        <f>Raw_Data!C372&amp;"|"&amp;Raw_Data!D372&amp;"|"&amp;TEXT(Raw_Data!B372,"yyyy-mm-dd")</f>
        <v>CBRE|CBRE|2020-12-31</v>
      </c>
    </row>
    <row r="374">
      <c r="A374" s="1">
        <v>372.0</v>
      </c>
      <c r="B374" s="3">
        <v>44377.0</v>
      </c>
      <c r="C374" s="1" t="s">
        <v>226</v>
      </c>
      <c r="D374" s="1" t="s">
        <v>226</v>
      </c>
      <c r="F374" s="1">
        <v>3.712E8</v>
      </c>
      <c r="G374" s="1">
        <v>2.741E8</v>
      </c>
      <c r="H374" s="1">
        <v>5.129E8</v>
      </c>
      <c r="I374" s="1">
        <v>8.828E8</v>
      </c>
      <c r="J374" s="1">
        <v>3.699E8</v>
      </c>
      <c r="K374" s="1">
        <v>3.699E8</v>
      </c>
      <c r="L374" s="1">
        <v>-3.55E7</v>
      </c>
      <c r="M374" s="1">
        <v>9.71E7</v>
      </c>
      <c r="N374" s="1">
        <v>5.1464E9</v>
      </c>
      <c r="O374" s="1">
        <v>4.7765E9</v>
      </c>
      <c r="P374" s="1">
        <v>4.2636E9</v>
      </c>
      <c r="Q374" s="1">
        <v>1300000.0</v>
      </c>
      <c r="R374" s="1">
        <v>2.741E8</v>
      </c>
      <c r="S374" s="1">
        <v>2.741E8</v>
      </c>
      <c r="W374" s="4" t="str">
        <f>Raw_Data!C373&amp;"|"&amp;Raw_Data!D373&amp;"|"&amp;TEXT(Raw_Data!B373,"yyyy-mm-dd")</f>
        <v>CBRE|CBRE|2020-09-30</v>
      </c>
    </row>
    <row r="375">
      <c r="A375" s="1">
        <v>373.0</v>
      </c>
      <c r="B375" s="3">
        <v>44286.0</v>
      </c>
      <c r="C375" s="1" t="s">
        <v>226</v>
      </c>
      <c r="D375" s="1" t="s">
        <v>226</v>
      </c>
      <c r="F375" s="1">
        <v>2.889E8</v>
      </c>
      <c r="G375" s="1">
        <v>2.326E8</v>
      </c>
      <c r="H375" s="1">
        <v>4.718E8</v>
      </c>
      <c r="I375" s="1">
        <v>7.952E8</v>
      </c>
      <c r="J375" s="1">
        <v>3.234E8</v>
      </c>
      <c r="K375" s="1">
        <v>3.234E8</v>
      </c>
      <c r="L375" s="1">
        <v>-3.56E7</v>
      </c>
      <c r="M375" s="1">
        <v>5.63E7</v>
      </c>
      <c r="N375" s="1">
        <v>4.8375E9</v>
      </c>
      <c r="O375" s="1">
        <v>4.5141E9</v>
      </c>
      <c r="P375" s="1">
        <v>4.0423E9</v>
      </c>
      <c r="Q375" s="1">
        <v>-3.45E7</v>
      </c>
      <c r="R375" s="1">
        <v>2.326E8</v>
      </c>
      <c r="S375" s="1">
        <v>2.326E8</v>
      </c>
      <c r="W375" s="4" t="str">
        <f>Raw_Data!C374&amp;"|"&amp;Raw_Data!D374&amp;"|"&amp;TEXT(Raw_Data!B374,"yyyy-mm-dd")</f>
        <v>CDW|CDW|2021-06-30</v>
      </c>
    </row>
    <row r="376">
      <c r="A376" s="1">
        <v>374.0</v>
      </c>
      <c r="B376" s="3">
        <v>44196.0</v>
      </c>
      <c r="C376" s="1" t="s">
        <v>226</v>
      </c>
      <c r="D376" s="1" t="s">
        <v>226</v>
      </c>
      <c r="F376" s="1">
        <v>2.95E8</v>
      </c>
      <c r="G376" s="1">
        <v>2.383E8</v>
      </c>
      <c r="H376" s="1">
        <v>5.487E8</v>
      </c>
      <c r="I376" s="1">
        <v>8.809E8</v>
      </c>
      <c r="J376" s="1">
        <v>3.322E8</v>
      </c>
      <c r="K376" s="1">
        <v>3.322E8</v>
      </c>
      <c r="L376" s="1">
        <v>-3.71E7</v>
      </c>
      <c r="M376" s="1">
        <v>5.67E7</v>
      </c>
      <c r="N376" s="1">
        <v>4.9562E9</v>
      </c>
      <c r="O376" s="1">
        <v>4.624E9</v>
      </c>
      <c r="P376" s="1">
        <v>4.0753E9</v>
      </c>
      <c r="Q376" s="1">
        <v>-3.72E7</v>
      </c>
      <c r="R376" s="1">
        <v>2.383E8</v>
      </c>
      <c r="S376" s="1">
        <v>2.383E8</v>
      </c>
      <c r="W376" s="4" t="str">
        <f>Raw_Data!C375&amp;"|"&amp;Raw_Data!D375&amp;"|"&amp;TEXT(Raw_Data!B375,"yyyy-mm-dd")</f>
        <v>CDW|CDW|2021-03-31</v>
      </c>
    </row>
    <row r="377">
      <c r="A377" s="1">
        <v>375.0</v>
      </c>
      <c r="B377" s="3">
        <v>44104.0</v>
      </c>
      <c r="C377" s="1" t="s">
        <v>226</v>
      </c>
      <c r="D377" s="1" t="s">
        <v>226</v>
      </c>
      <c r="F377" s="1">
        <v>2.501E8</v>
      </c>
      <c r="G377" s="1">
        <v>1.932E8</v>
      </c>
      <c r="H377" s="1">
        <v>4.992E8</v>
      </c>
      <c r="I377" s="1">
        <v>8.255E8</v>
      </c>
      <c r="J377" s="1">
        <v>3.263E8</v>
      </c>
      <c r="K377" s="1">
        <v>3.263E8</v>
      </c>
      <c r="L377" s="1">
        <v>-4.02E7</v>
      </c>
      <c r="M377" s="1">
        <v>5.69E7</v>
      </c>
      <c r="N377" s="1">
        <v>4.7564E9</v>
      </c>
      <c r="O377" s="1">
        <v>4.4301E9</v>
      </c>
      <c r="P377" s="1">
        <v>3.9309E9</v>
      </c>
      <c r="Q377" s="1">
        <v>-7.62E7</v>
      </c>
      <c r="R377" s="1">
        <v>1.932E8</v>
      </c>
      <c r="S377" s="1">
        <v>1.932E8</v>
      </c>
      <c r="W377" s="4" t="str">
        <f>Raw_Data!C376&amp;"|"&amp;Raw_Data!D376&amp;"|"&amp;TEXT(Raw_Data!B376,"yyyy-mm-dd")</f>
        <v>CDW|CDW|2020-12-31</v>
      </c>
    </row>
    <row r="378">
      <c r="A378" s="1">
        <v>376.0</v>
      </c>
      <c r="B378" s="3">
        <v>44377.0</v>
      </c>
      <c r="C378" s="1" t="s">
        <v>228</v>
      </c>
      <c r="D378" s="1" t="s">
        <v>229</v>
      </c>
      <c r="E378" s="1">
        <v>2.2E7</v>
      </c>
      <c r="F378" s="1">
        <v>6.6E8</v>
      </c>
      <c r="G378" s="1">
        <v>5.38E8</v>
      </c>
      <c r="H378" s="1">
        <v>1.23E8</v>
      </c>
      <c r="I378" s="1">
        <v>7.61E8</v>
      </c>
      <c r="J378" s="1">
        <v>6.11E8</v>
      </c>
      <c r="K378" s="1">
        <v>6.11E8</v>
      </c>
      <c r="L378" s="1">
        <v>-2.4E7</v>
      </c>
      <c r="M378" s="1">
        <v>1.16E8</v>
      </c>
      <c r="N378" s="1">
        <v>2.198E9</v>
      </c>
      <c r="O378" s="1">
        <v>1.587E9</v>
      </c>
      <c r="P378" s="1">
        <v>1.437E9</v>
      </c>
      <c r="Q378" s="1">
        <v>4.9E7</v>
      </c>
      <c r="R378" s="1">
        <v>5.44E8</v>
      </c>
      <c r="S378" s="1">
        <v>5.38E8</v>
      </c>
      <c r="W378" s="4" t="str">
        <f>Raw_Data!C377&amp;"|"&amp;Raw_Data!D377&amp;"|"&amp;TEXT(Raw_Data!B377,"yyyy-mm-dd")</f>
        <v>CDW|CDW|2020-09-30</v>
      </c>
    </row>
    <row r="379">
      <c r="A379" s="1">
        <v>377.0</v>
      </c>
      <c r="B379" s="3">
        <v>44286.0</v>
      </c>
      <c r="C379" s="1" t="s">
        <v>228</v>
      </c>
      <c r="D379" s="1" t="s">
        <v>229</v>
      </c>
      <c r="E379" s="1">
        <v>2.0E7</v>
      </c>
      <c r="F379" s="1">
        <v>4.09E8</v>
      </c>
      <c r="G379" s="1">
        <v>3.22E8</v>
      </c>
      <c r="H379" s="1">
        <v>9.9E7</v>
      </c>
      <c r="I379" s="1">
        <v>4.85E8</v>
      </c>
      <c r="J379" s="1">
        <v>3.6E8</v>
      </c>
      <c r="K379" s="1">
        <v>3.6E8</v>
      </c>
      <c r="L379" s="1">
        <v>-2.5E7</v>
      </c>
      <c r="M379" s="1">
        <v>8.5E7</v>
      </c>
      <c r="N379" s="1">
        <v>1.798E9</v>
      </c>
      <c r="O379" s="1">
        <v>1.438E9</v>
      </c>
      <c r="P379" s="1">
        <v>1.313E9</v>
      </c>
      <c r="Q379" s="1">
        <v>4.9E7</v>
      </c>
      <c r="R379" s="1">
        <v>3.24E8</v>
      </c>
      <c r="S379" s="1">
        <v>3.22E8</v>
      </c>
      <c r="W379" s="4" t="str">
        <f>Raw_Data!C378&amp;"|"&amp;Raw_Data!D378&amp;"|"&amp;TEXT(Raw_Data!B378,"yyyy-mm-dd")</f>
        <v>Celanese|CE|2021-06-30</v>
      </c>
    </row>
    <row r="380">
      <c r="A380" s="1">
        <v>378.0</v>
      </c>
      <c r="B380" s="3">
        <v>44196.0</v>
      </c>
      <c r="C380" s="1" t="s">
        <v>228</v>
      </c>
      <c r="D380" s="1" t="s">
        <v>229</v>
      </c>
      <c r="E380" s="1">
        <v>2.0E7</v>
      </c>
      <c r="F380" s="1">
        <v>1.571E9</v>
      </c>
      <c r="G380" s="1">
        <v>1.453E9</v>
      </c>
      <c r="H380" s="1">
        <v>2.02E8</v>
      </c>
      <c r="I380" s="1">
        <v>3.76E8</v>
      </c>
      <c r="J380" s="1">
        <v>1.49E8</v>
      </c>
      <c r="K380" s="1">
        <v>1.49E8</v>
      </c>
      <c r="L380" s="1">
        <v>-2.6E7</v>
      </c>
      <c r="M380" s="1">
        <v>1.17E8</v>
      </c>
      <c r="N380" s="1">
        <v>1.591E9</v>
      </c>
      <c r="O380" s="1">
        <v>1.442E9</v>
      </c>
      <c r="P380" s="1">
        <v>1.215E9</v>
      </c>
      <c r="Q380" s="1">
        <v>1.422E9</v>
      </c>
      <c r="R380" s="1">
        <v>1.454E9</v>
      </c>
      <c r="S380" s="1">
        <v>1.453E9</v>
      </c>
      <c r="W380" s="4" t="str">
        <f>Raw_Data!C379&amp;"|"&amp;Raw_Data!D379&amp;"|"&amp;TEXT(Raw_Data!B379,"yyyy-mm-dd")</f>
        <v>Celanese|CE|2021-03-31</v>
      </c>
    </row>
    <row r="381">
      <c r="A381" s="1">
        <v>379.0</v>
      </c>
      <c r="B381" s="3">
        <v>44104.0</v>
      </c>
      <c r="C381" s="1" t="s">
        <v>228</v>
      </c>
      <c r="D381" s="1" t="s">
        <v>229</v>
      </c>
      <c r="E381" s="1">
        <v>1.9E7</v>
      </c>
      <c r="F381" s="1">
        <v>2.41E8</v>
      </c>
      <c r="G381" s="1">
        <v>2.07E8</v>
      </c>
      <c r="H381" s="1">
        <v>7.8E7</v>
      </c>
      <c r="I381" s="1">
        <v>3.27E8</v>
      </c>
      <c r="J381" s="1">
        <v>2.24E8</v>
      </c>
      <c r="K381" s="1">
        <v>2.24E8</v>
      </c>
      <c r="L381" s="1">
        <v>-2.8E7</v>
      </c>
      <c r="M381" s="1">
        <v>3.0E7</v>
      </c>
      <c r="N381" s="1">
        <v>1.411E9</v>
      </c>
      <c r="O381" s="1">
        <v>1.187E9</v>
      </c>
      <c r="P381" s="1">
        <v>1.084E9</v>
      </c>
      <c r="Q381" s="1">
        <v>1.7E7</v>
      </c>
      <c r="R381" s="1">
        <v>2.11E8</v>
      </c>
      <c r="S381" s="1">
        <v>2.07E8</v>
      </c>
      <c r="W381" s="4" t="str">
        <f>Raw_Data!C380&amp;"|"&amp;Raw_Data!D380&amp;"|"&amp;TEXT(Raw_Data!B380,"yyyy-mm-dd")</f>
        <v>Celanese|CE|2020-12-31</v>
      </c>
    </row>
    <row r="382">
      <c r="A382" s="1">
        <v>380.0</v>
      </c>
      <c r="B382" s="3">
        <v>44469.0</v>
      </c>
      <c r="C382" s="1" t="s">
        <v>230</v>
      </c>
      <c r="D382" s="1" t="s">
        <v>231</v>
      </c>
      <c r="F382" s="1">
        <v>7.2E8</v>
      </c>
      <c r="G382" s="1">
        <v>5.84E8</v>
      </c>
      <c r="H382" s="1">
        <v>2.642E9</v>
      </c>
      <c r="I382" s="1">
        <v>4.97E9</v>
      </c>
      <c r="J382" s="1">
        <v>7.02E8</v>
      </c>
      <c r="K382" s="1">
        <v>7.02E8</v>
      </c>
      <c r="L382" s="1">
        <v>-1.7E8</v>
      </c>
      <c r="M382" s="1">
        <v>1.39E8</v>
      </c>
      <c r="N382" s="1">
        <v>3.04E10</v>
      </c>
      <c r="O382" s="1">
        <v>2.9698E10</v>
      </c>
      <c r="P382" s="1">
        <v>2.543E10</v>
      </c>
      <c r="Q382" s="1">
        <v>1.8E7</v>
      </c>
      <c r="R382" s="1">
        <v>5.81E8</v>
      </c>
      <c r="S382" s="1">
        <v>5.84E8</v>
      </c>
      <c r="W382" s="4" t="str">
        <f>Raw_Data!C381&amp;"|"&amp;Raw_Data!D381&amp;"|"&amp;TEXT(Raw_Data!B381,"yyyy-mm-dd")</f>
        <v>Celanese|CE|2020-09-30</v>
      </c>
    </row>
    <row r="383">
      <c r="A383" s="1">
        <v>381.0</v>
      </c>
      <c r="B383" s="3">
        <v>44377.0</v>
      </c>
      <c r="C383" s="1" t="s">
        <v>230</v>
      </c>
      <c r="D383" s="1" t="s">
        <v>231</v>
      </c>
      <c r="F383" s="1">
        <v>-5.42E8</v>
      </c>
      <c r="G383" s="1">
        <v>-5.35E8</v>
      </c>
      <c r="H383" s="1">
        <v>2.232E9</v>
      </c>
      <c r="I383" s="1">
        <v>4.574E9</v>
      </c>
      <c r="J383" s="1">
        <v>9.74E8</v>
      </c>
      <c r="K383" s="1">
        <v>9.74E8</v>
      </c>
      <c r="L383" s="1">
        <v>-1.63E8</v>
      </c>
      <c r="M383" s="1">
        <v>-7000000.0</v>
      </c>
      <c r="N383" s="1">
        <v>2.8963E10</v>
      </c>
      <c r="O383" s="1">
        <v>2.7989E10</v>
      </c>
      <c r="P383" s="1">
        <v>2.4389E10</v>
      </c>
      <c r="Q383" s="1">
        <v>-1.516E9</v>
      </c>
      <c r="R383" s="1">
        <v>-5.35E8</v>
      </c>
      <c r="S383" s="1">
        <v>-5.35E8</v>
      </c>
      <c r="W383" s="4" t="str">
        <f>Raw_Data!C382&amp;"|"&amp;Raw_Data!D382&amp;"|"&amp;TEXT(Raw_Data!B382,"yyyy-mm-dd")</f>
        <v>Centene Corporation|CNC|2021-09-30</v>
      </c>
    </row>
    <row r="384">
      <c r="A384" s="1">
        <v>382.0</v>
      </c>
      <c r="B384" s="3">
        <v>44286.0</v>
      </c>
      <c r="C384" s="1" t="s">
        <v>230</v>
      </c>
      <c r="D384" s="1" t="s">
        <v>231</v>
      </c>
      <c r="F384" s="1">
        <v>9.41E8</v>
      </c>
      <c r="G384" s="1">
        <v>6.99E8</v>
      </c>
      <c r="H384" s="1">
        <v>2.265E9</v>
      </c>
      <c r="I384" s="1">
        <v>4.826E9</v>
      </c>
      <c r="J384" s="1">
        <v>1.259E9</v>
      </c>
      <c r="K384" s="1">
        <v>1.259E9</v>
      </c>
      <c r="L384" s="1">
        <v>-1.7E8</v>
      </c>
      <c r="M384" s="1">
        <v>2.44E8</v>
      </c>
      <c r="N384" s="1">
        <v>2.8217E10</v>
      </c>
      <c r="O384" s="1">
        <v>2.6958E10</v>
      </c>
      <c r="P384" s="1">
        <v>2.3391E10</v>
      </c>
      <c r="Q384" s="1">
        <v>-3.18E8</v>
      </c>
      <c r="R384" s="1">
        <v>6.97E8</v>
      </c>
      <c r="S384" s="1">
        <v>6.99E8</v>
      </c>
      <c r="W384" s="4" t="str">
        <f>Raw_Data!C383&amp;"|"&amp;Raw_Data!D383&amp;"|"&amp;TEXT(Raw_Data!B383,"yyyy-mm-dd")</f>
        <v>Centene Corporation|CNC|2021-06-30</v>
      </c>
    </row>
    <row r="385">
      <c r="A385" s="1">
        <v>383.0</v>
      </c>
      <c r="B385" s="3">
        <v>44196.0</v>
      </c>
      <c r="C385" s="1" t="s">
        <v>230</v>
      </c>
      <c r="D385" s="1" t="s">
        <v>231</v>
      </c>
      <c r="F385" s="1">
        <v>-7.4E7</v>
      </c>
      <c r="G385" s="1">
        <v>-1.2E7</v>
      </c>
      <c r="H385" s="1">
        <v>2.943E9</v>
      </c>
      <c r="I385" s="1">
        <v>3.945E9</v>
      </c>
      <c r="J385" s="1">
        <v>2.74E8</v>
      </c>
      <c r="K385" s="1">
        <v>2.74E8</v>
      </c>
      <c r="L385" s="1">
        <v>-1.77E8</v>
      </c>
      <c r="M385" s="1">
        <v>-5.5E7</v>
      </c>
      <c r="N385" s="1">
        <v>2.655E10</v>
      </c>
      <c r="O385" s="1">
        <v>2.6276E10</v>
      </c>
      <c r="P385" s="1">
        <v>2.2605E10</v>
      </c>
      <c r="Q385" s="1">
        <v>-3.48E8</v>
      </c>
      <c r="R385" s="1">
        <v>-1.9E7</v>
      </c>
      <c r="S385" s="1">
        <v>-1.2E7</v>
      </c>
      <c r="W385" s="4" t="str">
        <f>Raw_Data!C384&amp;"|"&amp;Raw_Data!D384&amp;"|"&amp;TEXT(Raw_Data!B384,"yyyy-mm-dd")</f>
        <v>Centene Corporation|CNC|2021-03-31</v>
      </c>
    </row>
    <row r="386">
      <c r="A386" s="1">
        <v>384.0</v>
      </c>
      <c r="B386" s="3">
        <v>44377.0</v>
      </c>
      <c r="C386" s="1" t="s">
        <v>233</v>
      </c>
      <c r="D386" s="1" t="s">
        <v>234</v>
      </c>
      <c r="F386" s="1">
        <v>2.48E8</v>
      </c>
      <c r="G386" s="1">
        <v>2.51E8</v>
      </c>
      <c r="H386" s="1">
        <v>-2000000.0</v>
      </c>
      <c r="I386" s="1">
        <v>7.49E8</v>
      </c>
      <c r="J386" s="1">
        <v>2.98E8</v>
      </c>
      <c r="K386" s="1">
        <v>2.98E8</v>
      </c>
      <c r="L386" s="1">
        <v>-1.24E8</v>
      </c>
      <c r="M386" s="1">
        <v>-3000000.0</v>
      </c>
      <c r="N386" s="1">
        <v>1.742E9</v>
      </c>
      <c r="O386" s="1">
        <v>1.444E9</v>
      </c>
      <c r="P386" s="1">
        <v>9.93E8</v>
      </c>
      <c r="Q386" s="1">
        <v>-5.0E7</v>
      </c>
      <c r="R386" s="1">
        <v>2.51E8</v>
      </c>
      <c r="S386" s="1">
        <v>2.21E8</v>
      </c>
      <c r="W386" s="4" t="str">
        <f>Raw_Data!C385&amp;"|"&amp;Raw_Data!D385&amp;"|"&amp;TEXT(Raw_Data!B385,"yyyy-mm-dd")</f>
        <v>Centene Corporation|CNC|2020-12-31</v>
      </c>
    </row>
    <row r="387">
      <c r="A387" s="1">
        <v>385.0</v>
      </c>
      <c r="B387" s="3">
        <v>44286.0</v>
      </c>
      <c r="C387" s="1" t="s">
        <v>233</v>
      </c>
      <c r="D387" s="1" t="s">
        <v>234</v>
      </c>
      <c r="F387" s="1">
        <v>4.37E8</v>
      </c>
      <c r="G387" s="1">
        <v>3.63E8</v>
      </c>
      <c r="H387" s="1">
        <v>-2000000.0</v>
      </c>
      <c r="I387" s="1">
        <v>9.03E8</v>
      </c>
      <c r="J387" s="1">
        <v>4.55E8</v>
      </c>
      <c r="K387" s="1">
        <v>4.55E8</v>
      </c>
      <c r="L387" s="1">
        <v>-1.19E8</v>
      </c>
      <c r="M387" s="1">
        <v>7.4E7</v>
      </c>
      <c r="N387" s="1">
        <v>2.547E9</v>
      </c>
      <c r="O387" s="1">
        <v>2.092E9</v>
      </c>
      <c r="P387" s="1">
        <v>1.644E9</v>
      </c>
      <c r="Q387" s="1">
        <v>-1.8E7</v>
      </c>
      <c r="R387" s="1">
        <v>3.63E8</v>
      </c>
      <c r="S387" s="1">
        <v>3.34E8</v>
      </c>
      <c r="W387" s="4" t="str">
        <f>Raw_Data!C386&amp;"|"&amp;Raw_Data!D386&amp;"|"&amp;TEXT(Raw_Data!B386,"yyyy-mm-dd")</f>
        <v>CenterPoint Energy|CNP|2021-06-30</v>
      </c>
    </row>
    <row r="388">
      <c r="A388" s="1">
        <v>386.0</v>
      </c>
      <c r="B388" s="3">
        <v>44196.0</v>
      </c>
      <c r="C388" s="1" t="s">
        <v>233</v>
      </c>
      <c r="D388" s="1" t="s">
        <v>234</v>
      </c>
      <c r="F388" s="1">
        <v>2.54E8</v>
      </c>
      <c r="G388" s="1">
        <v>2.0E8</v>
      </c>
      <c r="H388" s="1">
        <v>2.6E7</v>
      </c>
      <c r="I388" s="1">
        <v>7.41E8</v>
      </c>
      <c r="J388" s="1">
        <v>2.82E8</v>
      </c>
      <c r="K388" s="1">
        <v>2.82E8</v>
      </c>
      <c r="L388" s="1">
        <v>-1.19E8</v>
      </c>
      <c r="M388" s="1">
        <v>5.4E7</v>
      </c>
      <c r="N388" s="1">
        <v>2.054E9</v>
      </c>
      <c r="O388" s="1">
        <v>1.772E9</v>
      </c>
      <c r="P388" s="1">
        <v>1.313E9</v>
      </c>
      <c r="Q388" s="1">
        <v>-2.8E7</v>
      </c>
      <c r="R388" s="1">
        <v>2.0E8</v>
      </c>
      <c r="S388" s="1">
        <v>1.51E8</v>
      </c>
      <c r="W388" s="4" t="str">
        <f>Raw_Data!C387&amp;"|"&amp;Raw_Data!D387&amp;"|"&amp;TEXT(Raw_Data!B387,"yyyy-mm-dd")</f>
        <v>CenterPoint Energy|CNP|2021-03-31</v>
      </c>
    </row>
    <row r="389">
      <c r="A389" s="1">
        <v>387.0</v>
      </c>
      <c r="B389" s="3">
        <v>44104.0</v>
      </c>
      <c r="C389" s="1" t="s">
        <v>233</v>
      </c>
      <c r="D389" s="1" t="s">
        <v>234</v>
      </c>
      <c r="F389" s="1">
        <v>1.17E8</v>
      </c>
      <c r="G389" s="1">
        <v>1.21E8</v>
      </c>
      <c r="H389" s="1">
        <v>2.6E7</v>
      </c>
      <c r="I389" s="1">
        <v>7.3E8</v>
      </c>
      <c r="J389" s="1">
        <v>3.02E8</v>
      </c>
      <c r="K389" s="1">
        <v>3.02E8</v>
      </c>
      <c r="L389" s="1">
        <v>-1.28E8</v>
      </c>
      <c r="M389" s="1">
        <v>-1.0E7</v>
      </c>
      <c r="N389" s="1">
        <v>1.622E9</v>
      </c>
      <c r="O389" s="1">
        <v>1.32E9</v>
      </c>
      <c r="P389" s="1">
        <v>8.92E8</v>
      </c>
      <c r="Q389" s="1">
        <v>-1.85E8</v>
      </c>
      <c r="R389" s="1">
        <v>1.27E8</v>
      </c>
      <c r="S389" s="1">
        <v>6.9E7</v>
      </c>
      <c r="W389" s="4" t="str">
        <f>Raw_Data!C388&amp;"|"&amp;Raw_Data!D388&amp;"|"&amp;TEXT(Raw_Data!B388,"yyyy-mm-dd")</f>
        <v>CenterPoint Energy|CNP|2020-12-31</v>
      </c>
    </row>
    <row r="390">
      <c r="A390" s="1">
        <v>388.0</v>
      </c>
      <c r="B390" s="3">
        <v>44377.0</v>
      </c>
      <c r="C390" s="1" t="s">
        <v>235</v>
      </c>
      <c r="D390" s="1" t="s">
        <v>236</v>
      </c>
      <c r="F390" s="1">
        <v>-3.78E7</v>
      </c>
      <c r="G390" s="1">
        <v>-2.58E7</v>
      </c>
      <c r="H390" s="1">
        <v>1.072E8</v>
      </c>
      <c r="I390" s="1">
        <v>1.066E8</v>
      </c>
      <c r="J390" s="1">
        <v>-1.44E7</v>
      </c>
      <c r="K390" s="1">
        <v>-1.44E7</v>
      </c>
      <c r="L390" s="1">
        <v>-9900000.0</v>
      </c>
      <c r="M390" s="1">
        <v>-1.2E7</v>
      </c>
      <c r="N390" s="1">
        <v>2.504E8</v>
      </c>
      <c r="O390" s="1">
        <v>2.648E8</v>
      </c>
      <c r="P390" s="1">
        <v>1.438E8</v>
      </c>
      <c r="Q390" s="1">
        <v>-2.34E7</v>
      </c>
      <c r="R390" s="1">
        <v>-2.58E7</v>
      </c>
      <c r="S390" s="1">
        <v>-2.58E7</v>
      </c>
      <c r="W390" s="4" t="str">
        <f>Raw_Data!C389&amp;"|"&amp;Raw_Data!D389&amp;"|"&amp;TEXT(Raw_Data!B389,"yyyy-mm-dd")</f>
        <v>CenterPoint Energy|CNP|2020-09-30</v>
      </c>
    </row>
    <row r="391">
      <c r="A391" s="1">
        <v>389.0</v>
      </c>
      <c r="B391" s="3">
        <v>44286.0</v>
      </c>
      <c r="C391" s="1" t="s">
        <v>235</v>
      </c>
      <c r="D391" s="1" t="s">
        <v>236</v>
      </c>
      <c r="F391" s="1">
        <v>-1.26E7</v>
      </c>
      <c r="G391" s="1">
        <v>-1.92E7</v>
      </c>
      <c r="H391" s="1">
        <v>8.74E7</v>
      </c>
      <c r="I391" s="1">
        <v>1.052E8</v>
      </c>
      <c r="J391" s="1">
        <v>6700000.0</v>
      </c>
      <c r="K391" s="1">
        <v>6700000.0</v>
      </c>
      <c r="L391" s="1">
        <v>-5600000.0</v>
      </c>
      <c r="M391" s="1">
        <v>6600000.0</v>
      </c>
      <c r="N391" s="1">
        <v>2.345E8</v>
      </c>
      <c r="O391" s="1">
        <v>2.278E8</v>
      </c>
      <c r="P391" s="1">
        <v>1.293E8</v>
      </c>
      <c r="Q391" s="1">
        <v>-1.93E7</v>
      </c>
      <c r="R391" s="1">
        <v>-1.92E7</v>
      </c>
      <c r="S391" s="1">
        <v>-1.92E7</v>
      </c>
      <c r="W391" s="4" t="str">
        <f>Raw_Data!C390&amp;"|"&amp;Raw_Data!D390&amp;"|"&amp;TEXT(Raw_Data!B390,"yyyy-mm-dd")</f>
        <v>Ceridian|CDAY|2021-06-30</v>
      </c>
    </row>
    <row r="392">
      <c r="A392" s="1">
        <v>390.0</v>
      </c>
      <c r="B392" s="3">
        <v>44196.0</v>
      </c>
      <c r="C392" s="1" t="s">
        <v>235</v>
      </c>
      <c r="D392" s="1" t="s">
        <v>236</v>
      </c>
      <c r="F392" s="1">
        <v>-2.76E7</v>
      </c>
      <c r="G392" s="1">
        <v>-1.73E7</v>
      </c>
      <c r="H392" s="1">
        <v>8.06E7</v>
      </c>
      <c r="I392" s="1">
        <v>9.66E7</v>
      </c>
      <c r="J392" s="1">
        <v>5400000.0</v>
      </c>
      <c r="K392" s="1">
        <v>5400000.0</v>
      </c>
      <c r="L392" s="1">
        <v>-5700000.0</v>
      </c>
      <c r="M392" s="1">
        <v>-1.03E7</v>
      </c>
      <c r="N392" s="1">
        <v>2.228E8</v>
      </c>
      <c r="O392" s="1">
        <v>2.174E8</v>
      </c>
      <c r="P392" s="1">
        <v>1.262E8</v>
      </c>
      <c r="Q392" s="1">
        <v>-3.3E7</v>
      </c>
      <c r="R392" s="1">
        <v>-1.73E7</v>
      </c>
      <c r="S392" s="1">
        <v>-1.73E7</v>
      </c>
      <c r="W392" s="4" t="str">
        <f>Raw_Data!C391&amp;"|"&amp;Raw_Data!D391&amp;"|"&amp;TEXT(Raw_Data!B391,"yyyy-mm-dd")</f>
        <v>Ceridian|CDAY|2021-03-31</v>
      </c>
    </row>
    <row r="393">
      <c r="A393" s="1">
        <v>391.0</v>
      </c>
      <c r="B393" s="3">
        <v>44104.0</v>
      </c>
      <c r="C393" s="1" t="s">
        <v>235</v>
      </c>
      <c r="D393" s="1" t="s">
        <v>236</v>
      </c>
      <c r="F393" s="1">
        <v>-6300000.0</v>
      </c>
      <c r="G393" s="1">
        <v>-800000.0</v>
      </c>
      <c r="H393" s="1">
        <v>7.75E7</v>
      </c>
      <c r="I393" s="1">
        <v>8.86E7</v>
      </c>
      <c r="J393" s="1">
        <v>800000.0</v>
      </c>
      <c r="K393" s="1">
        <v>800000.0</v>
      </c>
      <c r="L393" s="1">
        <v>-5900000.0</v>
      </c>
      <c r="M393" s="1">
        <v>-5500000.0</v>
      </c>
      <c r="N393" s="1">
        <v>2.044E8</v>
      </c>
      <c r="O393" s="1">
        <v>2.036E8</v>
      </c>
      <c r="P393" s="1">
        <v>1.158E8</v>
      </c>
      <c r="Q393" s="1">
        <v>-7100000.0</v>
      </c>
      <c r="R393" s="1">
        <v>-800000.0</v>
      </c>
      <c r="S393" s="1">
        <v>-800000.0</v>
      </c>
      <c r="W393" s="4" t="str">
        <f>Raw_Data!C392&amp;"|"&amp;Raw_Data!D392&amp;"|"&amp;TEXT(Raw_Data!B392,"yyyy-mm-dd")</f>
        <v>Ceridian|CDAY|2020-12-31</v>
      </c>
    </row>
    <row r="394">
      <c r="A394" s="1">
        <v>392.0</v>
      </c>
      <c r="B394" s="3">
        <v>44377.0</v>
      </c>
      <c r="C394" s="1" t="s">
        <v>238</v>
      </c>
      <c r="D394" s="1" t="s">
        <v>239</v>
      </c>
      <c r="E394" s="1">
        <v>1.936E8</v>
      </c>
      <c r="F394" s="1">
        <v>4.7882E7</v>
      </c>
      <c r="G394" s="1">
        <v>3.2707E7</v>
      </c>
      <c r="H394" s="1">
        <v>7.65384E8</v>
      </c>
      <c r="I394" s="1">
        <v>1.19543E9</v>
      </c>
      <c r="J394" s="1">
        <v>2.1956E8</v>
      </c>
      <c r="K394" s="1">
        <v>2.1956E8</v>
      </c>
      <c r="M394" s="1">
        <v>1.5175E7</v>
      </c>
      <c r="N394" s="1">
        <v>1.456755E9</v>
      </c>
      <c r="O394" s="1">
        <v>1.237195E9</v>
      </c>
      <c r="P394" s="1">
        <v>2.61325E8</v>
      </c>
      <c r="Q394" s="1">
        <v>-1.71678E8</v>
      </c>
      <c r="R394" s="1">
        <v>3.2707E7</v>
      </c>
      <c r="S394" s="1">
        <v>3.2707E7</v>
      </c>
      <c r="W394" s="4" t="str">
        <f>Raw_Data!C393&amp;"|"&amp;Raw_Data!D393&amp;"|"&amp;TEXT(Raw_Data!B393,"yyyy-mm-dd")</f>
        <v>Ceridian|CDAY|2020-09-30</v>
      </c>
    </row>
    <row r="395">
      <c r="A395" s="1">
        <v>393.0</v>
      </c>
      <c r="B395" s="3">
        <v>44286.0</v>
      </c>
      <c r="C395" s="1" t="s">
        <v>238</v>
      </c>
      <c r="D395" s="1" t="s">
        <v>239</v>
      </c>
      <c r="E395" s="1">
        <v>1.92327E8</v>
      </c>
      <c r="F395" s="1">
        <v>2.19264E8</v>
      </c>
      <c r="G395" s="1">
        <v>1.72252E8</v>
      </c>
      <c r="H395" s="1">
        <v>7.14541E8</v>
      </c>
      <c r="I395" s="1">
        <v>1.157122E9</v>
      </c>
      <c r="J395" s="1">
        <v>2.38058E8</v>
      </c>
      <c r="K395" s="1">
        <v>2.38058E8</v>
      </c>
      <c r="M395" s="1">
        <v>4.7012E7</v>
      </c>
      <c r="N395" s="1">
        <v>1.387778E9</v>
      </c>
      <c r="O395" s="1">
        <v>1.14972E9</v>
      </c>
      <c r="P395" s="1">
        <v>2.30656E8</v>
      </c>
      <c r="Q395" s="1">
        <v>-1.8794E7</v>
      </c>
      <c r="R395" s="1">
        <v>1.72252E8</v>
      </c>
      <c r="S395" s="1">
        <v>1.72252E8</v>
      </c>
      <c r="W395" s="4" t="str">
        <f>Raw_Data!C394&amp;"|"&amp;Raw_Data!D394&amp;"|"&amp;TEXT(Raw_Data!B394,"yyyy-mm-dd")</f>
        <v>Cerner|CERN|2021-06-30</v>
      </c>
    </row>
    <row r="396">
      <c r="A396" s="1">
        <v>394.0</v>
      </c>
      <c r="B396" s="3">
        <v>44196.0</v>
      </c>
      <c r="C396" s="1" t="s">
        <v>238</v>
      </c>
      <c r="D396" s="1" t="s">
        <v>239</v>
      </c>
      <c r="E396" s="1">
        <v>1.97906E8</v>
      </c>
      <c r="F396" s="1">
        <v>1.76132E8</v>
      </c>
      <c r="G396" s="1">
        <v>1.41505E8</v>
      </c>
      <c r="H396" s="1">
        <v>7.28063E8</v>
      </c>
      <c r="I396" s="1">
        <v>1.160352E9</v>
      </c>
      <c r="J396" s="1">
        <v>2.21819E8</v>
      </c>
      <c r="K396" s="1">
        <v>2.21819E8</v>
      </c>
      <c r="L396" s="1">
        <v>-2.908E7</v>
      </c>
      <c r="M396" s="1">
        <v>3.4627E7</v>
      </c>
      <c r="N396" s="1">
        <v>1.395025E9</v>
      </c>
      <c r="O396" s="1">
        <v>1.173206E9</v>
      </c>
      <c r="P396" s="1">
        <v>2.34673E8</v>
      </c>
      <c r="Q396" s="1">
        <v>-4.5687E7</v>
      </c>
      <c r="R396" s="1">
        <v>1.41505E8</v>
      </c>
      <c r="S396" s="1">
        <v>1.41505E8</v>
      </c>
      <c r="W396" s="4" t="str">
        <f>Raw_Data!C395&amp;"|"&amp;Raw_Data!D395&amp;"|"&amp;TEXT(Raw_Data!B395,"yyyy-mm-dd")</f>
        <v>Cerner|CERN|2021-03-31</v>
      </c>
    </row>
    <row r="397">
      <c r="A397" s="1">
        <v>395.0</v>
      </c>
      <c r="B397" s="3">
        <v>44104.0</v>
      </c>
      <c r="C397" s="1" t="s">
        <v>238</v>
      </c>
      <c r="D397" s="1" t="s">
        <v>239</v>
      </c>
      <c r="E397" s="1">
        <v>1.86826E8</v>
      </c>
      <c r="F397" s="1">
        <v>4.5984E8</v>
      </c>
      <c r="G397" s="1">
        <v>3.56676E8</v>
      </c>
      <c r="H397" s="1">
        <v>7.42218E8</v>
      </c>
      <c r="I397" s="1">
        <v>1.136784E9</v>
      </c>
      <c r="J397" s="1">
        <v>1.94951E8</v>
      </c>
      <c r="K397" s="1">
        <v>1.94951E8</v>
      </c>
      <c r="L397" s="1">
        <v>-2.908E7</v>
      </c>
      <c r="M397" s="1">
        <v>1.03164E8</v>
      </c>
      <c r="N397" s="1">
        <v>1.368673E9</v>
      </c>
      <c r="O397" s="1">
        <v>1.173722E9</v>
      </c>
      <c r="P397" s="1">
        <v>2.31889E8</v>
      </c>
      <c r="Q397" s="1">
        <v>2.64889E8</v>
      </c>
      <c r="R397" s="1">
        <v>3.56676E8</v>
      </c>
      <c r="S397" s="1">
        <v>3.56676E8</v>
      </c>
      <c r="W397" s="4" t="str">
        <f>Raw_Data!C396&amp;"|"&amp;Raw_Data!D396&amp;"|"&amp;TEXT(Raw_Data!B396,"yyyy-mm-dd")</f>
        <v>Cerner|CERN|2020-12-31</v>
      </c>
    </row>
    <row r="398">
      <c r="A398" s="1">
        <v>396.0</v>
      </c>
      <c r="B398" s="3">
        <v>44377.0</v>
      </c>
      <c r="C398" s="1" t="s">
        <v>240</v>
      </c>
      <c r="D398" s="1" t="s">
        <v>241</v>
      </c>
      <c r="F398" s="1">
        <v>4.02E8</v>
      </c>
      <c r="G398" s="1">
        <v>2.46E8</v>
      </c>
      <c r="H398" s="1">
        <v>6.0E7</v>
      </c>
      <c r="I398" s="1">
        <v>5.03E8</v>
      </c>
      <c r="J398" s="1">
        <v>4.42E8</v>
      </c>
      <c r="K398" s="1">
        <v>4.42E8</v>
      </c>
      <c r="L398" s="1">
        <v>-4.6E7</v>
      </c>
      <c r="M398" s="1">
        <v>8.5E7</v>
      </c>
      <c r="N398" s="1">
        <v>1.588E9</v>
      </c>
      <c r="O398" s="1">
        <v>1.146E9</v>
      </c>
      <c r="P398" s="1">
        <v>1.085E9</v>
      </c>
      <c r="Q398" s="1">
        <v>-4.0E7</v>
      </c>
      <c r="R398" s="1">
        <v>3.17E8</v>
      </c>
      <c r="S398" s="1">
        <v>2.46E8</v>
      </c>
      <c r="W398" s="4" t="str">
        <f>Raw_Data!C397&amp;"|"&amp;Raw_Data!D397&amp;"|"&amp;TEXT(Raw_Data!B397,"yyyy-mm-dd")</f>
        <v>Cerner|CERN|2020-09-30</v>
      </c>
    </row>
    <row r="399">
      <c r="A399" s="1">
        <v>397.0</v>
      </c>
      <c r="B399" s="3">
        <v>44286.0</v>
      </c>
      <c r="C399" s="1" t="s">
        <v>240</v>
      </c>
      <c r="D399" s="1" t="s">
        <v>241</v>
      </c>
      <c r="F399" s="1">
        <v>1.93E8</v>
      </c>
      <c r="G399" s="1">
        <v>1.51E8</v>
      </c>
      <c r="H399" s="1">
        <v>5.5E7</v>
      </c>
      <c r="I399" s="1">
        <v>2.89E8</v>
      </c>
      <c r="J399" s="1">
        <v>2.36E8</v>
      </c>
      <c r="K399" s="1">
        <v>2.36E8</v>
      </c>
      <c r="L399" s="1">
        <v>-4.8E7</v>
      </c>
      <c r="M399" s="1">
        <v>1.8E7</v>
      </c>
      <c r="N399" s="1">
        <v>1.048E9</v>
      </c>
      <c r="O399" s="1">
        <v>8.12E8</v>
      </c>
      <c r="P399" s="1">
        <v>7.59E8</v>
      </c>
      <c r="Q399" s="1">
        <v>-4.3E7</v>
      </c>
      <c r="R399" s="1">
        <v>1.75E8</v>
      </c>
      <c r="S399" s="1">
        <v>1.51E8</v>
      </c>
      <c r="W399" s="4" t="str">
        <f>Raw_Data!C398&amp;"|"&amp;Raw_Data!D398&amp;"|"&amp;TEXT(Raw_Data!B398,"yyyy-mm-dd")</f>
        <v>CF Industries|CF|2021-06-30</v>
      </c>
    </row>
    <row r="400">
      <c r="A400" s="1">
        <v>398.0</v>
      </c>
      <c r="B400" s="3">
        <v>44196.0</v>
      </c>
      <c r="C400" s="1" t="s">
        <v>240</v>
      </c>
      <c r="D400" s="1" t="s">
        <v>241</v>
      </c>
      <c r="F400" s="1">
        <v>1.17E8</v>
      </c>
      <c r="G400" s="1">
        <v>8.7E7</v>
      </c>
      <c r="H400" s="1">
        <v>5.1E7</v>
      </c>
      <c r="I400" s="1">
        <v>1.8E8</v>
      </c>
      <c r="J400" s="1">
        <v>1.29E8</v>
      </c>
      <c r="K400" s="1">
        <v>1.29E8</v>
      </c>
      <c r="L400" s="1">
        <v>-3.8E7</v>
      </c>
      <c r="M400" s="1">
        <v>-2000000.0</v>
      </c>
      <c r="N400" s="1">
        <v>1.102E9</v>
      </c>
      <c r="O400" s="1">
        <v>9.73E8</v>
      </c>
      <c r="P400" s="1">
        <v>9.22E8</v>
      </c>
      <c r="Q400" s="1">
        <v>-1.2E7</v>
      </c>
      <c r="R400" s="1">
        <v>1.19E8</v>
      </c>
      <c r="S400" s="1">
        <v>8.7E7</v>
      </c>
      <c r="W400" s="4" t="str">
        <f>Raw_Data!C399&amp;"|"&amp;Raw_Data!D399&amp;"|"&amp;TEXT(Raw_Data!B399,"yyyy-mm-dd")</f>
        <v>CF Industries|CF|2021-03-31</v>
      </c>
    </row>
    <row r="401">
      <c r="A401" s="1">
        <v>399.0</v>
      </c>
      <c r="B401" s="3">
        <v>44104.0</v>
      </c>
      <c r="C401" s="1" t="s">
        <v>240</v>
      </c>
      <c r="D401" s="1" t="s">
        <v>241</v>
      </c>
      <c r="F401" s="1">
        <v>-9000000.0</v>
      </c>
      <c r="G401" s="1">
        <v>-2.8E7</v>
      </c>
      <c r="H401" s="1">
        <v>4.9E7</v>
      </c>
      <c r="I401" s="1">
        <v>9.4E7</v>
      </c>
      <c r="J401" s="1">
        <v>4.6E7</v>
      </c>
      <c r="K401" s="1">
        <v>4.6E7</v>
      </c>
      <c r="L401" s="1">
        <v>-4.8E7</v>
      </c>
      <c r="M401" s="1">
        <v>-1.3E7</v>
      </c>
      <c r="N401" s="1">
        <v>8.47E8</v>
      </c>
      <c r="O401" s="1">
        <v>8.01E8</v>
      </c>
      <c r="P401" s="1">
        <v>7.53E8</v>
      </c>
      <c r="Q401" s="1">
        <v>-5.5E7</v>
      </c>
      <c r="R401" s="1">
        <v>4000000.0</v>
      </c>
      <c r="S401" s="1">
        <v>-2.8E7</v>
      </c>
      <c r="W401" s="4" t="str">
        <f>Raw_Data!C400&amp;"|"&amp;Raw_Data!D400&amp;"|"&amp;TEXT(Raw_Data!B400,"yyyy-mm-dd")</f>
        <v>CF Industries|CF|2020-12-31</v>
      </c>
    </row>
    <row r="402">
      <c r="A402" s="1">
        <v>400.0</v>
      </c>
      <c r="B402" s="3">
        <v>44373.0</v>
      </c>
      <c r="C402" s="1" t="s">
        <v>242</v>
      </c>
      <c r="D402" s="1" t="s">
        <v>243</v>
      </c>
      <c r="F402" s="1">
        <v>1.27496E8</v>
      </c>
      <c r="G402" s="1">
        <v>8.8448E7</v>
      </c>
      <c r="H402" s="1">
        <v>1.54756E8</v>
      </c>
      <c r="I402" s="1">
        <v>3.42414E8</v>
      </c>
      <c r="J402" s="1">
        <v>1.54688E8</v>
      </c>
      <c r="K402" s="1">
        <v>1.54688E8</v>
      </c>
      <c r="L402" s="1">
        <v>-1.619E7</v>
      </c>
      <c r="M402" s="1">
        <v>3.758E7</v>
      </c>
      <c r="N402" s="1">
        <v>9.14607E8</v>
      </c>
      <c r="O402" s="1">
        <v>7.59919E8</v>
      </c>
      <c r="P402" s="1">
        <v>5.72193E8</v>
      </c>
      <c r="Q402" s="1">
        <v>-2.7192E7</v>
      </c>
      <c r="R402" s="1">
        <v>8.9916E7</v>
      </c>
      <c r="S402" s="1">
        <v>8.8448E7</v>
      </c>
      <c r="W402" s="4" t="str">
        <f>Raw_Data!C401&amp;"|"&amp;Raw_Data!D401&amp;"|"&amp;TEXT(Raw_Data!B401,"yyyy-mm-dd")</f>
        <v>CF Industries|CF|2020-09-30</v>
      </c>
    </row>
    <row r="403">
      <c r="A403" s="1">
        <v>401.0</v>
      </c>
      <c r="B403" s="3">
        <v>44282.0</v>
      </c>
      <c r="C403" s="1" t="s">
        <v>242</v>
      </c>
      <c r="D403" s="1" t="s">
        <v>243</v>
      </c>
      <c r="F403" s="1">
        <v>6.6302E7</v>
      </c>
      <c r="G403" s="1">
        <v>6.153E7</v>
      </c>
      <c r="H403" s="1">
        <v>1.4789E8</v>
      </c>
      <c r="I403" s="1">
        <v>3.08841E8</v>
      </c>
      <c r="J403" s="1">
        <v>1.32109E8</v>
      </c>
      <c r="K403" s="1">
        <v>1.32109E8</v>
      </c>
      <c r="L403" s="1">
        <v>-2.9719E7</v>
      </c>
      <c r="M403" s="1">
        <v>2367000.0</v>
      </c>
      <c r="N403" s="1">
        <v>8.24566E8</v>
      </c>
      <c r="O403" s="1">
        <v>6.92457E8</v>
      </c>
      <c r="P403" s="1">
        <v>5.15725E8</v>
      </c>
      <c r="Q403" s="1">
        <v>-6.5807E7</v>
      </c>
      <c r="R403" s="1">
        <v>6.3935E7</v>
      </c>
      <c r="S403" s="1">
        <v>6.153E7</v>
      </c>
      <c r="W403" s="4" t="str">
        <f>Raw_Data!C402&amp;"|"&amp;Raw_Data!D402&amp;"|"&amp;TEXT(Raw_Data!B402,"yyyy-mm-dd")</f>
        <v>Charles River Laboratories|CRL|2021-06-26</v>
      </c>
    </row>
    <row r="404">
      <c r="A404" s="1">
        <v>402.0</v>
      </c>
      <c r="B404" s="3">
        <v>44191.0</v>
      </c>
      <c r="C404" s="1" t="s">
        <v>242</v>
      </c>
      <c r="D404" s="1" t="s">
        <v>243</v>
      </c>
      <c r="F404" s="1">
        <v>1.72427E8</v>
      </c>
      <c r="G404" s="1">
        <v>1.43191E8</v>
      </c>
      <c r="H404" s="1">
        <v>1.43735E8</v>
      </c>
      <c r="I404" s="1">
        <v>3.00631E8</v>
      </c>
      <c r="J404" s="1">
        <v>1.28888E8</v>
      </c>
      <c r="K404" s="1">
        <v>1.28888E8</v>
      </c>
      <c r="L404" s="1">
        <v>-3.3147E7</v>
      </c>
      <c r="M404" s="1">
        <v>2.8237E7</v>
      </c>
      <c r="N404" s="1">
        <v>7.9099E8</v>
      </c>
      <c r="O404" s="1">
        <v>6.62102E8</v>
      </c>
      <c r="P404" s="1">
        <v>4.90359E8</v>
      </c>
      <c r="Q404" s="1">
        <v>4.3539E7</v>
      </c>
      <c r="R404" s="1">
        <v>1.4419E8</v>
      </c>
      <c r="S404" s="1">
        <v>1.43191E8</v>
      </c>
      <c r="W404" s="4" t="str">
        <f>Raw_Data!C403&amp;"|"&amp;Raw_Data!D403&amp;"|"&amp;TEXT(Raw_Data!B403,"yyyy-mm-dd")</f>
        <v>Charles River Laboratories|CRL|2021-03-27</v>
      </c>
    </row>
    <row r="405">
      <c r="A405" s="1">
        <v>403.0</v>
      </c>
      <c r="B405" s="3">
        <v>44100.0</v>
      </c>
      <c r="C405" s="1" t="s">
        <v>242</v>
      </c>
      <c r="D405" s="1" t="s">
        <v>243</v>
      </c>
      <c r="F405" s="1">
        <v>1.35276E8</v>
      </c>
      <c r="G405" s="1">
        <v>1.02909E8</v>
      </c>
      <c r="H405" s="1">
        <v>1.28575E8</v>
      </c>
      <c r="I405" s="1">
        <v>2.9018E8</v>
      </c>
      <c r="J405" s="1">
        <v>1.33373E8</v>
      </c>
      <c r="K405" s="1">
        <v>1.33373E8</v>
      </c>
      <c r="L405" s="1">
        <v>-1.8867E7</v>
      </c>
      <c r="M405" s="1">
        <v>3.2665E7</v>
      </c>
      <c r="N405" s="1">
        <v>7.433E8</v>
      </c>
      <c r="O405" s="1">
        <v>6.09927E8</v>
      </c>
      <c r="P405" s="1">
        <v>4.5312E8</v>
      </c>
      <c r="Q405" s="1">
        <v>1903000.0</v>
      </c>
      <c r="R405" s="1">
        <v>1.02611E8</v>
      </c>
      <c r="S405" s="1">
        <v>1.02909E8</v>
      </c>
      <c r="W405" s="4" t="str">
        <f>Raw_Data!C404&amp;"|"&amp;Raw_Data!D404&amp;"|"&amp;TEXT(Raw_Data!B404,"yyyy-mm-dd")</f>
        <v>Charles River Laboratories|CRL|2020-12-26</v>
      </c>
    </row>
    <row r="406">
      <c r="A406" s="1">
        <v>404.0</v>
      </c>
      <c r="B406" s="3">
        <v>44377.0</v>
      </c>
      <c r="C406" s="1" t="s">
        <v>245</v>
      </c>
      <c r="D406" s="1" t="s">
        <v>246</v>
      </c>
      <c r="F406" s="1">
        <v>1.719E9</v>
      </c>
      <c r="G406" s="1">
        <v>1.265E9</v>
      </c>
      <c r="H406" s="1">
        <v>1.857E9</v>
      </c>
      <c r="I406" s="1">
        <v>4.361E9</v>
      </c>
      <c r="J406" s="1">
        <v>0.0</v>
      </c>
      <c r="K406" s="1">
        <v>1.86E9</v>
      </c>
      <c r="M406" s="1">
        <v>4.54E8</v>
      </c>
      <c r="N406" s="1">
        <v>4.527E9</v>
      </c>
      <c r="O406" s="1">
        <v>2.667E9</v>
      </c>
      <c r="P406" s="1">
        <v>1.66E8</v>
      </c>
      <c r="Q406" s="1">
        <v>-1.41E8</v>
      </c>
      <c r="R406" s="1">
        <v>1.265E9</v>
      </c>
      <c r="S406" s="1">
        <v>1.117E9</v>
      </c>
      <c r="W406" s="4" t="str">
        <f>Raw_Data!C405&amp;"|"&amp;Raw_Data!D405&amp;"|"&amp;TEXT(Raw_Data!B405,"yyyy-mm-dd")</f>
        <v>Charles River Laboratories|CRL|2020-09-26</v>
      </c>
    </row>
    <row r="407">
      <c r="A407" s="1">
        <v>405.0</v>
      </c>
      <c r="B407" s="3">
        <v>44286.0</v>
      </c>
      <c r="C407" s="1" t="s">
        <v>245</v>
      </c>
      <c r="D407" s="1" t="s">
        <v>246</v>
      </c>
      <c r="F407" s="1">
        <v>1.96E9</v>
      </c>
      <c r="G407" s="1">
        <v>1.484E9</v>
      </c>
      <c r="H407" s="1">
        <v>1.972E9</v>
      </c>
      <c r="I407" s="1">
        <v>4.568E9</v>
      </c>
      <c r="J407" s="1">
        <v>0.0</v>
      </c>
      <c r="K407" s="1">
        <v>2.075E9</v>
      </c>
      <c r="M407" s="1">
        <v>4.76E8</v>
      </c>
      <c r="N407" s="1">
        <v>4.715E9</v>
      </c>
      <c r="O407" s="1">
        <v>2.64E9</v>
      </c>
      <c r="P407" s="1">
        <v>1.47E8</v>
      </c>
      <c r="Q407" s="1">
        <v>-1.15E8</v>
      </c>
      <c r="R407" s="1">
        <v>1.484E9</v>
      </c>
      <c r="S407" s="1">
        <v>1.388E9</v>
      </c>
      <c r="W407" s="4" t="str">
        <f>Raw_Data!C406&amp;"|"&amp;Raw_Data!D406&amp;"|"&amp;TEXT(Raw_Data!B406,"yyyy-mm-dd")</f>
        <v>Charles Schwab Corporation|SCHW|2021-06-30</v>
      </c>
    </row>
    <row r="408">
      <c r="A408" s="1">
        <v>406.0</v>
      </c>
      <c r="B408" s="3">
        <v>44196.0</v>
      </c>
      <c r="C408" s="1" t="s">
        <v>245</v>
      </c>
      <c r="D408" s="1" t="s">
        <v>246</v>
      </c>
      <c r="F408" s="1">
        <v>1.476E9</v>
      </c>
      <c r="G408" s="1">
        <v>1.135E9</v>
      </c>
      <c r="H408" s="1">
        <v>1.708E9</v>
      </c>
      <c r="I408" s="1">
        <v>4.049E9</v>
      </c>
      <c r="J408" s="1">
        <v>0.0</v>
      </c>
      <c r="K408" s="1">
        <v>1.899E9</v>
      </c>
      <c r="M408" s="1">
        <v>3.41E8</v>
      </c>
      <c r="N408" s="1">
        <v>4.176E9</v>
      </c>
      <c r="O408" s="1">
        <v>2.277E9</v>
      </c>
      <c r="P408" s="1">
        <v>1.27E8</v>
      </c>
      <c r="Q408" s="1">
        <v>-4.23E8</v>
      </c>
      <c r="R408" s="1">
        <v>1.135E9</v>
      </c>
      <c r="S408" s="1">
        <v>1.05E9</v>
      </c>
      <c r="W408" s="4" t="str">
        <f>Raw_Data!C407&amp;"|"&amp;Raw_Data!D407&amp;"|"&amp;TEXT(Raw_Data!B407,"yyyy-mm-dd")</f>
        <v>Charles Schwab Corporation|SCHW|2021-03-31</v>
      </c>
    </row>
    <row r="409">
      <c r="A409" s="1">
        <v>407.0</v>
      </c>
      <c r="B409" s="3">
        <v>44104.0</v>
      </c>
      <c r="C409" s="1" t="s">
        <v>245</v>
      </c>
      <c r="D409" s="1" t="s">
        <v>246</v>
      </c>
      <c r="F409" s="1">
        <v>8.89E8</v>
      </c>
      <c r="G409" s="1">
        <v>6.98E8</v>
      </c>
      <c r="H409" s="1">
        <v>1.291E9</v>
      </c>
      <c r="I409" s="1">
        <v>2.375E9</v>
      </c>
      <c r="J409" s="1">
        <v>0.0</v>
      </c>
      <c r="K409" s="1">
        <v>8.89E8</v>
      </c>
      <c r="M409" s="1">
        <v>1.91E8</v>
      </c>
      <c r="N409" s="1">
        <v>2.448E9</v>
      </c>
      <c r="O409" s="1">
        <v>1.559E9</v>
      </c>
      <c r="P409" s="1">
        <v>7.3E7</v>
      </c>
      <c r="Q409" s="1">
        <v>0.0</v>
      </c>
      <c r="R409" s="1">
        <v>6.98E8</v>
      </c>
      <c r="S409" s="1">
        <v>6.15E8</v>
      </c>
      <c r="W409" s="4" t="str">
        <f>Raw_Data!C408&amp;"|"&amp;Raw_Data!D408&amp;"|"&amp;TEXT(Raw_Data!B408,"yyyy-mm-dd")</f>
        <v>Charles Schwab Corporation|SCHW|2020-12-31</v>
      </c>
    </row>
    <row r="410">
      <c r="A410" s="1">
        <v>408.0</v>
      </c>
      <c r="B410" s="3">
        <v>44469.0</v>
      </c>
      <c r="C410" s="1" t="s">
        <v>247</v>
      </c>
      <c r="D410" s="1" t="s">
        <v>248</v>
      </c>
      <c r="F410" s="1">
        <v>1.754E9</v>
      </c>
      <c r="G410" s="1">
        <v>1.217E9</v>
      </c>
      <c r="H410" s="1">
        <v>9.18E8</v>
      </c>
      <c r="I410" s="1">
        <v>6.091E9</v>
      </c>
      <c r="J410" s="1">
        <v>2.903E9</v>
      </c>
      <c r="K410" s="1">
        <v>2.903E9</v>
      </c>
      <c r="L410" s="1">
        <v>-1.016E9</v>
      </c>
      <c r="M410" s="1">
        <v>3.47E8</v>
      </c>
      <c r="N410" s="1">
        <v>1.3146E10</v>
      </c>
      <c r="O410" s="1">
        <v>1.0243E10</v>
      </c>
      <c r="P410" s="1">
        <v>7.055E9</v>
      </c>
      <c r="Q410" s="1">
        <v>-1.149E9</v>
      </c>
      <c r="R410" s="1">
        <v>1.407E9</v>
      </c>
      <c r="S410" s="1">
        <v>1.217E9</v>
      </c>
      <c r="W410" s="4" t="str">
        <f>Raw_Data!C409&amp;"|"&amp;Raw_Data!D409&amp;"|"&amp;TEXT(Raw_Data!B409,"yyyy-mm-dd")</f>
        <v>Charles Schwab Corporation|SCHW|2020-09-30</v>
      </c>
    </row>
    <row r="411">
      <c r="A411" s="1">
        <v>409.0</v>
      </c>
      <c r="B411" s="3">
        <v>44377.0</v>
      </c>
      <c r="C411" s="1" t="s">
        <v>247</v>
      </c>
      <c r="D411" s="1" t="s">
        <v>248</v>
      </c>
      <c r="F411" s="1">
        <v>1.439E9</v>
      </c>
      <c r="G411" s="1">
        <v>1.02E9</v>
      </c>
      <c r="H411" s="1">
        <v>6.83E8</v>
      </c>
      <c r="I411" s="1">
        <v>5.776E9</v>
      </c>
      <c r="J411" s="1">
        <v>2.739E9</v>
      </c>
      <c r="K411" s="1">
        <v>2.739E9</v>
      </c>
      <c r="L411" s="1">
        <v>-1.004E9</v>
      </c>
      <c r="M411" s="1">
        <v>2.81E8</v>
      </c>
      <c r="N411" s="1">
        <v>1.2802E10</v>
      </c>
      <c r="O411" s="1">
        <v>1.0063E10</v>
      </c>
      <c r="P411" s="1">
        <v>7.026E9</v>
      </c>
      <c r="Q411" s="1">
        <v>-1.3E9</v>
      </c>
      <c r="R411" s="1">
        <v>1.158E9</v>
      </c>
      <c r="S411" s="1">
        <v>1.02E9</v>
      </c>
      <c r="W411" s="4" t="str">
        <f>Raw_Data!C410&amp;"|"&amp;Raw_Data!D410&amp;"|"&amp;TEXT(Raw_Data!B410,"yyyy-mm-dd")</f>
        <v>Charter Communications|CHTR|2021-09-30</v>
      </c>
    </row>
    <row r="412">
      <c r="A412" s="1">
        <v>410.0</v>
      </c>
      <c r="B412" s="3">
        <v>44286.0</v>
      </c>
      <c r="C412" s="1" t="s">
        <v>247</v>
      </c>
      <c r="D412" s="1" t="s">
        <v>248</v>
      </c>
      <c r="F412" s="1">
        <v>1.137E9</v>
      </c>
      <c r="G412" s="1">
        <v>8.07E8</v>
      </c>
      <c r="H412" s="1">
        <v>7.33E8</v>
      </c>
      <c r="I412" s="1">
        <v>5.562E9</v>
      </c>
      <c r="J412" s="1">
        <v>2.388E9</v>
      </c>
      <c r="K412" s="1">
        <v>2.388E9</v>
      </c>
      <c r="L412" s="1">
        <v>-9.83E8</v>
      </c>
      <c r="M412" s="1">
        <v>2.16E8</v>
      </c>
      <c r="N412" s="1">
        <v>1.2522E10</v>
      </c>
      <c r="O412" s="1">
        <v>1.0134E10</v>
      </c>
      <c r="P412" s="1">
        <v>6.96E9</v>
      </c>
      <c r="Q412" s="1">
        <v>-1.251E9</v>
      </c>
      <c r="R412" s="1">
        <v>9.21E8</v>
      </c>
      <c r="S412" s="1">
        <v>8.07E8</v>
      </c>
      <c r="W412" s="4" t="str">
        <f>Raw_Data!C411&amp;"|"&amp;Raw_Data!D411&amp;"|"&amp;TEXT(Raw_Data!B411,"yyyy-mm-dd")</f>
        <v>Charter Communications|CHTR|2021-06-30</v>
      </c>
    </row>
    <row r="413">
      <c r="A413" s="1">
        <v>411.0</v>
      </c>
      <c r="B413" s="3">
        <v>44196.0</v>
      </c>
      <c r="C413" s="1" t="s">
        <v>247</v>
      </c>
      <c r="D413" s="1" t="s">
        <v>248</v>
      </c>
      <c r="F413" s="1">
        <v>1.655E9</v>
      </c>
      <c r="G413" s="1">
        <v>1.246E9</v>
      </c>
      <c r="H413" s="1">
        <v>-3.613E9</v>
      </c>
      <c r="I413" s="1">
        <v>1.321E9</v>
      </c>
      <c r="J413" s="1">
        <v>2.525E9</v>
      </c>
      <c r="K413" s="1">
        <v>2.525E9</v>
      </c>
      <c r="L413" s="1">
        <v>-9.65E8</v>
      </c>
      <c r="M413" s="1">
        <v>2.54E8</v>
      </c>
      <c r="N413" s="1">
        <v>1.2624E10</v>
      </c>
      <c r="O413" s="1">
        <v>1.0099E10</v>
      </c>
      <c r="P413" s="1">
        <v>1.1303E10</v>
      </c>
      <c r="Q413" s="1">
        <v>-8.7E8</v>
      </c>
      <c r="R413" s="1">
        <v>1.401E9</v>
      </c>
      <c r="S413" s="1">
        <v>1.246E9</v>
      </c>
      <c r="W413" s="4" t="str">
        <f>Raw_Data!C412&amp;"|"&amp;Raw_Data!D412&amp;"|"&amp;TEXT(Raw_Data!B412,"yyyy-mm-dd")</f>
        <v>Charter Communications|CHTR|2021-03-31</v>
      </c>
    </row>
    <row r="414">
      <c r="A414" s="1">
        <v>412.0</v>
      </c>
      <c r="B414" s="3">
        <v>44377.0</v>
      </c>
      <c r="C414" s="1" t="s">
        <v>249</v>
      </c>
      <c r="D414" s="1" t="s">
        <v>250</v>
      </c>
      <c r="F414" s="1">
        <v>4.422E9</v>
      </c>
      <c r="G414" s="1">
        <v>3.082E9</v>
      </c>
      <c r="H414" s="1">
        <v>6.16E9</v>
      </c>
      <c r="I414" s="1">
        <v>1.5488E10</v>
      </c>
      <c r="J414" s="1">
        <v>3.131E9</v>
      </c>
      <c r="K414" s="1">
        <v>3.131E9</v>
      </c>
      <c r="L414" s="1">
        <v>-1.85E8</v>
      </c>
      <c r="M414" s="1">
        <v>1.328E9</v>
      </c>
      <c r="N414" s="1">
        <v>3.6117E10</v>
      </c>
      <c r="O414" s="1">
        <v>3.2986E10</v>
      </c>
      <c r="P414" s="1">
        <v>2.0629E10</v>
      </c>
      <c r="Q414" s="1">
        <v>1.291E9</v>
      </c>
      <c r="R414" s="1">
        <v>3.094E9</v>
      </c>
      <c r="S414" s="1">
        <v>3.082E9</v>
      </c>
      <c r="W414" s="4" t="str">
        <f>Raw_Data!C413&amp;"|"&amp;Raw_Data!D413&amp;"|"&amp;TEXT(Raw_Data!B413,"yyyy-mm-dd")</f>
        <v>Charter Communications|CHTR|2020-12-31</v>
      </c>
    </row>
    <row r="415">
      <c r="A415" s="1">
        <v>413.0</v>
      </c>
      <c r="B415" s="3">
        <v>44286.0</v>
      </c>
      <c r="C415" s="1" t="s">
        <v>249</v>
      </c>
      <c r="D415" s="1" t="s">
        <v>250</v>
      </c>
      <c r="F415" s="1">
        <v>2.177E9</v>
      </c>
      <c r="G415" s="1">
        <v>1.377E9</v>
      </c>
      <c r="H415" s="1">
        <v>6.294E9</v>
      </c>
      <c r="I415" s="1">
        <v>1.3508E10</v>
      </c>
      <c r="J415" s="1">
        <v>1.383E9</v>
      </c>
      <c r="K415" s="1">
        <v>1.383E9</v>
      </c>
      <c r="L415" s="1">
        <v>-1.98E8</v>
      </c>
      <c r="M415" s="1">
        <v>7.79E8</v>
      </c>
      <c r="N415" s="1">
        <v>3.1076E10</v>
      </c>
      <c r="O415" s="1">
        <v>2.9693E10</v>
      </c>
      <c r="P415" s="1">
        <v>1.7568E10</v>
      </c>
      <c r="Q415" s="1">
        <v>7.94E8</v>
      </c>
      <c r="R415" s="1">
        <v>1.398E9</v>
      </c>
      <c r="S415" s="1">
        <v>1.377E9</v>
      </c>
      <c r="W415" s="4" t="str">
        <f>Raw_Data!C414&amp;"|"&amp;Raw_Data!D414&amp;"|"&amp;TEXT(Raw_Data!B414,"yyyy-mm-dd")</f>
        <v>Chevron Corporation|CVX|2021-06-30</v>
      </c>
    </row>
    <row r="416">
      <c r="A416" s="1">
        <v>414.0</v>
      </c>
      <c r="B416" s="3">
        <v>44196.0</v>
      </c>
      <c r="C416" s="1" t="s">
        <v>249</v>
      </c>
      <c r="D416" s="1" t="s">
        <v>250</v>
      </c>
      <c r="F416" s="1">
        <v>-9.57E8</v>
      </c>
      <c r="G416" s="1">
        <v>-6.65E8</v>
      </c>
      <c r="H416" s="1">
        <v>5.629E9</v>
      </c>
      <c r="I416" s="1">
        <v>1.1456E10</v>
      </c>
      <c r="J416" s="1">
        <v>2.494E9</v>
      </c>
      <c r="K416" s="1">
        <v>2.494E9</v>
      </c>
      <c r="L416" s="1">
        <v>-1.99E8</v>
      </c>
      <c r="M416" s="1">
        <v>-3.01E8</v>
      </c>
      <c r="N416" s="1">
        <v>2.4843E10</v>
      </c>
      <c r="O416" s="1">
        <v>2.2349E10</v>
      </c>
      <c r="P416" s="1">
        <v>1.3387E10</v>
      </c>
      <c r="Q416" s="1">
        <v>-3.451E9</v>
      </c>
      <c r="R416" s="1">
        <v>-6.56E8</v>
      </c>
      <c r="S416" s="1">
        <v>-6.65E8</v>
      </c>
      <c r="W416" s="4" t="str">
        <f>Raw_Data!C415&amp;"|"&amp;Raw_Data!D415&amp;"|"&amp;TEXT(Raw_Data!B415,"yyyy-mm-dd")</f>
        <v>Chevron Corporation|CVX|2021-03-31</v>
      </c>
    </row>
    <row r="417">
      <c r="A417" s="1">
        <v>415.0</v>
      </c>
      <c r="B417" s="3">
        <v>44104.0</v>
      </c>
      <c r="C417" s="1" t="s">
        <v>249</v>
      </c>
      <c r="D417" s="1" t="s">
        <v>250</v>
      </c>
      <c r="F417" s="1">
        <v>-4.4E7</v>
      </c>
      <c r="G417" s="1">
        <v>-2.07E8</v>
      </c>
      <c r="H417" s="1">
        <v>5.658E9</v>
      </c>
      <c r="I417" s="1">
        <v>1.0549E10</v>
      </c>
      <c r="J417" s="1">
        <v>-3.28E8</v>
      </c>
      <c r="K417" s="1">
        <v>-3.28E8</v>
      </c>
      <c r="L417" s="1">
        <v>-1.64E8</v>
      </c>
      <c r="M417" s="1">
        <v>1.65E8</v>
      </c>
      <c r="N417" s="1">
        <v>2.3997E10</v>
      </c>
      <c r="O417" s="1">
        <v>2.4325E10</v>
      </c>
      <c r="P417" s="1">
        <v>1.3448E10</v>
      </c>
      <c r="Q417" s="1">
        <v>2.84E8</v>
      </c>
      <c r="R417" s="1">
        <v>-2.09E8</v>
      </c>
      <c r="S417" s="1">
        <v>-2.07E8</v>
      </c>
      <c r="W417" s="4" t="str">
        <f>Raw_Data!C416&amp;"|"&amp;Raw_Data!D416&amp;"|"&amp;TEXT(Raw_Data!B416,"yyyy-mm-dd")</f>
        <v>Chevron Corporation|CVX|2020-12-31</v>
      </c>
    </row>
    <row r="418">
      <c r="A418" s="1">
        <v>416.0</v>
      </c>
      <c r="B418" s="3">
        <v>44469.0</v>
      </c>
      <c r="C418" s="1" t="s">
        <v>251</v>
      </c>
      <c r="D418" s="1" t="s">
        <v>252</v>
      </c>
      <c r="F418" s="1">
        <v>2.39554E8</v>
      </c>
      <c r="G418" s="1">
        <v>2.04434E8</v>
      </c>
      <c r="H418" s="1">
        <v>1.4593E8</v>
      </c>
      <c r="I418" s="1">
        <v>7.54003E8</v>
      </c>
      <c r="J418" s="1">
        <v>2.44338E8</v>
      </c>
      <c r="K418" s="1">
        <v>2.44338E8</v>
      </c>
      <c r="L418" s="1">
        <v>-126000.0</v>
      </c>
      <c r="M418" s="1">
        <v>3.512E7</v>
      </c>
      <c r="N418" s="1">
        <v>1.952315E9</v>
      </c>
      <c r="O418" s="1">
        <v>1.707977E9</v>
      </c>
      <c r="P418" s="1">
        <v>1.198312E9</v>
      </c>
      <c r="Q418" s="1">
        <v>-4784000.0</v>
      </c>
      <c r="R418" s="1">
        <v>2.04434E8</v>
      </c>
      <c r="S418" s="1">
        <v>2.04434E8</v>
      </c>
      <c r="W418" s="4" t="str">
        <f>Raw_Data!C417&amp;"|"&amp;Raw_Data!D417&amp;"|"&amp;TEXT(Raw_Data!B417,"yyyy-mm-dd")</f>
        <v>Chevron Corporation|CVX|2020-09-30</v>
      </c>
    </row>
    <row r="419">
      <c r="A419" s="1">
        <v>417.0</v>
      </c>
      <c r="B419" s="3">
        <v>44377.0</v>
      </c>
      <c r="C419" s="1" t="s">
        <v>251</v>
      </c>
      <c r="D419" s="1" t="s">
        <v>252</v>
      </c>
      <c r="F419" s="1">
        <v>2.46376E8</v>
      </c>
      <c r="G419" s="1">
        <v>1.87974E8</v>
      </c>
      <c r="H419" s="1">
        <v>1.46044E8</v>
      </c>
      <c r="I419" s="1">
        <v>7.50124E8</v>
      </c>
      <c r="J419" s="1">
        <v>2.49791E8</v>
      </c>
      <c r="K419" s="1">
        <v>2.49791E8</v>
      </c>
      <c r="L419" s="1">
        <v>-126000.0</v>
      </c>
      <c r="M419" s="1">
        <v>5.8402E7</v>
      </c>
      <c r="N419" s="1">
        <v>1.892538E9</v>
      </c>
      <c r="O419" s="1">
        <v>1.642747E9</v>
      </c>
      <c r="P419" s="1">
        <v>1.142414E9</v>
      </c>
      <c r="Q419" s="1">
        <v>-3415000.0</v>
      </c>
      <c r="R419" s="1">
        <v>1.87974E8</v>
      </c>
      <c r="S419" s="1">
        <v>1.87974E8</v>
      </c>
      <c r="W419" s="4" t="str">
        <f>Raw_Data!C418&amp;"|"&amp;Raw_Data!D418&amp;"|"&amp;TEXT(Raw_Data!B418,"yyyy-mm-dd")</f>
        <v>Chipotle Mexican Grill|CMG|2021-09-30</v>
      </c>
    </row>
    <row r="420">
      <c r="A420" s="1">
        <v>418.0</v>
      </c>
      <c r="B420" s="3">
        <v>44286.0</v>
      </c>
      <c r="C420" s="1" t="s">
        <v>251</v>
      </c>
      <c r="D420" s="1" t="s">
        <v>252</v>
      </c>
      <c r="F420" s="1">
        <v>1.59274E8</v>
      </c>
      <c r="G420" s="1">
        <v>1.27101E8</v>
      </c>
      <c r="H420" s="1">
        <v>1.55103E8</v>
      </c>
      <c r="I420" s="1">
        <v>6.83466E8</v>
      </c>
      <c r="J420" s="1">
        <v>1.6711E8</v>
      </c>
      <c r="K420" s="1">
        <v>1.6711E8</v>
      </c>
      <c r="L420" s="1">
        <v>-2168000.0</v>
      </c>
      <c r="M420" s="1">
        <v>3.2173E7</v>
      </c>
      <c r="N420" s="1">
        <v>1.741575E9</v>
      </c>
      <c r="O420" s="1">
        <v>1.574465E9</v>
      </c>
      <c r="P420" s="1">
        <v>1.058109E9</v>
      </c>
      <c r="Q420" s="1">
        <v>-7836000.0</v>
      </c>
      <c r="R420" s="1">
        <v>1.27101E8</v>
      </c>
      <c r="S420" s="1">
        <v>1.27101E8</v>
      </c>
      <c r="W420" s="4" t="str">
        <f>Raw_Data!C419&amp;"|"&amp;Raw_Data!D419&amp;"|"&amp;TEXT(Raw_Data!B419,"yyyy-mm-dd")</f>
        <v>Chipotle Mexican Grill|CMG|2021-06-30</v>
      </c>
    </row>
    <row r="421">
      <c r="A421" s="1">
        <v>419.0</v>
      </c>
      <c r="B421" s="3">
        <v>44196.0</v>
      </c>
      <c r="C421" s="1" t="s">
        <v>251</v>
      </c>
      <c r="D421" s="1" t="s">
        <v>252</v>
      </c>
      <c r="F421" s="1">
        <v>1.17732E8</v>
      </c>
      <c r="G421" s="1">
        <v>1.90959E8</v>
      </c>
      <c r="H421" s="1">
        <v>2.76195E8</v>
      </c>
      <c r="I421" s="1">
        <v>6.01683E8</v>
      </c>
      <c r="J421" s="1">
        <v>1.31149E8</v>
      </c>
      <c r="K421" s="1">
        <v>1.31149E8</v>
      </c>
      <c r="L421" s="1">
        <v>-554000.0</v>
      </c>
      <c r="M421" s="1">
        <v>-7.3227E7</v>
      </c>
      <c r="N421" s="1">
        <v>1.60771E9</v>
      </c>
      <c r="O421" s="1">
        <v>1.476561E9</v>
      </c>
      <c r="P421" s="1">
        <v>1.006027E9</v>
      </c>
      <c r="Q421" s="1">
        <v>-1.3417E7</v>
      </c>
      <c r="R421" s="1">
        <v>1.90959E8</v>
      </c>
      <c r="S421" s="1">
        <v>1.90959E8</v>
      </c>
      <c r="W421" s="4" t="str">
        <f>Raw_Data!C420&amp;"|"&amp;Raw_Data!D420&amp;"|"&amp;TEXT(Raw_Data!B420,"yyyy-mm-dd")</f>
        <v>Chipotle Mexican Grill|CMG|2021-03-31</v>
      </c>
    </row>
    <row r="422">
      <c r="A422" s="1">
        <v>420.0</v>
      </c>
      <c r="B422" s="3">
        <v>44377.0</v>
      </c>
      <c r="C422" s="1" t="s">
        <v>253</v>
      </c>
      <c r="D422" s="1" t="s">
        <v>254</v>
      </c>
      <c r="F422" s="1">
        <v>2.582E9</v>
      </c>
      <c r="G422" s="1">
        <v>2.265E9</v>
      </c>
      <c r="H422" s="1">
        <v>7.75E8</v>
      </c>
      <c r="I422" s="1">
        <v>2.79E9</v>
      </c>
      <c r="J422" s="1">
        <v>1.93E9</v>
      </c>
      <c r="K422" s="1">
        <v>1.93E9</v>
      </c>
      <c r="L422" s="1">
        <v>-1.22E8</v>
      </c>
      <c r="M422" s="1">
        <v>3.17E8</v>
      </c>
      <c r="N422" s="1">
        <v>9.679E9</v>
      </c>
      <c r="O422" s="1">
        <v>7.749E9</v>
      </c>
      <c r="P422" s="1">
        <v>6.889E9</v>
      </c>
      <c r="Q422" s="1">
        <v>6.52E8</v>
      </c>
      <c r="R422" s="1">
        <v>2.265E9</v>
      </c>
      <c r="S422" s="1">
        <v>2.265E9</v>
      </c>
      <c r="W422" s="4" t="str">
        <f>Raw_Data!C421&amp;"|"&amp;Raw_Data!D421&amp;"|"&amp;TEXT(Raw_Data!B421,"yyyy-mm-dd")</f>
        <v>Chipotle Mexican Grill|CMG|2020-12-31</v>
      </c>
    </row>
    <row r="423">
      <c r="A423" s="1">
        <v>421.0</v>
      </c>
      <c r="B423" s="3">
        <v>44286.0</v>
      </c>
      <c r="C423" s="1" t="s">
        <v>253</v>
      </c>
      <c r="D423" s="1" t="s">
        <v>254</v>
      </c>
      <c r="F423" s="1">
        <v>2.638E9</v>
      </c>
      <c r="G423" s="1">
        <v>2.3E9</v>
      </c>
      <c r="H423" s="1">
        <v>7.44E8</v>
      </c>
      <c r="I423" s="1">
        <v>3.09E9</v>
      </c>
      <c r="J423" s="1">
        <v>2.263E9</v>
      </c>
      <c r="K423" s="1">
        <v>2.263E9</v>
      </c>
      <c r="L423" s="1">
        <v>-1.22E8</v>
      </c>
      <c r="M423" s="1">
        <v>3.38E8</v>
      </c>
      <c r="N423" s="1">
        <v>9.975E9</v>
      </c>
      <c r="O423" s="1">
        <v>7.712E9</v>
      </c>
      <c r="P423" s="1">
        <v>6.885E9</v>
      </c>
      <c r="Q423" s="1">
        <v>3.75E8</v>
      </c>
      <c r="R423" s="1">
        <v>2.3E9</v>
      </c>
      <c r="S423" s="1">
        <v>2.3E9</v>
      </c>
      <c r="W423" s="4" t="str">
        <f>Raw_Data!C422&amp;"|"&amp;Raw_Data!D422&amp;"|"&amp;TEXT(Raw_Data!B422,"yyyy-mm-dd")</f>
        <v>Chubb|CB|2021-06-30</v>
      </c>
    </row>
    <row r="424">
      <c r="A424" s="1">
        <v>422.0</v>
      </c>
      <c r="B424" s="3">
        <v>44196.0</v>
      </c>
      <c r="C424" s="1" t="s">
        <v>253</v>
      </c>
      <c r="D424" s="1" t="s">
        <v>254</v>
      </c>
      <c r="F424" s="1">
        <v>2.752E9</v>
      </c>
      <c r="G424" s="1">
        <v>2.418E9</v>
      </c>
      <c r="H424" s="1">
        <v>8.77E8</v>
      </c>
      <c r="I424" s="1">
        <v>3.256E9</v>
      </c>
      <c r="J424" s="1">
        <v>2.294E9</v>
      </c>
      <c r="K424" s="1">
        <v>2.294E9</v>
      </c>
      <c r="L424" s="1">
        <v>-1.26E8</v>
      </c>
      <c r="M424" s="1">
        <v>3.34E8</v>
      </c>
      <c r="N424" s="1">
        <v>9.898E9</v>
      </c>
      <c r="O424" s="1">
        <v>7.604E9</v>
      </c>
      <c r="P424" s="1">
        <v>6.642E9</v>
      </c>
      <c r="Q424" s="1">
        <v>4.58E8</v>
      </c>
      <c r="R424" s="1">
        <v>2.418E9</v>
      </c>
      <c r="S424" s="1">
        <v>2.418E9</v>
      </c>
      <c r="W424" s="4" t="str">
        <f>Raw_Data!C423&amp;"|"&amp;Raw_Data!D423&amp;"|"&amp;TEXT(Raw_Data!B423,"yyyy-mm-dd")</f>
        <v>Chubb|CB|2021-03-31</v>
      </c>
    </row>
    <row r="425">
      <c r="A425" s="1">
        <v>423.0</v>
      </c>
      <c r="B425" s="3">
        <v>44104.0</v>
      </c>
      <c r="C425" s="1" t="s">
        <v>253</v>
      </c>
      <c r="D425" s="1" t="s">
        <v>254</v>
      </c>
      <c r="F425" s="1">
        <v>1.336E9</v>
      </c>
      <c r="G425" s="1">
        <v>1.194E9</v>
      </c>
      <c r="H425" s="1">
        <v>7.33E8</v>
      </c>
      <c r="I425" s="1">
        <v>1.81E9</v>
      </c>
      <c r="J425" s="1">
        <v>9.87E8</v>
      </c>
      <c r="K425" s="1">
        <v>9.87E8</v>
      </c>
      <c r="L425" s="1">
        <v>-1.3E8</v>
      </c>
      <c r="M425" s="1">
        <v>1.42E8</v>
      </c>
      <c r="N425" s="1">
        <v>9.488E9</v>
      </c>
      <c r="O425" s="1">
        <v>8.501E9</v>
      </c>
      <c r="P425" s="1">
        <v>7.678E9</v>
      </c>
      <c r="Q425" s="1">
        <v>3.49E8</v>
      </c>
      <c r="R425" s="1">
        <v>1.194E9</v>
      </c>
      <c r="S425" s="1">
        <v>1.194E9</v>
      </c>
      <c r="W425" s="4" t="str">
        <f>Raw_Data!C424&amp;"|"&amp;Raw_Data!D424&amp;"|"&amp;TEXT(Raw_Data!B424,"yyyy-mm-dd")</f>
        <v>Chubb|CB|2020-12-31</v>
      </c>
    </row>
    <row r="426">
      <c r="A426" s="1">
        <v>424.0</v>
      </c>
      <c r="B426" s="3">
        <v>44469.0</v>
      </c>
      <c r="C426" s="1" t="s">
        <v>255</v>
      </c>
      <c r="D426" s="1" t="s">
        <v>256</v>
      </c>
      <c r="F426" s="1">
        <v>2.893E8</v>
      </c>
      <c r="G426" s="1">
        <v>2.304E8</v>
      </c>
      <c r="H426" s="1">
        <v>3.188E8</v>
      </c>
      <c r="I426" s="1">
        <v>5.792E8</v>
      </c>
      <c r="J426" s="1">
        <v>2.604E8</v>
      </c>
      <c r="K426" s="1">
        <v>2.604E8</v>
      </c>
      <c r="L426" s="1">
        <v>-1.34E7</v>
      </c>
      <c r="M426" s="1">
        <v>5.89E7</v>
      </c>
      <c r="N426" s="1">
        <v>1.3114E9</v>
      </c>
      <c r="O426" s="1">
        <v>1.051E9</v>
      </c>
      <c r="P426" s="1">
        <v>7.322E8</v>
      </c>
      <c r="Q426" s="1">
        <v>2.89E7</v>
      </c>
      <c r="R426" s="1">
        <v>2.304E8</v>
      </c>
      <c r="S426" s="1">
        <v>2.304E8</v>
      </c>
      <c r="W426" s="4" t="str">
        <f>Raw_Data!C425&amp;"|"&amp;Raw_Data!D425&amp;"|"&amp;TEXT(Raw_Data!B425,"yyyy-mm-dd")</f>
        <v>Chubb|CB|2020-09-30</v>
      </c>
    </row>
    <row r="427">
      <c r="A427" s="1">
        <v>425.0</v>
      </c>
      <c r="B427" s="3">
        <v>44377.0</v>
      </c>
      <c r="C427" s="1" t="s">
        <v>255</v>
      </c>
      <c r="D427" s="1" t="s">
        <v>256</v>
      </c>
      <c r="F427" s="1">
        <v>2.873E8</v>
      </c>
      <c r="G427" s="1">
        <v>2.183E8</v>
      </c>
      <c r="H427" s="1">
        <v>2.915E8</v>
      </c>
      <c r="I427" s="1">
        <v>5.522E8</v>
      </c>
      <c r="J427" s="1">
        <v>2.607E8</v>
      </c>
      <c r="K427" s="1">
        <v>2.607E8</v>
      </c>
      <c r="L427" s="1">
        <v>-1.41E7</v>
      </c>
      <c r="M427" s="1">
        <v>6.9E7</v>
      </c>
      <c r="N427" s="1">
        <v>1.2711E9</v>
      </c>
      <c r="O427" s="1">
        <v>1.0104E9</v>
      </c>
      <c r="P427" s="1">
        <v>7.189E8</v>
      </c>
      <c r="Q427" s="1">
        <v>2.66E7</v>
      </c>
      <c r="R427" s="1">
        <v>2.183E8</v>
      </c>
      <c r="S427" s="1">
        <v>2.183E8</v>
      </c>
      <c r="W427" s="4" t="str">
        <f>Raw_Data!C426&amp;"|"&amp;Raw_Data!D426&amp;"|"&amp;TEXT(Raw_Data!B426,"yyyy-mm-dd")</f>
        <v>Church &amp; Dwight|CHD|2021-09-30</v>
      </c>
    </row>
    <row r="428">
      <c r="A428" s="1">
        <v>426.0</v>
      </c>
      <c r="B428" s="3">
        <v>44286.0</v>
      </c>
      <c r="C428" s="1" t="s">
        <v>255</v>
      </c>
      <c r="D428" s="1" t="s">
        <v>256</v>
      </c>
      <c r="F428" s="1">
        <v>2.91E8</v>
      </c>
      <c r="G428" s="1">
        <v>2.207E8</v>
      </c>
      <c r="H428" s="1">
        <v>2.673E8</v>
      </c>
      <c r="I428" s="1">
        <v>5.509E8</v>
      </c>
      <c r="J428" s="1">
        <v>2.836E8</v>
      </c>
      <c r="K428" s="1">
        <v>2.836E8</v>
      </c>
      <c r="L428" s="1">
        <v>-1.4E7</v>
      </c>
      <c r="M428" s="1">
        <v>7.03E7</v>
      </c>
      <c r="N428" s="1">
        <v>1.2389E9</v>
      </c>
      <c r="O428" s="1">
        <v>9.553E8</v>
      </c>
      <c r="P428" s="1">
        <v>6.88E8</v>
      </c>
      <c r="Q428" s="1">
        <v>7400000.0</v>
      </c>
      <c r="R428" s="1">
        <v>2.207E8</v>
      </c>
      <c r="S428" s="1">
        <v>2.207E8</v>
      </c>
      <c r="W428" s="4" t="str">
        <f>Raw_Data!C427&amp;"|"&amp;Raw_Data!D427&amp;"|"&amp;TEXT(Raw_Data!B427,"yyyy-mm-dd")</f>
        <v>Church &amp; Dwight|CHD|2021-06-30</v>
      </c>
    </row>
    <row r="429">
      <c r="A429" s="1">
        <v>427.0</v>
      </c>
      <c r="B429" s="3">
        <v>44196.0</v>
      </c>
      <c r="C429" s="1" t="s">
        <v>255</v>
      </c>
      <c r="D429" s="1" t="s">
        <v>256</v>
      </c>
      <c r="F429" s="1">
        <v>1.769E8</v>
      </c>
      <c r="G429" s="1">
        <v>1.502E8</v>
      </c>
      <c r="H429" s="1">
        <v>3.888E8</v>
      </c>
      <c r="I429" s="1">
        <v>5.574E8</v>
      </c>
      <c r="J429" s="1">
        <v>1.686E8</v>
      </c>
      <c r="K429" s="1">
        <v>1.686E8</v>
      </c>
      <c r="L429" s="1">
        <v>-1.4E7</v>
      </c>
      <c r="M429" s="1">
        <v>2.67E7</v>
      </c>
      <c r="N429" s="1">
        <v>1.2953E9</v>
      </c>
      <c r="O429" s="1">
        <v>1.1267E9</v>
      </c>
      <c r="P429" s="1">
        <v>7.379E8</v>
      </c>
      <c r="Q429" s="1">
        <v>8300000.0</v>
      </c>
      <c r="R429" s="1">
        <v>1.502E8</v>
      </c>
      <c r="S429" s="1">
        <v>1.502E8</v>
      </c>
      <c r="W429" s="4" t="str">
        <f>Raw_Data!C428&amp;"|"&amp;Raw_Data!D428&amp;"|"&amp;TEXT(Raw_Data!B428,"yyyy-mm-dd")</f>
        <v>Church &amp; Dwight|CHD|2021-03-31</v>
      </c>
    </row>
    <row r="430">
      <c r="A430" s="1">
        <v>428.0</v>
      </c>
      <c r="B430" s="3">
        <v>44377.0</v>
      </c>
      <c r="C430" s="1" t="s">
        <v>257</v>
      </c>
      <c r="D430" s="1" t="s">
        <v>258</v>
      </c>
      <c r="F430" s="1">
        <v>1.898E9</v>
      </c>
      <c r="G430" s="1">
        <v>1.467E9</v>
      </c>
      <c r="H430" s="1">
        <v>3.0E9</v>
      </c>
      <c r="I430" s="1">
        <v>5.705E9</v>
      </c>
      <c r="J430" s="1">
        <v>2.202E9</v>
      </c>
      <c r="K430" s="1">
        <v>2.202E9</v>
      </c>
      <c r="L430" s="1">
        <v>-2.78E8</v>
      </c>
      <c r="M430" s="1">
        <v>4.22E8</v>
      </c>
      <c r="N430" s="1">
        <v>4.319E10</v>
      </c>
      <c r="O430" s="1">
        <v>4.0988E10</v>
      </c>
      <c r="P430" s="1">
        <v>3.7485E10</v>
      </c>
      <c r="Q430" s="1">
        <v>-3.04E8</v>
      </c>
      <c r="R430" s="1">
        <v>1.476E9</v>
      </c>
      <c r="S430" s="1">
        <v>1.467E9</v>
      </c>
      <c r="W430" s="4" t="str">
        <f>Raw_Data!C429&amp;"|"&amp;Raw_Data!D429&amp;"|"&amp;TEXT(Raw_Data!B429,"yyyy-mm-dd")</f>
        <v>Church &amp; Dwight|CHD|2020-12-31</v>
      </c>
    </row>
    <row r="431">
      <c r="A431" s="1">
        <v>429.0</v>
      </c>
      <c r="B431" s="3">
        <v>44286.0</v>
      </c>
      <c r="C431" s="1" t="s">
        <v>257</v>
      </c>
      <c r="D431" s="1" t="s">
        <v>258</v>
      </c>
      <c r="F431" s="1">
        <v>1.513E9</v>
      </c>
      <c r="G431" s="1">
        <v>1.161E9</v>
      </c>
      <c r="H431" s="1">
        <v>3.3E9</v>
      </c>
      <c r="I431" s="1">
        <v>5.732E9</v>
      </c>
      <c r="J431" s="1">
        <v>1.937E9</v>
      </c>
      <c r="K431" s="1">
        <v>1.937E9</v>
      </c>
      <c r="L431" s="1">
        <v>-2.91E8</v>
      </c>
      <c r="M431" s="1">
        <v>3.42E8</v>
      </c>
      <c r="N431" s="1">
        <v>4.0972E10</v>
      </c>
      <c r="O431" s="1">
        <v>3.9035E10</v>
      </c>
      <c r="P431" s="1">
        <v>3.524E10</v>
      </c>
      <c r="Q431" s="1">
        <v>-4.24E8</v>
      </c>
      <c r="R431" s="1">
        <v>1.171E9</v>
      </c>
      <c r="S431" s="1">
        <v>1.161E9</v>
      </c>
      <c r="W431" s="4" t="str">
        <f>Raw_Data!C430&amp;"|"&amp;Raw_Data!D430&amp;"|"&amp;TEXT(Raw_Data!B430,"yyyy-mm-dd")</f>
        <v>Cigna|CI|2021-06-30</v>
      </c>
    </row>
    <row r="432">
      <c r="A432" s="1">
        <v>430.0</v>
      </c>
      <c r="B432" s="3">
        <v>44196.0</v>
      </c>
      <c r="C432" s="1" t="s">
        <v>257</v>
      </c>
      <c r="D432" s="1" t="s">
        <v>258</v>
      </c>
      <c r="F432" s="1">
        <v>5.378E9</v>
      </c>
      <c r="G432" s="1">
        <v>4.135E9</v>
      </c>
      <c r="H432" s="1">
        <v>3.71E9</v>
      </c>
      <c r="I432" s="1">
        <v>5.973E9</v>
      </c>
      <c r="J432" s="1">
        <v>1.768E9</v>
      </c>
      <c r="K432" s="1">
        <v>1.768E9</v>
      </c>
      <c r="L432" s="1">
        <v>-3.53E8</v>
      </c>
      <c r="M432" s="1">
        <v>1.236E9</v>
      </c>
      <c r="N432" s="1">
        <v>4.1879E10</v>
      </c>
      <c r="O432" s="1">
        <v>4.0111E10</v>
      </c>
      <c r="P432" s="1">
        <v>3.5906E10</v>
      </c>
      <c r="Q432" s="1">
        <v>3.61E9</v>
      </c>
      <c r="R432" s="1">
        <v>4.142E9</v>
      </c>
      <c r="S432" s="1">
        <v>4.135E9</v>
      </c>
      <c r="W432" s="4" t="str">
        <f>Raw_Data!C431&amp;"|"&amp;Raw_Data!D431&amp;"|"&amp;TEXT(Raw_Data!B431,"yyyy-mm-dd")</f>
        <v>Cigna|CI|2021-03-31</v>
      </c>
    </row>
    <row r="433">
      <c r="A433" s="1">
        <v>431.0</v>
      </c>
      <c r="B433" s="3">
        <v>44104.0</v>
      </c>
      <c r="C433" s="1" t="s">
        <v>257</v>
      </c>
      <c r="D433" s="1" t="s">
        <v>258</v>
      </c>
      <c r="F433" s="1">
        <v>1.804E9</v>
      </c>
      <c r="G433" s="1">
        <v>1.388E9</v>
      </c>
      <c r="H433" s="1">
        <v>3.207E9</v>
      </c>
      <c r="I433" s="1">
        <v>5.934E9</v>
      </c>
      <c r="J433" s="1">
        <v>2.234E9</v>
      </c>
      <c r="K433" s="1">
        <v>2.234E9</v>
      </c>
      <c r="L433" s="1">
        <v>-3.18E8</v>
      </c>
      <c r="M433" s="1">
        <v>4.06E8</v>
      </c>
      <c r="N433" s="1">
        <v>4.0987E10</v>
      </c>
      <c r="O433" s="1">
        <v>3.8753E10</v>
      </c>
      <c r="P433" s="1">
        <v>3.5053E10</v>
      </c>
      <c r="Q433" s="1">
        <v>-4.3E8</v>
      </c>
      <c r="R433" s="1">
        <v>1.398E9</v>
      </c>
      <c r="S433" s="1">
        <v>1.388E9</v>
      </c>
      <c r="W433" s="4" t="str">
        <f>Raw_Data!C432&amp;"|"&amp;Raw_Data!D432&amp;"|"&amp;TEXT(Raw_Data!B432,"yyyy-mm-dd")</f>
        <v>Cigna|CI|2020-12-31</v>
      </c>
    </row>
    <row r="434">
      <c r="A434" s="1">
        <v>432.0</v>
      </c>
      <c r="B434" s="3">
        <v>44286.0</v>
      </c>
      <c r="C434" s="1" t="s">
        <v>259</v>
      </c>
      <c r="D434" s="1" t="s">
        <v>260</v>
      </c>
      <c r="F434" s="1">
        <v>7.68E8</v>
      </c>
      <c r="G434" s="1">
        <v>6.2E8</v>
      </c>
      <c r="I434" s="1">
        <v>8.03E8</v>
      </c>
      <c r="J434" s="1">
        <v>7.81E8</v>
      </c>
      <c r="K434" s="1">
        <v>7.81E8</v>
      </c>
      <c r="L434" s="1">
        <v>-1.3E7</v>
      </c>
      <c r="M434" s="1">
        <v>1.48E8</v>
      </c>
      <c r="N434" s="1">
        <v>2.227E9</v>
      </c>
      <c r="O434" s="1">
        <v>1.446E9</v>
      </c>
      <c r="P434" s="1">
        <v>1.424E9</v>
      </c>
      <c r="Q434" s="1">
        <v>-1.3E7</v>
      </c>
      <c r="R434" s="1">
        <v>6.2E8</v>
      </c>
      <c r="S434" s="1">
        <v>6.2E8</v>
      </c>
      <c r="W434" s="4" t="str">
        <f>Raw_Data!C433&amp;"|"&amp;Raw_Data!D433&amp;"|"&amp;TEXT(Raw_Data!B433,"yyyy-mm-dd")</f>
        <v>Cigna|CI|2020-09-30</v>
      </c>
    </row>
    <row r="435">
      <c r="A435" s="1">
        <v>433.0</v>
      </c>
      <c r="B435" s="3">
        <v>44196.0</v>
      </c>
      <c r="C435" s="1" t="s">
        <v>259</v>
      </c>
      <c r="D435" s="1" t="s">
        <v>260</v>
      </c>
      <c r="F435" s="1">
        <v>1.316E9</v>
      </c>
      <c r="G435" s="1">
        <v>1.049E9</v>
      </c>
      <c r="I435" s="1">
        <v>1.357E9</v>
      </c>
      <c r="J435" s="1">
        <v>1.33E9</v>
      </c>
      <c r="K435" s="1">
        <v>1.33E9</v>
      </c>
      <c r="L435" s="1">
        <v>-1.4E7</v>
      </c>
      <c r="M435" s="1">
        <v>2.67E8</v>
      </c>
      <c r="N435" s="1">
        <v>2.694E9</v>
      </c>
      <c r="O435" s="1">
        <v>1.364E9</v>
      </c>
      <c r="P435" s="1">
        <v>1.337E9</v>
      </c>
      <c r="Q435" s="1">
        <v>-1.4E7</v>
      </c>
      <c r="R435" s="1">
        <v>1.049E9</v>
      </c>
      <c r="S435" s="1">
        <v>1.049E9</v>
      </c>
      <c r="W435" s="4" t="str">
        <f>Raw_Data!C434&amp;"|"&amp;Raw_Data!D434&amp;"|"&amp;TEXT(Raw_Data!B434,"yyyy-mm-dd")</f>
        <v>Cincinnati Financial|CINF|2021-03-31</v>
      </c>
    </row>
    <row r="436">
      <c r="A436" s="1">
        <v>434.0</v>
      </c>
      <c r="B436" s="3">
        <v>44104.0</v>
      </c>
      <c r="C436" s="1" t="s">
        <v>259</v>
      </c>
      <c r="D436" s="1" t="s">
        <v>260</v>
      </c>
      <c r="F436" s="1">
        <v>6.14E8</v>
      </c>
      <c r="G436" s="1">
        <v>4.84E8</v>
      </c>
      <c r="I436" s="1">
        <v>6.52E8</v>
      </c>
      <c r="J436" s="1">
        <v>6.27E8</v>
      </c>
      <c r="K436" s="1">
        <v>6.27E8</v>
      </c>
      <c r="L436" s="1">
        <v>-1.3E7</v>
      </c>
      <c r="M436" s="1">
        <v>1.3E8</v>
      </c>
      <c r="N436" s="1">
        <v>2.227E9</v>
      </c>
      <c r="O436" s="1">
        <v>1.6E9</v>
      </c>
      <c r="P436" s="1">
        <v>1.575E9</v>
      </c>
      <c r="Q436" s="1">
        <v>-1.3E7</v>
      </c>
      <c r="R436" s="1">
        <v>4.84E8</v>
      </c>
      <c r="S436" s="1">
        <v>4.84E8</v>
      </c>
      <c r="W436" s="4" t="str">
        <f>Raw_Data!C435&amp;"|"&amp;Raw_Data!D435&amp;"|"&amp;TEXT(Raw_Data!B435,"yyyy-mm-dd")</f>
        <v>Cincinnati Financial|CINF|2020-12-31</v>
      </c>
    </row>
    <row r="437">
      <c r="A437" s="1">
        <v>435.0</v>
      </c>
      <c r="B437" s="3">
        <v>44012.0</v>
      </c>
      <c r="C437" s="1" t="s">
        <v>259</v>
      </c>
      <c r="D437" s="1" t="s">
        <v>260</v>
      </c>
      <c r="F437" s="1">
        <v>1.145E9</v>
      </c>
      <c r="G437" s="1">
        <v>9.09E8</v>
      </c>
      <c r="I437" s="1">
        <v>1.189E9</v>
      </c>
      <c r="J437" s="1">
        <v>1.159E9</v>
      </c>
      <c r="K437" s="1">
        <v>1.159E9</v>
      </c>
      <c r="L437" s="1">
        <v>-1.4E7</v>
      </c>
      <c r="M437" s="1">
        <v>2.36E8</v>
      </c>
      <c r="N437" s="1">
        <v>2.714E9</v>
      </c>
      <c r="O437" s="1">
        <v>1.555E9</v>
      </c>
      <c r="P437" s="1">
        <v>1.525E9</v>
      </c>
      <c r="Q437" s="1">
        <v>-1.4E7</v>
      </c>
      <c r="R437" s="1">
        <v>9.09E8</v>
      </c>
      <c r="S437" s="1">
        <v>9.09E8</v>
      </c>
      <c r="W437" s="4" t="str">
        <f>Raw_Data!C436&amp;"|"&amp;Raw_Data!D436&amp;"|"&amp;TEXT(Raw_Data!B436,"yyyy-mm-dd")</f>
        <v>Cincinnati Financial|CINF|2020-09-30</v>
      </c>
    </row>
    <row r="438">
      <c r="A438" s="1">
        <v>436.0</v>
      </c>
      <c r="B438" s="3">
        <v>44439.0</v>
      </c>
      <c r="C438" s="1" t="s">
        <v>261</v>
      </c>
      <c r="D438" s="1" t="s">
        <v>262</v>
      </c>
      <c r="F438" s="1">
        <v>3.72303E8</v>
      </c>
      <c r="G438" s="1">
        <v>3.31179E8</v>
      </c>
      <c r="H438" s="1">
        <v>5.08655E8</v>
      </c>
      <c r="I438" s="1">
        <v>9.02756E8</v>
      </c>
      <c r="J438" s="1">
        <v>3.94101E8</v>
      </c>
      <c r="K438" s="1">
        <v>3.94101E8</v>
      </c>
      <c r="L438" s="1">
        <v>-2.1854E7</v>
      </c>
      <c r="M438" s="1">
        <v>4.1124E7</v>
      </c>
      <c r="N438" s="1">
        <v>1.89695E9</v>
      </c>
      <c r="O438" s="1">
        <v>1.502849E9</v>
      </c>
      <c r="P438" s="1">
        <v>9.94194E8</v>
      </c>
      <c r="Q438" s="1">
        <v>-2.1798E7</v>
      </c>
      <c r="R438" s="1">
        <v>3.31179E8</v>
      </c>
      <c r="S438" s="1">
        <v>3.29414E8</v>
      </c>
      <c r="W438" s="4" t="str">
        <f>Raw_Data!C437&amp;"|"&amp;Raw_Data!D437&amp;"|"&amp;TEXT(Raw_Data!B437,"yyyy-mm-dd")</f>
        <v>Cincinnati Financial|CINF|2020-06-30</v>
      </c>
    </row>
    <row r="439">
      <c r="A439" s="1">
        <v>437.0</v>
      </c>
      <c r="B439" s="3">
        <v>44347.0</v>
      </c>
      <c r="C439" s="1" t="s">
        <v>261</v>
      </c>
      <c r="D439" s="1" t="s">
        <v>262</v>
      </c>
      <c r="F439" s="1">
        <v>3.31993E8</v>
      </c>
      <c r="G439" s="1">
        <v>2.67722E8</v>
      </c>
      <c r="H439" s="1">
        <v>4.9749E8</v>
      </c>
      <c r="I439" s="1">
        <v>8.5905E8</v>
      </c>
      <c r="J439" s="1">
        <v>3.6156E8</v>
      </c>
      <c r="K439" s="1">
        <v>3.6156E8</v>
      </c>
      <c r="L439" s="1">
        <v>-2.4551E7</v>
      </c>
      <c r="M439" s="1">
        <v>6.4271E7</v>
      </c>
      <c r="N439" s="1">
        <v>1.835662E9</v>
      </c>
      <c r="O439" s="1">
        <v>1.474102E9</v>
      </c>
      <c r="P439" s="1">
        <v>9.76612E8</v>
      </c>
      <c r="Q439" s="1">
        <v>-2.9567E7</v>
      </c>
      <c r="R439" s="1">
        <v>2.67722E8</v>
      </c>
      <c r="S439" s="1">
        <v>2.66007E8</v>
      </c>
      <c r="W439" s="4" t="str">
        <f>Raw_Data!C438&amp;"|"&amp;Raw_Data!D438&amp;"|"&amp;TEXT(Raw_Data!B438,"yyyy-mm-dd")</f>
        <v>Cintas Corporation|CTAS|2021-08-31</v>
      </c>
    </row>
    <row r="440">
      <c r="A440" s="1">
        <v>438.0</v>
      </c>
      <c r="B440" s="3">
        <v>44255.0</v>
      </c>
      <c r="C440" s="1" t="s">
        <v>261</v>
      </c>
      <c r="D440" s="1" t="s">
        <v>262</v>
      </c>
      <c r="F440" s="1">
        <v>3.02003E8</v>
      </c>
      <c r="G440" s="1">
        <v>2.58384E8</v>
      </c>
      <c r="H440" s="1">
        <v>4.83048E8</v>
      </c>
      <c r="I440" s="1">
        <v>8.09516E8</v>
      </c>
      <c r="J440" s="1">
        <v>3.26468E8</v>
      </c>
      <c r="K440" s="1">
        <v>3.26468E8</v>
      </c>
      <c r="L440" s="1">
        <v>-2.4552E7</v>
      </c>
      <c r="M440" s="1">
        <v>4.3619E7</v>
      </c>
      <c r="N440" s="1">
        <v>1.777056E9</v>
      </c>
      <c r="O440" s="1">
        <v>1.450588E9</v>
      </c>
      <c r="P440" s="1">
        <v>9.6754E8</v>
      </c>
      <c r="Q440" s="1">
        <v>-2.4465E7</v>
      </c>
      <c r="R440" s="1">
        <v>2.58384E8</v>
      </c>
      <c r="S440" s="1">
        <v>2.5649E8</v>
      </c>
      <c r="W440" s="4" t="str">
        <f>Raw_Data!C439&amp;"|"&amp;Raw_Data!D439&amp;"|"&amp;TEXT(Raw_Data!B439,"yyyy-mm-dd")</f>
        <v>Cintas Corporation|CTAS|2021-05-31</v>
      </c>
    </row>
    <row r="441">
      <c r="A441" s="1">
        <v>439.0</v>
      </c>
      <c r="B441" s="3">
        <v>44165.0</v>
      </c>
      <c r="C441" s="1" t="s">
        <v>261</v>
      </c>
      <c r="D441" s="1" t="s">
        <v>262</v>
      </c>
      <c r="F441" s="1">
        <v>3.28533E8</v>
      </c>
      <c r="G441" s="1">
        <v>2.84857E8</v>
      </c>
      <c r="H441" s="1">
        <v>4.67012E8</v>
      </c>
      <c r="I441" s="1">
        <v>8.19884E8</v>
      </c>
      <c r="J441" s="1">
        <v>3.52872E8</v>
      </c>
      <c r="K441" s="1">
        <v>3.52872E8</v>
      </c>
      <c r="L441" s="1">
        <v>-2.4557E7</v>
      </c>
      <c r="M441" s="1">
        <v>4.3676E7</v>
      </c>
      <c r="N441" s="1">
        <v>1.757048E9</v>
      </c>
      <c r="O441" s="1">
        <v>1.404176E9</v>
      </c>
      <c r="P441" s="1">
        <v>9.37164E8</v>
      </c>
      <c r="Q441" s="1">
        <v>-2.4339E7</v>
      </c>
      <c r="R441" s="1">
        <v>2.84857E8</v>
      </c>
      <c r="S441" s="1">
        <v>2.82842E8</v>
      </c>
      <c r="W441" s="4" t="str">
        <f>Raw_Data!C440&amp;"|"&amp;Raw_Data!D440&amp;"|"&amp;TEXT(Raw_Data!B440,"yyyy-mm-dd")</f>
        <v>Cintas Corporation|CTAS|2021-02-28</v>
      </c>
    </row>
    <row r="442">
      <c r="A442" s="1">
        <v>440.0</v>
      </c>
      <c r="B442" s="3">
        <v>44317.0</v>
      </c>
      <c r="C442" s="1" t="s">
        <v>263</v>
      </c>
      <c r="D442" s="1" t="s">
        <v>264</v>
      </c>
      <c r="E442" s="1">
        <v>1.697E9</v>
      </c>
      <c r="F442" s="1">
        <v>3.591E9</v>
      </c>
      <c r="G442" s="1">
        <v>2.863E9</v>
      </c>
      <c r="H442" s="1">
        <v>2.92E9</v>
      </c>
      <c r="I442" s="1">
        <v>8.185E9</v>
      </c>
      <c r="J442" s="1">
        <v>3.507E9</v>
      </c>
      <c r="K442" s="1">
        <v>3.507E9</v>
      </c>
      <c r="L442" s="1">
        <v>-1.11E8</v>
      </c>
      <c r="M442" s="1">
        <v>7.28E8</v>
      </c>
      <c r="N442" s="1">
        <v>1.2803E10</v>
      </c>
      <c r="O442" s="1">
        <v>9.296E9</v>
      </c>
      <c r="P442" s="1">
        <v>4.618E9</v>
      </c>
      <c r="Q442" s="1">
        <v>8.4E7</v>
      </c>
      <c r="R442" s="1">
        <v>2.863E9</v>
      </c>
      <c r="S442" s="1">
        <v>2.863E9</v>
      </c>
      <c r="W442" s="4" t="str">
        <f>Raw_Data!C441&amp;"|"&amp;Raw_Data!D441&amp;"|"&amp;TEXT(Raw_Data!B441,"yyyy-mm-dd")</f>
        <v>Cintas Corporation|CTAS|2020-11-30</v>
      </c>
    </row>
    <row r="443">
      <c r="A443" s="1">
        <v>441.0</v>
      </c>
      <c r="B443" s="3">
        <v>44219.0</v>
      </c>
      <c r="C443" s="1" t="s">
        <v>263</v>
      </c>
      <c r="D443" s="1" t="s">
        <v>264</v>
      </c>
      <c r="E443" s="1">
        <v>1.527E9</v>
      </c>
      <c r="F443" s="1">
        <v>3.255E9</v>
      </c>
      <c r="G443" s="1">
        <v>2.545E9</v>
      </c>
      <c r="H443" s="1">
        <v>2.761E9</v>
      </c>
      <c r="I443" s="1">
        <v>7.784E9</v>
      </c>
      <c r="J443" s="1">
        <v>3.457E9</v>
      </c>
      <c r="K443" s="1">
        <v>3.457E9</v>
      </c>
      <c r="L443" s="1">
        <v>-1.13E8</v>
      </c>
      <c r="M443" s="1">
        <v>7.1E8</v>
      </c>
      <c r="N443" s="1">
        <v>1.196E10</v>
      </c>
      <c r="O443" s="1">
        <v>8.503E9</v>
      </c>
      <c r="P443" s="1">
        <v>4.176E9</v>
      </c>
      <c r="Q443" s="1">
        <v>-2.02E8</v>
      </c>
      <c r="R443" s="1">
        <v>2.545E9</v>
      </c>
      <c r="S443" s="1">
        <v>2.545E9</v>
      </c>
      <c r="W443" s="4" t="str">
        <f>Raw_Data!C442&amp;"|"&amp;Raw_Data!D442&amp;"|"&amp;TEXT(Raw_Data!B442,"yyyy-mm-dd")</f>
        <v>Cisco Systems|CSCO|2021-05-01</v>
      </c>
    </row>
    <row r="444">
      <c r="A444" s="1">
        <v>442.0</v>
      </c>
      <c r="B444" s="3">
        <v>44128.0</v>
      </c>
      <c r="C444" s="1" t="s">
        <v>263</v>
      </c>
      <c r="D444" s="1" t="s">
        <v>264</v>
      </c>
      <c r="E444" s="1">
        <v>1.612E9</v>
      </c>
      <c r="F444" s="1">
        <v>2.681E9</v>
      </c>
      <c r="G444" s="1">
        <v>2.174E9</v>
      </c>
      <c r="H444" s="1">
        <v>2.757E9</v>
      </c>
      <c r="I444" s="1">
        <v>7.581E9</v>
      </c>
      <c r="J444" s="1">
        <v>3.176E9</v>
      </c>
      <c r="K444" s="1">
        <v>3.176E9</v>
      </c>
      <c r="L444" s="1">
        <v>-1.12E8</v>
      </c>
      <c r="M444" s="1">
        <v>5.07E8</v>
      </c>
      <c r="N444" s="1">
        <v>1.1929E10</v>
      </c>
      <c r="O444" s="1">
        <v>8.753E9</v>
      </c>
      <c r="P444" s="1">
        <v>4.348E9</v>
      </c>
      <c r="Q444" s="1">
        <v>-4.95E8</v>
      </c>
      <c r="R444" s="1">
        <v>2.174E9</v>
      </c>
      <c r="S444" s="1">
        <v>2.174E9</v>
      </c>
      <c r="W444" s="4" t="str">
        <f>Raw_Data!C443&amp;"|"&amp;Raw_Data!D443&amp;"|"&amp;TEXT(Raw_Data!B443,"yyyy-mm-dd")</f>
        <v>Cisco Systems|CSCO|2021-01-23</v>
      </c>
    </row>
    <row r="445">
      <c r="A445" s="1">
        <v>443.0</v>
      </c>
      <c r="B445" s="3">
        <v>44037.0</v>
      </c>
      <c r="C445" s="1" t="s">
        <v>263</v>
      </c>
      <c r="D445" s="1" t="s">
        <v>264</v>
      </c>
      <c r="E445" s="1">
        <v>1.565E9</v>
      </c>
      <c r="F445" s="1">
        <v>3.306E9</v>
      </c>
      <c r="G445" s="1">
        <v>2.636E9</v>
      </c>
      <c r="H445" s="1">
        <v>2.704E9</v>
      </c>
      <c r="I445" s="1">
        <v>7.684E9</v>
      </c>
      <c r="J445" s="1">
        <v>3.382E9</v>
      </c>
      <c r="K445" s="1">
        <v>3.382E9</v>
      </c>
      <c r="L445" s="1">
        <v>-1.19E8</v>
      </c>
      <c r="M445" s="1">
        <v>6.7E8</v>
      </c>
      <c r="N445" s="1">
        <v>1.2154E10</v>
      </c>
      <c r="O445" s="1">
        <v>8.772E9</v>
      </c>
      <c r="P445" s="1">
        <v>4.47E9</v>
      </c>
      <c r="Q445" s="1">
        <v>-7.6E7</v>
      </c>
      <c r="R445" s="1">
        <v>2.636E9</v>
      </c>
      <c r="S445" s="1">
        <v>2.636E9</v>
      </c>
      <c r="W445" s="4" t="str">
        <f>Raw_Data!C444&amp;"|"&amp;Raw_Data!D444&amp;"|"&amp;TEXT(Raw_Data!B444,"yyyy-mm-dd")</f>
        <v>Cisco Systems|CSCO|2020-10-24</v>
      </c>
    </row>
    <row r="446">
      <c r="A446" s="1">
        <v>444.0</v>
      </c>
      <c r="B446" s="3">
        <v>44377.0</v>
      </c>
      <c r="C446" s="1" t="s">
        <v>265</v>
      </c>
      <c r="D446" s="1" t="s">
        <v>266</v>
      </c>
      <c r="F446" s="1">
        <v>7.348E9</v>
      </c>
      <c r="G446" s="1">
        <v>6.193E9</v>
      </c>
      <c r="H446" s="1">
        <v>8.775E9</v>
      </c>
      <c r="I446" s="1">
        <v>1.8596E10</v>
      </c>
      <c r="J446" s="1">
        <v>0.0</v>
      </c>
      <c r="K446" s="1">
        <v>7.348E9</v>
      </c>
      <c r="M446" s="1">
        <v>1.155E9</v>
      </c>
      <c r="N446" s="1">
        <v>1.8596E10</v>
      </c>
      <c r="O446" s="1">
        <v>1.1248E10</v>
      </c>
      <c r="P446" s="1">
        <v>0.0</v>
      </c>
      <c r="Q446" s="1">
        <v>0.0</v>
      </c>
      <c r="R446" s="1">
        <v>6.193E9</v>
      </c>
      <c r="S446" s="1">
        <v>5.899E9</v>
      </c>
      <c r="W446" s="4" t="str">
        <f>Raw_Data!C445&amp;"|"&amp;Raw_Data!D445&amp;"|"&amp;TEXT(Raw_Data!B445,"yyyy-mm-dd")</f>
        <v>Cisco Systems|CSCO|2020-07-25</v>
      </c>
    </row>
    <row r="447">
      <c r="A447" s="1">
        <v>445.0</v>
      </c>
      <c r="B447" s="3">
        <v>44286.0</v>
      </c>
      <c r="C447" s="1" t="s">
        <v>265</v>
      </c>
      <c r="D447" s="1" t="s">
        <v>266</v>
      </c>
      <c r="F447" s="1">
        <v>1.0309E10</v>
      </c>
      <c r="G447" s="1">
        <v>7.942E9</v>
      </c>
      <c r="H447" s="1">
        <v>8.699E9</v>
      </c>
      <c r="I447" s="1">
        <v>2.0817E10</v>
      </c>
      <c r="J447" s="1">
        <v>0.0</v>
      </c>
      <c r="K447" s="1">
        <v>1.0309E10</v>
      </c>
      <c r="M447" s="1">
        <v>2.332E9</v>
      </c>
      <c r="N447" s="1">
        <v>2.0817E10</v>
      </c>
      <c r="O447" s="1">
        <v>1.0508E10</v>
      </c>
      <c r="P447" s="1">
        <v>0.0</v>
      </c>
      <c r="Q447" s="1">
        <v>0.0</v>
      </c>
      <c r="R447" s="1">
        <v>7.977E9</v>
      </c>
      <c r="S447" s="1">
        <v>7.584E9</v>
      </c>
      <c r="W447" s="4" t="str">
        <f>Raw_Data!C446&amp;"|"&amp;Raw_Data!D446&amp;"|"&amp;TEXT(Raw_Data!B446,"yyyy-mm-dd")</f>
        <v>Citigroup|C|2021-06-30</v>
      </c>
    </row>
    <row r="448">
      <c r="A448" s="1">
        <v>446.0</v>
      </c>
      <c r="B448" s="3">
        <v>44196.0</v>
      </c>
      <c r="C448" s="1" t="s">
        <v>265</v>
      </c>
      <c r="D448" s="1" t="s">
        <v>266</v>
      </c>
      <c r="F448" s="1">
        <v>4.998E9</v>
      </c>
      <c r="G448" s="1">
        <v>3.979E9</v>
      </c>
      <c r="H448" s="1">
        <v>8.352E9</v>
      </c>
      <c r="I448" s="1">
        <v>1.654E10</v>
      </c>
      <c r="J448" s="1">
        <v>0.0</v>
      </c>
      <c r="K448" s="1">
        <v>4.998E9</v>
      </c>
      <c r="M448" s="1">
        <v>1.003E9</v>
      </c>
      <c r="N448" s="1">
        <v>1.654E10</v>
      </c>
      <c r="O448" s="1">
        <v>1.1542E10</v>
      </c>
      <c r="P448" s="1">
        <v>0.0</v>
      </c>
      <c r="Q448" s="1">
        <v>0.0</v>
      </c>
      <c r="R448" s="1">
        <v>3.995E9</v>
      </c>
      <c r="S448" s="1">
        <v>3.689E9</v>
      </c>
      <c r="W448" s="4" t="str">
        <f>Raw_Data!C447&amp;"|"&amp;Raw_Data!D447&amp;"|"&amp;TEXT(Raw_Data!B447,"yyyy-mm-dd")</f>
        <v>Citigroup|C|2021-03-31</v>
      </c>
    </row>
    <row r="449">
      <c r="A449" s="1">
        <v>447.0</v>
      </c>
      <c r="B449" s="3">
        <v>44104.0</v>
      </c>
      <c r="C449" s="1" t="s">
        <v>265</v>
      </c>
      <c r="D449" s="1" t="s">
        <v>266</v>
      </c>
      <c r="F449" s="1">
        <v>4.076E9</v>
      </c>
      <c r="G449" s="1">
        <v>3.23E9</v>
      </c>
      <c r="H449" s="1">
        <v>8.299E9</v>
      </c>
      <c r="I449" s="1">
        <v>1.5509E10</v>
      </c>
      <c r="J449" s="1">
        <v>0.0</v>
      </c>
      <c r="K449" s="1">
        <v>4.076E9</v>
      </c>
      <c r="M449" s="1">
        <v>8.15E8</v>
      </c>
      <c r="N449" s="1">
        <v>1.5509E10</v>
      </c>
      <c r="O449" s="1">
        <v>1.1433E10</v>
      </c>
      <c r="P449" s="1">
        <v>0.0</v>
      </c>
      <c r="Q449" s="1">
        <v>0.0</v>
      </c>
      <c r="R449" s="1">
        <v>3.261E9</v>
      </c>
      <c r="S449" s="1">
        <v>2.928E9</v>
      </c>
      <c r="W449" s="4" t="str">
        <f>Raw_Data!C448&amp;"|"&amp;Raw_Data!D448&amp;"|"&amp;TEXT(Raw_Data!B448,"yyyy-mm-dd")</f>
        <v>Citigroup|C|2020-12-31</v>
      </c>
    </row>
    <row r="450">
      <c r="A450" s="1">
        <v>448.0</v>
      </c>
      <c r="B450" s="3">
        <v>44377.0</v>
      </c>
      <c r="C450" s="1" t="s">
        <v>267</v>
      </c>
      <c r="D450" s="1" t="s">
        <v>268</v>
      </c>
      <c r="F450" s="1">
        <v>8.31E8</v>
      </c>
      <c r="G450" s="1">
        <v>6.48E8</v>
      </c>
      <c r="H450" s="1">
        <v>9.29E8</v>
      </c>
      <c r="I450" s="1">
        <v>1.822E9</v>
      </c>
      <c r="J450" s="1">
        <v>0.0</v>
      </c>
      <c r="K450" s="1">
        <v>8.31E8</v>
      </c>
      <c r="M450" s="1">
        <v>1.83E8</v>
      </c>
      <c r="N450" s="1">
        <v>1.822E9</v>
      </c>
      <c r="O450" s="1">
        <v>9.91E8</v>
      </c>
      <c r="P450" s="1">
        <v>0.0</v>
      </c>
      <c r="Q450" s="1">
        <v>0.0</v>
      </c>
      <c r="R450" s="1">
        <v>6.48E8</v>
      </c>
      <c r="S450" s="1">
        <v>6.16E8</v>
      </c>
      <c r="W450" s="4" t="str">
        <f>Raw_Data!C449&amp;"|"&amp;Raw_Data!D449&amp;"|"&amp;TEXT(Raw_Data!B449,"yyyy-mm-dd")</f>
        <v>Citigroup|C|2020-09-30</v>
      </c>
    </row>
    <row r="451">
      <c r="A451" s="1">
        <v>449.0</v>
      </c>
      <c r="B451" s="3">
        <v>44286.0</v>
      </c>
      <c r="C451" s="1" t="s">
        <v>267</v>
      </c>
      <c r="D451" s="1" t="s">
        <v>268</v>
      </c>
      <c r="F451" s="1">
        <v>7.81E8</v>
      </c>
      <c r="G451" s="1">
        <v>6.11E8</v>
      </c>
      <c r="H451" s="1">
        <v>9.46E8</v>
      </c>
      <c r="I451" s="1">
        <v>1.799E9</v>
      </c>
      <c r="J451" s="1">
        <v>0.0</v>
      </c>
      <c r="K451" s="1">
        <v>7.81E8</v>
      </c>
      <c r="M451" s="1">
        <v>1.7E8</v>
      </c>
      <c r="N451" s="1">
        <v>1.799E9</v>
      </c>
      <c r="O451" s="1">
        <v>1.018E9</v>
      </c>
      <c r="P451" s="1">
        <v>0.0</v>
      </c>
      <c r="Q451" s="1">
        <v>0.0</v>
      </c>
      <c r="R451" s="1">
        <v>6.11E8</v>
      </c>
      <c r="S451" s="1">
        <v>5.88E8</v>
      </c>
      <c r="W451" s="4" t="str">
        <f>Raw_Data!C450&amp;"|"&amp;Raw_Data!D450&amp;"|"&amp;TEXT(Raw_Data!B450,"yyyy-mm-dd")</f>
        <v>Citizens Financial Group|CFG|2021-06-30</v>
      </c>
    </row>
    <row r="452">
      <c r="A452" s="1">
        <v>450.0</v>
      </c>
      <c r="B452" s="3">
        <v>44196.0</v>
      </c>
      <c r="C452" s="1" t="s">
        <v>267</v>
      </c>
      <c r="D452" s="1" t="s">
        <v>268</v>
      </c>
      <c r="F452" s="1">
        <v>5.71E8</v>
      </c>
      <c r="G452" s="1">
        <v>4.56E8</v>
      </c>
      <c r="H452" s="1">
        <v>9.35E8</v>
      </c>
      <c r="I452" s="1">
        <v>1.583E9</v>
      </c>
      <c r="J452" s="1">
        <v>0.0</v>
      </c>
      <c r="K452" s="1">
        <v>5.71E8</v>
      </c>
      <c r="M452" s="1">
        <v>1.15E8</v>
      </c>
      <c r="N452" s="1">
        <v>1.583E9</v>
      </c>
      <c r="O452" s="1">
        <v>1.012E9</v>
      </c>
      <c r="P452" s="1">
        <v>0.0</v>
      </c>
      <c r="Q452" s="1">
        <v>0.0</v>
      </c>
      <c r="R452" s="1">
        <v>4.56E8</v>
      </c>
      <c r="S452" s="1">
        <v>4.24E8</v>
      </c>
      <c r="W452" s="4" t="str">
        <f>Raw_Data!C451&amp;"|"&amp;Raw_Data!D451&amp;"|"&amp;TEXT(Raw_Data!B451,"yyyy-mm-dd")</f>
        <v>Citizens Financial Group|CFG|2021-03-31</v>
      </c>
    </row>
    <row r="453">
      <c r="A453" s="1">
        <v>451.0</v>
      </c>
      <c r="B453" s="3">
        <v>44104.0</v>
      </c>
      <c r="C453" s="1" t="s">
        <v>267</v>
      </c>
      <c r="D453" s="1" t="s">
        <v>268</v>
      </c>
      <c r="F453" s="1">
        <v>3.75E8</v>
      </c>
      <c r="G453" s="1">
        <v>3.14E8</v>
      </c>
      <c r="H453" s="1">
        <v>9.17E8</v>
      </c>
      <c r="I453" s="1">
        <v>1.363E9</v>
      </c>
      <c r="J453" s="1">
        <v>0.0</v>
      </c>
      <c r="K453" s="1">
        <v>3.75E8</v>
      </c>
      <c r="M453" s="1">
        <v>6.1E7</v>
      </c>
      <c r="N453" s="1">
        <v>1.363E9</v>
      </c>
      <c r="O453" s="1">
        <v>9.88E8</v>
      </c>
      <c r="P453" s="1">
        <v>0.0</v>
      </c>
      <c r="Q453" s="1">
        <v>0.0</v>
      </c>
      <c r="R453" s="1">
        <v>3.14E8</v>
      </c>
      <c r="S453" s="1">
        <v>2.89E8</v>
      </c>
      <c r="W453" s="4" t="str">
        <f>Raw_Data!C452&amp;"|"&amp;Raw_Data!D452&amp;"|"&amp;TEXT(Raw_Data!B452,"yyyy-mm-dd")</f>
        <v>Citizens Financial Group|CFG|2020-12-31</v>
      </c>
    </row>
    <row r="454">
      <c r="A454" s="1">
        <v>452.0</v>
      </c>
      <c r="B454" s="3">
        <v>44377.0</v>
      </c>
      <c r="C454" s="1" t="s">
        <v>269</v>
      </c>
      <c r="D454" s="1" t="s">
        <v>270</v>
      </c>
      <c r="E454" s="1">
        <v>1.46179E8</v>
      </c>
      <c r="F454" s="1">
        <v>6.8679E7</v>
      </c>
      <c r="G454" s="1">
        <v>6.2766E7</v>
      </c>
      <c r="H454" s="1">
        <v>4.00214E8</v>
      </c>
      <c r="I454" s="1">
        <v>6.70924E8</v>
      </c>
      <c r="J454" s="1">
        <v>8.4977E7</v>
      </c>
      <c r="K454" s="1">
        <v>8.4977E7</v>
      </c>
      <c r="L454" s="1">
        <v>-2.2905E7</v>
      </c>
      <c r="M454" s="1">
        <v>5913000.0</v>
      </c>
      <c r="N454" s="1">
        <v>8.12111E8</v>
      </c>
      <c r="O454" s="1">
        <v>7.27134E8</v>
      </c>
      <c r="P454" s="1">
        <v>1.41187E8</v>
      </c>
      <c r="Q454" s="1">
        <v>-1.6298E7</v>
      </c>
      <c r="R454" s="1">
        <v>6.2766E7</v>
      </c>
      <c r="S454" s="1">
        <v>6.2766E7</v>
      </c>
      <c r="W454" s="4" t="str">
        <f>Raw_Data!C453&amp;"|"&amp;Raw_Data!D453&amp;"|"&amp;TEXT(Raw_Data!B453,"yyyy-mm-dd")</f>
        <v>Citizens Financial Group|CFG|2020-09-30</v>
      </c>
    </row>
    <row r="455">
      <c r="A455" s="1">
        <v>453.0</v>
      </c>
      <c r="B455" s="3">
        <v>44286.0</v>
      </c>
      <c r="C455" s="1" t="s">
        <v>269</v>
      </c>
      <c r="D455" s="1" t="s">
        <v>270</v>
      </c>
      <c r="E455" s="1">
        <v>1.44158E8</v>
      </c>
      <c r="F455" s="1">
        <v>8.119E7</v>
      </c>
      <c r="G455" s="1">
        <v>9.0048E7</v>
      </c>
      <c r="H455" s="1">
        <v>3.72774E8</v>
      </c>
      <c r="I455" s="1">
        <v>6.43306E8</v>
      </c>
      <c r="J455" s="1">
        <v>1.07833E8</v>
      </c>
      <c r="K455" s="1">
        <v>1.07833E8</v>
      </c>
      <c r="L455" s="1">
        <v>-2.436E7</v>
      </c>
      <c r="M455" s="1">
        <v>-8858000.0</v>
      </c>
      <c r="N455" s="1">
        <v>7.75766E8</v>
      </c>
      <c r="O455" s="1">
        <v>6.67933E8</v>
      </c>
      <c r="P455" s="1">
        <v>1.3246E8</v>
      </c>
      <c r="Q455" s="1">
        <v>-2.6643E7</v>
      </c>
      <c r="R455" s="1">
        <v>9.0048E7</v>
      </c>
      <c r="S455" s="1">
        <v>9.0048E7</v>
      </c>
      <c r="W455" s="4" t="str">
        <f>Raw_Data!C454&amp;"|"&amp;Raw_Data!D454&amp;"|"&amp;TEXT(Raw_Data!B454,"yyyy-mm-dd")</f>
        <v>Citrix Systems|CTXS|2021-06-30</v>
      </c>
    </row>
    <row r="456">
      <c r="A456" s="1">
        <v>454.0</v>
      </c>
      <c r="B456" s="3">
        <v>44196.0</v>
      </c>
      <c r="C456" s="1" t="s">
        <v>269</v>
      </c>
      <c r="D456" s="1" t="s">
        <v>270</v>
      </c>
      <c r="E456" s="1">
        <v>1.32517E8</v>
      </c>
      <c r="F456" s="1">
        <v>1.19148E8</v>
      </c>
      <c r="G456" s="1">
        <v>1.12091E8</v>
      </c>
      <c r="H456" s="1">
        <v>4.07709E8</v>
      </c>
      <c r="I456" s="1">
        <v>6.84118E8</v>
      </c>
      <c r="J456" s="1">
        <v>1.35285E8</v>
      </c>
      <c r="K456" s="1">
        <v>1.35285E8</v>
      </c>
      <c r="L456" s="1">
        <v>-1.6361E7</v>
      </c>
      <c r="M456" s="1">
        <v>7057000.0</v>
      </c>
      <c r="N456" s="1">
        <v>8.09656E8</v>
      </c>
      <c r="O456" s="1">
        <v>6.74371E8</v>
      </c>
      <c r="P456" s="1">
        <v>1.25538E8</v>
      </c>
      <c r="Q456" s="1">
        <v>-1.6137E7</v>
      </c>
      <c r="R456" s="1">
        <v>1.12091E8</v>
      </c>
      <c r="S456" s="1">
        <v>1.12091E8</v>
      </c>
      <c r="W456" s="4" t="str">
        <f>Raw_Data!C455&amp;"|"&amp;Raw_Data!D455&amp;"|"&amp;TEXT(Raw_Data!B455,"yyyy-mm-dd")</f>
        <v>Citrix Systems|CTXS|2021-03-31</v>
      </c>
    </row>
    <row r="457">
      <c r="A457" s="1">
        <v>455.0</v>
      </c>
      <c r="B457" s="3">
        <v>44104.0</v>
      </c>
      <c r="C457" s="1" t="s">
        <v>269</v>
      </c>
      <c r="D457" s="1" t="s">
        <v>270</v>
      </c>
      <c r="E457" s="1">
        <v>1.30628E8</v>
      </c>
      <c r="F457" s="1">
        <v>1.15998E8</v>
      </c>
      <c r="G457" s="1">
        <v>9.8227E7</v>
      </c>
      <c r="H457" s="1">
        <v>3.8025E8</v>
      </c>
      <c r="I457" s="1">
        <v>6.48177E8</v>
      </c>
      <c r="J457" s="1">
        <v>1.28305E8</v>
      </c>
      <c r="K457" s="1">
        <v>1.28305E8</v>
      </c>
      <c r="L457" s="1">
        <v>-1.6639E7</v>
      </c>
      <c r="M457" s="1">
        <v>1.7771E7</v>
      </c>
      <c r="N457" s="1">
        <v>7.6717E8</v>
      </c>
      <c r="O457" s="1">
        <v>6.38865E8</v>
      </c>
      <c r="P457" s="1">
        <v>1.18993E8</v>
      </c>
      <c r="Q457" s="1">
        <v>-1.2307E7</v>
      </c>
      <c r="R457" s="1">
        <v>9.8227E7</v>
      </c>
      <c r="S457" s="1">
        <v>9.8227E7</v>
      </c>
      <c r="W457" s="4" t="str">
        <f>Raw_Data!C456&amp;"|"&amp;Raw_Data!D456&amp;"|"&amp;TEXT(Raw_Data!B456,"yyyy-mm-dd")</f>
        <v>Citrix Systems|CTXS|2020-12-31</v>
      </c>
    </row>
    <row r="458">
      <c r="A458" s="1">
        <v>456.0</v>
      </c>
      <c r="B458" s="3">
        <v>44377.0</v>
      </c>
      <c r="C458" s="1" t="s">
        <v>271</v>
      </c>
      <c r="D458" s="1" t="s">
        <v>272</v>
      </c>
      <c r="E458" s="1">
        <v>4.5E7</v>
      </c>
      <c r="F458" s="1">
        <v>1.01E8</v>
      </c>
      <c r="G458" s="1">
        <v>9.7E7</v>
      </c>
      <c r="H458" s="1">
        <v>4.91E8</v>
      </c>
      <c r="I458" s="1">
        <v>6.68E8</v>
      </c>
      <c r="J458" s="1">
        <v>1.01E8</v>
      </c>
      <c r="K458" s="1">
        <v>1.01E8</v>
      </c>
      <c r="L458" s="1">
        <v>-2.5E7</v>
      </c>
      <c r="M458" s="1">
        <v>1000000.0</v>
      </c>
      <c r="N458" s="1">
        <v>1.802E9</v>
      </c>
      <c r="O458" s="1">
        <v>1.701E9</v>
      </c>
      <c r="P458" s="1">
        <v>1.134E9</v>
      </c>
      <c r="Q458" s="1">
        <v>0.0</v>
      </c>
      <c r="R458" s="1">
        <v>1.0E8</v>
      </c>
      <c r="S458" s="1">
        <v>9.7E7</v>
      </c>
      <c r="W458" s="4" t="str">
        <f>Raw_Data!C457&amp;"|"&amp;Raw_Data!D457&amp;"|"&amp;TEXT(Raw_Data!B457,"yyyy-mm-dd")</f>
        <v>Citrix Systems|CTXS|2020-09-30</v>
      </c>
    </row>
    <row r="459">
      <c r="A459" s="1">
        <v>457.0</v>
      </c>
      <c r="B459" s="3">
        <v>44286.0</v>
      </c>
      <c r="C459" s="1" t="s">
        <v>271</v>
      </c>
      <c r="D459" s="1" t="s">
        <v>272</v>
      </c>
      <c r="E459" s="1">
        <v>3.2E7</v>
      </c>
      <c r="F459" s="1">
        <v>-5.9E7</v>
      </c>
      <c r="G459" s="1">
        <v>-6.1E7</v>
      </c>
      <c r="H459" s="1">
        <v>4.4E8</v>
      </c>
      <c r="I459" s="1">
        <v>7.74E8</v>
      </c>
      <c r="J459" s="1">
        <v>2.95E8</v>
      </c>
      <c r="K459" s="1">
        <v>2.95E8</v>
      </c>
      <c r="L459" s="1">
        <v>-2.5E7</v>
      </c>
      <c r="M459" s="1">
        <v>0.0</v>
      </c>
      <c r="N459" s="1">
        <v>1.781E9</v>
      </c>
      <c r="O459" s="1">
        <v>1.486E9</v>
      </c>
      <c r="P459" s="1">
        <v>1.007E9</v>
      </c>
      <c r="Q459" s="1">
        <v>-3.54E8</v>
      </c>
      <c r="R459" s="1">
        <v>-5.9E7</v>
      </c>
      <c r="S459" s="1">
        <v>-6.1E7</v>
      </c>
      <c r="W459" s="4" t="str">
        <f>Raw_Data!C458&amp;"|"&amp;Raw_Data!D458&amp;"|"&amp;TEXT(Raw_Data!B458,"yyyy-mm-dd")</f>
        <v>Clorox|CLX|2021-06-30</v>
      </c>
    </row>
    <row r="460">
      <c r="A460" s="1">
        <v>458.0</v>
      </c>
      <c r="B460" s="3">
        <v>44196.0</v>
      </c>
      <c r="C460" s="1" t="s">
        <v>271</v>
      </c>
      <c r="D460" s="1" t="s">
        <v>272</v>
      </c>
      <c r="E460" s="1">
        <v>4.0E7</v>
      </c>
      <c r="F460" s="1">
        <v>3.32E8</v>
      </c>
      <c r="G460" s="1">
        <v>2.59E8</v>
      </c>
      <c r="H460" s="1">
        <v>4.58E8</v>
      </c>
      <c r="I460" s="1">
        <v>8.37E8</v>
      </c>
      <c r="J460" s="1">
        <v>3.56E8</v>
      </c>
      <c r="K460" s="1">
        <v>3.56E8</v>
      </c>
      <c r="L460" s="1">
        <v>-2.4E7</v>
      </c>
      <c r="M460" s="1">
        <v>7.1E7</v>
      </c>
      <c r="N460" s="1">
        <v>1.842E9</v>
      </c>
      <c r="O460" s="1">
        <v>1.486E9</v>
      </c>
      <c r="P460" s="1">
        <v>1.005E9</v>
      </c>
      <c r="Q460" s="1">
        <v>-2.4E7</v>
      </c>
      <c r="R460" s="1">
        <v>2.61E8</v>
      </c>
      <c r="S460" s="1">
        <v>2.59E8</v>
      </c>
      <c r="W460" s="4" t="str">
        <f>Raw_Data!C459&amp;"|"&amp;Raw_Data!D459&amp;"|"&amp;TEXT(Raw_Data!B459,"yyyy-mm-dd")</f>
        <v>Clorox|CLX|2021-03-31</v>
      </c>
    </row>
    <row r="461">
      <c r="A461" s="1">
        <v>459.0</v>
      </c>
      <c r="B461" s="3">
        <v>44104.0</v>
      </c>
      <c r="C461" s="1" t="s">
        <v>271</v>
      </c>
      <c r="D461" s="1" t="s">
        <v>272</v>
      </c>
      <c r="E461" s="1">
        <v>3.2E7</v>
      </c>
      <c r="F461" s="1">
        <v>5.26E8</v>
      </c>
      <c r="G461" s="1">
        <v>4.15E8</v>
      </c>
      <c r="H461" s="1">
        <v>4.2E8</v>
      </c>
      <c r="I461" s="1">
        <v>9.2E8</v>
      </c>
      <c r="J461" s="1">
        <v>4.66E8</v>
      </c>
      <c r="K461" s="1">
        <v>4.66E8</v>
      </c>
      <c r="L461" s="1">
        <v>-2.5E7</v>
      </c>
      <c r="M461" s="1">
        <v>1.09E8</v>
      </c>
      <c r="N461" s="1">
        <v>1.916E9</v>
      </c>
      <c r="O461" s="1">
        <v>1.45E9</v>
      </c>
      <c r="P461" s="1">
        <v>9.96E8</v>
      </c>
      <c r="Q461" s="1">
        <v>6.0E7</v>
      </c>
      <c r="R461" s="1">
        <v>4.17E8</v>
      </c>
      <c r="S461" s="1">
        <v>4.15E8</v>
      </c>
      <c r="W461" s="4" t="str">
        <f>Raw_Data!C460&amp;"|"&amp;Raw_Data!D460&amp;"|"&amp;TEXT(Raw_Data!B460,"yyyy-mm-dd")</f>
        <v>Clorox|CLX|2020-12-31</v>
      </c>
    </row>
    <row r="462">
      <c r="A462" s="1">
        <v>460.0</v>
      </c>
      <c r="B462" s="3">
        <v>44377.0</v>
      </c>
      <c r="C462" s="1" t="s">
        <v>273</v>
      </c>
      <c r="D462" s="1" t="s">
        <v>274</v>
      </c>
      <c r="F462" s="1">
        <v>7.261E8</v>
      </c>
      <c r="G462" s="1">
        <v>5.103E8</v>
      </c>
      <c r="H462" s="1">
        <v>3.685E8</v>
      </c>
      <c r="I462" s="1">
        <v>1.1768E9</v>
      </c>
      <c r="J462" s="1">
        <v>6.747E8</v>
      </c>
      <c r="K462" s="1">
        <v>6.747E8</v>
      </c>
      <c r="L462" s="1">
        <v>-4.17E7</v>
      </c>
      <c r="M462" s="1">
        <v>2.155E8</v>
      </c>
      <c r="N462" s="1">
        <v>1.1768E9</v>
      </c>
      <c r="O462" s="1">
        <v>5.021E8</v>
      </c>
      <c r="P462" s="1">
        <v>0.0</v>
      </c>
      <c r="Q462" s="1">
        <v>5.14E7</v>
      </c>
      <c r="R462" s="1">
        <v>5.106E8</v>
      </c>
      <c r="S462" s="1">
        <v>5.103E8</v>
      </c>
      <c r="W462" s="4" t="str">
        <f>Raw_Data!C461&amp;"|"&amp;Raw_Data!D461&amp;"|"&amp;TEXT(Raw_Data!B461,"yyyy-mm-dd")</f>
        <v>Clorox|CLX|2020-09-30</v>
      </c>
    </row>
    <row r="463">
      <c r="A463" s="1">
        <v>461.0</v>
      </c>
      <c r="B463" s="3">
        <v>44286.0</v>
      </c>
      <c r="C463" s="1" t="s">
        <v>273</v>
      </c>
      <c r="D463" s="1" t="s">
        <v>274</v>
      </c>
      <c r="F463" s="1">
        <v>7.523E8</v>
      </c>
      <c r="G463" s="1">
        <v>5.744E8</v>
      </c>
      <c r="H463" s="1">
        <v>3.923E8</v>
      </c>
      <c r="I463" s="1">
        <v>1.2508E9</v>
      </c>
      <c r="J463" s="1">
        <v>7.251E8</v>
      </c>
      <c r="K463" s="1">
        <v>7.251E8</v>
      </c>
      <c r="L463" s="1">
        <v>-4.15E7</v>
      </c>
      <c r="M463" s="1">
        <v>1.775E8</v>
      </c>
      <c r="N463" s="1">
        <v>1.2508E9</v>
      </c>
      <c r="O463" s="1">
        <v>5.257E8</v>
      </c>
      <c r="P463" s="1">
        <v>0.0</v>
      </c>
      <c r="Q463" s="1">
        <v>2.72E7</v>
      </c>
      <c r="R463" s="1">
        <v>5.748E8</v>
      </c>
      <c r="S463" s="1">
        <v>5.744E8</v>
      </c>
      <c r="W463" s="4" t="str">
        <f>Raw_Data!C462&amp;"|"&amp;Raw_Data!D462&amp;"|"&amp;TEXT(Raw_Data!B462,"yyyy-mm-dd")</f>
        <v>CME Group|CME|2021-06-30</v>
      </c>
    </row>
    <row r="464">
      <c r="A464" s="1">
        <v>462.0</v>
      </c>
      <c r="B464" s="3">
        <v>44196.0</v>
      </c>
      <c r="C464" s="1" t="s">
        <v>273</v>
      </c>
      <c r="D464" s="1" t="s">
        <v>274</v>
      </c>
      <c r="F464" s="1">
        <v>5.35E8</v>
      </c>
      <c r="G464" s="1">
        <v>4.24E8</v>
      </c>
      <c r="H464" s="1">
        <v>3.94E8</v>
      </c>
      <c r="I464" s="1">
        <v>1.0953E9</v>
      </c>
      <c r="J464" s="1">
        <v>5.51E8</v>
      </c>
      <c r="K464" s="1">
        <v>5.51E8</v>
      </c>
      <c r="L464" s="1">
        <v>-4.17E7</v>
      </c>
      <c r="M464" s="1">
        <v>1.102E8</v>
      </c>
      <c r="N464" s="1">
        <v>1.0953E9</v>
      </c>
      <c r="O464" s="1">
        <v>5.443E8</v>
      </c>
      <c r="P464" s="1">
        <v>0.0</v>
      </c>
      <c r="Q464" s="1">
        <v>-1.6E7</v>
      </c>
      <c r="R464" s="1">
        <v>4.248E8</v>
      </c>
      <c r="S464" s="1">
        <v>4.24E8</v>
      </c>
      <c r="W464" s="4" t="str">
        <f>Raw_Data!C463&amp;"|"&amp;Raw_Data!D463&amp;"|"&amp;TEXT(Raw_Data!B463,"yyyy-mm-dd")</f>
        <v>CME Group|CME|2021-03-31</v>
      </c>
    </row>
    <row r="465">
      <c r="A465" s="1">
        <v>463.0</v>
      </c>
      <c r="B465" s="3">
        <v>44104.0</v>
      </c>
      <c r="C465" s="1" t="s">
        <v>273</v>
      </c>
      <c r="D465" s="1" t="s">
        <v>274</v>
      </c>
      <c r="F465" s="1">
        <v>5.365E8</v>
      </c>
      <c r="G465" s="1">
        <v>4.117E8</v>
      </c>
      <c r="H465" s="1">
        <v>3.885E8</v>
      </c>
      <c r="I465" s="1">
        <v>1.0773E9</v>
      </c>
      <c r="J465" s="1">
        <v>5.25E8</v>
      </c>
      <c r="K465" s="1">
        <v>5.25E8</v>
      </c>
      <c r="L465" s="1">
        <v>-4.17E7</v>
      </c>
      <c r="M465" s="1">
        <v>1.25E8</v>
      </c>
      <c r="N465" s="1">
        <v>1.0773E9</v>
      </c>
      <c r="O465" s="1">
        <v>5.523E8</v>
      </c>
      <c r="P465" s="1">
        <v>0.0</v>
      </c>
      <c r="Q465" s="1">
        <v>1.15E7</v>
      </c>
      <c r="R465" s="1">
        <v>4.115E8</v>
      </c>
      <c r="S465" s="1">
        <v>4.117E8</v>
      </c>
      <c r="W465" s="4" t="str">
        <f>Raw_Data!C464&amp;"|"&amp;Raw_Data!D464&amp;"|"&amp;TEXT(Raw_Data!B464,"yyyy-mm-dd")</f>
        <v>CME Group|CME|2020-12-31</v>
      </c>
    </row>
    <row r="466">
      <c r="A466" s="1">
        <v>464.0</v>
      </c>
      <c r="B466" s="3">
        <v>44469.0</v>
      </c>
      <c r="C466" s="1" t="s">
        <v>275</v>
      </c>
      <c r="D466" s="1" t="s">
        <v>276</v>
      </c>
      <c r="F466" s="1">
        <v>1.79E8</v>
      </c>
      <c r="G466" s="1">
        <v>1.89E8</v>
      </c>
      <c r="H466" s="1">
        <v>-4.0E7</v>
      </c>
      <c r="I466" s="1">
        <v>5.91E8</v>
      </c>
      <c r="J466" s="1">
        <v>3.0E8</v>
      </c>
      <c r="K466" s="1">
        <v>3.0E8</v>
      </c>
      <c r="L466" s="1">
        <v>-1.26E8</v>
      </c>
      <c r="M466" s="1">
        <v>2.6E7</v>
      </c>
      <c r="N466" s="1">
        <v>1.725E9</v>
      </c>
      <c r="O466" s="1">
        <v>1.425E9</v>
      </c>
      <c r="P466" s="1">
        <v>1.134E9</v>
      </c>
      <c r="Q466" s="1">
        <v>-1.21E8</v>
      </c>
      <c r="R466" s="1">
        <v>1.53E8</v>
      </c>
      <c r="S466" s="1">
        <v>1.86E8</v>
      </c>
      <c r="W466" s="4" t="str">
        <f>Raw_Data!C465&amp;"|"&amp;Raw_Data!D465&amp;"|"&amp;TEXT(Raw_Data!B465,"yyyy-mm-dd")</f>
        <v>CME Group|CME|2020-09-30</v>
      </c>
    </row>
    <row r="467">
      <c r="A467" s="1">
        <v>465.0</v>
      </c>
      <c r="B467" s="3">
        <v>44377.0</v>
      </c>
      <c r="C467" s="1" t="s">
        <v>275</v>
      </c>
      <c r="D467" s="1" t="s">
        <v>276</v>
      </c>
      <c r="F467" s="1">
        <v>1.75E8</v>
      </c>
      <c r="G467" s="1">
        <v>1.76E8</v>
      </c>
      <c r="H467" s="1">
        <v>-4.0E7</v>
      </c>
      <c r="I467" s="1">
        <v>5.83E8</v>
      </c>
      <c r="J467" s="1">
        <v>2.92E8</v>
      </c>
      <c r="K467" s="1">
        <v>2.92E8</v>
      </c>
      <c r="L467" s="1">
        <v>-1.25E8</v>
      </c>
      <c r="M467" s="1">
        <v>2.2E7</v>
      </c>
      <c r="N467" s="1">
        <v>1.558E9</v>
      </c>
      <c r="O467" s="1">
        <v>1.266E9</v>
      </c>
      <c r="P467" s="1">
        <v>9.75E8</v>
      </c>
      <c r="Q467" s="1">
        <v>-1.17E8</v>
      </c>
      <c r="R467" s="1">
        <v>1.53E8</v>
      </c>
      <c r="S467" s="1">
        <v>1.76E8</v>
      </c>
      <c r="W467" s="4" t="str">
        <f>Raw_Data!C466&amp;"|"&amp;Raw_Data!D466&amp;"|"&amp;TEXT(Raw_Data!B466,"yyyy-mm-dd")</f>
        <v>CMS Energy|CMS|2021-09-30</v>
      </c>
    </row>
    <row r="468">
      <c r="A468" s="1">
        <v>466.0</v>
      </c>
      <c r="B468" s="3">
        <v>44286.0</v>
      </c>
      <c r="C468" s="1" t="s">
        <v>275</v>
      </c>
      <c r="D468" s="1" t="s">
        <v>276</v>
      </c>
      <c r="F468" s="1">
        <v>3.5E8</v>
      </c>
      <c r="G468" s="1">
        <v>3.49E8</v>
      </c>
      <c r="H468" s="1">
        <v>-4.1E7</v>
      </c>
      <c r="I468" s="1">
        <v>8.87E8</v>
      </c>
      <c r="J468" s="1">
        <v>4.68E8</v>
      </c>
      <c r="K468" s="1">
        <v>4.68E8</v>
      </c>
      <c r="L468" s="1">
        <v>-1.25E8</v>
      </c>
      <c r="M468" s="1">
        <v>4.2E7</v>
      </c>
      <c r="N468" s="1">
        <v>2.013E9</v>
      </c>
      <c r="O468" s="1">
        <v>1.545E9</v>
      </c>
      <c r="P468" s="1">
        <v>1.126E9</v>
      </c>
      <c r="Q468" s="1">
        <v>-1.18E8</v>
      </c>
      <c r="R468" s="1">
        <v>3.08E8</v>
      </c>
      <c r="S468" s="1">
        <v>3.49E8</v>
      </c>
      <c r="W468" s="4" t="str">
        <f>Raw_Data!C467&amp;"|"&amp;Raw_Data!D467&amp;"|"&amp;TEXT(Raw_Data!B467,"yyyy-mm-dd")</f>
        <v>CMS Energy|CMS|2021-06-30</v>
      </c>
    </row>
    <row r="469">
      <c r="A469" s="1">
        <v>467.0</v>
      </c>
      <c r="B469" s="3">
        <v>44196.0</v>
      </c>
      <c r="C469" s="1" t="s">
        <v>275</v>
      </c>
      <c r="D469" s="1" t="s">
        <v>276</v>
      </c>
      <c r="F469" s="1">
        <v>1.97E8</v>
      </c>
      <c r="G469" s="1">
        <v>1.58E8</v>
      </c>
      <c r="H469" s="1">
        <v>-2.8E7</v>
      </c>
      <c r="I469" s="1">
        <v>7.28E8</v>
      </c>
      <c r="J469" s="1">
        <v>3.8E8</v>
      </c>
      <c r="K469" s="1">
        <v>3.8E8</v>
      </c>
      <c r="L469" s="1">
        <v>-1.4E8</v>
      </c>
      <c r="M469" s="1">
        <v>3.5E7</v>
      </c>
      <c r="N469" s="1">
        <v>1.798E9</v>
      </c>
      <c r="O469" s="1">
        <v>1.418E9</v>
      </c>
      <c r="P469" s="1">
        <v>1.07E9</v>
      </c>
      <c r="Q469" s="1">
        <v>-1.83E8</v>
      </c>
      <c r="R469" s="1">
        <v>1.62E8</v>
      </c>
      <c r="S469" s="1">
        <v>1.58E8</v>
      </c>
      <c r="W469" s="4" t="str">
        <f>Raw_Data!C468&amp;"|"&amp;Raw_Data!D468&amp;"|"&amp;TEXT(Raw_Data!B468,"yyyy-mm-dd")</f>
        <v>CMS Energy|CMS|2021-03-31</v>
      </c>
    </row>
    <row r="470">
      <c r="A470" s="1">
        <v>468.0</v>
      </c>
      <c r="B470" s="3">
        <v>44379.0</v>
      </c>
      <c r="C470" s="1" t="s">
        <v>277</v>
      </c>
      <c r="D470" s="1" t="s">
        <v>278</v>
      </c>
      <c r="F470" s="1">
        <v>3.618E9</v>
      </c>
      <c r="G470" s="1">
        <v>2.641E9</v>
      </c>
      <c r="H470" s="1">
        <v>2.944E9</v>
      </c>
      <c r="I470" s="1">
        <v>6.342E9</v>
      </c>
      <c r="J470" s="1">
        <v>3.398E9</v>
      </c>
      <c r="K470" s="1">
        <v>3.398E9</v>
      </c>
      <c r="L470" s="1">
        <v>-7.8E8</v>
      </c>
      <c r="M470" s="1">
        <v>9.94E8</v>
      </c>
      <c r="N470" s="1">
        <v>1.0129E10</v>
      </c>
      <c r="O470" s="1">
        <v>6.731E9</v>
      </c>
      <c r="P470" s="1">
        <v>3.787E9</v>
      </c>
      <c r="Q470" s="1">
        <v>2.2E8</v>
      </c>
      <c r="R470" s="1">
        <v>2.624E9</v>
      </c>
      <c r="S470" s="1">
        <v>2.641E9</v>
      </c>
      <c r="W470" s="4" t="str">
        <f>Raw_Data!C469&amp;"|"&amp;Raw_Data!D469&amp;"|"&amp;TEXT(Raw_Data!B469,"yyyy-mm-dd")</f>
        <v>CMS Energy|CMS|2020-12-31</v>
      </c>
    </row>
    <row r="471">
      <c r="A471" s="1">
        <v>469.0</v>
      </c>
      <c r="B471" s="3">
        <v>44288.0</v>
      </c>
      <c r="C471" s="1" t="s">
        <v>277</v>
      </c>
      <c r="D471" s="1" t="s">
        <v>278</v>
      </c>
      <c r="F471" s="1">
        <v>2.763E9</v>
      </c>
      <c r="G471" s="1">
        <v>2.245E9</v>
      </c>
      <c r="H471" s="1">
        <v>2.609E9</v>
      </c>
      <c r="I471" s="1">
        <v>5.515E9</v>
      </c>
      <c r="J471" s="1">
        <v>2.906E9</v>
      </c>
      <c r="K471" s="1">
        <v>2.906E9</v>
      </c>
      <c r="L471" s="1">
        <v>-4.42E8</v>
      </c>
      <c r="M471" s="1">
        <v>5.08E8</v>
      </c>
      <c r="N471" s="1">
        <v>9.02E9</v>
      </c>
      <c r="O471" s="1">
        <v>6.114E9</v>
      </c>
      <c r="P471" s="1">
        <v>3.505E9</v>
      </c>
      <c r="Q471" s="1">
        <v>-1.43E8</v>
      </c>
      <c r="R471" s="1">
        <v>2.255E9</v>
      </c>
      <c r="S471" s="1">
        <v>2.245E9</v>
      </c>
      <c r="W471" s="4" t="str">
        <f>Raw_Data!C470&amp;"|"&amp;Raw_Data!D470&amp;"|"&amp;TEXT(Raw_Data!B470,"yyyy-mm-dd")</f>
        <v>Coca-Cola Company|KO|2021-07-02</v>
      </c>
    </row>
    <row r="472">
      <c r="A472" s="1">
        <v>470.0</v>
      </c>
      <c r="B472" s="3">
        <v>44196.0</v>
      </c>
      <c r="C472" s="1" t="s">
        <v>277</v>
      </c>
      <c r="D472" s="1" t="s">
        <v>278</v>
      </c>
      <c r="F472" s="1">
        <v>2.361E9</v>
      </c>
      <c r="G472" s="1">
        <v>1.456E9</v>
      </c>
      <c r="H472" s="1">
        <v>2.566E9</v>
      </c>
      <c r="I472" s="1">
        <v>5.033E9</v>
      </c>
      <c r="J472" s="1">
        <v>2.445E9</v>
      </c>
      <c r="K472" s="1">
        <v>2.445E9</v>
      </c>
      <c r="L472" s="1">
        <v>-3.1E8</v>
      </c>
      <c r="M472" s="1">
        <v>8.87E8</v>
      </c>
      <c r="N472" s="1">
        <v>8.611E9</v>
      </c>
      <c r="O472" s="1">
        <v>6.166E9</v>
      </c>
      <c r="P472" s="1">
        <v>3.578E9</v>
      </c>
      <c r="Q472" s="1">
        <v>-8.4E7</v>
      </c>
      <c r="R472" s="1">
        <v>1.474E9</v>
      </c>
      <c r="S472" s="1">
        <v>1.456E9</v>
      </c>
      <c r="W472" s="4" t="str">
        <f>Raw_Data!C471&amp;"|"&amp;Raw_Data!D471&amp;"|"&amp;TEXT(Raw_Data!B471,"yyyy-mm-dd")</f>
        <v>Coca-Cola Company|KO|2021-04-02</v>
      </c>
    </row>
    <row r="473">
      <c r="A473" s="1">
        <v>471.0</v>
      </c>
      <c r="B473" s="3">
        <v>44099.0</v>
      </c>
      <c r="C473" s="1" t="s">
        <v>277</v>
      </c>
      <c r="D473" s="1" t="s">
        <v>278</v>
      </c>
      <c r="F473" s="1">
        <v>2.181E9</v>
      </c>
      <c r="G473" s="1">
        <v>1.737E9</v>
      </c>
      <c r="H473" s="1">
        <v>2.467E9</v>
      </c>
      <c r="I473" s="1">
        <v>5.181E9</v>
      </c>
      <c r="J473" s="1">
        <v>2.714E9</v>
      </c>
      <c r="K473" s="1">
        <v>2.714E9</v>
      </c>
      <c r="L473" s="1">
        <v>-6.6E8</v>
      </c>
      <c r="M473" s="1">
        <v>4.41E8</v>
      </c>
      <c r="N473" s="1">
        <v>8.652E9</v>
      </c>
      <c r="O473" s="1">
        <v>5.938E9</v>
      </c>
      <c r="P473" s="1">
        <v>3.471E9</v>
      </c>
      <c r="Q473" s="1">
        <v>-5.33E8</v>
      </c>
      <c r="R473" s="1">
        <v>1.74E9</v>
      </c>
      <c r="S473" s="1">
        <v>1.737E9</v>
      </c>
      <c r="W473" s="4" t="str">
        <f>Raw_Data!C472&amp;"|"&amp;Raw_Data!D472&amp;"|"&amp;TEXT(Raw_Data!B472,"yyyy-mm-dd")</f>
        <v>Coca-Cola Company|KO|2020-12-31</v>
      </c>
    </row>
    <row r="474">
      <c r="A474" s="1">
        <v>472.0</v>
      </c>
      <c r="B474" s="3">
        <v>44377.0</v>
      </c>
      <c r="C474" s="1" t="s">
        <v>279</v>
      </c>
      <c r="D474" s="1" t="s">
        <v>280</v>
      </c>
      <c r="F474" s="1">
        <v>6.96E8</v>
      </c>
      <c r="G474" s="1">
        <v>5.12E8</v>
      </c>
      <c r="H474" s="1">
        <v>8.81E8</v>
      </c>
      <c r="I474" s="1">
        <v>1.722E9</v>
      </c>
      <c r="J474" s="1">
        <v>6.96E8</v>
      </c>
      <c r="K474" s="1">
        <v>6.96E8</v>
      </c>
      <c r="L474" s="1">
        <v>-2000000.0</v>
      </c>
      <c r="M474" s="1">
        <v>1.84E8</v>
      </c>
      <c r="N474" s="1">
        <v>4.585E9</v>
      </c>
      <c r="O474" s="1">
        <v>3.889E9</v>
      </c>
      <c r="P474" s="1">
        <v>2.863E9</v>
      </c>
      <c r="Q474" s="1">
        <v>0.0</v>
      </c>
      <c r="R474" s="1">
        <v>5.12E8</v>
      </c>
      <c r="S474" s="1">
        <v>5.12E8</v>
      </c>
      <c r="W474" s="4" t="str">
        <f>Raw_Data!C473&amp;"|"&amp;Raw_Data!D473&amp;"|"&amp;TEXT(Raw_Data!B473,"yyyy-mm-dd")</f>
        <v>Coca-Cola Company|KO|2020-09-25</v>
      </c>
    </row>
    <row r="475">
      <c r="A475" s="1">
        <v>473.0</v>
      </c>
      <c r="B475" s="3">
        <v>44286.0</v>
      </c>
      <c r="C475" s="1" t="s">
        <v>279</v>
      </c>
      <c r="D475" s="1" t="s">
        <v>280</v>
      </c>
      <c r="F475" s="1">
        <v>6.65E8</v>
      </c>
      <c r="G475" s="1">
        <v>5.05E8</v>
      </c>
      <c r="H475" s="1">
        <v>8.27E8</v>
      </c>
      <c r="I475" s="1">
        <v>1.637E9</v>
      </c>
      <c r="J475" s="1">
        <v>6.69E8</v>
      </c>
      <c r="K475" s="1">
        <v>6.69E8</v>
      </c>
      <c r="L475" s="1">
        <v>-2000000.0</v>
      </c>
      <c r="M475" s="1">
        <v>1.6E8</v>
      </c>
      <c r="N475" s="1">
        <v>4.401E9</v>
      </c>
      <c r="O475" s="1">
        <v>3.732E9</v>
      </c>
      <c r="P475" s="1">
        <v>2.764E9</v>
      </c>
      <c r="Q475" s="1">
        <v>-4000000.0</v>
      </c>
      <c r="R475" s="1">
        <v>5.05E8</v>
      </c>
      <c r="S475" s="1">
        <v>5.05E8</v>
      </c>
      <c r="W475" s="4" t="str">
        <f>Raw_Data!C474&amp;"|"&amp;Raw_Data!D474&amp;"|"&amp;TEXT(Raw_Data!B474,"yyyy-mm-dd")</f>
        <v>Cognizant Technology Solutions|CTSH|2021-06-30</v>
      </c>
    </row>
    <row r="476">
      <c r="A476" s="1">
        <v>474.0</v>
      </c>
      <c r="B476" s="3">
        <v>44196.0</v>
      </c>
      <c r="C476" s="1" t="s">
        <v>279</v>
      </c>
      <c r="D476" s="1" t="s">
        <v>280</v>
      </c>
      <c r="F476" s="1">
        <v>4.68E8</v>
      </c>
      <c r="G476" s="1">
        <v>3.16E8</v>
      </c>
      <c r="H476" s="1">
        <v>8.97E8</v>
      </c>
      <c r="I476" s="1">
        <v>1.539E9</v>
      </c>
      <c r="J476" s="1">
        <v>4.97E8</v>
      </c>
      <c r="K476" s="1">
        <v>4.97E8</v>
      </c>
      <c r="L476" s="1">
        <v>-3000000.0</v>
      </c>
      <c r="M476" s="1">
        <v>1.52E8</v>
      </c>
      <c r="N476" s="1">
        <v>4.184E9</v>
      </c>
      <c r="O476" s="1">
        <v>3.687E9</v>
      </c>
      <c r="P476" s="1">
        <v>2.645E9</v>
      </c>
      <c r="Q476" s="1">
        <v>-2.9E7</v>
      </c>
      <c r="R476" s="1">
        <v>3.16E8</v>
      </c>
      <c r="S476" s="1">
        <v>3.16E8</v>
      </c>
      <c r="W476" s="4" t="str">
        <f>Raw_Data!C475&amp;"|"&amp;Raw_Data!D475&amp;"|"&amp;TEXT(Raw_Data!B475,"yyyy-mm-dd")</f>
        <v>Cognizant Technology Solutions|CTSH|2021-03-31</v>
      </c>
    </row>
    <row r="477">
      <c r="A477" s="1">
        <v>475.0</v>
      </c>
      <c r="B477" s="3">
        <v>44104.0</v>
      </c>
      <c r="C477" s="1" t="s">
        <v>279</v>
      </c>
      <c r="D477" s="1" t="s">
        <v>280</v>
      </c>
      <c r="F477" s="1">
        <v>6.24E8</v>
      </c>
      <c r="G477" s="1">
        <v>3.48E8</v>
      </c>
      <c r="H477" s="1">
        <v>8.04E8</v>
      </c>
      <c r="I477" s="1">
        <v>1.617E9</v>
      </c>
      <c r="J477" s="1">
        <v>6.75E8</v>
      </c>
      <c r="K477" s="1">
        <v>6.75E8</v>
      </c>
      <c r="L477" s="1">
        <v>-6000000.0</v>
      </c>
      <c r="M477" s="1">
        <v>2.76E8</v>
      </c>
      <c r="N477" s="1">
        <v>4.243E9</v>
      </c>
      <c r="O477" s="1">
        <v>3.568E9</v>
      </c>
      <c r="P477" s="1">
        <v>2.626E9</v>
      </c>
      <c r="Q477" s="1">
        <v>-5.1E7</v>
      </c>
      <c r="R477" s="1">
        <v>3.48E8</v>
      </c>
      <c r="S477" s="1">
        <v>3.48E8</v>
      </c>
      <c r="W477" s="4" t="str">
        <f>Raw_Data!C476&amp;"|"&amp;Raw_Data!D476&amp;"|"&amp;TEXT(Raw_Data!B476,"yyyy-mm-dd")</f>
        <v>Cognizant Technology Solutions|CTSH|2020-12-31</v>
      </c>
    </row>
    <row r="478">
      <c r="A478" s="1">
        <v>476.0</v>
      </c>
      <c r="B478" s="3">
        <v>44377.0</v>
      </c>
      <c r="C478" s="1" t="s">
        <v>281</v>
      </c>
      <c r="D478" s="1" t="s">
        <v>282</v>
      </c>
      <c r="F478" s="1">
        <v>9.53E8</v>
      </c>
      <c r="G478" s="1">
        <v>7.03E8</v>
      </c>
      <c r="H478" s="1">
        <v>1.586E9</v>
      </c>
      <c r="I478" s="1">
        <v>2.556E9</v>
      </c>
      <c r="J478" s="1">
        <v>9.78E8</v>
      </c>
      <c r="K478" s="1">
        <v>9.78E8</v>
      </c>
      <c r="L478" s="1">
        <v>-2.5E7</v>
      </c>
      <c r="M478" s="1">
        <v>2.12E8</v>
      </c>
      <c r="N478" s="1">
        <v>4.26E9</v>
      </c>
      <c r="O478" s="1">
        <v>3.282E9</v>
      </c>
      <c r="P478" s="1">
        <v>1.704E9</v>
      </c>
      <c r="Q478" s="1">
        <v>-2.5E7</v>
      </c>
      <c r="R478" s="1">
        <v>7.41E8</v>
      </c>
      <c r="S478" s="1">
        <v>7.03E8</v>
      </c>
      <c r="W478" s="4" t="str">
        <f>Raw_Data!C477&amp;"|"&amp;Raw_Data!D477&amp;"|"&amp;TEXT(Raw_Data!B477,"yyyy-mm-dd")</f>
        <v>Cognizant Technology Solutions|CTSH|2020-09-30</v>
      </c>
    </row>
    <row r="479">
      <c r="A479" s="1">
        <v>477.0</v>
      </c>
      <c r="B479" s="3">
        <v>44286.0</v>
      </c>
      <c r="C479" s="1" t="s">
        <v>281</v>
      </c>
      <c r="D479" s="1" t="s">
        <v>282</v>
      </c>
      <c r="F479" s="1">
        <v>9.57E8</v>
      </c>
      <c r="G479" s="1">
        <v>6.81E8</v>
      </c>
      <c r="H479" s="1">
        <v>1.623E9</v>
      </c>
      <c r="I479" s="1">
        <v>2.637E9</v>
      </c>
      <c r="J479" s="1">
        <v>9.86E8</v>
      </c>
      <c r="K479" s="1">
        <v>9.86E8</v>
      </c>
      <c r="L479" s="1">
        <v>-2.9E7</v>
      </c>
      <c r="M479" s="1">
        <v>2.29E8</v>
      </c>
      <c r="N479" s="1">
        <v>4.344E9</v>
      </c>
      <c r="O479" s="1">
        <v>3.358E9</v>
      </c>
      <c r="P479" s="1">
        <v>1.707E9</v>
      </c>
      <c r="Q479" s="1">
        <v>-2.9E7</v>
      </c>
      <c r="R479" s="1">
        <v>7.28E8</v>
      </c>
      <c r="S479" s="1">
        <v>6.81E8</v>
      </c>
      <c r="W479" s="4" t="str">
        <f>Raw_Data!C478&amp;"|"&amp;Raw_Data!D478&amp;"|"&amp;TEXT(Raw_Data!B478,"yyyy-mm-dd")</f>
        <v>Colgate-Palmolive|CL|2021-06-30</v>
      </c>
    </row>
    <row r="480">
      <c r="A480" s="1">
        <v>478.0</v>
      </c>
      <c r="B480" s="3">
        <v>44196.0</v>
      </c>
      <c r="C480" s="1" t="s">
        <v>281</v>
      </c>
      <c r="D480" s="1" t="s">
        <v>282</v>
      </c>
      <c r="F480" s="1">
        <v>8.94E8</v>
      </c>
      <c r="G480" s="1">
        <v>6.47E8</v>
      </c>
      <c r="H480" s="1">
        <v>1.654E9</v>
      </c>
      <c r="I480" s="1">
        <v>2.643E9</v>
      </c>
      <c r="J480" s="1">
        <v>9.25E8</v>
      </c>
      <c r="K480" s="1">
        <v>9.25E8</v>
      </c>
      <c r="L480" s="1">
        <v>-7.6E7</v>
      </c>
      <c r="M480" s="1">
        <v>2.02E8</v>
      </c>
      <c r="N480" s="1">
        <v>4.324E9</v>
      </c>
      <c r="O480" s="1">
        <v>3.399E9</v>
      </c>
      <c r="P480" s="1">
        <v>1.681E9</v>
      </c>
      <c r="Q480" s="1">
        <v>-3.1E7</v>
      </c>
      <c r="R480" s="1">
        <v>6.92E8</v>
      </c>
      <c r="S480" s="1">
        <v>6.47E8</v>
      </c>
      <c r="W480" s="4" t="str">
        <f>Raw_Data!C479&amp;"|"&amp;Raw_Data!D479&amp;"|"&amp;TEXT(Raw_Data!B479,"yyyy-mm-dd")</f>
        <v>Colgate-Palmolive|CL|2021-03-31</v>
      </c>
    </row>
    <row r="481">
      <c r="A481" s="1">
        <v>479.0</v>
      </c>
      <c r="B481" s="3">
        <v>44104.0</v>
      </c>
      <c r="C481" s="1" t="s">
        <v>281</v>
      </c>
      <c r="D481" s="1" t="s">
        <v>282</v>
      </c>
      <c r="F481" s="1">
        <v>9.67E8</v>
      </c>
      <c r="G481" s="1">
        <v>6.98E8</v>
      </c>
      <c r="H481" s="1">
        <v>1.533E9</v>
      </c>
      <c r="I481" s="1">
        <v>2.54E9</v>
      </c>
      <c r="J481" s="1">
        <v>1.003E9</v>
      </c>
      <c r="K481" s="1">
        <v>1.003E9</v>
      </c>
      <c r="L481" s="1">
        <v>-3.6E7</v>
      </c>
      <c r="M481" s="1">
        <v>2.22E8</v>
      </c>
      <c r="N481" s="1">
        <v>4.153E9</v>
      </c>
      <c r="O481" s="1">
        <v>3.15E9</v>
      </c>
      <c r="P481" s="1">
        <v>1.613E9</v>
      </c>
      <c r="Q481" s="1">
        <v>-3.6E7</v>
      </c>
      <c r="R481" s="1">
        <v>7.45E8</v>
      </c>
      <c r="S481" s="1">
        <v>6.98E8</v>
      </c>
      <c r="W481" s="4" t="str">
        <f>Raw_Data!C480&amp;"|"&amp;Raw_Data!D480&amp;"|"&amp;TEXT(Raw_Data!B480,"yyyy-mm-dd")</f>
        <v>Colgate-Palmolive|CL|2020-12-31</v>
      </c>
    </row>
    <row r="482">
      <c r="A482" s="1">
        <v>480.0</v>
      </c>
      <c r="B482" s="3">
        <v>44377.0</v>
      </c>
      <c r="C482" s="1" t="s">
        <v>283</v>
      </c>
      <c r="D482" s="1" t="s">
        <v>284</v>
      </c>
      <c r="F482" s="1">
        <v>5.63E9</v>
      </c>
      <c r="G482" s="1">
        <v>3.738E9</v>
      </c>
      <c r="H482" s="1">
        <v>1.04E10</v>
      </c>
      <c r="I482" s="1">
        <v>1.929E10</v>
      </c>
      <c r="J482" s="1">
        <v>5.507E9</v>
      </c>
      <c r="K482" s="1">
        <v>5.507E9</v>
      </c>
      <c r="L482" s="1">
        <v>-1.093E9</v>
      </c>
      <c r="M482" s="1">
        <v>2.0E9</v>
      </c>
      <c r="N482" s="1">
        <v>2.8546E10</v>
      </c>
      <c r="O482" s="1">
        <v>2.3039E10</v>
      </c>
      <c r="P482" s="1">
        <v>9.256E9</v>
      </c>
      <c r="Q482" s="1">
        <v>1.23E8</v>
      </c>
      <c r="R482" s="1">
        <v>3.63E9</v>
      </c>
      <c r="S482" s="1">
        <v>3.738E9</v>
      </c>
      <c r="W482" s="4" t="str">
        <f>Raw_Data!C481&amp;"|"&amp;Raw_Data!D481&amp;"|"&amp;TEXT(Raw_Data!B481,"yyyy-mm-dd")</f>
        <v>Colgate-Palmolive|CL|2020-09-30</v>
      </c>
    </row>
    <row r="483">
      <c r="A483" s="1">
        <v>481.0</v>
      </c>
      <c r="B483" s="3">
        <v>44286.0</v>
      </c>
      <c r="C483" s="1" t="s">
        <v>283</v>
      </c>
      <c r="D483" s="1" t="s">
        <v>284</v>
      </c>
      <c r="F483" s="1">
        <v>4.411E9</v>
      </c>
      <c r="G483" s="1">
        <v>3.329E9</v>
      </c>
      <c r="H483" s="1">
        <v>9.885E9</v>
      </c>
      <c r="I483" s="1">
        <v>1.8286E10</v>
      </c>
      <c r="J483" s="1">
        <v>5.039E9</v>
      </c>
      <c r="K483" s="1">
        <v>5.039E9</v>
      </c>
      <c r="L483" s="1">
        <v>-1.018E9</v>
      </c>
      <c r="M483" s="1">
        <v>1.119E9</v>
      </c>
      <c r="N483" s="1">
        <v>2.7205E10</v>
      </c>
      <c r="O483" s="1">
        <v>2.2166E10</v>
      </c>
      <c r="P483" s="1">
        <v>8.919E9</v>
      </c>
      <c r="Q483" s="1">
        <v>-6.28E8</v>
      </c>
      <c r="R483" s="1">
        <v>3.292E9</v>
      </c>
      <c r="S483" s="1">
        <v>3.329E9</v>
      </c>
      <c r="W483" s="4" t="str">
        <f>Raw_Data!C482&amp;"|"&amp;Raw_Data!D482&amp;"|"&amp;TEXT(Raw_Data!B482,"yyyy-mm-dd")</f>
        <v>Comcast|CMCSA|2021-06-30</v>
      </c>
    </row>
    <row r="484">
      <c r="A484" s="1">
        <v>482.0</v>
      </c>
      <c r="B484" s="3">
        <v>44196.0</v>
      </c>
      <c r="C484" s="1" t="s">
        <v>283</v>
      </c>
      <c r="D484" s="1" t="s">
        <v>284</v>
      </c>
      <c r="F484" s="1">
        <v>4.416E9</v>
      </c>
      <c r="G484" s="1">
        <v>3.38E9</v>
      </c>
      <c r="H484" s="1">
        <v>1.11E10</v>
      </c>
      <c r="I484" s="1">
        <v>1.827E10</v>
      </c>
      <c r="J484" s="1">
        <v>3.918E9</v>
      </c>
      <c r="K484" s="1">
        <v>3.918E9</v>
      </c>
      <c r="L484" s="1">
        <v>-1.231E9</v>
      </c>
      <c r="M484" s="1">
        <v>9.79E8</v>
      </c>
      <c r="N484" s="1">
        <v>2.7708E10</v>
      </c>
      <c r="O484" s="1">
        <v>2.379E10</v>
      </c>
      <c r="P484" s="1">
        <v>9.438E9</v>
      </c>
      <c r="Q484" s="1">
        <v>4.98E8</v>
      </c>
      <c r="R484" s="1">
        <v>3.437E9</v>
      </c>
      <c r="S484" s="1">
        <v>3.38E9</v>
      </c>
      <c r="W484" s="4" t="str">
        <f>Raw_Data!C483&amp;"|"&amp;Raw_Data!D483&amp;"|"&amp;TEXT(Raw_Data!B483,"yyyy-mm-dd")</f>
        <v>Comcast|CMCSA|2021-03-31</v>
      </c>
    </row>
    <row r="485">
      <c r="A485" s="1">
        <v>483.0</v>
      </c>
      <c r="B485" s="3">
        <v>44104.0</v>
      </c>
      <c r="C485" s="1" t="s">
        <v>283</v>
      </c>
      <c r="D485" s="1" t="s">
        <v>284</v>
      </c>
      <c r="F485" s="1">
        <v>2.77E9</v>
      </c>
      <c r="G485" s="1">
        <v>2.019E9</v>
      </c>
      <c r="H485" s="1">
        <v>9.571E9</v>
      </c>
      <c r="I485" s="1">
        <v>1.6967E10</v>
      </c>
      <c r="J485" s="1">
        <v>4.076E9</v>
      </c>
      <c r="K485" s="1">
        <v>4.076E9</v>
      </c>
      <c r="L485" s="1">
        <v>-1.22E9</v>
      </c>
      <c r="M485" s="1">
        <v>7.39E8</v>
      </c>
      <c r="N485" s="1">
        <v>2.5532E10</v>
      </c>
      <c r="O485" s="1">
        <v>2.1456E10</v>
      </c>
      <c r="P485" s="1">
        <v>8.565E9</v>
      </c>
      <c r="Q485" s="1">
        <v>-1.306E9</v>
      </c>
      <c r="R485" s="1">
        <v>2.031E9</v>
      </c>
      <c r="S485" s="1">
        <v>2.019E9</v>
      </c>
      <c r="W485" s="4" t="str">
        <f>Raw_Data!C484&amp;"|"&amp;Raw_Data!D484&amp;"|"&amp;TEXT(Raw_Data!B484,"yyyy-mm-dd")</f>
        <v>Comcast|CMCSA|2020-12-31</v>
      </c>
    </row>
    <row r="486">
      <c r="A486" s="1">
        <v>484.0</v>
      </c>
      <c r="B486" s="3">
        <v>44377.0</v>
      </c>
      <c r="C486" s="1" t="s">
        <v>285</v>
      </c>
      <c r="D486" s="1" t="s">
        <v>286</v>
      </c>
      <c r="F486" s="1">
        <v>4.21E8</v>
      </c>
      <c r="G486" s="1">
        <v>3.28E8</v>
      </c>
      <c r="H486" s="1">
        <v>4.46E8</v>
      </c>
      <c r="I486" s="1">
        <v>8.84E8</v>
      </c>
      <c r="J486" s="1">
        <v>0.0</v>
      </c>
      <c r="K486" s="1">
        <v>4.28E8</v>
      </c>
      <c r="M486" s="1">
        <v>9.3E7</v>
      </c>
      <c r="N486" s="1">
        <v>8.84E8</v>
      </c>
      <c r="O486" s="1">
        <v>4.56E8</v>
      </c>
      <c r="P486" s="1">
        <v>0.0</v>
      </c>
      <c r="Q486" s="1">
        <v>-7000000.0</v>
      </c>
      <c r="R486" s="1">
        <v>3.28E8</v>
      </c>
      <c r="S486" s="1">
        <v>3.21E8</v>
      </c>
      <c r="W486" s="4" t="str">
        <f>Raw_Data!C485&amp;"|"&amp;Raw_Data!D485&amp;"|"&amp;TEXT(Raw_Data!B485,"yyyy-mm-dd")</f>
        <v>Comcast|CMCSA|2020-09-30</v>
      </c>
    </row>
    <row r="487">
      <c r="A487" s="1">
        <v>485.0</v>
      </c>
      <c r="B487" s="3">
        <v>44286.0</v>
      </c>
      <c r="C487" s="1" t="s">
        <v>285</v>
      </c>
      <c r="D487" s="1" t="s">
        <v>286</v>
      </c>
      <c r="F487" s="1">
        <v>4.48E8</v>
      </c>
      <c r="G487" s="1">
        <v>3.5E8</v>
      </c>
      <c r="H487" s="1">
        <v>4.42E8</v>
      </c>
      <c r="I487" s="1">
        <v>8.95E8</v>
      </c>
      <c r="J487" s="1">
        <v>0.0</v>
      </c>
      <c r="K487" s="1">
        <v>4.56E8</v>
      </c>
      <c r="M487" s="1">
        <v>9.8E7</v>
      </c>
      <c r="N487" s="1">
        <v>8.95E8</v>
      </c>
      <c r="O487" s="1">
        <v>4.39E8</v>
      </c>
      <c r="P487" s="1">
        <v>0.0</v>
      </c>
      <c r="Q487" s="1">
        <v>-8000000.0</v>
      </c>
      <c r="R487" s="1">
        <v>3.5E8</v>
      </c>
      <c r="S487" s="1">
        <v>3.43E8</v>
      </c>
      <c r="W487" s="4" t="str">
        <f>Raw_Data!C486&amp;"|"&amp;Raw_Data!D486&amp;"|"&amp;TEXT(Raw_Data!B486,"yyyy-mm-dd")</f>
        <v>Comerica|CMA|2021-06-30</v>
      </c>
    </row>
    <row r="488">
      <c r="A488" s="1">
        <v>486.0</v>
      </c>
      <c r="B488" s="3">
        <v>44196.0</v>
      </c>
      <c r="C488" s="1" t="s">
        <v>285</v>
      </c>
      <c r="D488" s="1" t="s">
        <v>286</v>
      </c>
      <c r="F488" s="1">
        <v>2.78E8</v>
      </c>
      <c r="G488" s="1">
        <v>2.15E8</v>
      </c>
      <c r="H488" s="1">
        <v>4.41E8</v>
      </c>
      <c r="I488" s="1">
        <v>7.51E8</v>
      </c>
      <c r="J488" s="1">
        <v>0.0</v>
      </c>
      <c r="K488" s="1">
        <v>2.92E8</v>
      </c>
      <c r="M488" s="1">
        <v>6.3E7</v>
      </c>
      <c r="N488" s="1">
        <v>7.51E8</v>
      </c>
      <c r="O488" s="1">
        <v>4.59E8</v>
      </c>
      <c r="P488" s="1">
        <v>0.0</v>
      </c>
      <c r="Q488" s="1">
        <v>-1.4E7</v>
      </c>
      <c r="R488" s="1">
        <v>2.15E8</v>
      </c>
      <c r="S488" s="1">
        <v>2.09E8</v>
      </c>
      <c r="W488" s="4" t="str">
        <f>Raw_Data!C487&amp;"|"&amp;Raw_Data!D487&amp;"|"&amp;TEXT(Raw_Data!B487,"yyyy-mm-dd")</f>
        <v>Comerica|CMA|2021-03-31</v>
      </c>
    </row>
    <row r="489">
      <c r="A489" s="1">
        <v>487.0</v>
      </c>
      <c r="B489" s="3">
        <v>44104.0</v>
      </c>
      <c r="C489" s="1" t="s">
        <v>285</v>
      </c>
      <c r="D489" s="1" t="s">
        <v>286</v>
      </c>
      <c r="F489" s="1">
        <v>2.59E8</v>
      </c>
      <c r="G489" s="1">
        <v>2.11E8</v>
      </c>
      <c r="H489" s="1">
        <v>4.15E8</v>
      </c>
      <c r="I489" s="1">
        <v>7.05E8</v>
      </c>
      <c r="J489" s="1">
        <v>0.0</v>
      </c>
      <c r="K489" s="1">
        <v>2.72E8</v>
      </c>
      <c r="M489" s="1">
        <v>4.8E7</v>
      </c>
      <c r="N489" s="1">
        <v>7.05E8</v>
      </c>
      <c r="O489" s="1">
        <v>4.33E8</v>
      </c>
      <c r="P489" s="1">
        <v>0.0</v>
      </c>
      <c r="Q489" s="1">
        <v>-1.3E7</v>
      </c>
      <c r="R489" s="1">
        <v>2.11E8</v>
      </c>
      <c r="S489" s="1">
        <v>2.03E8</v>
      </c>
      <c r="W489" s="4" t="str">
        <f>Raw_Data!C488&amp;"|"&amp;Raw_Data!D488&amp;"|"&amp;TEXT(Raw_Data!B488,"yyyy-mm-dd")</f>
        <v>Comerica|CMA|2020-12-31</v>
      </c>
    </row>
    <row r="490">
      <c r="A490" s="1">
        <v>488.0</v>
      </c>
      <c r="B490" s="3">
        <v>44255.0</v>
      </c>
      <c r="C490" s="1" t="s">
        <v>287</v>
      </c>
      <c r="D490" s="1" t="s">
        <v>288</v>
      </c>
      <c r="F490" s="1">
        <v>3.833E8</v>
      </c>
      <c r="G490" s="1">
        <v>2.814E8</v>
      </c>
      <c r="H490" s="1">
        <v>2.793E8</v>
      </c>
      <c r="I490" s="1">
        <v>7.676E8</v>
      </c>
      <c r="J490" s="1">
        <v>4.883E8</v>
      </c>
      <c r="K490" s="1">
        <v>4.883E8</v>
      </c>
      <c r="L490" s="1">
        <v>-1.01E8</v>
      </c>
      <c r="M490" s="1">
        <v>1.016E8</v>
      </c>
      <c r="N490" s="1">
        <v>2.7711E9</v>
      </c>
      <c r="O490" s="1">
        <v>2.2828E9</v>
      </c>
      <c r="P490" s="1">
        <v>2.0035E9</v>
      </c>
      <c r="Q490" s="1">
        <v>-1.05E8</v>
      </c>
      <c r="R490" s="1">
        <v>2.817E8</v>
      </c>
      <c r="S490" s="1">
        <v>2.814E8</v>
      </c>
      <c r="W490" s="4" t="str">
        <f>Raw_Data!C489&amp;"|"&amp;Raw_Data!D489&amp;"|"&amp;TEXT(Raw_Data!B489,"yyyy-mm-dd")</f>
        <v>Comerica|CMA|2020-09-30</v>
      </c>
    </row>
    <row r="491">
      <c r="A491" s="1">
        <v>489.0</v>
      </c>
      <c r="B491" s="3">
        <v>44164.0</v>
      </c>
      <c r="C491" s="1" t="s">
        <v>287</v>
      </c>
      <c r="D491" s="1" t="s">
        <v>288</v>
      </c>
      <c r="F491" s="1">
        <v>4.602E8</v>
      </c>
      <c r="G491" s="1">
        <v>3.789E8</v>
      </c>
      <c r="H491" s="1">
        <v>3.328E8</v>
      </c>
      <c r="I491" s="1">
        <v>8.984E8</v>
      </c>
      <c r="J491" s="1">
        <v>5.656E8</v>
      </c>
      <c r="K491" s="1">
        <v>5.656E8</v>
      </c>
      <c r="L491" s="1">
        <v>-1.081E8</v>
      </c>
      <c r="M491" s="1">
        <v>8.07E7</v>
      </c>
      <c r="N491" s="1">
        <v>2.9952E9</v>
      </c>
      <c r="O491" s="1">
        <v>2.4296E9</v>
      </c>
      <c r="P491" s="1">
        <v>2.0968E9</v>
      </c>
      <c r="Q491" s="1">
        <v>-1.054E8</v>
      </c>
      <c r="R491" s="1">
        <v>3.795E8</v>
      </c>
      <c r="S491" s="1">
        <v>3.789E8</v>
      </c>
      <c r="W491" s="4" t="str">
        <f>Raw_Data!C490&amp;"|"&amp;Raw_Data!D490&amp;"|"&amp;TEXT(Raw_Data!B490,"yyyy-mm-dd")</f>
        <v>Conagra Brands|CAG|2021-02-28</v>
      </c>
    </row>
    <row r="492">
      <c r="A492" s="1">
        <v>490.0</v>
      </c>
      <c r="B492" s="3">
        <v>44073.0</v>
      </c>
      <c r="C492" s="1" t="s">
        <v>287</v>
      </c>
      <c r="D492" s="1" t="s">
        <v>288</v>
      </c>
      <c r="F492" s="1">
        <v>4.165E8</v>
      </c>
      <c r="G492" s="1">
        <v>3.29E8</v>
      </c>
      <c r="H492" s="1">
        <v>2.703E8</v>
      </c>
      <c r="I492" s="1">
        <v>8.206E8</v>
      </c>
      <c r="J492" s="1">
        <v>5.503E8</v>
      </c>
      <c r="K492" s="1">
        <v>5.503E8</v>
      </c>
      <c r="L492" s="1">
        <v>-1.145E8</v>
      </c>
      <c r="M492" s="1">
        <v>8.67E7</v>
      </c>
      <c r="N492" s="1">
        <v>2.6789E9</v>
      </c>
      <c r="O492" s="1">
        <v>2.1286E9</v>
      </c>
      <c r="P492" s="1">
        <v>1.8583E9</v>
      </c>
      <c r="Q492" s="1">
        <v>-1.338E8</v>
      </c>
      <c r="R492" s="1">
        <v>3.298E8</v>
      </c>
      <c r="S492" s="1">
        <v>3.29E8</v>
      </c>
      <c r="W492" s="4" t="str">
        <f>Raw_Data!C491&amp;"|"&amp;Raw_Data!D491&amp;"|"&amp;TEXT(Raw_Data!B491,"yyyy-mm-dd")</f>
        <v>Conagra Brands|CAG|2020-11-29</v>
      </c>
    </row>
    <row r="493">
      <c r="A493" s="1">
        <v>491.0</v>
      </c>
      <c r="B493" s="3">
        <v>43982.0</v>
      </c>
      <c r="C493" s="1" t="s">
        <v>287</v>
      </c>
      <c r="D493" s="1" t="s">
        <v>288</v>
      </c>
      <c r="F493" s="1">
        <v>2.611E8</v>
      </c>
      <c r="G493" s="1">
        <v>2.014E8</v>
      </c>
      <c r="H493" s="1">
        <v>4.09E8</v>
      </c>
      <c r="I493" s="1">
        <v>9.33E8</v>
      </c>
      <c r="J493" s="1">
        <v>5.24E8</v>
      </c>
      <c r="K493" s="1">
        <v>5.24E8</v>
      </c>
      <c r="L493" s="1">
        <v>-1.261E8</v>
      </c>
      <c r="M493" s="1">
        <v>5.98E7</v>
      </c>
      <c r="N493" s="1">
        <v>3.2879E9</v>
      </c>
      <c r="O493" s="1">
        <v>2.7639E9</v>
      </c>
      <c r="P493" s="1">
        <v>2.3549E9</v>
      </c>
      <c r="Q493" s="1">
        <v>-2.629E8</v>
      </c>
      <c r="R493" s="1">
        <v>2.013E8</v>
      </c>
      <c r="S493" s="1">
        <v>2.014E8</v>
      </c>
      <c r="W493" s="4" t="str">
        <f>Raw_Data!C492&amp;"|"&amp;Raw_Data!D492&amp;"|"&amp;TEXT(Raw_Data!B492,"yyyy-mm-dd")</f>
        <v>Conagra Brands|CAG|2020-08-30</v>
      </c>
    </row>
    <row r="494">
      <c r="A494" s="1">
        <v>492.0</v>
      </c>
      <c r="B494" s="3">
        <v>44377.0</v>
      </c>
      <c r="C494" s="1" t="s">
        <v>289</v>
      </c>
      <c r="D494" s="1" t="s">
        <v>290</v>
      </c>
      <c r="F494" s="1">
        <v>3.08E9</v>
      </c>
      <c r="G494" s="1">
        <v>2.091E9</v>
      </c>
      <c r="H494" s="1">
        <v>1.56E8</v>
      </c>
      <c r="I494" s="1">
        <v>5.318E9</v>
      </c>
      <c r="J494" s="1">
        <v>2.793E9</v>
      </c>
      <c r="K494" s="1">
        <v>2.793E9</v>
      </c>
      <c r="L494" s="1">
        <v>-2.2E8</v>
      </c>
      <c r="M494" s="1">
        <v>9.89E8</v>
      </c>
      <c r="N494" s="1">
        <v>9.695E9</v>
      </c>
      <c r="O494" s="1">
        <v>6.902E9</v>
      </c>
      <c r="P494" s="1">
        <v>4.377E9</v>
      </c>
      <c r="Q494" s="1">
        <v>2.87E8</v>
      </c>
      <c r="R494" s="1">
        <v>2.091E9</v>
      </c>
      <c r="S494" s="1">
        <v>2.091E9</v>
      </c>
      <c r="W494" s="4" t="str">
        <f>Raw_Data!C493&amp;"|"&amp;Raw_Data!D493&amp;"|"&amp;TEXT(Raw_Data!B493,"yyyy-mm-dd")</f>
        <v>Conagra Brands|CAG|2020-05-31</v>
      </c>
    </row>
    <row r="495">
      <c r="A495" s="1">
        <v>493.0</v>
      </c>
      <c r="B495" s="3">
        <v>44286.0</v>
      </c>
      <c r="C495" s="1" t="s">
        <v>289</v>
      </c>
      <c r="D495" s="1" t="s">
        <v>290</v>
      </c>
      <c r="F495" s="1">
        <v>1.714E9</v>
      </c>
      <c r="G495" s="1">
        <v>9.82E8</v>
      </c>
      <c r="H495" s="1">
        <v>2.74E8</v>
      </c>
      <c r="I495" s="1">
        <v>4.138E9</v>
      </c>
      <c r="J495" s="1">
        <v>1.483E9</v>
      </c>
      <c r="K495" s="1">
        <v>1.483E9</v>
      </c>
      <c r="L495" s="1">
        <v>-2.26E8</v>
      </c>
      <c r="M495" s="1">
        <v>7.32E8</v>
      </c>
      <c r="N495" s="1">
        <v>9.948E9</v>
      </c>
      <c r="O495" s="1">
        <v>8.465E9</v>
      </c>
      <c r="P495" s="1">
        <v>5.81E9</v>
      </c>
      <c r="Q495" s="1">
        <v>2.31E8</v>
      </c>
      <c r="R495" s="1">
        <v>9.82E8</v>
      </c>
      <c r="S495" s="1">
        <v>9.82E8</v>
      </c>
      <c r="W495" s="4" t="str">
        <f>Raw_Data!C494&amp;"|"&amp;Raw_Data!D494&amp;"|"&amp;TEXT(Raw_Data!B494,"yyyy-mm-dd")</f>
        <v>ConocoPhillips|COP|2021-06-30</v>
      </c>
    </row>
    <row r="496">
      <c r="A496" s="1">
        <v>494.0</v>
      </c>
      <c r="B496" s="3">
        <v>44196.0</v>
      </c>
      <c r="C496" s="1" t="s">
        <v>289</v>
      </c>
      <c r="D496" s="1" t="s">
        <v>290</v>
      </c>
      <c r="F496" s="1">
        <v>-1.086E9</v>
      </c>
      <c r="G496" s="1">
        <v>-7.72E8</v>
      </c>
      <c r="H496" s="1">
        <v>1.88E8</v>
      </c>
      <c r="I496" s="1">
        <v>1.968E9</v>
      </c>
      <c r="J496" s="1">
        <v>-1.048E9</v>
      </c>
      <c r="K496" s="1">
        <v>-1.048E9</v>
      </c>
      <c r="L496" s="1">
        <v>-2.02E8</v>
      </c>
      <c r="M496" s="1">
        <v>-3.14E8</v>
      </c>
      <c r="N496" s="1">
        <v>5.577E9</v>
      </c>
      <c r="O496" s="1">
        <v>6.625E9</v>
      </c>
      <c r="P496" s="1">
        <v>3.609E9</v>
      </c>
      <c r="Q496" s="1">
        <v>-3.8E7</v>
      </c>
      <c r="R496" s="1">
        <v>-7.72E8</v>
      </c>
      <c r="S496" s="1">
        <v>-7.72E8</v>
      </c>
      <c r="W496" s="4" t="str">
        <f>Raw_Data!C495&amp;"|"&amp;Raw_Data!D495&amp;"|"&amp;TEXT(Raw_Data!B495,"yyyy-mm-dd")</f>
        <v>ConocoPhillips|COP|2021-03-31</v>
      </c>
    </row>
    <row r="497">
      <c r="A497" s="1">
        <v>495.0</v>
      </c>
      <c r="B497" s="3">
        <v>44104.0</v>
      </c>
      <c r="C497" s="1" t="s">
        <v>289</v>
      </c>
      <c r="D497" s="1" t="s">
        <v>290</v>
      </c>
      <c r="F497" s="1">
        <v>-5.12E8</v>
      </c>
      <c r="G497" s="1">
        <v>-4.5E8</v>
      </c>
      <c r="H497" s="1">
        <v>1.15E8</v>
      </c>
      <c r="I497" s="1">
        <v>1.619E9</v>
      </c>
      <c r="J497" s="1">
        <v>-2.75E8</v>
      </c>
      <c r="K497" s="1">
        <v>-2.75E8</v>
      </c>
      <c r="L497" s="1">
        <v>-2.0E8</v>
      </c>
      <c r="M497" s="1">
        <v>-6.2E7</v>
      </c>
      <c r="N497" s="1">
        <v>4.421E9</v>
      </c>
      <c r="O497" s="1">
        <v>4.696E9</v>
      </c>
      <c r="P497" s="1">
        <v>2.802E9</v>
      </c>
      <c r="Q497" s="1">
        <v>-2.37E8</v>
      </c>
      <c r="R497" s="1">
        <v>-4.5E8</v>
      </c>
      <c r="S497" s="1">
        <v>-4.5E8</v>
      </c>
      <c r="W497" s="4" t="str">
        <f>Raw_Data!C496&amp;"|"&amp;Raw_Data!D496&amp;"|"&amp;TEXT(Raw_Data!B496,"yyyy-mm-dd")</f>
        <v>ConocoPhillips|COP|2020-12-31</v>
      </c>
    </row>
    <row r="498">
      <c r="A498" s="1">
        <v>496.0</v>
      </c>
      <c r="B498" s="3">
        <v>44286.0</v>
      </c>
      <c r="C498" s="1" t="s">
        <v>291</v>
      </c>
      <c r="D498" s="1" t="s">
        <v>292</v>
      </c>
      <c r="F498" s="1">
        <v>4.98E8</v>
      </c>
      <c r="G498" s="1">
        <v>4.19E8</v>
      </c>
      <c r="H498" s="1">
        <v>3.3E7</v>
      </c>
      <c r="I498" s="1">
        <v>2.061E9</v>
      </c>
      <c r="J498" s="1">
        <v>8.27E8</v>
      </c>
      <c r="K498" s="1">
        <v>8.27E8</v>
      </c>
      <c r="L498" s="1">
        <v>-2.27E8</v>
      </c>
      <c r="M498" s="1">
        <v>7.8E7</v>
      </c>
      <c r="N498" s="1">
        <v>3.677E9</v>
      </c>
      <c r="O498" s="1">
        <v>2.85E9</v>
      </c>
      <c r="P498" s="1">
        <v>1.616E9</v>
      </c>
      <c r="Q498" s="1">
        <v>-3.29E8</v>
      </c>
      <c r="R498" s="1">
        <v>4.2E8</v>
      </c>
      <c r="S498" s="1">
        <v>4.19E8</v>
      </c>
      <c r="W498" s="4" t="str">
        <f>Raw_Data!C497&amp;"|"&amp;Raw_Data!D497&amp;"|"&amp;TEXT(Raw_Data!B497,"yyyy-mm-dd")</f>
        <v>ConocoPhillips|COP|2020-09-30</v>
      </c>
    </row>
    <row r="499">
      <c r="A499" s="1">
        <v>497.0</v>
      </c>
      <c r="B499" s="3">
        <v>44196.0</v>
      </c>
      <c r="C499" s="1" t="s">
        <v>291</v>
      </c>
      <c r="D499" s="1" t="s">
        <v>292</v>
      </c>
      <c r="F499" s="1">
        <v>-4.4E7</v>
      </c>
      <c r="G499" s="1">
        <v>4.3E7</v>
      </c>
      <c r="H499" s="1">
        <v>-7.9E7</v>
      </c>
      <c r="I499" s="1">
        <v>1.655E9</v>
      </c>
      <c r="J499" s="1">
        <v>5.82E8</v>
      </c>
      <c r="K499" s="1">
        <v>5.82E8</v>
      </c>
      <c r="L499" s="1">
        <v>-3.04E8</v>
      </c>
      <c r="M499" s="1">
        <v>-9.3E7</v>
      </c>
      <c r="N499" s="1">
        <v>2.96E9</v>
      </c>
      <c r="O499" s="1">
        <v>2.378E9</v>
      </c>
      <c r="P499" s="1">
        <v>1.305E9</v>
      </c>
      <c r="Q499" s="1">
        <v>-6.26E8</v>
      </c>
      <c r="R499" s="1">
        <v>4.9E7</v>
      </c>
      <c r="S499" s="1">
        <v>4.3E7</v>
      </c>
      <c r="W499" s="4" t="str">
        <f>Raw_Data!C498&amp;"|"&amp;Raw_Data!D498&amp;"|"&amp;TEXT(Raw_Data!B498,"yyyy-mm-dd")</f>
        <v>Consolidated Edison|ED|2021-03-31</v>
      </c>
    </row>
    <row r="500">
      <c r="A500" s="1">
        <v>498.0</v>
      </c>
      <c r="B500" s="3">
        <v>44104.0</v>
      </c>
      <c r="C500" s="1" t="s">
        <v>291</v>
      </c>
      <c r="D500" s="1" t="s">
        <v>292</v>
      </c>
      <c r="F500" s="1">
        <v>6.21E8</v>
      </c>
      <c r="G500" s="1">
        <v>4.93E8</v>
      </c>
      <c r="H500" s="1">
        <v>9.4E7</v>
      </c>
      <c r="I500" s="1">
        <v>2.015E9</v>
      </c>
      <c r="J500" s="1">
        <v>7.66E8</v>
      </c>
      <c r="K500" s="1">
        <v>7.66E8</v>
      </c>
      <c r="L500" s="1">
        <v>-2.31E8</v>
      </c>
      <c r="M500" s="1">
        <v>1.19E8</v>
      </c>
      <c r="N500" s="1">
        <v>3.333E9</v>
      </c>
      <c r="O500" s="1">
        <v>2.567E9</v>
      </c>
      <c r="P500" s="1">
        <v>1.318E9</v>
      </c>
      <c r="Q500" s="1">
        <v>-1.45E8</v>
      </c>
      <c r="R500" s="1">
        <v>5.02E8</v>
      </c>
      <c r="S500" s="1">
        <v>4.93E8</v>
      </c>
      <c r="W500" s="4" t="str">
        <f>Raw_Data!C499&amp;"|"&amp;Raw_Data!D499&amp;"|"&amp;TEXT(Raw_Data!B499,"yyyy-mm-dd")</f>
        <v>Consolidated Edison|ED|2020-12-31</v>
      </c>
    </row>
    <row r="501">
      <c r="A501" s="1">
        <v>499.0</v>
      </c>
      <c r="B501" s="3">
        <v>44012.0</v>
      </c>
      <c r="C501" s="1" t="s">
        <v>291</v>
      </c>
      <c r="D501" s="1" t="s">
        <v>292</v>
      </c>
      <c r="F501" s="1">
        <v>2.11E8</v>
      </c>
      <c r="G501" s="1">
        <v>1.9E8</v>
      </c>
      <c r="H501" s="1">
        <v>9.4E7</v>
      </c>
      <c r="I501" s="1">
        <v>1.559E9</v>
      </c>
      <c r="J501" s="1">
        <v>3.85E8</v>
      </c>
      <c r="K501" s="1">
        <v>3.85E8</v>
      </c>
      <c r="L501" s="1">
        <v>-2.49E8</v>
      </c>
      <c r="M501" s="1">
        <v>9000000.0</v>
      </c>
      <c r="N501" s="1">
        <v>2.719E9</v>
      </c>
      <c r="O501" s="1">
        <v>2.334E9</v>
      </c>
      <c r="P501" s="1">
        <v>1.16E9</v>
      </c>
      <c r="Q501" s="1">
        <v>-1.74E8</v>
      </c>
      <c r="R501" s="1">
        <v>2.02E8</v>
      </c>
      <c r="S501" s="1">
        <v>1.9E8</v>
      </c>
      <c r="W501" s="4" t="str">
        <f>Raw_Data!C500&amp;"|"&amp;Raw_Data!D500&amp;"|"&amp;TEXT(Raw_Data!B500,"yyyy-mm-dd")</f>
        <v>Consolidated Edison|ED|2020-09-30</v>
      </c>
    </row>
    <row r="502">
      <c r="A502" s="1">
        <v>500.0</v>
      </c>
      <c r="B502" s="3">
        <v>44439.0</v>
      </c>
      <c r="C502" s="1" t="s">
        <v>293</v>
      </c>
      <c r="D502" s="1" t="s">
        <v>294</v>
      </c>
      <c r="F502" s="1">
        <v>1.432E8</v>
      </c>
      <c r="G502" s="1">
        <v>1500000.0</v>
      </c>
      <c r="H502" s="1">
        <v>4.842E8</v>
      </c>
      <c r="I502" s="1">
        <v>1.2296E9</v>
      </c>
      <c r="J502" s="1">
        <v>7.383E8</v>
      </c>
      <c r="K502" s="1">
        <v>7.383E8</v>
      </c>
      <c r="L502" s="1">
        <v>-9.58E7</v>
      </c>
      <c r="M502" s="1">
        <v>1.313E8</v>
      </c>
      <c r="N502" s="1">
        <v>2.3711E9</v>
      </c>
      <c r="O502" s="1">
        <v>1.6328E9</v>
      </c>
      <c r="P502" s="1">
        <v>1.1415E9</v>
      </c>
      <c r="Q502" s="1">
        <v>-5.951E8</v>
      </c>
      <c r="R502" s="1">
        <v>1.19E7</v>
      </c>
      <c r="S502" s="1">
        <v>1500000.0</v>
      </c>
      <c r="W502" s="4" t="str">
        <f>Raw_Data!C501&amp;"|"&amp;Raw_Data!D501&amp;"|"&amp;TEXT(Raw_Data!B501,"yyyy-mm-dd")</f>
        <v>Consolidated Edison|ED|2020-06-30</v>
      </c>
    </row>
    <row r="503">
      <c r="A503" s="1">
        <v>501.0</v>
      </c>
      <c r="B503" s="3">
        <v>44347.0</v>
      </c>
      <c r="C503" s="1" t="s">
        <v>293</v>
      </c>
      <c r="D503" s="1" t="s">
        <v>294</v>
      </c>
      <c r="F503" s="1">
        <v>-9.108E8</v>
      </c>
      <c r="G503" s="1">
        <v>-9.081E8</v>
      </c>
      <c r="H503" s="1">
        <v>3.784E8</v>
      </c>
      <c r="I503" s="1">
        <v>1.1219E9</v>
      </c>
      <c r="J503" s="1">
        <v>7.445E8</v>
      </c>
      <c r="K503" s="1">
        <v>7.445E8</v>
      </c>
      <c r="L503" s="1">
        <v>-8.67E7</v>
      </c>
      <c r="M503" s="1">
        <v>-1.35E7</v>
      </c>
      <c r="N503" s="1">
        <v>2.0265E9</v>
      </c>
      <c r="O503" s="1">
        <v>1.282E9</v>
      </c>
      <c r="P503" s="1">
        <v>9.046E8</v>
      </c>
      <c r="Q503" s="1">
        <v>-1.6553E9</v>
      </c>
      <c r="R503" s="1">
        <v>-8.973E8</v>
      </c>
      <c r="S503" s="1">
        <v>-9.081E8</v>
      </c>
      <c r="W503" s="4" t="str">
        <f>Raw_Data!C502&amp;"|"&amp;Raw_Data!D502&amp;"|"&amp;TEXT(Raw_Data!B502,"yyyy-mm-dd")</f>
        <v>Constellation Brands|STZ|2021-08-31</v>
      </c>
    </row>
    <row r="504">
      <c r="A504" s="1">
        <v>502.0</v>
      </c>
      <c r="B504" s="3">
        <v>44255.0</v>
      </c>
      <c r="C504" s="1" t="s">
        <v>293</v>
      </c>
      <c r="D504" s="1" t="s">
        <v>294</v>
      </c>
      <c r="F504" s="1">
        <v>4.853E8</v>
      </c>
      <c r="G504" s="1">
        <v>3.829E8</v>
      </c>
      <c r="H504" s="1">
        <v>4.536E8</v>
      </c>
      <c r="I504" s="1">
        <v>1.0433E9</v>
      </c>
      <c r="J504" s="1">
        <v>5.901E8</v>
      </c>
      <c r="K504" s="1">
        <v>5.901E8</v>
      </c>
      <c r="L504" s="1">
        <v>-8.98E7</v>
      </c>
      <c r="M504" s="1">
        <v>9.47E7</v>
      </c>
      <c r="N504" s="1">
        <v>1.953E9</v>
      </c>
      <c r="O504" s="1">
        <v>1.3629E9</v>
      </c>
      <c r="P504" s="1">
        <v>9.097E8</v>
      </c>
      <c r="Q504" s="1">
        <v>-1.048E8</v>
      </c>
      <c r="R504" s="1">
        <v>3.906E8</v>
      </c>
      <c r="S504" s="1">
        <v>3.829E8</v>
      </c>
      <c r="W504" s="4" t="str">
        <f>Raw_Data!C503&amp;"|"&amp;Raw_Data!D503&amp;"|"&amp;TEXT(Raw_Data!B503,"yyyy-mm-dd")</f>
        <v>Constellation Brands|STZ|2021-05-31</v>
      </c>
    </row>
    <row r="505">
      <c r="A505" s="1">
        <v>503.0</v>
      </c>
      <c r="B505" s="3">
        <v>44165.0</v>
      </c>
      <c r="C505" s="1" t="s">
        <v>293</v>
      </c>
      <c r="D505" s="1" t="s">
        <v>294</v>
      </c>
      <c r="F505" s="1">
        <v>1.4686E9</v>
      </c>
      <c r="G505" s="1">
        <v>1.2809E9</v>
      </c>
      <c r="H505" s="1">
        <v>4.47E8</v>
      </c>
      <c r="I505" s="1">
        <v>1.3162E9</v>
      </c>
      <c r="J505" s="1">
        <v>8.649E8</v>
      </c>
      <c r="K505" s="1">
        <v>8.649E8</v>
      </c>
      <c r="L505" s="1">
        <v>-9.57E7</v>
      </c>
      <c r="M505" s="1">
        <v>1.766E8</v>
      </c>
      <c r="N505" s="1">
        <v>2.4381E9</v>
      </c>
      <c r="O505" s="1">
        <v>1.5732E9</v>
      </c>
      <c r="P505" s="1">
        <v>1.1219E9</v>
      </c>
      <c r="Q505" s="1">
        <v>6.037E8</v>
      </c>
      <c r="R505" s="1">
        <v>1.292E9</v>
      </c>
      <c r="S505" s="1">
        <v>1.2809E9</v>
      </c>
      <c r="W505" s="4" t="str">
        <f>Raw_Data!C504&amp;"|"&amp;Raw_Data!D504&amp;"|"&amp;TEXT(Raw_Data!B504,"yyyy-mm-dd")</f>
        <v>Constellation Brands|STZ|2021-02-28</v>
      </c>
    </row>
    <row r="506">
      <c r="A506" s="1">
        <v>504.0</v>
      </c>
      <c r="B506" s="3">
        <v>44316.0</v>
      </c>
      <c r="C506" s="1" t="s">
        <v>295</v>
      </c>
      <c r="D506" s="1" t="s">
        <v>296</v>
      </c>
      <c r="F506" s="1">
        <v>3.23535E8</v>
      </c>
      <c r="G506" s="1">
        <v>2.86796E8</v>
      </c>
      <c r="H506" s="1">
        <v>6.1585E7</v>
      </c>
      <c r="I506" s="1">
        <v>3.89696E8</v>
      </c>
      <c r="J506" s="1">
        <v>3.28111E8</v>
      </c>
      <c r="K506" s="1">
        <v>3.28111E8</v>
      </c>
      <c r="L506" s="1">
        <v>-5346000.0</v>
      </c>
      <c r="M506" s="1">
        <v>3.6739E7</v>
      </c>
      <c r="N506" s="1">
        <v>7.3391E8</v>
      </c>
      <c r="O506" s="1">
        <v>4.05799E8</v>
      </c>
      <c r="P506" s="1">
        <v>3.44214E8</v>
      </c>
      <c r="Q506" s="1">
        <v>-4576000.0</v>
      </c>
      <c r="R506" s="1">
        <v>2.86796E8</v>
      </c>
      <c r="S506" s="1">
        <v>2.86796E8</v>
      </c>
      <c r="W506" s="4" t="str">
        <f>Raw_Data!C505&amp;"|"&amp;Raw_Data!D505&amp;"|"&amp;TEXT(Raw_Data!B505,"yyyy-mm-dd")</f>
        <v>Constellation Brands|STZ|2020-11-30</v>
      </c>
    </row>
    <row r="507">
      <c r="A507" s="1">
        <v>505.0</v>
      </c>
      <c r="B507" s="3">
        <v>44227.0</v>
      </c>
      <c r="C507" s="1" t="s">
        <v>295</v>
      </c>
      <c r="D507" s="1" t="s">
        <v>296</v>
      </c>
      <c r="F507" s="1">
        <v>2.52452E8</v>
      </c>
      <c r="G507" s="1">
        <v>1.9344E8</v>
      </c>
      <c r="H507" s="1">
        <v>5.7719E7</v>
      </c>
      <c r="I507" s="1">
        <v>3.1594E8</v>
      </c>
      <c r="J507" s="1">
        <v>2.58221E8</v>
      </c>
      <c r="K507" s="1">
        <v>2.58221E8</v>
      </c>
      <c r="L507" s="1">
        <v>-4849000.0</v>
      </c>
      <c r="M507" s="1">
        <v>5.9012E7</v>
      </c>
      <c r="N507" s="1">
        <v>6.17031E8</v>
      </c>
      <c r="O507" s="1">
        <v>3.5881E8</v>
      </c>
      <c r="P507" s="1">
        <v>3.01091E8</v>
      </c>
      <c r="Q507" s="1">
        <v>-5769000.0</v>
      </c>
      <c r="R507" s="1">
        <v>1.9344E8</v>
      </c>
      <c r="S507" s="1">
        <v>1.9344E8</v>
      </c>
      <c r="W507" s="4" t="str">
        <f>Raw_Data!C506&amp;"|"&amp;Raw_Data!D506&amp;"|"&amp;TEXT(Raw_Data!B506,"yyyy-mm-dd")</f>
        <v>Copart|CPRT|2021-04-30</v>
      </c>
    </row>
    <row r="508">
      <c r="A508" s="1">
        <v>506.0</v>
      </c>
      <c r="B508" s="3">
        <v>44135.0</v>
      </c>
      <c r="C508" s="1" t="s">
        <v>295</v>
      </c>
      <c r="D508" s="1" t="s">
        <v>296</v>
      </c>
      <c r="F508" s="1">
        <v>2.46815E8</v>
      </c>
      <c r="G508" s="1">
        <v>2.00285E8</v>
      </c>
      <c r="H508" s="1">
        <v>5.7216E7</v>
      </c>
      <c r="I508" s="1">
        <v>3.0581E8</v>
      </c>
      <c r="J508" s="1">
        <v>2.48594E8</v>
      </c>
      <c r="K508" s="1">
        <v>2.48594E8</v>
      </c>
      <c r="L508" s="1">
        <v>-5032000.0</v>
      </c>
      <c r="M508" s="1">
        <v>4.653E7</v>
      </c>
      <c r="N508" s="1">
        <v>5.9294E8</v>
      </c>
      <c r="O508" s="1">
        <v>3.44346E8</v>
      </c>
      <c r="P508" s="1">
        <v>2.8713E8</v>
      </c>
      <c r="Q508" s="1">
        <v>-1779000.0</v>
      </c>
      <c r="R508" s="1">
        <v>2.00285E8</v>
      </c>
      <c r="S508" s="1">
        <v>2.00285E8</v>
      </c>
      <c r="W508" s="4" t="str">
        <f>Raw_Data!C507&amp;"|"&amp;Raw_Data!D507&amp;"|"&amp;TEXT(Raw_Data!B507,"yyyy-mm-dd")</f>
        <v>Copart|CPRT|2021-01-31</v>
      </c>
    </row>
    <row r="509">
      <c r="A509" s="1">
        <v>507.0</v>
      </c>
      <c r="B509" s="3">
        <v>44043.0</v>
      </c>
      <c r="C509" s="1" t="s">
        <v>295</v>
      </c>
      <c r="D509" s="1" t="s">
        <v>296</v>
      </c>
      <c r="F509" s="1">
        <v>2.01883E8</v>
      </c>
      <c r="G509" s="1">
        <v>1.65533E8</v>
      </c>
      <c r="H509" s="1">
        <v>1.2002E7</v>
      </c>
      <c r="I509" s="1">
        <v>2.17717E8</v>
      </c>
      <c r="J509" s="1">
        <v>2.05715E8</v>
      </c>
      <c r="K509" s="1">
        <v>2.05715E8</v>
      </c>
      <c r="L509" s="1">
        <v>-4902000.0</v>
      </c>
      <c r="M509" s="1">
        <v>3.635E7</v>
      </c>
      <c r="N509" s="1">
        <v>5.25659E8</v>
      </c>
      <c r="O509" s="1">
        <v>3.19944E8</v>
      </c>
      <c r="P509" s="1">
        <v>3.07942E8</v>
      </c>
      <c r="Q509" s="1">
        <v>-3832000.0</v>
      </c>
      <c r="R509" s="1">
        <v>1.65533E8</v>
      </c>
      <c r="S509" s="1">
        <v>1.65533E8</v>
      </c>
      <c r="W509" s="4" t="str">
        <f>Raw_Data!C508&amp;"|"&amp;Raw_Data!D508&amp;"|"&amp;TEXT(Raw_Data!B508,"yyyy-mm-dd")</f>
        <v>Copart|CPRT|2020-10-31</v>
      </c>
    </row>
    <row r="510">
      <c r="A510" s="1">
        <v>508.0</v>
      </c>
      <c r="B510" s="3">
        <v>44377.0</v>
      </c>
      <c r="C510" s="1" t="s">
        <v>297</v>
      </c>
      <c r="D510" s="1" t="s">
        <v>298</v>
      </c>
      <c r="E510" s="1">
        <v>2.38E8</v>
      </c>
      <c r="F510" s="1">
        <v>5.16E8</v>
      </c>
      <c r="G510" s="1">
        <v>4.49E8</v>
      </c>
      <c r="H510" s="1">
        <v>4.42E8</v>
      </c>
      <c r="I510" s="1">
        <v>1.309E9</v>
      </c>
      <c r="J510" s="1">
        <v>5.96E8</v>
      </c>
      <c r="K510" s="1">
        <v>5.96E8</v>
      </c>
      <c r="L510" s="1">
        <v>-7.8E7</v>
      </c>
      <c r="M510" s="1">
        <v>6.7E7</v>
      </c>
      <c r="N510" s="1">
        <v>3.501E9</v>
      </c>
      <c r="O510" s="1">
        <v>2.905E9</v>
      </c>
      <c r="P510" s="1">
        <v>2.192E9</v>
      </c>
      <c r="Q510" s="1">
        <v>-8.0E7</v>
      </c>
      <c r="R510" s="1">
        <v>4.49E8</v>
      </c>
      <c r="S510" s="1">
        <v>-3.54E8</v>
      </c>
      <c r="W510" s="4" t="str">
        <f>Raw_Data!C509&amp;"|"&amp;Raw_Data!D509&amp;"|"&amp;TEXT(Raw_Data!B509,"yyyy-mm-dd")</f>
        <v>Copart|CPRT|2020-07-31</v>
      </c>
    </row>
    <row r="511">
      <c r="A511" s="1">
        <v>509.0</v>
      </c>
      <c r="B511" s="3">
        <v>44286.0</v>
      </c>
      <c r="C511" s="1" t="s">
        <v>297</v>
      </c>
      <c r="D511" s="1" t="s">
        <v>298</v>
      </c>
      <c r="E511" s="1">
        <v>2.22E8</v>
      </c>
      <c r="F511" s="1">
        <v>8.25E8</v>
      </c>
      <c r="G511" s="1">
        <v>5.99E8</v>
      </c>
      <c r="H511" s="1">
        <v>3.72E8</v>
      </c>
      <c r="I511" s="1">
        <v>1.156E9</v>
      </c>
      <c r="J511" s="1">
        <v>5.3E8</v>
      </c>
      <c r="K511" s="1">
        <v>5.3E8</v>
      </c>
      <c r="L511" s="1">
        <v>-7.7E7</v>
      </c>
      <c r="M511" s="1">
        <v>2.26E8</v>
      </c>
      <c r="N511" s="1">
        <v>3.29E9</v>
      </c>
      <c r="O511" s="1">
        <v>2.76E9</v>
      </c>
      <c r="P511" s="1">
        <v>2.134E9</v>
      </c>
      <c r="Q511" s="1">
        <v>2.95E8</v>
      </c>
      <c r="R511" s="1">
        <v>5.99E8</v>
      </c>
      <c r="S511" s="1">
        <v>5.75E8</v>
      </c>
      <c r="W511" s="4" t="str">
        <f>Raw_Data!C510&amp;"|"&amp;Raw_Data!D510&amp;"|"&amp;TEXT(Raw_Data!B510,"yyyy-mm-dd")</f>
        <v>Corning|GLW|2021-06-30</v>
      </c>
    </row>
    <row r="512">
      <c r="A512" s="1">
        <v>510.0</v>
      </c>
      <c r="B512" s="3">
        <v>44196.0</v>
      </c>
      <c r="C512" s="1" t="s">
        <v>297</v>
      </c>
      <c r="D512" s="1" t="s">
        <v>298</v>
      </c>
      <c r="E512" s="1">
        <v>2.28E8</v>
      </c>
      <c r="F512" s="1">
        <v>3.3E8</v>
      </c>
      <c r="G512" s="1">
        <v>2.52E8</v>
      </c>
      <c r="H512" s="1">
        <v>4.55E8</v>
      </c>
      <c r="I512" s="1">
        <v>1.273E9</v>
      </c>
      <c r="J512" s="1">
        <v>5.56E8</v>
      </c>
      <c r="K512" s="1">
        <v>5.56E8</v>
      </c>
      <c r="L512" s="1">
        <v>-7.5E7</v>
      </c>
      <c r="M512" s="1">
        <v>7.8E7</v>
      </c>
      <c r="N512" s="1">
        <v>3.35E9</v>
      </c>
      <c r="O512" s="1">
        <v>2.794E9</v>
      </c>
      <c r="P512" s="1">
        <v>2.077E9</v>
      </c>
      <c r="Q512" s="1">
        <v>-2.26E8</v>
      </c>
      <c r="R512" s="1">
        <v>2.52E8</v>
      </c>
      <c r="S512" s="1">
        <v>2.27E8</v>
      </c>
      <c r="W512" s="4" t="str">
        <f>Raw_Data!C511&amp;"|"&amp;Raw_Data!D511&amp;"|"&amp;TEXT(Raw_Data!B511,"yyyy-mm-dd")</f>
        <v>Corning|GLW|2021-03-31</v>
      </c>
    </row>
    <row r="513">
      <c r="A513" s="1">
        <v>511.0</v>
      </c>
      <c r="B513" s="3">
        <v>44104.0</v>
      </c>
      <c r="C513" s="1" t="s">
        <v>297</v>
      </c>
      <c r="D513" s="1" t="s">
        <v>298</v>
      </c>
      <c r="E513" s="1">
        <v>2.13E8</v>
      </c>
      <c r="F513" s="1">
        <v>4.5E8</v>
      </c>
      <c r="G513" s="1">
        <v>4.27E8</v>
      </c>
      <c r="H513" s="1">
        <v>4.47E8</v>
      </c>
      <c r="I513" s="1">
        <v>1.125E9</v>
      </c>
      <c r="J513" s="1">
        <v>4.32E8</v>
      </c>
      <c r="K513" s="1">
        <v>4.32E8</v>
      </c>
      <c r="L513" s="1">
        <v>-7.0E7</v>
      </c>
      <c r="M513" s="1">
        <v>2.3E7</v>
      </c>
      <c r="N513" s="1">
        <v>3.001E9</v>
      </c>
      <c r="O513" s="1">
        <v>2.569E9</v>
      </c>
      <c r="P513" s="1">
        <v>1.876E9</v>
      </c>
      <c r="Q513" s="1">
        <v>1.8E7</v>
      </c>
      <c r="R513" s="1">
        <v>4.27E8</v>
      </c>
      <c r="S513" s="1">
        <v>4.03E8</v>
      </c>
      <c r="W513" s="4" t="str">
        <f>Raw_Data!C512&amp;"|"&amp;Raw_Data!D512&amp;"|"&amp;TEXT(Raw_Data!B512,"yyyy-mm-dd")</f>
        <v>Corning|GLW|2020-12-31</v>
      </c>
    </row>
    <row r="514">
      <c r="A514" s="1">
        <v>512.0</v>
      </c>
      <c r="B514" s="3">
        <v>44377.0</v>
      </c>
      <c r="C514" s="1" t="s">
        <v>299</v>
      </c>
      <c r="D514" s="1" t="s">
        <v>300</v>
      </c>
      <c r="E514" s="1">
        <v>2.93E8</v>
      </c>
      <c r="F514" s="1">
        <v>1.302E9</v>
      </c>
      <c r="G514" s="1">
        <v>9.7E8</v>
      </c>
      <c r="H514" s="1">
        <v>6.7E8</v>
      </c>
      <c r="I514" s="1">
        <v>2.617E9</v>
      </c>
      <c r="J514" s="1">
        <v>1.474E9</v>
      </c>
      <c r="K514" s="1">
        <v>1.474E9</v>
      </c>
      <c r="L514" s="1">
        <v>-7000000.0</v>
      </c>
      <c r="M514" s="1">
        <v>2.84E8</v>
      </c>
      <c r="N514" s="1">
        <v>5.627E9</v>
      </c>
      <c r="O514" s="1">
        <v>4.153E9</v>
      </c>
      <c r="P514" s="1">
        <v>3.01E9</v>
      </c>
      <c r="Q514" s="1">
        <v>-1.72E8</v>
      </c>
      <c r="R514" s="1">
        <v>1.018E9</v>
      </c>
      <c r="S514" s="1">
        <v>9.7E8</v>
      </c>
      <c r="W514" s="4" t="str">
        <f>Raw_Data!C513&amp;"|"&amp;Raw_Data!D513&amp;"|"&amp;TEXT(Raw_Data!B513,"yyyy-mm-dd")</f>
        <v>Corning|GLW|2020-09-30</v>
      </c>
    </row>
    <row r="515">
      <c r="A515" s="1">
        <v>513.0</v>
      </c>
      <c r="B515" s="3">
        <v>44286.0</v>
      </c>
      <c r="C515" s="1" t="s">
        <v>299</v>
      </c>
      <c r="D515" s="1" t="s">
        <v>300</v>
      </c>
      <c r="E515" s="1">
        <v>2.81E8</v>
      </c>
      <c r="F515" s="1">
        <v>7.91E8</v>
      </c>
      <c r="G515" s="1">
        <v>6.0E8</v>
      </c>
      <c r="H515" s="1">
        <v>4.08E8</v>
      </c>
      <c r="I515" s="1">
        <v>1.758E9</v>
      </c>
      <c r="J515" s="1">
        <v>8.86E8</v>
      </c>
      <c r="K515" s="1">
        <v>8.86E8</v>
      </c>
      <c r="L515" s="1">
        <v>-7000000.0</v>
      </c>
      <c r="M515" s="1">
        <v>1.78E8</v>
      </c>
      <c r="N515" s="1">
        <v>4.178E9</v>
      </c>
      <c r="O515" s="1">
        <v>3.292E9</v>
      </c>
      <c r="P515" s="1">
        <v>2.42E9</v>
      </c>
      <c r="Q515" s="1">
        <v>-9.5E7</v>
      </c>
      <c r="R515" s="1">
        <v>6.13E8</v>
      </c>
      <c r="S515" s="1">
        <v>6.0E8</v>
      </c>
      <c r="W515" s="4" t="str">
        <f>Raw_Data!C514&amp;"|"&amp;Raw_Data!D514&amp;"|"&amp;TEXT(Raw_Data!B514,"yyyy-mm-dd")</f>
        <v>Corteva|CTVA|2021-06-30</v>
      </c>
    </row>
    <row r="516">
      <c r="A516" s="1">
        <v>514.0</v>
      </c>
      <c r="B516" s="3">
        <v>44196.0</v>
      </c>
      <c r="C516" s="1" t="s">
        <v>299</v>
      </c>
      <c r="D516" s="1" t="s">
        <v>300</v>
      </c>
      <c r="E516" s="1">
        <v>3.05E8</v>
      </c>
      <c r="F516" s="1">
        <v>-7.0E7</v>
      </c>
      <c r="G516" s="1">
        <v>4.1E7</v>
      </c>
      <c r="H516" s="1">
        <v>6.31E8</v>
      </c>
      <c r="I516" s="1">
        <v>1.095E9</v>
      </c>
      <c r="J516" s="1">
        <v>-2.2E7</v>
      </c>
      <c r="K516" s="1">
        <v>-2.2E7</v>
      </c>
      <c r="L516" s="1">
        <v>-1.0E7</v>
      </c>
      <c r="M516" s="1">
        <v>-1.69E8</v>
      </c>
      <c r="N516" s="1">
        <v>3.207E9</v>
      </c>
      <c r="O516" s="1">
        <v>3.229E9</v>
      </c>
      <c r="P516" s="1">
        <v>2.112E9</v>
      </c>
      <c r="Q516" s="1">
        <v>-4.8E7</v>
      </c>
      <c r="R516" s="1">
        <v>9.9E7</v>
      </c>
      <c r="S516" s="1">
        <v>4.1E7</v>
      </c>
      <c r="W516" s="4" t="str">
        <f>Raw_Data!C515&amp;"|"&amp;Raw_Data!D515&amp;"|"&amp;TEXT(Raw_Data!B515,"yyyy-mm-dd")</f>
        <v>Corteva|CTVA|2021-03-31</v>
      </c>
    </row>
    <row r="517">
      <c r="A517" s="1">
        <v>515.0</v>
      </c>
      <c r="B517" s="3">
        <v>44104.0</v>
      </c>
      <c r="C517" s="1" t="s">
        <v>299</v>
      </c>
      <c r="D517" s="1" t="s">
        <v>300</v>
      </c>
      <c r="E517" s="1">
        <v>2.84E8</v>
      </c>
      <c r="F517" s="1">
        <v>-5.07E8</v>
      </c>
      <c r="G517" s="1">
        <v>-3.92E8</v>
      </c>
      <c r="H517" s="1">
        <v>5.04E8</v>
      </c>
      <c r="I517" s="1">
        <v>5.66E8</v>
      </c>
      <c r="J517" s="1">
        <v>-3.84E8</v>
      </c>
      <c r="K517" s="1">
        <v>-3.84E8</v>
      </c>
      <c r="L517" s="1">
        <v>-1.1E7</v>
      </c>
      <c r="M517" s="1">
        <v>-1.17E8</v>
      </c>
      <c r="N517" s="1">
        <v>1.863E9</v>
      </c>
      <c r="O517" s="1">
        <v>2.247E9</v>
      </c>
      <c r="P517" s="1">
        <v>1.297E9</v>
      </c>
      <c r="Q517" s="1">
        <v>-1.23E8</v>
      </c>
      <c r="R517" s="1">
        <v>-3.9E8</v>
      </c>
      <c r="S517" s="1">
        <v>-3.92E8</v>
      </c>
      <c r="W517" s="4" t="str">
        <f>Raw_Data!C516&amp;"|"&amp;Raw_Data!D516&amp;"|"&amp;TEXT(Raw_Data!B516,"yyyy-mm-dd")</f>
        <v>Corteva|CTVA|2020-12-31</v>
      </c>
    </row>
    <row r="518">
      <c r="A518" s="1">
        <v>516.0</v>
      </c>
      <c r="B518" s="3">
        <v>44437.0</v>
      </c>
      <c r="C518" s="1" t="s">
        <v>301</v>
      </c>
      <c r="D518" s="1" t="s">
        <v>302</v>
      </c>
      <c r="F518" s="1">
        <v>2.291E9</v>
      </c>
      <c r="G518" s="1">
        <v>1.67E9</v>
      </c>
      <c r="H518" s="1">
        <v>5.632E9</v>
      </c>
      <c r="I518" s="1">
        <v>7.942E9</v>
      </c>
      <c r="J518" s="1">
        <v>2.275E9</v>
      </c>
      <c r="K518" s="1">
        <v>2.275E9</v>
      </c>
      <c r="L518" s="1">
        <v>-5.2E7</v>
      </c>
      <c r="M518" s="1">
        <v>5.97E8</v>
      </c>
      <c r="N518" s="1">
        <v>6.2675E10</v>
      </c>
      <c r="O518" s="1">
        <v>6.04E10</v>
      </c>
      <c r="P518" s="1">
        <v>5.4733E10</v>
      </c>
      <c r="Q518" s="1">
        <v>1.6E7</v>
      </c>
      <c r="R518" s="1">
        <v>1.694E9</v>
      </c>
      <c r="S518" s="1">
        <v>1.67E9</v>
      </c>
      <c r="W518" s="4" t="str">
        <f>Raw_Data!C517&amp;"|"&amp;Raw_Data!D517&amp;"|"&amp;TEXT(Raw_Data!B517,"yyyy-mm-dd")</f>
        <v>Corteva|CTVA|2020-09-30</v>
      </c>
    </row>
    <row r="519">
      <c r="A519" s="1">
        <v>517.0</v>
      </c>
      <c r="B519" s="3">
        <v>44325.0</v>
      </c>
      <c r="C519" s="1" t="s">
        <v>301</v>
      </c>
      <c r="D519" s="1" t="s">
        <v>302</v>
      </c>
      <c r="F519" s="1">
        <v>1.65E9</v>
      </c>
      <c r="G519" s="1">
        <v>1.22E9</v>
      </c>
      <c r="H519" s="1">
        <v>4.189E9</v>
      </c>
      <c r="I519" s="1">
        <v>5.862E9</v>
      </c>
      <c r="J519" s="1">
        <v>1.663E9</v>
      </c>
      <c r="K519" s="1">
        <v>1.663E9</v>
      </c>
      <c r="L519" s="1">
        <v>-4.0E7</v>
      </c>
      <c r="M519" s="1">
        <v>4.17E8</v>
      </c>
      <c r="N519" s="1">
        <v>4.5277E10</v>
      </c>
      <c r="O519" s="1">
        <v>4.3614E10</v>
      </c>
      <c r="P519" s="1">
        <v>3.9415E10</v>
      </c>
      <c r="Q519" s="1">
        <v>-1.3E7</v>
      </c>
      <c r="R519" s="1">
        <v>1.233E9</v>
      </c>
      <c r="S519" s="1">
        <v>1.22E9</v>
      </c>
      <c r="W519" s="4" t="str">
        <f>Raw_Data!C518&amp;"|"&amp;Raw_Data!D518&amp;"|"&amp;TEXT(Raw_Data!B518,"yyyy-mm-dd")</f>
        <v>Costco|COST|2021-08-29</v>
      </c>
    </row>
    <row r="520">
      <c r="A520" s="1">
        <v>518.0</v>
      </c>
      <c r="B520" s="3">
        <v>44241.0</v>
      </c>
      <c r="C520" s="1" t="s">
        <v>301</v>
      </c>
      <c r="D520" s="1" t="s">
        <v>302</v>
      </c>
      <c r="F520" s="1">
        <v>1.319E9</v>
      </c>
      <c r="G520" s="1">
        <v>9.51E8</v>
      </c>
      <c r="H520" s="1">
        <v>4.342E9</v>
      </c>
      <c r="I520" s="1">
        <v>5.691E9</v>
      </c>
      <c r="J520" s="1">
        <v>1.34E9</v>
      </c>
      <c r="K520" s="1">
        <v>1.34E9</v>
      </c>
      <c r="L520" s="1">
        <v>-4.0E7</v>
      </c>
      <c r="M520" s="1">
        <v>3.48E8</v>
      </c>
      <c r="N520" s="1">
        <v>4.4769E10</v>
      </c>
      <c r="O520" s="1">
        <v>4.3429E10</v>
      </c>
      <c r="P520" s="1">
        <v>3.9078E10</v>
      </c>
      <c r="Q520" s="1">
        <v>-2.1E7</v>
      </c>
      <c r="R520" s="1">
        <v>9.71E8</v>
      </c>
      <c r="S520" s="1">
        <v>9.51E8</v>
      </c>
      <c r="W520" s="4" t="str">
        <f>Raw_Data!C519&amp;"|"&amp;Raw_Data!D519&amp;"|"&amp;TEXT(Raw_Data!B519,"yyyy-mm-dd")</f>
        <v>Costco|COST|2021-05-09</v>
      </c>
    </row>
    <row r="521">
      <c r="A521" s="1">
        <v>519.0</v>
      </c>
      <c r="B521" s="3">
        <v>44157.0</v>
      </c>
      <c r="C521" s="1" t="s">
        <v>301</v>
      </c>
      <c r="D521" s="1" t="s">
        <v>302</v>
      </c>
      <c r="F521" s="1">
        <v>1.42E9</v>
      </c>
      <c r="G521" s="1">
        <v>1.166E9</v>
      </c>
      <c r="H521" s="1">
        <v>4.298E9</v>
      </c>
      <c r="I521" s="1">
        <v>5.75E9</v>
      </c>
      <c r="J521" s="1">
        <v>1.43E9</v>
      </c>
      <c r="K521" s="1">
        <v>1.43E9</v>
      </c>
      <c r="L521" s="1">
        <v>-3.9E7</v>
      </c>
      <c r="M521" s="1">
        <v>2.39E8</v>
      </c>
      <c r="N521" s="1">
        <v>4.3208E10</v>
      </c>
      <c r="O521" s="1">
        <v>4.1778E10</v>
      </c>
      <c r="P521" s="1">
        <v>3.7458E10</v>
      </c>
      <c r="Q521" s="1">
        <v>-1.0E7</v>
      </c>
      <c r="R521" s="1">
        <v>1.181E9</v>
      </c>
      <c r="S521" s="1">
        <v>1.166E9</v>
      </c>
      <c r="W521" s="4" t="str">
        <f>Raw_Data!C520&amp;"|"&amp;Raw_Data!D520&amp;"|"&amp;TEXT(Raw_Data!B520,"yyyy-mm-dd")</f>
        <v>Costco|COST|2021-02-14</v>
      </c>
    </row>
    <row r="522">
      <c r="A522" s="1">
        <v>520.0</v>
      </c>
      <c r="B522" s="3">
        <v>44377.0</v>
      </c>
      <c r="C522" s="1" t="s">
        <v>303</v>
      </c>
      <c r="D522" s="1" t="s">
        <v>304</v>
      </c>
      <c r="F522" s="1">
        <v>4.1304E7</v>
      </c>
      <c r="G522" s="1">
        <v>3.0464E7</v>
      </c>
      <c r="H522" s="1">
        <v>1.6837E7</v>
      </c>
      <c r="I522" s="1">
        <v>2.62146E8</v>
      </c>
      <c r="J522" s="1">
        <v>6.0088E7</v>
      </c>
      <c r="K522" s="1">
        <v>6.0088E7</v>
      </c>
      <c r="L522" s="1">
        <v>-1.2558E7</v>
      </c>
      <c r="M522" s="1">
        <v>1.084E7</v>
      </c>
      <c r="N522" s="1">
        <v>4.11788E8</v>
      </c>
      <c r="O522" s="1">
        <v>3.517E8</v>
      </c>
      <c r="P522" s="1">
        <v>1.49642E8</v>
      </c>
      <c r="Q522" s="1">
        <v>-1.8784E7</v>
      </c>
      <c r="R522" s="1">
        <v>3.0464E7</v>
      </c>
      <c r="S522" s="1">
        <v>3.0464E7</v>
      </c>
      <c r="W522" s="4" t="str">
        <f>Raw_Data!C521&amp;"|"&amp;Raw_Data!D521&amp;"|"&amp;TEXT(Raw_Data!B521,"yyyy-mm-dd")</f>
        <v>Costco|COST|2020-11-22</v>
      </c>
    </row>
    <row r="523">
      <c r="A523" s="1">
        <v>521.0</v>
      </c>
      <c r="B523" s="3">
        <v>44286.0</v>
      </c>
      <c r="C523" s="1" t="s">
        <v>303</v>
      </c>
      <c r="D523" s="1" t="s">
        <v>304</v>
      </c>
      <c r="F523" s="1">
        <v>1.63015E8</v>
      </c>
      <c r="G523" s="1">
        <v>1.26354E8</v>
      </c>
      <c r="H523" s="1">
        <v>2.6755E7</v>
      </c>
      <c r="I523" s="1">
        <v>3.1934E8</v>
      </c>
      <c r="J523" s="1">
        <v>1.77767E8</v>
      </c>
      <c r="K523" s="1">
        <v>1.77767E8</v>
      </c>
      <c r="L523" s="1">
        <v>-1.2377E7</v>
      </c>
      <c r="M523" s="1">
        <v>3.6661E7</v>
      </c>
      <c r="N523" s="1">
        <v>4.72918E8</v>
      </c>
      <c r="O523" s="1">
        <v>2.95151E8</v>
      </c>
      <c r="P523" s="1">
        <v>1.53578E8</v>
      </c>
      <c r="Q523" s="1">
        <v>-1.4752E7</v>
      </c>
      <c r="R523" s="1">
        <v>1.26354E8</v>
      </c>
      <c r="S523" s="1">
        <v>1.26354E8</v>
      </c>
      <c r="W523" s="4" t="str">
        <f>Raw_Data!C522&amp;"|"&amp;Raw_Data!D522&amp;"|"&amp;TEXT(Raw_Data!B522,"yyyy-mm-dd")</f>
        <v>Coterra|CTRA|2021-06-30</v>
      </c>
    </row>
    <row r="524">
      <c r="A524" s="1">
        <v>522.0</v>
      </c>
      <c r="B524" s="3">
        <v>44196.0</v>
      </c>
      <c r="C524" s="1" t="s">
        <v>303</v>
      </c>
      <c r="D524" s="1" t="s">
        <v>304</v>
      </c>
      <c r="F524" s="1">
        <v>1.51853E8</v>
      </c>
      <c r="G524" s="1">
        <v>1.31206E8</v>
      </c>
      <c r="H524" s="1">
        <v>2.4534E7</v>
      </c>
      <c r="I524" s="1">
        <v>2.49079E8</v>
      </c>
      <c r="J524" s="1">
        <v>1.63244E8</v>
      </c>
      <c r="K524" s="1">
        <v>1.63244E8</v>
      </c>
      <c r="L524" s="1">
        <v>-1.0981E7</v>
      </c>
      <c r="M524" s="1">
        <v>2.0647E7</v>
      </c>
      <c r="N524" s="1">
        <v>4.13157E8</v>
      </c>
      <c r="O524" s="1">
        <v>2.49913E8</v>
      </c>
      <c r="P524" s="1">
        <v>1.64078E8</v>
      </c>
      <c r="Q524" s="1">
        <v>-1.1391E7</v>
      </c>
      <c r="R524" s="1">
        <v>1.31206E8</v>
      </c>
      <c r="S524" s="1">
        <v>1.31206E8</v>
      </c>
      <c r="W524" s="4" t="str">
        <f>Raw_Data!C523&amp;"|"&amp;Raw_Data!D523&amp;"|"&amp;TEXT(Raw_Data!B523,"yyyy-mm-dd")</f>
        <v>Coterra|CTRA|2021-03-31</v>
      </c>
    </row>
    <row r="525">
      <c r="A525" s="1">
        <v>523.0</v>
      </c>
      <c r="B525" s="3">
        <v>44104.0</v>
      </c>
      <c r="C525" s="1" t="s">
        <v>303</v>
      </c>
      <c r="D525" s="1" t="s">
        <v>304</v>
      </c>
      <c r="F525" s="1">
        <v>-2.1979E7</v>
      </c>
      <c r="G525" s="1">
        <v>-1.4961E7</v>
      </c>
      <c r="H525" s="1">
        <v>2.4262E7</v>
      </c>
      <c r="I525" s="1">
        <v>1.66115E8</v>
      </c>
      <c r="J525" s="1">
        <v>-7564000.0</v>
      </c>
      <c r="K525" s="1">
        <v>-7564000.0</v>
      </c>
      <c r="L525" s="1">
        <v>-1.4389E7</v>
      </c>
      <c r="M525" s="1">
        <v>-7018000.0</v>
      </c>
      <c r="N525" s="1">
        <v>3.33294E8</v>
      </c>
      <c r="O525" s="1">
        <v>3.40858E8</v>
      </c>
      <c r="P525" s="1">
        <v>1.67179E8</v>
      </c>
      <c r="Q525" s="1">
        <v>-1.4415E7</v>
      </c>
      <c r="R525" s="1">
        <v>-1.4961E7</v>
      </c>
      <c r="S525" s="1">
        <v>-1.4961E7</v>
      </c>
      <c r="W525" s="4" t="str">
        <f>Raw_Data!C524&amp;"|"&amp;Raw_Data!D524&amp;"|"&amp;TEXT(Raw_Data!B524,"yyyy-mm-dd")</f>
        <v>Coterra|CTRA|2020-12-31</v>
      </c>
    </row>
    <row r="526">
      <c r="A526" s="1">
        <v>524.0</v>
      </c>
      <c r="B526" s="3">
        <v>44377.0</v>
      </c>
      <c r="C526" s="1" t="s">
        <v>305</v>
      </c>
      <c r="D526" s="1" t="s">
        <v>306</v>
      </c>
      <c r="F526" s="1">
        <v>3.39E8</v>
      </c>
      <c r="G526" s="1">
        <v>3.34E8</v>
      </c>
      <c r="H526" s="1">
        <v>1.69E8</v>
      </c>
      <c r="I526" s="1">
        <v>1.089E9</v>
      </c>
      <c r="J526" s="1">
        <v>5.12E8</v>
      </c>
      <c r="K526" s="1">
        <v>5.12E8</v>
      </c>
      <c r="L526" s="1">
        <v>-1.61E8</v>
      </c>
      <c r="M526" s="1">
        <v>6000000.0</v>
      </c>
      <c r="N526" s="1">
        <v>1.583E9</v>
      </c>
      <c r="O526" s="1">
        <v>1.071E9</v>
      </c>
      <c r="P526" s="1">
        <v>4.94E8</v>
      </c>
      <c r="Q526" s="1">
        <v>-1.73E8</v>
      </c>
      <c r="R526" s="1">
        <v>3.33E8</v>
      </c>
      <c r="S526" s="1">
        <v>3.34E8</v>
      </c>
      <c r="W526" s="4" t="str">
        <f>Raw_Data!C525&amp;"|"&amp;Raw_Data!D525&amp;"|"&amp;TEXT(Raw_Data!B525,"yyyy-mm-dd")</f>
        <v>Coterra|CTRA|2020-09-30</v>
      </c>
    </row>
    <row r="527">
      <c r="A527" s="1">
        <v>525.0</v>
      </c>
      <c r="B527" s="3">
        <v>44286.0</v>
      </c>
      <c r="C527" s="1" t="s">
        <v>305</v>
      </c>
      <c r="D527" s="1" t="s">
        <v>306</v>
      </c>
      <c r="F527" s="1">
        <v>1.28E8</v>
      </c>
      <c r="G527" s="1">
        <v>5.8E7</v>
      </c>
      <c r="H527" s="1">
        <v>1.64E8</v>
      </c>
      <c r="I527" s="1">
        <v>1.023E9</v>
      </c>
      <c r="J527" s="1">
        <v>4.51E8</v>
      </c>
      <c r="K527" s="1">
        <v>4.51E8</v>
      </c>
      <c r="L527" s="1">
        <v>-1.7E8</v>
      </c>
      <c r="M527" s="1">
        <v>7000000.0</v>
      </c>
      <c r="N527" s="1">
        <v>1.485E9</v>
      </c>
      <c r="O527" s="1">
        <v>1.034E9</v>
      </c>
      <c r="P527" s="1">
        <v>4.62E8</v>
      </c>
      <c r="Q527" s="1">
        <v>-3.23E8</v>
      </c>
      <c r="R527" s="1">
        <v>1.21E8</v>
      </c>
      <c r="S527" s="1">
        <v>5.8E7</v>
      </c>
      <c r="W527" s="4" t="str">
        <f>Raw_Data!C526&amp;"|"&amp;Raw_Data!D526&amp;"|"&amp;TEXT(Raw_Data!B526,"yyyy-mm-dd")</f>
        <v>Crown Castle|CCI|2021-06-30</v>
      </c>
    </row>
    <row r="528">
      <c r="A528" s="1">
        <v>526.0</v>
      </c>
      <c r="B528" s="3">
        <v>44196.0</v>
      </c>
      <c r="C528" s="1" t="s">
        <v>305</v>
      </c>
      <c r="D528" s="1" t="s">
        <v>306</v>
      </c>
      <c r="F528" s="1">
        <v>5.12E8</v>
      </c>
      <c r="G528" s="1">
        <v>5.08E8</v>
      </c>
      <c r="H528" s="1">
        <v>1.85E8</v>
      </c>
      <c r="I528" s="1">
        <v>9.91E8</v>
      </c>
      <c r="J528" s="1">
        <v>4.05E8</v>
      </c>
      <c r="K528" s="1">
        <v>4.05E8</v>
      </c>
      <c r="L528" s="1">
        <v>-1.68E8</v>
      </c>
      <c r="M528" s="1">
        <v>4000000.0</v>
      </c>
      <c r="N528" s="1">
        <v>1.493E9</v>
      </c>
      <c r="O528" s="1">
        <v>1.088E9</v>
      </c>
      <c r="P528" s="1">
        <v>5.02E8</v>
      </c>
      <c r="Q528" s="1">
        <v>1.07E8</v>
      </c>
      <c r="R528" s="1">
        <v>5.08E8</v>
      </c>
      <c r="S528" s="1">
        <v>5.08E8</v>
      </c>
      <c r="W528" s="4" t="str">
        <f>Raw_Data!C527&amp;"|"&amp;Raw_Data!D527&amp;"|"&amp;TEXT(Raw_Data!B527,"yyyy-mm-dd")</f>
        <v>Crown Castle|CCI|2021-03-31</v>
      </c>
    </row>
    <row r="529">
      <c r="A529" s="1">
        <v>527.0</v>
      </c>
      <c r="B529" s="3">
        <v>44104.0</v>
      </c>
      <c r="C529" s="1" t="s">
        <v>305</v>
      </c>
      <c r="D529" s="1" t="s">
        <v>306</v>
      </c>
      <c r="F529" s="1">
        <v>1.68E8</v>
      </c>
      <c r="G529" s="1">
        <v>1.63E8</v>
      </c>
      <c r="H529" s="1">
        <v>1.54E8</v>
      </c>
      <c r="I529" s="1">
        <v>9.99E8</v>
      </c>
      <c r="J529" s="1">
        <v>4.39E8</v>
      </c>
      <c r="K529" s="1">
        <v>4.39E8</v>
      </c>
      <c r="L529" s="1">
        <v>-1.68E8</v>
      </c>
      <c r="M529" s="1">
        <v>5000000.0</v>
      </c>
      <c r="N529" s="1">
        <v>1.486E9</v>
      </c>
      <c r="O529" s="1">
        <v>1.047E9</v>
      </c>
      <c r="P529" s="1">
        <v>4.87E8</v>
      </c>
      <c r="Q529" s="1">
        <v>-2.71E8</v>
      </c>
      <c r="R529" s="1">
        <v>1.63E8</v>
      </c>
      <c r="S529" s="1">
        <v>1.63E8</v>
      </c>
      <c r="W529" s="4" t="str">
        <f>Raw_Data!C528&amp;"|"&amp;Raw_Data!D528&amp;"|"&amp;TEXT(Raw_Data!B528,"yyyy-mm-dd")</f>
        <v>Crown Castle|CCI|2020-12-31</v>
      </c>
    </row>
    <row r="530">
      <c r="A530" s="1">
        <v>528.0</v>
      </c>
      <c r="B530" s="3">
        <v>44469.0</v>
      </c>
      <c r="C530" s="1" t="s">
        <v>307</v>
      </c>
      <c r="D530" s="1" t="s">
        <v>307</v>
      </c>
      <c r="F530" s="1">
        <v>1.279E9</v>
      </c>
      <c r="G530" s="1">
        <v>9.68E8</v>
      </c>
      <c r="I530" s="1">
        <v>1.76E9</v>
      </c>
      <c r="J530" s="1">
        <v>1.393E9</v>
      </c>
      <c r="K530" s="1">
        <v>1.393E9</v>
      </c>
      <c r="L530" s="1">
        <v>-1.77E8</v>
      </c>
      <c r="M530" s="1">
        <v>3.11E8</v>
      </c>
      <c r="N530" s="1">
        <v>3.292E9</v>
      </c>
      <c r="O530" s="1">
        <v>1.899E9</v>
      </c>
      <c r="P530" s="1">
        <v>1.532E9</v>
      </c>
      <c r="Q530" s="1">
        <v>-1.14E8</v>
      </c>
      <c r="R530" s="1">
        <v>9.68E8</v>
      </c>
      <c r="S530" s="1">
        <v>9.68E8</v>
      </c>
      <c r="W530" s="4" t="str">
        <f>Raw_Data!C529&amp;"|"&amp;Raw_Data!D529&amp;"|"&amp;TEXT(Raw_Data!B529,"yyyy-mm-dd")</f>
        <v>Crown Castle|CCI|2020-09-30</v>
      </c>
    </row>
    <row r="531">
      <c r="A531" s="1">
        <v>529.0</v>
      </c>
      <c r="B531" s="3">
        <v>44377.0</v>
      </c>
      <c r="C531" s="1" t="s">
        <v>307</v>
      </c>
      <c r="D531" s="1" t="s">
        <v>307</v>
      </c>
      <c r="F531" s="1">
        <v>1.53E9</v>
      </c>
      <c r="G531" s="1">
        <v>1.173E9</v>
      </c>
      <c r="I531" s="1">
        <v>1.689E9</v>
      </c>
      <c r="J531" s="1">
        <v>1.341E9</v>
      </c>
      <c r="K531" s="1">
        <v>1.341E9</v>
      </c>
      <c r="L531" s="1">
        <v>-1.81E8</v>
      </c>
      <c r="M531" s="1">
        <v>3.57E8</v>
      </c>
      <c r="N531" s="1">
        <v>2.99E9</v>
      </c>
      <c r="O531" s="1">
        <v>1.649E9</v>
      </c>
      <c r="P531" s="1">
        <v>1.301E9</v>
      </c>
      <c r="Q531" s="1">
        <v>1.89E8</v>
      </c>
      <c r="R531" s="1">
        <v>1.173E9</v>
      </c>
      <c r="S531" s="1">
        <v>1.173E9</v>
      </c>
      <c r="W531" s="4" t="str">
        <f>Raw_Data!C530&amp;"|"&amp;Raw_Data!D530&amp;"|"&amp;TEXT(Raw_Data!B530,"yyyy-mm-dd")</f>
        <v>CSX|CSX|2021-09-30</v>
      </c>
    </row>
    <row r="532">
      <c r="A532" s="1">
        <v>530.0</v>
      </c>
      <c r="B532" s="3">
        <v>44286.0</v>
      </c>
      <c r="C532" s="1" t="s">
        <v>307</v>
      </c>
      <c r="D532" s="1" t="s">
        <v>307</v>
      </c>
      <c r="F532" s="1">
        <v>9.37E8</v>
      </c>
      <c r="G532" s="1">
        <v>7.06E8</v>
      </c>
      <c r="I532" s="1">
        <v>1.461E9</v>
      </c>
      <c r="J532" s="1">
        <v>1.116E9</v>
      </c>
      <c r="K532" s="1">
        <v>1.116E9</v>
      </c>
      <c r="L532" s="1">
        <v>-1.84E8</v>
      </c>
      <c r="M532" s="1">
        <v>2.31E8</v>
      </c>
      <c r="N532" s="1">
        <v>2.813E9</v>
      </c>
      <c r="O532" s="1">
        <v>1.697E9</v>
      </c>
      <c r="P532" s="1">
        <v>1.352E9</v>
      </c>
      <c r="Q532" s="1">
        <v>-1.79E8</v>
      </c>
      <c r="R532" s="1">
        <v>7.06E8</v>
      </c>
      <c r="S532" s="1">
        <v>7.06E8</v>
      </c>
      <c r="W532" s="4" t="str">
        <f>Raw_Data!C531&amp;"|"&amp;Raw_Data!D531&amp;"|"&amp;TEXT(Raw_Data!B531,"yyyy-mm-dd")</f>
        <v>CSX|CSX|2021-06-30</v>
      </c>
    </row>
    <row r="533">
      <c r="A533" s="1">
        <v>531.0</v>
      </c>
      <c r="B533" s="3">
        <v>44196.0</v>
      </c>
      <c r="C533" s="1" t="s">
        <v>307</v>
      </c>
      <c r="D533" s="1" t="s">
        <v>307</v>
      </c>
      <c r="F533" s="1">
        <v>9.94E8</v>
      </c>
      <c r="G533" s="1">
        <v>7.6E8</v>
      </c>
      <c r="I533" s="1">
        <v>1.583E9</v>
      </c>
      <c r="J533" s="1">
        <v>1.236E9</v>
      </c>
      <c r="K533" s="1">
        <v>1.236E9</v>
      </c>
      <c r="L533" s="1">
        <v>-1.89E8</v>
      </c>
      <c r="M533" s="1">
        <v>2.34E8</v>
      </c>
      <c r="N533" s="1">
        <v>2.825E9</v>
      </c>
      <c r="O533" s="1">
        <v>1.589E9</v>
      </c>
      <c r="P533" s="1">
        <v>1.242E9</v>
      </c>
      <c r="Q533" s="1">
        <v>-2.42E8</v>
      </c>
      <c r="R533" s="1">
        <v>7.6E8</v>
      </c>
      <c r="S533" s="1">
        <v>7.6E8</v>
      </c>
      <c r="W533" s="4" t="str">
        <f>Raw_Data!C532&amp;"|"&amp;Raw_Data!D532&amp;"|"&amp;TEXT(Raw_Data!B532,"yyyy-mm-dd")</f>
        <v>CSX|CSX|2021-03-31</v>
      </c>
    </row>
    <row r="534">
      <c r="A534" s="1">
        <v>532.0</v>
      </c>
      <c r="B534" s="3">
        <v>44381.0</v>
      </c>
      <c r="C534" s="1" t="s">
        <v>308</v>
      </c>
      <c r="D534" s="1" t="s">
        <v>309</v>
      </c>
      <c r="E534" s="1">
        <v>2.76E8</v>
      </c>
      <c r="F534" s="1">
        <v>7.79E8</v>
      </c>
      <c r="G534" s="1">
        <v>6.0E8</v>
      </c>
      <c r="H534" s="1">
        <v>6.25E8</v>
      </c>
      <c r="I534" s="1">
        <v>1.478E9</v>
      </c>
      <c r="J534" s="1">
        <v>5.75E8</v>
      </c>
      <c r="K534" s="1">
        <v>5.75E8</v>
      </c>
      <c r="L534" s="1">
        <v>-2.9E7</v>
      </c>
      <c r="M534" s="1">
        <v>1.67E8</v>
      </c>
      <c r="N534" s="1">
        <v>6.111E9</v>
      </c>
      <c r="O534" s="1">
        <v>5.536E9</v>
      </c>
      <c r="P534" s="1">
        <v>4.633E9</v>
      </c>
      <c r="Q534" s="1">
        <v>2.04E8</v>
      </c>
      <c r="R534" s="1">
        <v>6.12E8</v>
      </c>
      <c r="S534" s="1">
        <v>6.0E8</v>
      </c>
      <c r="W534" s="4" t="str">
        <f>Raw_Data!C533&amp;"|"&amp;Raw_Data!D533&amp;"|"&amp;TEXT(Raw_Data!B533,"yyyy-mm-dd")</f>
        <v>CSX|CSX|2020-12-31</v>
      </c>
    </row>
    <row r="535">
      <c r="A535" s="1">
        <v>533.0</v>
      </c>
      <c r="B535" s="3">
        <v>44290.0</v>
      </c>
      <c r="C535" s="1" t="s">
        <v>308</v>
      </c>
      <c r="D535" s="1" t="s">
        <v>309</v>
      </c>
      <c r="E535" s="1">
        <v>2.6E8</v>
      </c>
      <c r="F535" s="1">
        <v>7.83E8</v>
      </c>
      <c r="G535" s="1">
        <v>6.03E8</v>
      </c>
      <c r="H535" s="1">
        <v>5.5E8</v>
      </c>
      <c r="I535" s="1">
        <v>1.486E9</v>
      </c>
      <c r="J535" s="1">
        <v>6.71E8</v>
      </c>
      <c r="K535" s="1">
        <v>6.71E8</v>
      </c>
      <c r="L535" s="1">
        <v>-2.8E7</v>
      </c>
      <c r="M535" s="1">
        <v>1.72E8</v>
      </c>
      <c r="N535" s="1">
        <v>6.092E9</v>
      </c>
      <c r="O535" s="1">
        <v>5.421E9</v>
      </c>
      <c r="P535" s="1">
        <v>4.606E9</v>
      </c>
      <c r="Q535" s="1">
        <v>1.12E8</v>
      </c>
      <c r="R535" s="1">
        <v>6.11E8</v>
      </c>
      <c r="S535" s="1">
        <v>6.03E8</v>
      </c>
      <c r="W535" s="4" t="str">
        <f>Raw_Data!C534&amp;"|"&amp;Raw_Data!D534&amp;"|"&amp;TEXT(Raw_Data!B534,"yyyy-mm-dd")</f>
        <v>Cummins|CMI|2021-07-04</v>
      </c>
    </row>
    <row r="536">
      <c r="A536" s="1">
        <v>534.0</v>
      </c>
      <c r="B536" s="3">
        <v>44196.0</v>
      </c>
      <c r="C536" s="1" t="s">
        <v>308</v>
      </c>
      <c r="D536" s="1" t="s">
        <v>309</v>
      </c>
      <c r="E536" s="1">
        <v>2.55E8</v>
      </c>
      <c r="F536" s="1">
        <v>6.35E8</v>
      </c>
      <c r="G536" s="1">
        <v>5.01E8</v>
      </c>
      <c r="H536" s="1">
        <v>5.59E8</v>
      </c>
      <c r="I536" s="1">
        <v>1.405E9</v>
      </c>
      <c r="J536" s="1">
        <v>5.4E8</v>
      </c>
      <c r="K536" s="1">
        <v>5.4E8</v>
      </c>
      <c r="L536" s="1">
        <v>-2.9E7</v>
      </c>
      <c r="M536" s="1">
        <v>1.25E8</v>
      </c>
      <c r="N536" s="1">
        <v>5.83E9</v>
      </c>
      <c r="O536" s="1">
        <v>5.29E9</v>
      </c>
      <c r="P536" s="1">
        <v>4.425E9</v>
      </c>
      <c r="Q536" s="1">
        <v>9.5E7</v>
      </c>
      <c r="R536" s="1">
        <v>5.1E8</v>
      </c>
      <c r="S536" s="1">
        <v>5.01E8</v>
      </c>
      <c r="W536" s="4" t="str">
        <f>Raw_Data!C535&amp;"|"&amp;Raw_Data!D535&amp;"|"&amp;TEXT(Raw_Data!B535,"yyyy-mm-dd")</f>
        <v>Cummins|CMI|2021-04-04</v>
      </c>
    </row>
    <row r="537">
      <c r="A537" s="1">
        <v>535.0</v>
      </c>
      <c r="B537" s="3">
        <v>44101.0</v>
      </c>
      <c r="C537" s="1" t="s">
        <v>308</v>
      </c>
      <c r="D537" s="1" t="s">
        <v>309</v>
      </c>
      <c r="E537" s="1">
        <v>2.24E8</v>
      </c>
      <c r="F537" s="1">
        <v>6.86E8</v>
      </c>
      <c r="G537" s="1">
        <v>5.01E8</v>
      </c>
      <c r="H537" s="1">
        <v>5.17E8</v>
      </c>
      <c r="I537" s="1">
        <v>1.305E9</v>
      </c>
      <c r="J537" s="1">
        <v>6.03E8</v>
      </c>
      <c r="K537" s="1">
        <v>6.03E8</v>
      </c>
      <c r="L537" s="1">
        <v>-2.5E7</v>
      </c>
      <c r="M537" s="1">
        <v>1.82E8</v>
      </c>
      <c r="N537" s="1">
        <v>5.118E9</v>
      </c>
      <c r="O537" s="1">
        <v>4.515E9</v>
      </c>
      <c r="P537" s="1">
        <v>3.813E9</v>
      </c>
      <c r="Q537" s="1">
        <v>8.3E7</v>
      </c>
      <c r="R537" s="1">
        <v>5.04E8</v>
      </c>
      <c r="S537" s="1">
        <v>5.01E8</v>
      </c>
      <c r="W537" s="4" t="str">
        <f>Raw_Data!C536&amp;"|"&amp;Raw_Data!D536&amp;"|"&amp;TEXT(Raw_Data!B536,"yyyy-mm-dd")</f>
        <v>Cummins|CMI|2020-12-31</v>
      </c>
    </row>
    <row r="538">
      <c r="A538" s="1">
        <v>536.0</v>
      </c>
      <c r="B538" s="3">
        <v>44377.0</v>
      </c>
      <c r="C538" s="1" t="s">
        <v>310</v>
      </c>
      <c r="D538" s="1" t="s">
        <v>311</v>
      </c>
      <c r="F538" s="1">
        <v>3.735E9</v>
      </c>
      <c r="G538" s="1">
        <v>2.783E9</v>
      </c>
      <c r="H538" s="1">
        <v>8.828E9</v>
      </c>
      <c r="I538" s="1">
        <v>1.2906E10</v>
      </c>
      <c r="J538" s="1">
        <v>4.078E9</v>
      </c>
      <c r="K538" s="1">
        <v>4.078E9</v>
      </c>
      <c r="L538" s="1">
        <v>-6.36E8</v>
      </c>
      <c r="M538" s="1">
        <v>9.44E8</v>
      </c>
      <c r="N538" s="1">
        <v>7.2327E10</v>
      </c>
      <c r="O538" s="1">
        <v>6.8249E10</v>
      </c>
      <c r="P538" s="1">
        <v>5.9421E10</v>
      </c>
      <c r="Q538" s="1">
        <v>-3.43E8</v>
      </c>
      <c r="R538" s="1">
        <v>2.791E9</v>
      </c>
      <c r="S538" s="1">
        <v>2.783E9</v>
      </c>
      <c r="W538" s="4" t="str">
        <f>Raw_Data!C537&amp;"|"&amp;Raw_Data!D537&amp;"|"&amp;TEXT(Raw_Data!B537,"yyyy-mm-dd")</f>
        <v>Cummins|CMI|2020-09-27</v>
      </c>
    </row>
    <row r="539">
      <c r="A539" s="1">
        <v>537.0</v>
      </c>
      <c r="B539" s="3">
        <v>44286.0</v>
      </c>
      <c r="C539" s="1" t="s">
        <v>310</v>
      </c>
      <c r="D539" s="1" t="s">
        <v>311</v>
      </c>
      <c r="F539" s="1">
        <v>2.97E9</v>
      </c>
      <c r="G539" s="1">
        <v>2.223E9</v>
      </c>
      <c r="H539" s="1">
        <v>8.881E9</v>
      </c>
      <c r="I539" s="1">
        <v>1.2202E10</v>
      </c>
      <c r="J539" s="1">
        <v>3.321E9</v>
      </c>
      <c r="K539" s="1">
        <v>3.321E9</v>
      </c>
      <c r="L539" s="1">
        <v>-6.57E8</v>
      </c>
      <c r="M539" s="1">
        <v>7.46E8</v>
      </c>
      <c r="N539" s="1">
        <v>6.88E10</v>
      </c>
      <c r="O539" s="1">
        <v>6.5479E10</v>
      </c>
      <c r="P539" s="1">
        <v>5.6598E10</v>
      </c>
      <c r="Q539" s="1">
        <v>-3.51E8</v>
      </c>
      <c r="R539" s="1">
        <v>2.224E9</v>
      </c>
      <c r="S539" s="1">
        <v>2.223E9</v>
      </c>
      <c r="W539" s="4" t="str">
        <f>Raw_Data!C538&amp;"|"&amp;Raw_Data!D538&amp;"|"&amp;TEXT(Raw_Data!B538,"yyyy-mm-dd")</f>
        <v>CVS Health|CVS|2021-06-30</v>
      </c>
    </row>
    <row r="540">
      <c r="A540" s="1">
        <v>538.0</v>
      </c>
      <c r="B540" s="3">
        <v>44196.0</v>
      </c>
      <c r="C540" s="1" t="s">
        <v>310</v>
      </c>
      <c r="D540" s="1" t="s">
        <v>311</v>
      </c>
      <c r="F540" s="1">
        <v>1.225E9</v>
      </c>
      <c r="G540" s="1">
        <v>9.73E8</v>
      </c>
      <c r="H540" s="1">
        <v>9.297E9</v>
      </c>
      <c r="I540" s="1">
        <v>1.1709E10</v>
      </c>
      <c r="J540" s="1">
        <v>2.412E9</v>
      </c>
      <c r="K540" s="1">
        <v>2.412E9</v>
      </c>
      <c r="L540" s="1">
        <v>-6.78E8</v>
      </c>
      <c r="M540" s="1">
        <v>2.41E8</v>
      </c>
      <c r="N540" s="1">
        <v>6.9306E10</v>
      </c>
      <c r="O540" s="1">
        <v>6.6894E10</v>
      </c>
      <c r="P540" s="1">
        <v>5.7597E10</v>
      </c>
      <c r="Q540" s="1">
        <v>-1.187E9</v>
      </c>
      <c r="R540" s="1">
        <v>9.84E8</v>
      </c>
      <c r="S540" s="1">
        <v>9.73E8</v>
      </c>
      <c r="W540" s="4" t="str">
        <f>Raw_Data!C539&amp;"|"&amp;Raw_Data!D539&amp;"|"&amp;TEXT(Raw_Data!B539,"yyyy-mm-dd")</f>
        <v>CVS Health|CVS|2021-03-31</v>
      </c>
    </row>
    <row r="541">
      <c r="A541" s="1">
        <v>539.0</v>
      </c>
      <c r="B541" s="3">
        <v>44104.0</v>
      </c>
      <c r="C541" s="1" t="s">
        <v>310</v>
      </c>
      <c r="D541" s="1" t="s">
        <v>311</v>
      </c>
      <c r="F541" s="1">
        <v>1.806E9</v>
      </c>
      <c r="G541" s="1">
        <v>1.224E9</v>
      </c>
      <c r="H541" s="1">
        <v>8.414E9</v>
      </c>
      <c r="I541" s="1">
        <v>1.1516E10</v>
      </c>
      <c r="J541" s="1">
        <v>3.102E9</v>
      </c>
      <c r="K541" s="1">
        <v>3.102E9</v>
      </c>
      <c r="L541" s="1">
        <v>-7.31E8</v>
      </c>
      <c r="M541" s="1">
        <v>5.87E8</v>
      </c>
      <c r="N541" s="1">
        <v>6.6852E10</v>
      </c>
      <c r="O541" s="1">
        <v>6.375E10</v>
      </c>
      <c r="P541" s="1">
        <v>5.5336E10</v>
      </c>
      <c r="Q541" s="1">
        <v>-1.296E9</v>
      </c>
      <c r="R541" s="1">
        <v>1.219E9</v>
      </c>
      <c r="S541" s="1">
        <v>1.224E9</v>
      </c>
      <c r="W541" s="4" t="str">
        <f>Raw_Data!C540&amp;"|"&amp;Raw_Data!D540&amp;"|"&amp;TEXT(Raw_Data!B540,"yyyy-mm-dd")</f>
        <v>CVS Health|CVS|2020-12-31</v>
      </c>
    </row>
    <row r="542">
      <c r="A542" s="1">
        <v>540.0</v>
      </c>
      <c r="B542" s="3">
        <v>44377.0</v>
      </c>
      <c r="C542" s="1" t="s">
        <v>312</v>
      </c>
      <c r="D542" s="1" t="s">
        <v>313</v>
      </c>
      <c r="F542" s="1">
        <v>1.4156E9</v>
      </c>
      <c r="G542" s="1">
        <v>1.1155E9</v>
      </c>
      <c r="H542" s="1">
        <v>5.287E8</v>
      </c>
      <c r="I542" s="1">
        <v>1.9592E9</v>
      </c>
      <c r="J542" s="1">
        <v>1.4305E9</v>
      </c>
      <c r="K542" s="1">
        <v>1.4305E9</v>
      </c>
      <c r="M542" s="1">
        <v>2.991E8</v>
      </c>
      <c r="N542" s="1">
        <v>7.2846E9</v>
      </c>
      <c r="O542" s="1">
        <v>5.8541E9</v>
      </c>
      <c r="P542" s="1">
        <v>5.3254E9</v>
      </c>
      <c r="Q542" s="1">
        <v>-1.49E7</v>
      </c>
      <c r="R542" s="1">
        <v>1.1165E9</v>
      </c>
      <c r="S542" s="1">
        <v>1.1155E9</v>
      </c>
      <c r="W542" s="4" t="str">
        <f>Raw_Data!C541&amp;"|"&amp;Raw_Data!D541&amp;"|"&amp;TEXT(Raw_Data!B541,"yyyy-mm-dd")</f>
        <v>CVS Health|CVS|2020-09-30</v>
      </c>
    </row>
    <row r="543">
      <c r="A543" s="1">
        <v>541.0</v>
      </c>
      <c r="B543" s="3">
        <v>44286.0</v>
      </c>
      <c r="C543" s="1" t="s">
        <v>312</v>
      </c>
      <c r="D543" s="1" t="s">
        <v>313</v>
      </c>
      <c r="F543" s="1">
        <v>1.1799E9</v>
      </c>
      <c r="G543" s="1">
        <v>9.295E8</v>
      </c>
      <c r="H543" s="1">
        <v>4.978E8</v>
      </c>
      <c r="I543" s="1">
        <v>1.6824E9</v>
      </c>
      <c r="J543" s="1">
        <v>1.1846E9</v>
      </c>
      <c r="K543" s="1">
        <v>1.1846E9</v>
      </c>
      <c r="M543" s="1">
        <v>2.46E8</v>
      </c>
      <c r="N543" s="1">
        <v>6.4469E9</v>
      </c>
      <c r="O543" s="1">
        <v>5.2623E9</v>
      </c>
      <c r="P543" s="1">
        <v>4.7645E9</v>
      </c>
      <c r="Q543" s="1">
        <v>-4700000.0</v>
      </c>
      <c r="R543" s="1">
        <v>9.339E8</v>
      </c>
      <c r="S543" s="1">
        <v>9.295E8</v>
      </c>
      <c r="W543" s="4" t="str">
        <f>Raw_Data!C542&amp;"|"&amp;Raw_Data!D542&amp;"|"&amp;TEXT(Raw_Data!B542,"yyyy-mm-dd")</f>
        <v>D. R. Horton|DHI|2021-06-30</v>
      </c>
    </row>
    <row r="544">
      <c r="A544" s="1">
        <v>542.0</v>
      </c>
      <c r="B544" s="3">
        <v>44196.0</v>
      </c>
      <c r="C544" s="1" t="s">
        <v>312</v>
      </c>
      <c r="D544" s="1" t="s">
        <v>313</v>
      </c>
      <c r="F544" s="1">
        <v>1.0343E9</v>
      </c>
      <c r="G544" s="1">
        <v>7.918E8</v>
      </c>
      <c r="H544" s="1">
        <v>4.764E8</v>
      </c>
      <c r="I544" s="1">
        <v>1.5034E9</v>
      </c>
      <c r="J544" s="1">
        <v>1.027E9</v>
      </c>
      <c r="K544" s="1">
        <v>1.027E9</v>
      </c>
      <c r="M544" s="1">
        <v>2.391E8</v>
      </c>
      <c r="N544" s="1">
        <v>5.9334E9</v>
      </c>
      <c r="O544" s="1">
        <v>4.9064E9</v>
      </c>
      <c r="P544" s="1">
        <v>4.43E9</v>
      </c>
      <c r="Q544" s="1">
        <v>7300000.0</v>
      </c>
      <c r="R544" s="1">
        <v>7.952E8</v>
      </c>
      <c r="S544" s="1">
        <v>7.918E8</v>
      </c>
      <c r="W544" s="4" t="str">
        <f>Raw_Data!C543&amp;"|"&amp;Raw_Data!D543&amp;"|"&amp;TEXT(Raw_Data!B543,"yyyy-mm-dd")</f>
        <v>D. R. Horton|DHI|2021-03-31</v>
      </c>
    </row>
    <row r="545">
      <c r="A545" s="1">
        <v>543.0</v>
      </c>
      <c r="B545" s="3">
        <v>44104.0</v>
      </c>
      <c r="C545" s="1" t="s">
        <v>312</v>
      </c>
      <c r="D545" s="1" t="s">
        <v>313</v>
      </c>
      <c r="F545" s="1">
        <v>1.0561E9</v>
      </c>
      <c r="G545" s="1">
        <v>8.29E8</v>
      </c>
      <c r="H545" s="1">
        <v>4.907E8</v>
      </c>
      <c r="I545" s="1">
        <v>1.5531E9</v>
      </c>
      <c r="J545" s="1">
        <v>1.0624E9</v>
      </c>
      <c r="K545" s="1">
        <v>1.0624E9</v>
      </c>
      <c r="M545" s="1">
        <v>2.249E8</v>
      </c>
      <c r="N545" s="1">
        <v>6.4003E9</v>
      </c>
      <c r="O545" s="1">
        <v>5.3379E9</v>
      </c>
      <c r="P545" s="1">
        <v>4.8472E9</v>
      </c>
      <c r="Q545" s="1">
        <v>-6300000.0</v>
      </c>
      <c r="R545" s="1">
        <v>8.312E8</v>
      </c>
      <c r="S545" s="1">
        <v>8.29E8</v>
      </c>
      <c r="W545" s="4" t="str">
        <f>Raw_Data!C544&amp;"|"&amp;Raw_Data!D544&amp;"|"&amp;TEXT(Raw_Data!B544,"yyyy-mm-dd")</f>
        <v>D. R. Horton|DHI|2020-12-31</v>
      </c>
    </row>
    <row r="546">
      <c r="A546" s="1">
        <v>544.0</v>
      </c>
      <c r="B546" s="3">
        <v>44379.0</v>
      </c>
      <c r="C546" s="1" t="s">
        <v>314</v>
      </c>
      <c r="D546" s="1" t="s">
        <v>315</v>
      </c>
      <c r="E546" s="1">
        <v>4.26E8</v>
      </c>
      <c r="F546" s="1">
        <v>2.043E9</v>
      </c>
      <c r="G546" s="1">
        <v>1.785E9</v>
      </c>
      <c r="H546" s="1">
        <v>1.955E9</v>
      </c>
      <c r="I546" s="1">
        <v>4.397E9</v>
      </c>
      <c r="J546" s="1">
        <v>2.016E9</v>
      </c>
      <c r="K546" s="1">
        <v>2.016E9</v>
      </c>
      <c r="L546" s="1">
        <v>-6.2E7</v>
      </c>
      <c r="M546" s="1">
        <v>3.44E8</v>
      </c>
      <c r="N546" s="1">
        <v>7.218E9</v>
      </c>
      <c r="O546" s="1">
        <v>5.202E9</v>
      </c>
      <c r="P546" s="1">
        <v>2.821E9</v>
      </c>
      <c r="Q546" s="1">
        <v>2.7E7</v>
      </c>
      <c r="R546" s="1">
        <v>1.699E9</v>
      </c>
      <c r="S546" s="1">
        <v>1.744E9</v>
      </c>
      <c r="W546" s="4" t="str">
        <f>Raw_Data!C545&amp;"|"&amp;Raw_Data!D545&amp;"|"&amp;TEXT(Raw_Data!B545,"yyyy-mm-dd")</f>
        <v>D. R. Horton|DHI|2020-09-30</v>
      </c>
    </row>
    <row r="547">
      <c r="A547" s="1">
        <v>545.0</v>
      </c>
      <c r="B547" s="3">
        <v>44288.0</v>
      </c>
      <c r="C547" s="1" t="s">
        <v>314</v>
      </c>
      <c r="D547" s="1" t="s">
        <v>315</v>
      </c>
      <c r="E547" s="1">
        <v>3.8E8</v>
      </c>
      <c r="F547" s="1">
        <v>2.083E9</v>
      </c>
      <c r="G547" s="1">
        <v>1.702E9</v>
      </c>
      <c r="H547" s="1">
        <v>1.855E9</v>
      </c>
      <c r="I547" s="1">
        <v>4.282E9</v>
      </c>
      <c r="J547" s="1">
        <v>2.047E9</v>
      </c>
      <c r="K547" s="1">
        <v>2.047E9</v>
      </c>
      <c r="L547" s="1">
        <v>-5.8E7</v>
      </c>
      <c r="M547" s="1">
        <v>3.81E8</v>
      </c>
      <c r="N547" s="1">
        <v>6.858E9</v>
      </c>
      <c r="O547" s="1">
        <v>4.811E9</v>
      </c>
      <c r="P547" s="1">
        <v>2.576E9</v>
      </c>
      <c r="Q547" s="1">
        <v>3.6E7</v>
      </c>
      <c r="R547" s="1">
        <v>1.702E9</v>
      </c>
      <c r="S547" s="1">
        <v>1.661E9</v>
      </c>
      <c r="W547" s="4" t="str">
        <f>Raw_Data!C546&amp;"|"&amp;Raw_Data!D546&amp;"|"&amp;TEXT(Raw_Data!B546,"yyyy-mm-dd")</f>
        <v>Danaher Corporation|DHR|2021-07-02</v>
      </c>
    </row>
    <row r="548">
      <c r="A548" s="1">
        <v>546.0</v>
      </c>
      <c r="B548" s="3">
        <v>44196.0</v>
      </c>
      <c r="C548" s="1" t="s">
        <v>314</v>
      </c>
      <c r="D548" s="1" t="s">
        <v>315</v>
      </c>
      <c r="E548" s="1">
        <v>3.958E8</v>
      </c>
      <c r="F548" s="1">
        <v>1.5415E9</v>
      </c>
      <c r="G548" s="1">
        <v>1.2401E9</v>
      </c>
      <c r="H548" s="1">
        <v>1.9548E9</v>
      </c>
      <c r="I548" s="1">
        <v>3.9939E9</v>
      </c>
      <c r="J548" s="1">
        <v>1.6433E9</v>
      </c>
      <c r="K548" s="1">
        <v>1.6433E9</v>
      </c>
      <c r="L548" s="1">
        <v>-7.23E7</v>
      </c>
      <c r="M548" s="1">
        <v>3.014E8</v>
      </c>
      <c r="N548" s="1">
        <v>6.7603E9</v>
      </c>
      <c r="O548" s="1">
        <v>5.117E9</v>
      </c>
      <c r="P548" s="1">
        <v>2.7664E9</v>
      </c>
      <c r="Q548" s="1">
        <v>-1.018E8</v>
      </c>
      <c r="R548" s="1">
        <v>1.2401E9</v>
      </c>
      <c r="S548" s="1">
        <v>1.1994E9</v>
      </c>
      <c r="W548" s="4" t="str">
        <f>Raw_Data!C547&amp;"|"&amp;Raw_Data!D547&amp;"|"&amp;TEXT(Raw_Data!B547,"yyyy-mm-dd")</f>
        <v>Danaher Corporation|DHR|2021-04-02</v>
      </c>
    </row>
    <row r="549">
      <c r="A549" s="1">
        <v>547.0</v>
      </c>
      <c r="B549" s="3">
        <v>44106.0</v>
      </c>
      <c r="C549" s="1" t="s">
        <v>314</v>
      </c>
      <c r="D549" s="1" t="s">
        <v>315</v>
      </c>
      <c r="E549" s="1">
        <v>3.426E8</v>
      </c>
      <c r="F549" s="1">
        <v>1.0215E9</v>
      </c>
      <c r="G549" s="1">
        <v>8.835E8</v>
      </c>
      <c r="H549" s="1">
        <v>1.7919E9</v>
      </c>
      <c r="I549" s="1">
        <v>3.6427E9</v>
      </c>
      <c r="J549" s="1">
        <v>1.5082E9</v>
      </c>
      <c r="K549" s="1">
        <v>1.5082E9</v>
      </c>
      <c r="L549" s="1">
        <v>-7.67E7</v>
      </c>
      <c r="M549" s="1">
        <v>1.38E8</v>
      </c>
      <c r="N549" s="1">
        <v>5.8832E9</v>
      </c>
      <c r="O549" s="1">
        <v>4.375E9</v>
      </c>
      <c r="P549" s="1">
        <v>2.2405E9</v>
      </c>
      <c r="Q549" s="1">
        <v>-4.867E8</v>
      </c>
      <c r="R549" s="1">
        <v>8.835E8</v>
      </c>
      <c r="S549" s="1">
        <v>8.424E8</v>
      </c>
      <c r="W549" s="4" t="str">
        <f>Raw_Data!C548&amp;"|"&amp;Raw_Data!D548&amp;"|"&amp;TEXT(Raw_Data!B548,"yyyy-mm-dd")</f>
        <v>Danaher Corporation|DHR|2020-12-31</v>
      </c>
    </row>
    <row r="550">
      <c r="A550" s="1">
        <v>548.0</v>
      </c>
      <c r="B550" s="3">
        <v>44346.0</v>
      </c>
      <c r="C550" s="1" t="s">
        <v>316</v>
      </c>
      <c r="D550" s="1" t="s">
        <v>317</v>
      </c>
      <c r="F550" s="1">
        <v>3.06E8</v>
      </c>
      <c r="G550" s="1">
        <v>3.685E8</v>
      </c>
      <c r="H550" s="1">
        <v>1.611E8</v>
      </c>
      <c r="I550" s="1">
        <v>5.394E8</v>
      </c>
      <c r="J550" s="1">
        <v>2.892E8</v>
      </c>
      <c r="K550" s="1">
        <v>2.892E8</v>
      </c>
      <c r="L550" s="1">
        <v>-1.88E7</v>
      </c>
      <c r="M550" s="1">
        <v>-6.3E7</v>
      </c>
      <c r="N550" s="1">
        <v>2.2792E9</v>
      </c>
      <c r="O550" s="1">
        <v>1.99E9</v>
      </c>
      <c r="P550" s="1">
        <v>1.7398E9</v>
      </c>
      <c r="Q550" s="1">
        <v>1.68E7</v>
      </c>
      <c r="R550" s="1">
        <v>3.69E8</v>
      </c>
      <c r="S550" s="1">
        <v>3.685E8</v>
      </c>
      <c r="W550" s="4" t="str">
        <f>Raw_Data!C549&amp;"|"&amp;Raw_Data!D549&amp;"|"&amp;TEXT(Raw_Data!B549,"yyyy-mm-dd")</f>
        <v>Danaher Corporation|DHR|2020-10-02</v>
      </c>
    </row>
    <row r="551">
      <c r="A551" s="1">
        <v>549.0</v>
      </c>
      <c r="B551" s="3">
        <v>44255.0</v>
      </c>
      <c r="C551" s="1" t="s">
        <v>316</v>
      </c>
      <c r="D551" s="1" t="s">
        <v>317</v>
      </c>
      <c r="F551" s="1">
        <v>1.323E8</v>
      </c>
      <c r="G551" s="1">
        <v>1.287E8</v>
      </c>
      <c r="H551" s="1">
        <v>9.81E7</v>
      </c>
      <c r="I551" s="1">
        <v>3.374E8</v>
      </c>
      <c r="J551" s="1">
        <v>1.511E8</v>
      </c>
      <c r="K551" s="1">
        <v>1.511E8</v>
      </c>
      <c r="L551" s="1">
        <v>-1.52E7</v>
      </c>
      <c r="M551" s="1">
        <v>3100000.0</v>
      </c>
      <c r="N551" s="1">
        <v>1.733E9</v>
      </c>
      <c r="O551" s="1">
        <v>1.5819E9</v>
      </c>
      <c r="P551" s="1">
        <v>1.3956E9</v>
      </c>
      <c r="Q551" s="1">
        <v>-1.88E7</v>
      </c>
      <c r="R551" s="1">
        <v>1.292E8</v>
      </c>
      <c r="S551" s="1">
        <v>1.287E8</v>
      </c>
      <c r="W551" s="4" t="str">
        <f>Raw_Data!C550&amp;"|"&amp;Raw_Data!D550&amp;"|"&amp;TEXT(Raw_Data!B550,"yyyy-mm-dd")</f>
        <v>Darden Restaurants|DRI|2021-05-30</v>
      </c>
    </row>
    <row r="552">
      <c r="A552" s="1">
        <v>550.0</v>
      </c>
      <c r="B552" s="3">
        <v>44164.0</v>
      </c>
      <c r="C552" s="1" t="s">
        <v>316</v>
      </c>
      <c r="D552" s="1" t="s">
        <v>317</v>
      </c>
      <c r="F552" s="1">
        <v>1.057E8</v>
      </c>
      <c r="G552" s="1">
        <v>9.6E7</v>
      </c>
      <c r="H552" s="1">
        <v>1.087E8</v>
      </c>
      <c r="I552" s="1">
        <v>3.154E8</v>
      </c>
      <c r="J552" s="1">
        <v>1.207E8</v>
      </c>
      <c r="K552" s="1">
        <v>1.207E8</v>
      </c>
      <c r="L552" s="1">
        <v>-1.46E7</v>
      </c>
      <c r="M552" s="1">
        <v>8800000.0</v>
      </c>
      <c r="N552" s="1">
        <v>1.6565E9</v>
      </c>
      <c r="O552" s="1">
        <v>1.5358E9</v>
      </c>
      <c r="P552" s="1">
        <v>1.3411E9</v>
      </c>
      <c r="Q552" s="1">
        <v>-1.5E7</v>
      </c>
      <c r="R552" s="1">
        <v>9.69E7</v>
      </c>
      <c r="S552" s="1">
        <v>9.6E7</v>
      </c>
      <c r="W552" s="4" t="str">
        <f>Raw_Data!C551&amp;"|"&amp;Raw_Data!D551&amp;"|"&amp;TEXT(Raw_Data!B551,"yyyy-mm-dd")</f>
        <v>Darden Restaurants|DRI|2021-02-28</v>
      </c>
    </row>
    <row r="553">
      <c r="A553" s="1">
        <v>551.0</v>
      </c>
      <c r="B553" s="3">
        <v>44073.0</v>
      </c>
      <c r="C553" s="1" t="s">
        <v>316</v>
      </c>
      <c r="D553" s="1" t="s">
        <v>317</v>
      </c>
      <c r="F553" s="1">
        <v>3.25E7</v>
      </c>
      <c r="G553" s="1">
        <v>3.61E7</v>
      </c>
      <c r="H553" s="1">
        <v>1.168E8</v>
      </c>
      <c r="I553" s="1">
        <v>3.013E8</v>
      </c>
      <c r="J553" s="1">
        <v>9.69E7</v>
      </c>
      <c r="K553" s="1">
        <v>9.69E7</v>
      </c>
      <c r="L553" s="1">
        <v>-1.66E7</v>
      </c>
      <c r="M553" s="1">
        <v>-4800000.0</v>
      </c>
      <c r="N553" s="1">
        <v>1.5274E9</v>
      </c>
      <c r="O553" s="1">
        <v>1.4305E9</v>
      </c>
      <c r="P553" s="1">
        <v>1.2261E9</v>
      </c>
      <c r="Q553" s="1">
        <v>-6.44E7</v>
      </c>
      <c r="R553" s="1">
        <v>3.73E7</v>
      </c>
      <c r="S553" s="1">
        <v>3.61E7</v>
      </c>
      <c r="W553" s="4" t="str">
        <f>Raw_Data!C552&amp;"|"&amp;Raw_Data!D552&amp;"|"&amp;TEXT(Raw_Data!B552,"yyyy-mm-dd")</f>
        <v>Darden Restaurants|DRI|2020-11-29</v>
      </c>
    </row>
    <row r="554">
      <c r="A554" s="1">
        <v>552.0</v>
      </c>
      <c r="B554" s="3">
        <v>44469.0</v>
      </c>
      <c r="C554" s="1" t="s">
        <v>318</v>
      </c>
      <c r="D554" s="1" t="s">
        <v>319</v>
      </c>
      <c r="F554" s="1">
        <v>3.94458E8</v>
      </c>
      <c r="G554" s="1">
        <v>2.59754E8</v>
      </c>
      <c r="H554" s="1">
        <v>2.93095E8</v>
      </c>
      <c r="I554" s="1">
        <v>9.2973E8</v>
      </c>
      <c r="J554" s="1">
        <v>4.66173E8</v>
      </c>
      <c r="K554" s="1">
        <v>4.66173E8</v>
      </c>
      <c r="L554" s="1">
        <v>-7.1451E7</v>
      </c>
      <c r="M554" s="1">
        <v>7.4704E7</v>
      </c>
      <c r="N554" s="1">
        <v>2.938319E9</v>
      </c>
      <c r="O554" s="1">
        <v>2.472146E9</v>
      </c>
      <c r="P554" s="1">
        <v>2.008589E9</v>
      </c>
      <c r="Q554" s="1">
        <v>-7.1715E7</v>
      </c>
      <c r="R554" s="1">
        <v>3.19754E8</v>
      </c>
      <c r="S554" s="1">
        <v>2.59754E8</v>
      </c>
      <c r="W554" s="4" t="str">
        <f>Raw_Data!C553&amp;"|"&amp;Raw_Data!D553&amp;"|"&amp;TEXT(Raw_Data!B553,"yyyy-mm-dd")</f>
        <v>Darden Restaurants|DRI|2020-08-30</v>
      </c>
    </row>
    <row r="555">
      <c r="A555" s="1">
        <v>553.0</v>
      </c>
      <c r="B555" s="3">
        <v>44377.0</v>
      </c>
      <c r="C555" s="1" t="s">
        <v>318</v>
      </c>
      <c r="D555" s="1" t="s">
        <v>319</v>
      </c>
      <c r="F555" s="1">
        <v>4.3234E8</v>
      </c>
      <c r="G555" s="1">
        <v>2.9382E8</v>
      </c>
      <c r="H555" s="1">
        <v>2.98091E8</v>
      </c>
      <c r="I555" s="1">
        <v>9.51233E8</v>
      </c>
      <c r="J555" s="1">
        <v>4.83453E8</v>
      </c>
      <c r="K555" s="1">
        <v>4.83453E8</v>
      </c>
      <c r="L555" s="1">
        <v>-7.1947E7</v>
      </c>
      <c r="M555" s="1">
        <v>8.1309E7</v>
      </c>
      <c r="N555" s="1">
        <v>2.91651E9</v>
      </c>
      <c r="O555" s="1">
        <v>2.433057E9</v>
      </c>
      <c r="P555" s="1">
        <v>1.965277E9</v>
      </c>
      <c r="Q555" s="1">
        <v>-5.1113E7</v>
      </c>
      <c r="R555" s="1">
        <v>3.51031E8</v>
      </c>
      <c r="S555" s="1">
        <v>2.9382E8</v>
      </c>
      <c r="W555" s="4" t="str">
        <f>Raw_Data!C554&amp;"|"&amp;Raw_Data!D554&amp;"|"&amp;TEXT(Raw_Data!B554,"yyyy-mm-dd")</f>
        <v>DaVita|DVA|2021-09-30</v>
      </c>
    </row>
    <row r="556">
      <c r="A556" s="1">
        <v>554.0</v>
      </c>
      <c r="B556" s="3">
        <v>44286.0</v>
      </c>
      <c r="C556" s="1" t="s">
        <v>318</v>
      </c>
      <c r="D556" s="1" t="s">
        <v>319</v>
      </c>
      <c r="F556" s="1">
        <v>3.76756E8</v>
      </c>
      <c r="G556" s="1">
        <v>2.37403E8</v>
      </c>
      <c r="H556" s="1">
        <v>2.81426E8</v>
      </c>
      <c r="I556" s="1">
        <v>8.81671E8</v>
      </c>
      <c r="J556" s="1">
        <v>4.34544E8</v>
      </c>
      <c r="K556" s="1">
        <v>4.34544E8</v>
      </c>
      <c r="L556" s="1">
        <v>-6.5637E7</v>
      </c>
      <c r="M556" s="1">
        <v>8.5211E7</v>
      </c>
      <c r="N556" s="1">
        <v>2.820001E9</v>
      </c>
      <c r="O556" s="1">
        <v>2.385457E9</v>
      </c>
      <c r="P556" s="1">
        <v>1.93833E9</v>
      </c>
      <c r="Q556" s="1">
        <v>-5.7788E7</v>
      </c>
      <c r="R556" s="1">
        <v>2.91545E8</v>
      </c>
      <c r="S556" s="1">
        <v>2.37403E8</v>
      </c>
      <c r="W556" s="4" t="str">
        <f>Raw_Data!C555&amp;"|"&amp;Raw_Data!D555&amp;"|"&amp;TEXT(Raw_Data!B555,"yyyy-mm-dd")</f>
        <v>DaVita|DVA|2021-06-30</v>
      </c>
    </row>
    <row r="557">
      <c r="A557" s="1">
        <v>555.0</v>
      </c>
      <c r="B557" s="3">
        <v>44196.0</v>
      </c>
      <c r="C557" s="1" t="s">
        <v>318</v>
      </c>
      <c r="D557" s="1" t="s">
        <v>319</v>
      </c>
      <c r="F557" s="1">
        <v>3.27371E8</v>
      </c>
      <c r="G557" s="1">
        <v>1.73773E8</v>
      </c>
      <c r="H557" s="1">
        <v>3.04519E8</v>
      </c>
      <c r="I557" s="1">
        <v>8.48441E8</v>
      </c>
      <c r="J557" s="1">
        <v>3.82436E8</v>
      </c>
      <c r="K557" s="1">
        <v>3.82436E8</v>
      </c>
      <c r="L557" s="1">
        <v>-5.9092E7</v>
      </c>
      <c r="M557" s="1">
        <v>7.3368E7</v>
      </c>
      <c r="N557" s="1">
        <v>2.905322E9</v>
      </c>
      <c r="O557" s="1">
        <v>2.522886E9</v>
      </c>
      <c r="P557" s="1">
        <v>2.056881E9</v>
      </c>
      <c r="Q557" s="1">
        <v>-5.5065E7</v>
      </c>
      <c r="R557" s="1">
        <v>2.54003E8</v>
      </c>
      <c r="S557" s="1">
        <v>1.73773E8</v>
      </c>
      <c r="W557" s="4" t="str">
        <f>Raw_Data!C556&amp;"|"&amp;Raw_Data!D556&amp;"|"&amp;TEXT(Raw_Data!B556,"yyyy-mm-dd")</f>
        <v>DaVita|DVA|2021-03-31</v>
      </c>
    </row>
    <row r="558">
      <c r="A558" s="1">
        <v>556.0</v>
      </c>
      <c r="B558" s="3">
        <v>44409.0</v>
      </c>
      <c r="C558" s="1" t="s">
        <v>320</v>
      </c>
      <c r="D558" s="1" t="s">
        <v>321</v>
      </c>
      <c r="E558" s="1">
        <v>3.94E8</v>
      </c>
      <c r="F558" s="1">
        <v>2.158E9</v>
      </c>
      <c r="G558" s="1">
        <v>1.667E9</v>
      </c>
      <c r="H558" s="1">
        <v>7.0E8</v>
      </c>
      <c r="I558" s="1">
        <v>3.256E9</v>
      </c>
      <c r="J558" s="1">
        <v>2.203E9</v>
      </c>
      <c r="K558" s="1">
        <v>2.203E9</v>
      </c>
      <c r="L558" s="1">
        <v>-7.5E7</v>
      </c>
      <c r="M558" s="1">
        <v>4.91E8</v>
      </c>
      <c r="N558" s="1">
        <v>1.15E10</v>
      </c>
      <c r="O558" s="1">
        <v>9.297E9</v>
      </c>
      <c r="P558" s="1">
        <v>8.244E9</v>
      </c>
      <c r="Q558" s="1">
        <v>-4.5E7</v>
      </c>
      <c r="R558" s="1">
        <v>1.667E9</v>
      </c>
      <c r="S558" s="1">
        <v>1.667E9</v>
      </c>
      <c r="W558" s="4" t="str">
        <f>Raw_Data!C557&amp;"|"&amp;Raw_Data!D557&amp;"|"&amp;TEXT(Raw_Data!B557,"yyyy-mm-dd")</f>
        <v>DaVita|DVA|2020-12-31</v>
      </c>
    </row>
    <row r="559">
      <c r="A559" s="1">
        <v>557.0</v>
      </c>
      <c r="B559" s="3">
        <v>44318.0</v>
      </c>
      <c r="C559" s="1" t="s">
        <v>320</v>
      </c>
      <c r="D559" s="1" t="s">
        <v>321</v>
      </c>
      <c r="E559" s="1">
        <v>3.77E8</v>
      </c>
      <c r="F559" s="1">
        <v>2.32E9</v>
      </c>
      <c r="G559" s="1">
        <v>1.789E9</v>
      </c>
      <c r="H559" s="1">
        <v>7.31E8</v>
      </c>
      <c r="I559" s="1">
        <v>3.615E9</v>
      </c>
      <c r="J559" s="1">
        <v>2.56E9</v>
      </c>
      <c r="K559" s="1">
        <v>2.56E9</v>
      </c>
      <c r="L559" s="1">
        <v>-8.6E7</v>
      </c>
      <c r="M559" s="1">
        <v>5.29E8</v>
      </c>
      <c r="N559" s="1">
        <v>1.2085E10</v>
      </c>
      <c r="O559" s="1">
        <v>9.525E9</v>
      </c>
      <c r="P559" s="1">
        <v>8.47E9</v>
      </c>
      <c r="Q559" s="1">
        <v>-2.4E8</v>
      </c>
      <c r="R559" s="1">
        <v>1.791E9</v>
      </c>
      <c r="S559" s="1">
        <v>1.789E9</v>
      </c>
      <c r="W559" s="4" t="str">
        <f>Raw_Data!C558&amp;"|"&amp;Raw_Data!D558&amp;"|"&amp;TEXT(Raw_Data!B558,"yyyy-mm-dd")</f>
        <v>Deere &amp; Co.|DE|2021-08-01</v>
      </c>
    </row>
    <row r="560">
      <c r="A560" s="1">
        <v>558.0</v>
      </c>
      <c r="B560" s="3">
        <v>44227.0</v>
      </c>
      <c r="C560" s="1" t="s">
        <v>320</v>
      </c>
      <c r="D560" s="1" t="s">
        <v>321</v>
      </c>
      <c r="E560" s="1">
        <v>3.66E8</v>
      </c>
      <c r="F560" s="1">
        <v>1.532E9</v>
      </c>
      <c r="G560" s="1">
        <v>1.224E9</v>
      </c>
      <c r="H560" s="1">
        <v>6.52E8</v>
      </c>
      <c r="I560" s="1">
        <v>2.625E9</v>
      </c>
      <c r="J560" s="1">
        <v>1.787E9</v>
      </c>
      <c r="K560" s="1">
        <v>1.787E9</v>
      </c>
      <c r="L560" s="1">
        <v>-8.3E7</v>
      </c>
      <c r="M560" s="1">
        <v>3.08E8</v>
      </c>
      <c r="N560" s="1">
        <v>9.112E9</v>
      </c>
      <c r="O560" s="1">
        <v>7.325E9</v>
      </c>
      <c r="P560" s="1">
        <v>6.487E9</v>
      </c>
      <c r="Q560" s="1">
        <v>-2.55E8</v>
      </c>
      <c r="R560" s="1">
        <v>1.224E9</v>
      </c>
      <c r="S560" s="1">
        <v>1.224E9</v>
      </c>
      <c r="W560" s="4" t="str">
        <f>Raw_Data!C559&amp;"|"&amp;Raw_Data!D559&amp;"|"&amp;TEXT(Raw_Data!B559,"yyyy-mm-dd")</f>
        <v>Deere &amp; Co.|DE|2021-05-02</v>
      </c>
    </row>
    <row r="561">
      <c r="A561" s="1">
        <v>559.0</v>
      </c>
      <c r="B561" s="3">
        <v>44136.0</v>
      </c>
      <c r="C561" s="1" t="s">
        <v>320</v>
      </c>
      <c r="D561" s="1" t="s">
        <v>321</v>
      </c>
      <c r="E561" s="1">
        <v>3.88E8</v>
      </c>
      <c r="F561" s="1">
        <v>1.088E9</v>
      </c>
      <c r="G561" s="1">
        <v>7.58E8</v>
      </c>
      <c r="H561" s="1">
        <v>7.63E8</v>
      </c>
      <c r="I561" s="1">
        <v>2.702E9</v>
      </c>
      <c r="J561" s="1">
        <v>1.54E9</v>
      </c>
      <c r="K561" s="1">
        <v>1.54E9</v>
      </c>
      <c r="L561" s="1">
        <v>-8.3E7</v>
      </c>
      <c r="M561" s="1">
        <v>3.3E8</v>
      </c>
      <c r="N561" s="1">
        <v>9.713E9</v>
      </c>
      <c r="O561" s="1">
        <v>8.173E9</v>
      </c>
      <c r="P561" s="1">
        <v>7.011E9</v>
      </c>
      <c r="Q561" s="1">
        <v>-4.52E8</v>
      </c>
      <c r="R561" s="1">
        <v>7.58E8</v>
      </c>
      <c r="S561" s="1">
        <v>7.58E8</v>
      </c>
      <c r="W561" s="4" t="str">
        <f>Raw_Data!C560&amp;"|"&amp;Raw_Data!D560&amp;"|"&amp;TEXT(Raw_Data!B560,"yyyy-mm-dd")</f>
        <v>Deere &amp; Co.|DE|2021-01-31</v>
      </c>
    </row>
    <row r="562">
      <c r="A562" s="1">
        <v>560.0</v>
      </c>
      <c r="B562" s="3">
        <v>44469.0</v>
      </c>
      <c r="C562" s="1" t="s">
        <v>322</v>
      </c>
      <c r="D562" s="1" t="s">
        <v>323</v>
      </c>
      <c r="F562" s="1">
        <v>1.532E9</v>
      </c>
      <c r="G562" s="1">
        <v>1.212E9</v>
      </c>
      <c r="H562" s="1">
        <v>3.08E8</v>
      </c>
      <c r="I562" s="1">
        <v>1.695E9</v>
      </c>
      <c r="J562" s="1">
        <v>5.29E8</v>
      </c>
      <c r="K562" s="1">
        <v>5.29E8</v>
      </c>
      <c r="L562" s="1">
        <v>-3.14E8</v>
      </c>
      <c r="M562" s="1">
        <v>3.2E8</v>
      </c>
      <c r="N562" s="1">
        <v>9.154E9</v>
      </c>
      <c r="O562" s="1">
        <v>8.625E9</v>
      </c>
      <c r="P562" s="1">
        <v>7.459E9</v>
      </c>
      <c r="Q562" s="1">
        <v>1.003E9</v>
      </c>
      <c r="R562" s="1">
        <v>1.212E9</v>
      </c>
      <c r="S562" s="1">
        <v>1.212E9</v>
      </c>
      <c r="W562" s="4" t="str">
        <f>Raw_Data!C561&amp;"|"&amp;Raw_Data!D561&amp;"|"&amp;TEXT(Raw_Data!B561,"yyyy-mm-dd")</f>
        <v>Deere &amp; Co.|DE|2020-11-01</v>
      </c>
    </row>
    <row r="563">
      <c r="A563" s="1">
        <v>561.0</v>
      </c>
      <c r="B563" s="3">
        <v>44377.0</v>
      </c>
      <c r="C563" s="1" t="s">
        <v>322</v>
      </c>
      <c r="D563" s="1" t="s">
        <v>323</v>
      </c>
      <c r="F563" s="1">
        <v>7.76E8</v>
      </c>
      <c r="G563" s="1">
        <v>6.52E8</v>
      </c>
      <c r="H563" s="1">
        <v>2.22E8</v>
      </c>
      <c r="I563" s="1">
        <v>4.87E8</v>
      </c>
      <c r="J563" s="1">
        <v>-5.66E8</v>
      </c>
      <c r="K563" s="1">
        <v>-5.66E8</v>
      </c>
      <c r="L563" s="1">
        <v>-3.38E8</v>
      </c>
      <c r="M563" s="1">
        <v>1.24E8</v>
      </c>
      <c r="N563" s="1">
        <v>7.126E9</v>
      </c>
      <c r="O563" s="1">
        <v>7.692E9</v>
      </c>
      <c r="P563" s="1">
        <v>6.639E9</v>
      </c>
      <c r="Q563" s="1">
        <v>1.342E9</v>
      </c>
      <c r="R563" s="1">
        <v>6.52E8</v>
      </c>
      <c r="S563" s="1">
        <v>6.52E8</v>
      </c>
      <c r="W563" s="4" t="str">
        <f>Raw_Data!C562&amp;"|"&amp;Raw_Data!D562&amp;"|"&amp;TEXT(Raw_Data!B562,"yyyy-mm-dd")</f>
        <v>Delta Air Lines|DAL|2021-09-30</v>
      </c>
    </row>
    <row r="564">
      <c r="A564" s="1">
        <v>562.0</v>
      </c>
      <c r="B564" s="3">
        <v>44286.0</v>
      </c>
      <c r="C564" s="1" t="s">
        <v>322</v>
      </c>
      <c r="D564" s="1" t="s">
        <v>323</v>
      </c>
      <c r="F564" s="1">
        <v>-1.515E9</v>
      </c>
      <c r="G564" s="1">
        <v>-1.177E9</v>
      </c>
      <c r="H564" s="1">
        <v>1.1E8</v>
      </c>
      <c r="I564" s="1">
        <v>-1.597E9</v>
      </c>
      <c r="J564" s="1">
        <v>-2.521E9</v>
      </c>
      <c r="K564" s="1">
        <v>-2.521E9</v>
      </c>
      <c r="L564" s="1">
        <v>-3.61E8</v>
      </c>
      <c r="M564" s="1">
        <v>-3.38E8</v>
      </c>
      <c r="N564" s="1">
        <v>4.15E9</v>
      </c>
      <c r="O564" s="1">
        <v>6.671E9</v>
      </c>
      <c r="P564" s="1">
        <v>5.747E9</v>
      </c>
      <c r="Q564" s="1">
        <v>1.006E9</v>
      </c>
      <c r="R564" s="1">
        <v>-1.177E9</v>
      </c>
      <c r="S564" s="1">
        <v>-1.177E9</v>
      </c>
      <c r="W564" s="4" t="str">
        <f>Raw_Data!C563&amp;"|"&amp;Raw_Data!D563&amp;"|"&amp;TEXT(Raw_Data!B563,"yyyy-mm-dd")</f>
        <v>Delta Air Lines|DAL|2021-06-30</v>
      </c>
    </row>
    <row r="565">
      <c r="A565" s="1">
        <v>563.0</v>
      </c>
      <c r="B565" s="3">
        <v>44196.0</v>
      </c>
      <c r="C565" s="1" t="s">
        <v>322</v>
      </c>
      <c r="D565" s="1" t="s">
        <v>323</v>
      </c>
      <c r="F565" s="1">
        <v>-1.108E9</v>
      </c>
      <c r="G565" s="1">
        <v>-7.55E8</v>
      </c>
      <c r="H565" s="1">
        <v>8.4E7</v>
      </c>
      <c r="I565" s="1">
        <v>-9.22E8</v>
      </c>
      <c r="J565" s="1">
        <v>-4.297E9</v>
      </c>
      <c r="K565" s="1">
        <v>-4.297E9</v>
      </c>
      <c r="L565" s="1">
        <v>-3.65E8</v>
      </c>
      <c r="M565" s="1">
        <v>-3.53E8</v>
      </c>
      <c r="N565" s="1">
        <v>3.973E9</v>
      </c>
      <c r="O565" s="1">
        <v>8.27E9</v>
      </c>
      <c r="P565" s="1">
        <v>4.895E9</v>
      </c>
      <c r="Q565" s="1">
        <v>3.189E9</v>
      </c>
      <c r="R565" s="1">
        <v>-7.55E8</v>
      </c>
      <c r="S565" s="1">
        <v>-7.55E8</v>
      </c>
      <c r="W565" s="4" t="str">
        <f>Raw_Data!C564&amp;"|"&amp;Raw_Data!D564&amp;"|"&amp;TEXT(Raw_Data!B564,"yyyy-mm-dd")</f>
        <v>Delta Air Lines|DAL|2021-03-31</v>
      </c>
    </row>
    <row r="566">
      <c r="A566" s="1">
        <v>564.0</v>
      </c>
      <c r="B566" s="3">
        <v>44286.0</v>
      </c>
      <c r="C566" s="1" t="s">
        <v>324</v>
      </c>
      <c r="D566" s="1" t="s">
        <v>325</v>
      </c>
      <c r="E566" s="1">
        <v>3.7E7</v>
      </c>
      <c r="F566" s="1">
        <v>1.49E8</v>
      </c>
      <c r="G566" s="1">
        <v>1.17E8</v>
      </c>
      <c r="H566" s="1">
        <v>3.85E8</v>
      </c>
      <c r="I566" s="1">
        <v>5.79E8</v>
      </c>
      <c r="J566" s="1">
        <v>1.57E8</v>
      </c>
      <c r="K566" s="1">
        <v>1.57E8</v>
      </c>
      <c r="L566" s="1">
        <v>-1.4E7</v>
      </c>
      <c r="M566" s="1">
        <v>3.2E7</v>
      </c>
      <c r="N566" s="1">
        <v>1.027E9</v>
      </c>
      <c r="O566" s="1">
        <v>8.7E8</v>
      </c>
      <c r="P566" s="1">
        <v>4.48E8</v>
      </c>
      <c r="Q566" s="1">
        <v>-8000000.0</v>
      </c>
      <c r="R566" s="1">
        <v>1.17E8</v>
      </c>
      <c r="S566" s="1">
        <v>1.17E8</v>
      </c>
      <c r="W566" s="4" t="str">
        <f>Raw_Data!C565&amp;"|"&amp;Raw_Data!D565&amp;"|"&amp;TEXT(Raw_Data!B565,"yyyy-mm-dd")</f>
        <v>Delta Air Lines|DAL|2020-12-31</v>
      </c>
    </row>
    <row r="567">
      <c r="A567" s="1">
        <v>565.0</v>
      </c>
      <c r="B567" s="3">
        <v>44196.0</v>
      </c>
      <c r="C567" s="1" t="s">
        <v>324</v>
      </c>
      <c r="D567" s="1" t="s">
        <v>325</v>
      </c>
      <c r="E567" s="1">
        <v>1.15E8</v>
      </c>
      <c r="F567" s="1">
        <v>1.229E8</v>
      </c>
      <c r="G567" s="1">
        <v>9.85E7</v>
      </c>
      <c r="H567" s="1">
        <v>2.982E8</v>
      </c>
      <c r="I567" s="1">
        <v>5.821E8</v>
      </c>
      <c r="J567" s="1">
        <v>2.288E8</v>
      </c>
      <c r="K567" s="1">
        <v>2.288E8</v>
      </c>
      <c r="L567" s="1">
        <v>-1.53E7</v>
      </c>
      <c r="M567" s="1">
        <v>2.43E7</v>
      </c>
      <c r="N567" s="1">
        <v>1.0823E9</v>
      </c>
      <c r="O567" s="1">
        <v>8.535E8</v>
      </c>
      <c r="P567" s="1">
        <v>5.002E8</v>
      </c>
      <c r="Q567" s="1">
        <v>-1.059E8</v>
      </c>
      <c r="R567" s="1">
        <v>9.86E7</v>
      </c>
      <c r="S567" s="1">
        <v>9.85E7</v>
      </c>
      <c r="W567" s="4" t="str">
        <f>Raw_Data!C566&amp;"|"&amp;Raw_Data!D566&amp;"|"&amp;TEXT(Raw_Data!B566,"yyyy-mm-dd")</f>
        <v>Dentsply Sirona|XRAY|2021-03-31</v>
      </c>
    </row>
    <row r="568">
      <c r="A568" s="1">
        <v>566.0</v>
      </c>
      <c r="B568" s="3">
        <v>44104.0</v>
      </c>
      <c r="C568" s="1" t="s">
        <v>324</v>
      </c>
      <c r="D568" s="1" t="s">
        <v>325</v>
      </c>
      <c r="E568" s="1">
        <v>1.15E8</v>
      </c>
      <c r="F568" s="1">
        <v>6.67E7</v>
      </c>
      <c r="G568" s="1">
        <v>5.38E7</v>
      </c>
      <c r="H568" s="1">
        <v>3.406E8</v>
      </c>
      <c r="I568" s="1">
        <v>4.746E8</v>
      </c>
      <c r="J568" s="1">
        <v>1.153E8</v>
      </c>
      <c r="K568" s="1">
        <v>1.153E8</v>
      </c>
      <c r="L568" s="1">
        <v>-1.45E7</v>
      </c>
      <c r="M568" s="1">
        <v>1.25E7</v>
      </c>
      <c r="N568" s="1">
        <v>8.948E8</v>
      </c>
      <c r="O568" s="1">
        <v>7.795E8</v>
      </c>
      <c r="P568" s="1">
        <v>4.202E8</v>
      </c>
      <c r="Q568" s="1">
        <v>-4.86E7</v>
      </c>
      <c r="R568" s="1">
        <v>5.42E7</v>
      </c>
      <c r="S568" s="1">
        <v>5.38E7</v>
      </c>
      <c r="W568" s="4" t="str">
        <f>Raw_Data!C567&amp;"|"&amp;Raw_Data!D567&amp;"|"&amp;TEXT(Raw_Data!B567,"yyyy-mm-dd")</f>
        <v>Dentsply Sirona|XRAY|2020-12-31</v>
      </c>
    </row>
    <row r="569">
      <c r="A569" s="1">
        <v>567.0</v>
      </c>
      <c r="B569" s="3">
        <v>44012.0</v>
      </c>
      <c r="C569" s="1" t="s">
        <v>324</v>
      </c>
      <c r="D569" s="1" t="s">
        <v>325</v>
      </c>
      <c r="E569" s="1">
        <v>1.15E8</v>
      </c>
      <c r="F569" s="1">
        <v>-1.199E8</v>
      </c>
      <c r="G569" s="1">
        <v>-9.54E7</v>
      </c>
      <c r="H569" s="1">
        <v>2.791E8</v>
      </c>
      <c r="I569" s="1">
        <v>1.761E8</v>
      </c>
      <c r="J569" s="1">
        <v>-1.021E8</v>
      </c>
      <c r="K569" s="1">
        <v>-1.021E8</v>
      </c>
      <c r="L569" s="1">
        <v>-1.23E7</v>
      </c>
      <c r="M569" s="1">
        <v>-2.4E7</v>
      </c>
      <c r="N569" s="1">
        <v>4.906E8</v>
      </c>
      <c r="O569" s="1">
        <v>5.927E8</v>
      </c>
      <c r="P569" s="1">
        <v>3.145E8</v>
      </c>
      <c r="Q569" s="1">
        <v>-1.78E7</v>
      </c>
      <c r="R569" s="1">
        <v>-9.59E7</v>
      </c>
      <c r="S569" s="1">
        <v>-9.54E7</v>
      </c>
      <c r="W569" s="4" t="str">
        <f>Raw_Data!C568&amp;"|"&amp;Raw_Data!D568&amp;"|"&amp;TEXT(Raw_Data!B568,"yyyy-mm-dd")</f>
        <v>Dentsply Sirona|XRAY|2020-09-30</v>
      </c>
    </row>
    <row r="570">
      <c r="A570" s="1">
        <v>568.0</v>
      </c>
      <c r="B570" s="3">
        <v>44377.0</v>
      </c>
      <c r="C570" s="1" t="s">
        <v>326</v>
      </c>
      <c r="D570" s="1" t="s">
        <v>327</v>
      </c>
      <c r="F570" s="1">
        <v>3.04E8</v>
      </c>
      <c r="G570" s="1">
        <v>2.56E8</v>
      </c>
      <c r="H570" s="1">
        <v>9.4E7</v>
      </c>
      <c r="I570" s="1">
        <v>1.655E9</v>
      </c>
      <c r="J570" s="1">
        <v>3.2E8</v>
      </c>
      <c r="K570" s="1">
        <v>3.2E8</v>
      </c>
      <c r="L570" s="1">
        <v>-9.8E7</v>
      </c>
      <c r="M570" s="1">
        <v>4.3E7</v>
      </c>
      <c r="N570" s="1">
        <v>2.977E9</v>
      </c>
      <c r="O570" s="1">
        <v>2.657E9</v>
      </c>
      <c r="P570" s="1">
        <v>1.322E9</v>
      </c>
      <c r="Q570" s="1">
        <v>-1.6E7</v>
      </c>
      <c r="R570" s="1">
        <v>2.61E8</v>
      </c>
      <c r="S570" s="1">
        <v>2.53E8</v>
      </c>
      <c r="W570" s="4" t="str">
        <f>Raw_Data!C569&amp;"|"&amp;Raw_Data!D569&amp;"|"&amp;TEXT(Raw_Data!B569,"yyyy-mm-dd")</f>
        <v>Dentsply Sirona|XRAY|2020-06-30</v>
      </c>
    </row>
    <row r="571">
      <c r="A571" s="1">
        <v>569.0</v>
      </c>
      <c r="B571" s="3">
        <v>44286.0</v>
      </c>
      <c r="C571" s="1" t="s">
        <v>326</v>
      </c>
      <c r="D571" s="1" t="s">
        <v>327</v>
      </c>
      <c r="F571" s="1">
        <v>-3.2E7</v>
      </c>
      <c r="G571" s="1">
        <v>2.13E8</v>
      </c>
      <c r="H571" s="1">
        <v>1.07E8</v>
      </c>
      <c r="I571" s="1">
        <v>1.291E9</v>
      </c>
      <c r="J571" s="1">
        <v>2.02E8</v>
      </c>
      <c r="K571" s="1">
        <v>2.02E8</v>
      </c>
      <c r="L571" s="1">
        <v>-1.05E8</v>
      </c>
      <c r="M571" s="1">
        <v>-2.48E8</v>
      </c>
      <c r="N571" s="1">
        <v>2.461E9</v>
      </c>
      <c r="O571" s="1">
        <v>2.259E9</v>
      </c>
      <c r="P571" s="1">
        <v>1.17E9</v>
      </c>
      <c r="Q571" s="1">
        <v>-2.34E8</v>
      </c>
      <c r="R571" s="1">
        <v>2.16E8</v>
      </c>
      <c r="S571" s="1">
        <v>2.11E8</v>
      </c>
      <c r="W571" s="4" t="str">
        <f>Raw_Data!C570&amp;"|"&amp;Raw_Data!D570&amp;"|"&amp;TEXT(Raw_Data!B570,"yyyy-mm-dd")</f>
        <v>Devon Energy|DVN|2021-06-30</v>
      </c>
    </row>
    <row r="572">
      <c r="A572" s="1">
        <v>570.0</v>
      </c>
      <c r="B572" s="3">
        <v>44196.0</v>
      </c>
      <c r="C572" s="1" t="s">
        <v>326</v>
      </c>
      <c r="D572" s="1" t="s">
        <v>327</v>
      </c>
      <c r="F572" s="1">
        <v>-1.1E8</v>
      </c>
      <c r="G572" s="1">
        <v>-1.02E8</v>
      </c>
      <c r="H572" s="1">
        <v>8.2E7</v>
      </c>
      <c r="I572" s="1">
        <v>5.11E8</v>
      </c>
      <c r="J572" s="1">
        <v>2.819E9</v>
      </c>
      <c r="K572" s="1">
        <v>2.819E9</v>
      </c>
      <c r="L572" s="1">
        <v>-6.4E7</v>
      </c>
      <c r="M572" s="1">
        <v>-3.7E7</v>
      </c>
      <c r="N572" s="1">
        <v>1.35E9</v>
      </c>
      <c r="O572" s="1">
        <v>-1.469E9</v>
      </c>
      <c r="P572" s="1">
        <v>8.39E8</v>
      </c>
      <c r="Q572" s="1">
        <v>-2.929E9</v>
      </c>
      <c r="R572" s="1">
        <v>-7.3E7</v>
      </c>
      <c r="S572" s="1">
        <v>-1.03E8</v>
      </c>
      <c r="W572" s="4" t="str">
        <f>Raw_Data!C571&amp;"|"&amp;Raw_Data!D571&amp;"|"&amp;TEXT(Raw_Data!B571,"yyyy-mm-dd")</f>
        <v>Devon Energy|DVN|2021-03-31</v>
      </c>
    </row>
    <row r="573">
      <c r="A573" s="1">
        <v>571.0</v>
      </c>
      <c r="B573" s="3">
        <v>44104.0</v>
      </c>
      <c r="C573" s="1" t="s">
        <v>326</v>
      </c>
      <c r="D573" s="1" t="s">
        <v>327</v>
      </c>
      <c r="F573" s="1">
        <v>-1.93E8</v>
      </c>
      <c r="G573" s="1">
        <v>-9.2E7</v>
      </c>
      <c r="H573" s="1">
        <v>7.5E7</v>
      </c>
      <c r="I573" s="1">
        <v>4.09E8</v>
      </c>
      <c r="J573" s="1">
        <v>-9.5E7</v>
      </c>
      <c r="K573" s="1">
        <v>-9.5E7</v>
      </c>
      <c r="L573" s="1">
        <v>-6.5E7</v>
      </c>
      <c r="M573" s="1">
        <v>-9.0E7</v>
      </c>
      <c r="N573" s="1">
        <v>1.112E9</v>
      </c>
      <c r="O573" s="1">
        <v>1.207E9</v>
      </c>
      <c r="P573" s="1">
        <v>7.03E8</v>
      </c>
      <c r="Q573" s="1">
        <v>-9.8E7</v>
      </c>
      <c r="R573" s="1">
        <v>-1.03E8</v>
      </c>
      <c r="S573" s="1">
        <v>-9.4E7</v>
      </c>
      <c r="W573" s="4" t="str">
        <f>Raw_Data!C572&amp;"|"&amp;Raw_Data!D572&amp;"|"&amp;TEXT(Raw_Data!B572,"yyyy-mm-dd")</f>
        <v>Devon Energy|DVN|2020-12-31</v>
      </c>
    </row>
    <row r="574">
      <c r="A574" s="1">
        <v>572.0</v>
      </c>
      <c r="B574" s="3">
        <v>44377.0</v>
      </c>
      <c r="C574" s="1" t="s">
        <v>328</v>
      </c>
      <c r="D574" s="1" t="s">
        <v>329</v>
      </c>
      <c r="E574" s="1">
        <v>1.291E8</v>
      </c>
      <c r="F574" s="1">
        <v>7.67E7</v>
      </c>
      <c r="G574" s="1">
        <v>6.29E7</v>
      </c>
      <c r="H574" s="1">
        <v>1.87E8</v>
      </c>
      <c r="I574" s="1">
        <v>4.171E8</v>
      </c>
      <c r="J574" s="1">
        <v>1.01E8</v>
      </c>
      <c r="K574" s="1">
        <v>1.01E8</v>
      </c>
      <c r="L574" s="1">
        <v>-2.52E7</v>
      </c>
      <c r="M574" s="1">
        <v>1.38E7</v>
      </c>
      <c r="N574" s="1">
        <v>5.951E8</v>
      </c>
      <c r="O574" s="1">
        <v>4.941E8</v>
      </c>
      <c r="P574" s="1">
        <v>1.78E8</v>
      </c>
      <c r="Q574" s="1">
        <v>-2.43E7</v>
      </c>
      <c r="R574" s="1">
        <v>6.29E7</v>
      </c>
      <c r="S574" s="1">
        <v>6.29E7</v>
      </c>
      <c r="W574" s="4" t="str">
        <f>Raw_Data!C573&amp;"|"&amp;Raw_Data!D573&amp;"|"&amp;TEXT(Raw_Data!B573,"yyyy-mm-dd")</f>
        <v>Devon Energy|DVN|2020-09-30</v>
      </c>
    </row>
    <row r="575">
      <c r="A575" s="1">
        <v>573.0</v>
      </c>
      <c r="B575" s="3">
        <v>44286.0</v>
      </c>
      <c r="C575" s="1" t="s">
        <v>328</v>
      </c>
      <c r="D575" s="1" t="s">
        <v>329</v>
      </c>
      <c r="E575" s="1">
        <v>1.094E8</v>
      </c>
      <c r="F575" s="1">
        <v>2.12E7</v>
      </c>
      <c r="G575" s="1">
        <v>4.03E7</v>
      </c>
      <c r="H575" s="1">
        <v>1.886E8</v>
      </c>
      <c r="I575" s="1">
        <v>3.439E8</v>
      </c>
      <c r="J575" s="1">
        <v>4.59E7</v>
      </c>
      <c r="K575" s="1">
        <v>4.59E7</v>
      </c>
      <c r="L575" s="1">
        <v>-2.48E7</v>
      </c>
      <c r="M575" s="1">
        <v>-1.91E7</v>
      </c>
      <c r="N575" s="1">
        <v>5.05E8</v>
      </c>
      <c r="O575" s="1">
        <v>4.591E8</v>
      </c>
      <c r="P575" s="1">
        <v>1.611E8</v>
      </c>
      <c r="Q575" s="1">
        <v>-2.47E7</v>
      </c>
      <c r="R575" s="1">
        <v>4.03E7</v>
      </c>
      <c r="S575" s="1">
        <v>4.03E7</v>
      </c>
      <c r="W575" s="4" t="str">
        <f>Raw_Data!C574&amp;"|"&amp;Raw_Data!D574&amp;"|"&amp;TEXT(Raw_Data!B574,"yyyy-mm-dd")</f>
        <v>DexCom|DXCM|2021-06-30</v>
      </c>
    </row>
    <row r="576">
      <c r="A576" s="1">
        <v>574.0</v>
      </c>
      <c r="B576" s="3">
        <v>44196.0</v>
      </c>
      <c r="C576" s="1" t="s">
        <v>328</v>
      </c>
      <c r="D576" s="1" t="s">
        <v>329</v>
      </c>
      <c r="E576" s="1">
        <v>1.192E8</v>
      </c>
      <c r="F576" s="1">
        <v>8.13E7</v>
      </c>
      <c r="G576" s="1">
        <v>3.552E8</v>
      </c>
      <c r="H576" s="1">
        <v>1.759E8</v>
      </c>
      <c r="I576" s="1">
        <v>3.991E8</v>
      </c>
      <c r="J576" s="1">
        <v>1.04E8</v>
      </c>
      <c r="K576" s="1">
        <v>1.04E8</v>
      </c>
      <c r="L576" s="1">
        <v>-2.46E7</v>
      </c>
      <c r="M576" s="1">
        <v>-2.739E8</v>
      </c>
      <c r="N576" s="1">
        <v>5.689E8</v>
      </c>
      <c r="O576" s="1">
        <v>4.649E8</v>
      </c>
      <c r="P576" s="1">
        <v>1.698E8</v>
      </c>
      <c r="Q576" s="1">
        <v>-2.27E7</v>
      </c>
      <c r="R576" s="1">
        <v>3.552E8</v>
      </c>
      <c r="S576" s="1">
        <v>3.552E8</v>
      </c>
      <c r="W576" s="4" t="str">
        <f>Raw_Data!C575&amp;"|"&amp;Raw_Data!D575&amp;"|"&amp;TEXT(Raw_Data!B575,"yyyy-mm-dd")</f>
        <v>DexCom|DXCM|2021-03-31</v>
      </c>
    </row>
    <row r="577">
      <c r="A577" s="1">
        <v>575.0</v>
      </c>
      <c r="B577" s="3">
        <v>44104.0</v>
      </c>
      <c r="C577" s="1" t="s">
        <v>328</v>
      </c>
      <c r="D577" s="1" t="s">
        <v>329</v>
      </c>
      <c r="E577" s="1">
        <v>8.77E7</v>
      </c>
      <c r="F577" s="1">
        <v>7.51E7</v>
      </c>
      <c r="G577" s="1">
        <v>7.22E7</v>
      </c>
      <c r="H577" s="1">
        <v>1.586E8</v>
      </c>
      <c r="I577" s="1">
        <v>3.404E8</v>
      </c>
      <c r="J577" s="1">
        <v>9.41E7</v>
      </c>
      <c r="K577" s="1">
        <v>9.41E7</v>
      </c>
      <c r="L577" s="1">
        <v>-2.44E7</v>
      </c>
      <c r="M577" s="1">
        <v>2900000.0</v>
      </c>
      <c r="N577" s="1">
        <v>5.009E8</v>
      </c>
      <c r="O577" s="1">
        <v>4.068E8</v>
      </c>
      <c r="P577" s="1">
        <v>1.605E8</v>
      </c>
      <c r="Q577" s="1">
        <v>-1.9E7</v>
      </c>
      <c r="R577" s="1">
        <v>7.22E7</v>
      </c>
      <c r="S577" s="1">
        <v>7.22E7</v>
      </c>
      <c r="W577" s="4" t="str">
        <f>Raw_Data!C576&amp;"|"&amp;Raw_Data!D576&amp;"|"&amp;TEXT(Raw_Data!B576,"yyyy-mm-dd")</f>
        <v>DexCom|DXCM|2020-12-31</v>
      </c>
    </row>
    <row r="578">
      <c r="A578" s="1">
        <v>576.0</v>
      </c>
      <c r="B578" s="3">
        <v>44286.0</v>
      </c>
      <c r="C578" s="1" t="s">
        <v>330</v>
      </c>
      <c r="D578" s="1" t="s">
        <v>331</v>
      </c>
      <c r="F578" s="1">
        <v>2.88E8</v>
      </c>
      <c r="G578" s="1">
        <v>2.2E8</v>
      </c>
      <c r="H578" s="1">
        <v>2.5E7</v>
      </c>
      <c r="I578" s="1">
        <v>9.62E8</v>
      </c>
      <c r="J578" s="1">
        <v>3.55E8</v>
      </c>
      <c r="K578" s="1">
        <v>3.55E8</v>
      </c>
      <c r="L578" s="1">
        <v>7.2E7</v>
      </c>
      <c r="M578" s="1">
        <v>6.5E7</v>
      </c>
      <c r="N578" s="1">
        <v>1.123E9</v>
      </c>
      <c r="O578" s="1">
        <v>7.68E8</v>
      </c>
      <c r="P578" s="1">
        <v>1.61E8</v>
      </c>
      <c r="Q578" s="1">
        <v>-6.7E7</v>
      </c>
      <c r="R578" s="1">
        <v>2.23E8</v>
      </c>
      <c r="S578" s="1">
        <v>2.2E8</v>
      </c>
      <c r="W578" s="4" t="str">
        <f>Raw_Data!C577&amp;"|"&amp;Raw_Data!D577&amp;"|"&amp;TEXT(Raw_Data!B577,"yyyy-mm-dd")</f>
        <v>DexCom|DXCM|2020-09-30</v>
      </c>
    </row>
    <row r="579">
      <c r="A579" s="1">
        <v>577.0</v>
      </c>
      <c r="B579" s="3">
        <v>44196.0</v>
      </c>
      <c r="C579" s="1" t="s">
        <v>330</v>
      </c>
      <c r="D579" s="1" t="s">
        <v>331</v>
      </c>
      <c r="F579" s="1">
        <v>-9.58E8</v>
      </c>
      <c r="G579" s="1">
        <v>-7.39E8</v>
      </c>
      <c r="H579" s="1">
        <v>2.4E7</v>
      </c>
      <c r="I579" s="1">
        <v>5.77E8</v>
      </c>
      <c r="J579" s="1">
        <v>4.8E7</v>
      </c>
      <c r="K579" s="1">
        <v>4.8E7</v>
      </c>
      <c r="L579" s="1">
        <v>7.2E7</v>
      </c>
      <c r="M579" s="1">
        <v>-2.02E8</v>
      </c>
      <c r="N579" s="1">
        <v>7.29E8</v>
      </c>
      <c r="O579" s="1">
        <v>6.81E8</v>
      </c>
      <c r="P579" s="1">
        <v>1.52E8</v>
      </c>
      <c r="Q579" s="1">
        <v>-1.006E9</v>
      </c>
      <c r="R579" s="1">
        <v>-7.56E8</v>
      </c>
      <c r="S579" s="1">
        <v>-7.39E8</v>
      </c>
      <c r="W579" s="4" t="str">
        <f>Raw_Data!C578&amp;"|"&amp;Raw_Data!D578&amp;"|"&amp;TEXT(Raw_Data!B578,"yyyy-mm-dd")</f>
        <v>Diamondback Energy|FANG|2021-03-31</v>
      </c>
    </row>
    <row r="580">
      <c r="A580" s="1">
        <v>578.0</v>
      </c>
      <c r="B580" s="3">
        <v>44104.0</v>
      </c>
      <c r="C580" s="1" t="s">
        <v>330</v>
      </c>
      <c r="D580" s="1" t="s">
        <v>331</v>
      </c>
      <c r="F580" s="1">
        <v>-1.409E9</v>
      </c>
      <c r="G580" s="1">
        <v>-1.113E9</v>
      </c>
      <c r="H580" s="1">
        <v>2.0E7</v>
      </c>
      <c r="I580" s="1">
        <v>5.22E8</v>
      </c>
      <c r="J580" s="1">
        <v>9.1E7</v>
      </c>
      <c r="K580" s="1">
        <v>9.1E7</v>
      </c>
      <c r="L580" s="1">
        <v>-4.8E7</v>
      </c>
      <c r="M580" s="1">
        <v>-3.04E8</v>
      </c>
      <c r="N580" s="1">
        <v>6.83E8</v>
      </c>
      <c r="O580" s="1">
        <v>5.92E8</v>
      </c>
      <c r="P580" s="1">
        <v>1.61E8</v>
      </c>
      <c r="Q580" s="1">
        <v>-1.5E9</v>
      </c>
      <c r="R580" s="1">
        <v>-1.105E9</v>
      </c>
      <c r="S580" s="1">
        <v>-1.113E9</v>
      </c>
      <c r="W580" s="4" t="str">
        <f>Raw_Data!C579&amp;"|"&amp;Raw_Data!D579&amp;"|"&amp;TEXT(Raw_Data!B579,"yyyy-mm-dd")</f>
        <v>Diamondback Energy|FANG|2020-12-31</v>
      </c>
    </row>
    <row r="581">
      <c r="A581" s="1">
        <v>579.0</v>
      </c>
      <c r="B581" s="3">
        <v>44012.0</v>
      </c>
      <c r="C581" s="1" t="s">
        <v>330</v>
      </c>
      <c r="D581" s="1" t="s">
        <v>331</v>
      </c>
      <c r="F581" s="1">
        <v>-3.092E9</v>
      </c>
      <c r="G581" s="1">
        <v>-2.393E9</v>
      </c>
      <c r="H581" s="1">
        <v>2.0E7</v>
      </c>
      <c r="I581" s="1">
        <v>2.33E8</v>
      </c>
      <c r="J581" s="1">
        <v>-4.86E8</v>
      </c>
      <c r="K581" s="1">
        <v>-4.86E8</v>
      </c>
      <c r="L581" s="1">
        <v>-5.4E7</v>
      </c>
      <c r="M581" s="1">
        <v>-6.81E8</v>
      </c>
      <c r="N581" s="1">
        <v>4.04E8</v>
      </c>
      <c r="O581" s="1">
        <v>8.9E8</v>
      </c>
      <c r="P581" s="1">
        <v>1.71E8</v>
      </c>
      <c r="Q581" s="1">
        <v>-2.606E9</v>
      </c>
      <c r="R581" s="1">
        <v>-2.411E9</v>
      </c>
      <c r="S581" s="1">
        <v>-2.393E9</v>
      </c>
      <c r="W581" s="4" t="str">
        <f>Raw_Data!C580&amp;"|"&amp;Raw_Data!D580&amp;"|"&amp;TEXT(Raw_Data!B580,"yyyy-mm-dd")</f>
        <v>Diamondback Energy|FANG|2020-09-30</v>
      </c>
    </row>
    <row r="582">
      <c r="A582" s="1">
        <v>580.0</v>
      </c>
      <c r="B582" s="3">
        <v>44377.0</v>
      </c>
      <c r="C582" s="1" t="s">
        <v>332</v>
      </c>
      <c r="D582" s="1" t="s">
        <v>333</v>
      </c>
      <c r="F582" s="1">
        <v>1.7338E8</v>
      </c>
      <c r="G582" s="1">
        <v>1.21254E8</v>
      </c>
      <c r="H582" s="1">
        <v>9.7492E7</v>
      </c>
      <c r="I582" s="1">
        <v>7.13617E8</v>
      </c>
      <c r="J582" s="1">
        <v>2.44846E8</v>
      </c>
      <c r="K582" s="1">
        <v>2.44846E8</v>
      </c>
      <c r="L582" s="1">
        <v>-7.5014E7</v>
      </c>
      <c r="M582" s="1">
        <v>4.7582E7</v>
      </c>
      <c r="N582" s="1">
        <v>1.145331E9</v>
      </c>
      <c r="O582" s="1">
        <v>9.00485E8</v>
      </c>
      <c r="P582" s="1">
        <v>4.31714E8</v>
      </c>
      <c r="Q582" s="1">
        <v>-7.1466E7</v>
      </c>
      <c r="R582" s="1">
        <v>1.25798E8</v>
      </c>
      <c r="S582" s="1">
        <v>1.27369E8</v>
      </c>
      <c r="W582" s="4" t="str">
        <f>Raw_Data!C581&amp;"|"&amp;Raw_Data!D581&amp;"|"&amp;TEXT(Raw_Data!B581,"yyyy-mm-dd")</f>
        <v>Diamondback Energy|FANG|2020-06-30</v>
      </c>
    </row>
    <row r="583">
      <c r="A583" s="1">
        <v>581.0</v>
      </c>
      <c r="B583" s="3">
        <v>44286.0</v>
      </c>
      <c r="C583" s="1" t="s">
        <v>332</v>
      </c>
      <c r="D583" s="1" t="s">
        <v>333</v>
      </c>
      <c r="F583" s="1">
        <v>4.02223E8</v>
      </c>
      <c r="G583" s="1">
        <v>3.8592E8</v>
      </c>
      <c r="H583" s="1">
        <v>9.9994E7</v>
      </c>
      <c r="I583" s="1">
        <v>6.38958E8</v>
      </c>
      <c r="J583" s="1">
        <v>1.69488E8</v>
      </c>
      <c r="K583" s="1">
        <v>1.69488E8</v>
      </c>
      <c r="L583" s="1">
        <v>-7.5653E7</v>
      </c>
      <c r="M583" s="1">
        <v>7547000.0</v>
      </c>
      <c r="N583" s="1">
        <v>1.06736E9</v>
      </c>
      <c r="O583" s="1">
        <v>8.97872E8</v>
      </c>
      <c r="P583" s="1">
        <v>4.28402E8</v>
      </c>
      <c r="Q583" s="1">
        <v>2.32735E8</v>
      </c>
      <c r="R583" s="1">
        <v>3.94676E8</v>
      </c>
      <c r="S583" s="1">
        <v>3.72406E8</v>
      </c>
      <c r="W583" s="4" t="str">
        <f>Raw_Data!C582&amp;"|"&amp;Raw_Data!D582&amp;"|"&amp;TEXT(Raw_Data!B582,"yyyy-mm-dd")</f>
        <v>Digital Realty Trust|DLR|2021-06-30</v>
      </c>
    </row>
    <row r="584">
      <c r="A584" s="1">
        <v>582.0</v>
      </c>
      <c r="B584" s="3">
        <v>44196.0</v>
      </c>
      <c r="C584" s="1" t="s">
        <v>332</v>
      </c>
      <c r="D584" s="1" t="s">
        <v>333</v>
      </c>
      <c r="F584" s="1">
        <v>6.283E7</v>
      </c>
      <c r="G584" s="1">
        <v>5.7691E7</v>
      </c>
      <c r="H584" s="1">
        <v>1.78188E8</v>
      </c>
      <c r="I584" s="1">
        <v>6.73352E8</v>
      </c>
      <c r="J584" s="1">
        <v>2.10608E8</v>
      </c>
      <c r="K584" s="1">
        <v>2.10608E8</v>
      </c>
      <c r="L584" s="1">
        <v>-7.7883E7</v>
      </c>
      <c r="M584" s="1">
        <v>3322000.0</v>
      </c>
      <c r="N584" s="1">
        <v>1.093664E9</v>
      </c>
      <c r="O584" s="1">
        <v>8.83056E8</v>
      </c>
      <c r="P584" s="1">
        <v>4.20312E8</v>
      </c>
      <c r="Q584" s="1">
        <v>-1.47778E8</v>
      </c>
      <c r="R584" s="1">
        <v>5.9508E7</v>
      </c>
      <c r="S584" s="1">
        <v>4.4177E7</v>
      </c>
      <c r="W584" s="4" t="str">
        <f>Raw_Data!C583&amp;"|"&amp;Raw_Data!D583&amp;"|"&amp;TEXT(Raw_Data!B583,"yyyy-mm-dd")</f>
        <v>Digital Realty Trust|DLR|2021-03-31</v>
      </c>
    </row>
    <row r="585">
      <c r="A585" s="1">
        <v>583.0</v>
      </c>
      <c r="B585" s="3">
        <v>44104.0</v>
      </c>
      <c r="C585" s="1" t="s">
        <v>332</v>
      </c>
      <c r="D585" s="1" t="s">
        <v>333</v>
      </c>
      <c r="F585" s="1">
        <v>1.4599E7</v>
      </c>
      <c r="G585" s="1">
        <v>-138000.0</v>
      </c>
      <c r="H585" s="1">
        <v>9.1352E7</v>
      </c>
      <c r="I585" s="1">
        <v>6.21274E8</v>
      </c>
      <c r="J585" s="1">
        <v>1.63782E8</v>
      </c>
      <c r="K585" s="1">
        <v>1.63782E8</v>
      </c>
      <c r="L585" s="1">
        <v>-8.9499E7</v>
      </c>
      <c r="M585" s="1">
        <v>1.6053E7</v>
      </c>
      <c r="N585" s="1">
        <v>1.022612E9</v>
      </c>
      <c r="O585" s="1">
        <v>8.5883E8</v>
      </c>
      <c r="P585" s="1">
        <v>4.01338E8</v>
      </c>
      <c r="Q585" s="1">
        <v>-1.49183E8</v>
      </c>
      <c r="R585" s="1">
        <v>-1454000.0</v>
      </c>
      <c r="S585" s="1">
        <v>-3.737E7</v>
      </c>
      <c r="W585" s="4" t="str">
        <f>Raw_Data!C584&amp;"|"&amp;Raw_Data!D584&amp;"|"&amp;TEXT(Raw_Data!B584,"yyyy-mm-dd")</f>
        <v>Digital Realty Trust|DLR|2020-12-31</v>
      </c>
    </row>
    <row r="586">
      <c r="A586" s="1">
        <v>584.0</v>
      </c>
      <c r="B586" s="3">
        <v>44377.0</v>
      </c>
      <c r="C586" s="1" t="s">
        <v>334</v>
      </c>
      <c r="D586" s="1" t="s">
        <v>335</v>
      </c>
      <c r="F586" s="1">
        <v>2.222E9</v>
      </c>
      <c r="G586" s="1">
        <v>1.698E9</v>
      </c>
      <c r="H586" s="1">
        <v>8.82E8</v>
      </c>
      <c r="I586" s="1">
        <v>3.299E9</v>
      </c>
      <c r="J586" s="1">
        <v>0.0</v>
      </c>
      <c r="K586" s="1">
        <v>2.314E9</v>
      </c>
      <c r="M586" s="1">
        <v>5.24E8</v>
      </c>
      <c r="N586" s="1">
        <v>3.444E9</v>
      </c>
      <c r="O586" s="1">
        <v>1.13E9</v>
      </c>
      <c r="P586" s="1">
        <v>1.45E8</v>
      </c>
      <c r="Q586" s="1">
        <v>-9.2E7</v>
      </c>
      <c r="R586" s="1">
        <v>1.698E9</v>
      </c>
      <c r="S586" s="1">
        <v>1.688E9</v>
      </c>
      <c r="W586" s="4" t="str">
        <f>Raw_Data!C585&amp;"|"&amp;Raw_Data!D585&amp;"|"&amp;TEXT(Raw_Data!B585,"yyyy-mm-dd")</f>
        <v>Digital Realty Trust|DLR|2020-09-30</v>
      </c>
    </row>
    <row r="587">
      <c r="A587" s="1">
        <v>585.0</v>
      </c>
      <c r="B587" s="3">
        <v>44286.0</v>
      </c>
      <c r="C587" s="1" t="s">
        <v>334</v>
      </c>
      <c r="D587" s="1" t="s">
        <v>335</v>
      </c>
      <c r="F587" s="1">
        <v>2.079E9</v>
      </c>
      <c r="G587" s="1">
        <v>1.593E9</v>
      </c>
      <c r="H587" s="1">
        <v>8.66E8</v>
      </c>
      <c r="I587" s="1">
        <v>3.051E9</v>
      </c>
      <c r="J587" s="1">
        <v>0.0</v>
      </c>
      <c r="K587" s="1">
        <v>2.079E9</v>
      </c>
      <c r="M587" s="1">
        <v>4.86E8</v>
      </c>
      <c r="N587" s="1">
        <v>3.16E9</v>
      </c>
      <c r="O587" s="1">
        <v>1.081E9</v>
      </c>
      <c r="P587" s="1">
        <v>1.09E8</v>
      </c>
      <c r="Q587" s="1">
        <v>0.0</v>
      </c>
      <c r="R587" s="1">
        <v>1.593E9</v>
      </c>
      <c r="S587" s="1">
        <v>1.546E9</v>
      </c>
      <c r="W587" s="4" t="str">
        <f>Raw_Data!C586&amp;"|"&amp;Raw_Data!D586&amp;"|"&amp;TEXT(Raw_Data!B586,"yyyy-mm-dd")</f>
        <v>Discover Financial Services|DFS|2021-06-30</v>
      </c>
    </row>
    <row r="588">
      <c r="A588" s="1">
        <v>586.0</v>
      </c>
      <c r="B588" s="3">
        <v>44196.0</v>
      </c>
      <c r="C588" s="1" t="s">
        <v>334</v>
      </c>
      <c r="D588" s="1" t="s">
        <v>335</v>
      </c>
      <c r="F588" s="1">
        <v>1.015E9</v>
      </c>
      <c r="G588" s="1">
        <v>7.99E8</v>
      </c>
      <c r="H588" s="1">
        <v>8.85E8</v>
      </c>
      <c r="I588" s="1">
        <v>2.095E9</v>
      </c>
      <c r="J588" s="1">
        <v>0.0</v>
      </c>
      <c r="K588" s="1">
        <v>1.111E9</v>
      </c>
      <c r="M588" s="1">
        <v>2.16E8</v>
      </c>
      <c r="N588" s="1">
        <v>2.293E9</v>
      </c>
      <c r="O588" s="1">
        <v>1.182E9</v>
      </c>
      <c r="P588" s="1">
        <v>1.98E8</v>
      </c>
      <c r="Q588" s="1">
        <v>-9.6E7</v>
      </c>
      <c r="R588" s="1">
        <v>7.99E8</v>
      </c>
      <c r="S588" s="1">
        <v>7.95E8</v>
      </c>
      <c r="W588" s="4" t="str">
        <f>Raw_Data!C587&amp;"|"&amp;Raw_Data!D587&amp;"|"&amp;TEXT(Raw_Data!B587,"yyyy-mm-dd")</f>
        <v>Discover Financial Services|DFS|2021-03-31</v>
      </c>
    </row>
    <row r="589">
      <c r="A589" s="1">
        <v>587.0</v>
      </c>
      <c r="B589" s="3">
        <v>44104.0</v>
      </c>
      <c r="C589" s="1" t="s">
        <v>334</v>
      </c>
      <c r="D589" s="1" t="s">
        <v>335</v>
      </c>
      <c r="F589" s="1">
        <v>9.59E8</v>
      </c>
      <c r="G589" s="1">
        <v>7.71E8</v>
      </c>
      <c r="H589" s="1">
        <v>7.88E8</v>
      </c>
      <c r="I589" s="1">
        <v>1.853E9</v>
      </c>
      <c r="J589" s="1">
        <v>0.0</v>
      </c>
      <c r="K589" s="1">
        <v>9.59E8</v>
      </c>
      <c r="M589" s="1">
        <v>1.88E8</v>
      </c>
      <c r="N589" s="1">
        <v>1.964E9</v>
      </c>
      <c r="O589" s="1">
        <v>1.005E9</v>
      </c>
      <c r="P589" s="1">
        <v>1.11E8</v>
      </c>
      <c r="Q589" s="1">
        <v>0.0</v>
      </c>
      <c r="R589" s="1">
        <v>7.71E8</v>
      </c>
      <c r="S589" s="1">
        <v>7.51E8</v>
      </c>
      <c r="W589" s="4" t="str">
        <f>Raw_Data!C588&amp;"|"&amp;Raw_Data!D588&amp;"|"&amp;TEXT(Raw_Data!B588,"yyyy-mm-dd")</f>
        <v>Discover Financial Services|DFS|2020-12-31</v>
      </c>
    </row>
    <row r="590">
      <c r="A590" s="1">
        <v>588.0</v>
      </c>
      <c r="B590" s="3">
        <v>44286.0</v>
      </c>
      <c r="C590" s="1" t="s">
        <v>336</v>
      </c>
      <c r="D590" s="1" t="s">
        <v>337</v>
      </c>
      <c r="F590" s="1">
        <v>2.97E8</v>
      </c>
      <c r="G590" s="1">
        <v>1.4E8</v>
      </c>
      <c r="H590" s="1">
        <v>1.047E9</v>
      </c>
      <c r="I590" s="1">
        <v>1.823E9</v>
      </c>
      <c r="J590" s="1">
        <v>4.15E8</v>
      </c>
      <c r="K590" s="1">
        <v>4.15E8</v>
      </c>
      <c r="L590" s="1">
        <v>-1.73E8</v>
      </c>
      <c r="M590" s="1">
        <v>1.06E8</v>
      </c>
      <c r="N590" s="1">
        <v>2.792E9</v>
      </c>
      <c r="O590" s="1">
        <v>2.377E9</v>
      </c>
      <c r="P590" s="1">
        <v>9.69E8</v>
      </c>
      <c r="Q590" s="1">
        <v>-1.18E8</v>
      </c>
      <c r="R590" s="1">
        <v>1.91E8</v>
      </c>
      <c r="S590" s="1">
        <v>1.25E8</v>
      </c>
      <c r="W590" s="4" t="str">
        <f>Raw_Data!C589&amp;"|"&amp;Raw_Data!D589&amp;"|"&amp;TEXT(Raw_Data!B589,"yyyy-mm-dd")</f>
        <v>Discover Financial Services|DFS|2020-09-30</v>
      </c>
    </row>
    <row r="591">
      <c r="A591" s="1">
        <v>589.0</v>
      </c>
      <c r="B591" s="3">
        <v>44196.0</v>
      </c>
      <c r="C591" s="1" t="s">
        <v>336</v>
      </c>
      <c r="D591" s="1" t="s">
        <v>337</v>
      </c>
      <c r="F591" s="1">
        <v>4.16E8</v>
      </c>
      <c r="G591" s="1">
        <v>2.71E8</v>
      </c>
      <c r="H591" s="1">
        <v>8.03E8</v>
      </c>
      <c r="I591" s="1">
        <v>1.797E9</v>
      </c>
      <c r="J591" s="1">
        <v>6.36E8</v>
      </c>
      <c r="K591" s="1">
        <v>6.36E8</v>
      </c>
      <c r="L591" s="1">
        <v>-1.73E8</v>
      </c>
      <c r="M591" s="1">
        <v>9.8E7</v>
      </c>
      <c r="N591" s="1">
        <v>2.886E9</v>
      </c>
      <c r="O591" s="1">
        <v>2.25E9</v>
      </c>
      <c r="P591" s="1">
        <v>1.089E9</v>
      </c>
      <c r="Q591" s="1">
        <v>-2.2E8</v>
      </c>
      <c r="R591" s="1">
        <v>3.18E8</v>
      </c>
      <c r="S591" s="1">
        <v>2.45E8</v>
      </c>
      <c r="W591" s="4" t="str">
        <f>Raw_Data!C590&amp;"|"&amp;Raw_Data!D590&amp;"|"&amp;TEXT(Raw_Data!B590,"yyyy-mm-dd")</f>
        <v>Discovery (Series A)|DISCA|2021-03-31</v>
      </c>
    </row>
    <row r="592">
      <c r="A592" s="1">
        <v>590.0</v>
      </c>
      <c r="B592" s="3">
        <v>44104.0</v>
      </c>
      <c r="C592" s="1" t="s">
        <v>336</v>
      </c>
      <c r="D592" s="1" t="s">
        <v>337</v>
      </c>
      <c r="F592" s="1">
        <v>3.19E8</v>
      </c>
      <c r="G592" s="1">
        <v>3.0E8</v>
      </c>
      <c r="H592" s="1">
        <v>6.33E8</v>
      </c>
      <c r="I592" s="1">
        <v>1.559E9</v>
      </c>
      <c r="J592" s="1">
        <v>5.85E8</v>
      </c>
      <c r="K592" s="1">
        <v>5.85E8</v>
      </c>
      <c r="L592" s="1">
        <v>-1.71E8</v>
      </c>
      <c r="M592" s="1">
        <v>-1.1E7</v>
      </c>
      <c r="N592" s="1">
        <v>2.561E9</v>
      </c>
      <c r="O592" s="1">
        <v>1.976E9</v>
      </c>
      <c r="P592" s="1">
        <v>1.002E9</v>
      </c>
      <c r="Q592" s="1">
        <v>-2.66E8</v>
      </c>
      <c r="R592" s="1">
        <v>3.3E8</v>
      </c>
      <c r="S592" s="1">
        <v>2.65E8</v>
      </c>
      <c r="W592" s="4" t="str">
        <f>Raw_Data!C591&amp;"|"&amp;Raw_Data!D591&amp;"|"&amp;TEXT(Raw_Data!B591,"yyyy-mm-dd")</f>
        <v>Discovery (Series A)|DISCA|2020-12-31</v>
      </c>
    </row>
    <row r="593">
      <c r="A593" s="1">
        <v>591.0</v>
      </c>
      <c r="B593" s="3">
        <v>44012.0</v>
      </c>
      <c r="C593" s="1" t="s">
        <v>336</v>
      </c>
      <c r="D593" s="1" t="s">
        <v>337</v>
      </c>
      <c r="F593" s="1">
        <v>4.56E8</v>
      </c>
      <c r="G593" s="1">
        <v>2.71E8</v>
      </c>
      <c r="H593" s="1">
        <v>6.35E8</v>
      </c>
      <c r="I593" s="1">
        <v>1.737E9</v>
      </c>
      <c r="J593" s="1">
        <v>7.68E8</v>
      </c>
      <c r="K593" s="1">
        <v>7.68E8</v>
      </c>
      <c r="L593" s="1">
        <v>-1.72E8</v>
      </c>
      <c r="M593" s="1">
        <v>1.56E8</v>
      </c>
      <c r="N593" s="1">
        <v>2.541E9</v>
      </c>
      <c r="O593" s="1">
        <v>1.773E9</v>
      </c>
      <c r="P593" s="1">
        <v>8.04E8</v>
      </c>
      <c r="Q593" s="1">
        <v>-3.12E8</v>
      </c>
      <c r="R593" s="1">
        <v>3.0E8</v>
      </c>
      <c r="S593" s="1">
        <v>2.43E8</v>
      </c>
      <c r="W593" s="4" t="str">
        <f>Raw_Data!C592&amp;"|"&amp;Raw_Data!D592&amp;"|"&amp;TEXT(Raw_Data!B592,"yyyy-mm-dd")</f>
        <v>Discovery (Series A)|DISCA|2020-09-30</v>
      </c>
    </row>
    <row r="594">
      <c r="A594" s="1">
        <v>592.0</v>
      </c>
      <c r="B594" s="3">
        <v>44286.0</v>
      </c>
      <c r="C594" s="1" t="s">
        <v>338</v>
      </c>
      <c r="D594" s="1" t="s">
        <v>339</v>
      </c>
      <c r="F594" s="1">
        <v>2.97E8</v>
      </c>
      <c r="G594" s="1">
        <v>1.4E8</v>
      </c>
      <c r="H594" s="1">
        <v>1.047E9</v>
      </c>
      <c r="I594" s="1">
        <v>1.823E9</v>
      </c>
      <c r="J594" s="1">
        <v>4.15E8</v>
      </c>
      <c r="K594" s="1">
        <v>4.15E8</v>
      </c>
      <c r="L594" s="1">
        <v>-1.73E8</v>
      </c>
      <c r="M594" s="1">
        <v>1.06E8</v>
      </c>
      <c r="N594" s="1">
        <v>2.792E9</v>
      </c>
      <c r="O594" s="1">
        <v>2.377E9</v>
      </c>
      <c r="P594" s="1">
        <v>9.69E8</v>
      </c>
      <c r="Q594" s="1">
        <v>-1.18E8</v>
      </c>
      <c r="R594" s="1">
        <v>1.91E8</v>
      </c>
      <c r="S594" s="1">
        <v>1.25E8</v>
      </c>
      <c r="W594" s="4" t="str">
        <f>Raw_Data!C593&amp;"|"&amp;Raw_Data!D593&amp;"|"&amp;TEXT(Raw_Data!B593,"yyyy-mm-dd")</f>
        <v>Discovery (Series A)|DISCA|2020-06-30</v>
      </c>
    </row>
    <row r="595">
      <c r="A595" s="1">
        <v>593.0</v>
      </c>
      <c r="B595" s="3">
        <v>44196.0</v>
      </c>
      <c r="C595" s="1" t="s">
        <v>338</v>
      </c>
      <c r="D595" s="1" t="s">
        <v>339</v>
      </c>
      <c r="F595" s="1">
        <v>4.16E8</v>
      </c>
      <c r="G595" s="1">
        <v>2.71E8</v>
      </c>
      <c r="H595" s="1">
        <v>8.03E8</v>
      </c>
      <c r="I595" s="1">
        <v>1.797E9</v>
      </c>
      <c r="J595" s="1">
        <v>6.36E8</v>
      </c>
      <c r="K595" s="1">
        <v>6.36E8</v>
      </c>
      <c r="L595" s="1">
        <v>-1.73E8</v>
      </c>
      <c r="M595" s="1">
        <v>9.8E7</v>
      </c>
      <c r="N595" s="1">
        <v>2.886E9</v>
      </c>
      <c r="O595" s="1">
        <v>2.25E9</v>
      </c>
      <c r="P595" s="1">
        <v>1.089E9</v>
      </c>
      <c r="Q595" s="1">
        <v>-2.2E8</v>
      </c>
      <c r="R595" s="1">
        <v>3.18E8</v>
      </c>
      <c r="S595" s="1">
        <v>2.45E8</v>
      </c>
      <c r="W595" s="4" t="str">
        <f>Raw_Data!C594&amp;"|"&amp;Raw_Data!D594&amp;"|"&amp;TEXT(Raw_Data!B594,"yyyy-mm-dd")</f>
        <v>Discovery (Series C)|DISCK|2021-03-31</v>
      </c>
    </row>
    <row r="596">
      <c r="A596" s="1">
        <v>594.0</v>
      </c>
      <c r="B596" s="3">
        <v>44104.0</v>
      </c>
      <c r="C596" s="1" t="s">
        <v>338</v>
      </c>
      <c r="D596" s="1" t="s">
        <v>339</v>
      </c>
      <c r="F596" s="1">
        <v>3.19E8</v>
      </c>
      <c r="G596" s="1">
        <v>3.0E8</v>
      </c>
      <c r="H596" s="1">
        <v>6.33E8</v>
      </c>
      <c r="I596" s="1">
        <v>1.559E9</v>
      </c>
      <c r="J596" s="1">
        <v>5.85E8</v>
      </c>
      <c r="K596" s="1">
        <v>5.85E8</v>
      </c>
      <c r="L596" s="1">
        <v>-1.71E8</v>
      </c>
      <c r="M596" s="1">
        <v>-1.1E7</v>
      </c>
      <c r="N596" s="1">
        <v>2.561E9</v>
      </c>
      <c r="O596" s="1">
        <v>1.976E9</v>
      </c>
      <c r="P596" s="1">
        <v>1.002E9</v>
      </c>
      <c r="Q596" s="1">
        <v>-2.66E8</v>
      </c>
      <c r="R596" s="1">
        <v>3.3E8</v>
      </c>
      <c r="S596" s="1">
        <v>2.65E8</v>
      </c>
      <c r="W596" s="4" t="str">
        <f>Raw_Data!C595&amp;"|"&amp;Raw_Data!D595&amp;"|"&amp;TEXT(Raw_Data!B595,"yyyy-mm-dd")</f>
        <v>Discovery (Series C)|DISCK|2020-12-31</v>
      </c>
    </row>
    <row r="597">
      <c r="A597" s="1">
        <v>595.0</v>
      </c>
      <c r="B597" s="3">
        <v>44012.0</v>
      </c>
      <c r="C597" s="1" t="s">
        <v>338</v>
      </c>
      <c r="D597" s="1" t="s">
        <v>339</v>
      </c>
      <c r="F597" s="1">
        <v>4.56E8</v>
      </c>
      <c r="G597" s="1">
        <v>2.71E8</v>
      </c>
      <c r="H597" s="1">
        <v>6.35E8</v>
      </c>
      <c r="I597" s="1">
        <v>1.737E9</v>
      </c>
      <c r="J597" s="1">
        <v>7.68E8</v>
      </c>
      <c r="K597" s="1">
        <v>7.68E8</v>
      </c>
      <c r="L597" s="1">
        <v>-1.72E8</v>
      </c>
      <c r="M597" s="1">
        <v>1.56E8</v>
      </c>
      <c r="N597" s="1">
        <v>2.541E9</v>
      </c>
      <c r="O597" s="1">
        <v>1.773E9</v>
      </c>
      <c r="P597" s="1">
        <v>8.04E8</v>
      </c>
      <c r="Q597" s="1">
        <v>-3.12E8</v>
      </c>
      <c r="R597" s="1">
        <v>3.0E8</v>
      </c>
      <c r="S597" s="1">
        <v>2.43E8</v>
      </c>
      <c r="W597" s="4" t="str">
        <f>Raw_Data!C596&amp;"|"&amp;Raw_Data!D596&amp;"|"&amp;TEXT(Raw_Data!B596,"yyyy-mm-dd")</f>
        <v>Discovery (Series C)|DISCK|2020-09-30</v>
      </c>
    </row>
    <row r="598">
      <c r="A598" s="1">
        <v>596.0</v>
      </c>
      <c r="B598" s="3">
        <v>44377.0</v>
      </c>
      <c r="C598" s="1" t="s">
        <v>340</v>
      </c>
      <c r="D598" s="1" t="s">
        <v>341</v>
      </c>
      <c r="F598" s="1">
        <v>8.98989E8</v>
      </c>
      <c r="G598" s="1">
        <v>6.71047E8</v>
      </c>
      <c r="H598" s="1">
        <v>5.07909E8</v>
      </c>
      <c r="I598" s="1">
        <v>1.601037E9</v>
      </c>
      <c r="J598" s="1">
        <v>9.06738E8</v>
      </c>
      <c r="K598" s="1">
        <v>9.06738E8</v>
      </c>
      <c r="L598" s="1">
        <v>-3825000.0</v>
      </c>
      <c r="M598" s="1">
        <v>2.17538E8</v>
      </c>
      <c r="N598" s="1">
        <v>4.48696E9</v>
      </c>
      <c r="O598" s="1">
        <v>3.580222E9</v>
      </c>
      <c r="P598" s="1">
        <v>2.885923E9</v>
      </c>
      <c r="Q598" s="1">
        <v>-7749000.0</v>
      </c>
      <c r="R598" s="1">
        <v>6.81451E8</v>
      </c>
      <c r="S598" s="1">
        <v>6.71047E8</v>
      </c>
      <c r="W598" s="4" t="str">
        <f>Raw_Data!C597&amp;"|"&amp;Raw_Data!D597&amp;"|"&amp;TEXT(Raw_Data!B597,"yyyy-mm-dd")</f>
        <v>Discovery (Series C)|DISCK|2020-06-30</v>
      </c>
    </row>
    <row r="599">
      <c r="A599" s="1">
        <v>597.0</v>
      </c>
      <c r="B599" s="3">
        <v>44286.0</v>
      </c>
      <c r="C599" s="1" t="s">
        <v>340</v>
      </c>
      <c r="D599" s="1" t="s">
        <v>341</v>
      </c>
      <c r="F599" s="1">
        <v>8.57412E8</v>
      </c>
      <c r="G599" s="1">
        <v>6.30224E8</v>
      </c>
      <c r="H599" s="1">
        <v>4.81686E8</v>
      </c>
      <c r="I599" s="1">
        <v>1.536647E9</v>
      </c>
      <c r="J599" s="1">
        <v>8.64576E8</v>
      </c>
      <c r="K599" s="1">
        <v>8.64576E8</v>
      </c>
      <c r="L599" s="1">
        <v>-3873000.0</v>
      </c>
      <c r="M599" s="1">
        <v>2.15849E8</v>
      </c>
      <c r="N599" s="1">
        <v>4.497853E9</v>
      </c>
      <c r="O599" s="1">
        <v>3.633277E9</v>
      </c>
      <c r="P599" s="1">
        <v>2.961206E9</v>
      </c>
      <c r="Q599" s="1">
        <v>-7164000.0</v>
      </c>
      <c r="R599" s="1">
        <v>6.41563E8</v>
      </c>
      <c r="S599" s="1">
        <v>6.30224E8</v>
      </c>
      <c r="W599" s="4" t="str">
        <f>Raw_Data!C598&amp;"|"&amp;Raw_Data!D598&amp;"|"&amp;TEXT(Raw_Data!B598,"yyyy-mm-dd")</f>
        <v>Dish Network|DISH|2021-06-30</v>
      </c>
    </row>
    <row r="600">
      <c r="A600" s="1">
        <v>598.0</v>
      </c>
      <c r="B600" s="3">
        <v>44196.0</v>
      </c>
      <c r="C600" s="1" t="s">
        <v>340</v>
      </c>
      <c r="D600" s="1" t="s">
        <v>341</v>
      </c>
      <c r="F600" s="1">
        <v>9.89709E8</v>
      </c>
      <c r="G600" s="1">
        <v>7.32632E8</v>
      </c>
      <c r="H600" s="1">
        <v>4.29261E8</v>
      </c>
      <c r="I600" s="1">
        <v>1.615425E9</v>
      </c>
      <c r="J600" s="1">
        <v>9.89639E8</v>
      </c>
      <c r="K600" s="1">
        <v>9.89639E8</v>
      </c>
      <c r="L600" s="1">
        <v>-3873000.0</v>
      </c>
      <c r="M600" s="1">
        <v>2.28411E8</v>
      </c>
      <c r="N600" s="1">
        <v>4.557365E9</v>
      </c>
      <c r="O600" s="1">
        <v>3.567726E9</v>
      </c>
      <c r="P600" s="1">
        <v>2.94194E9</v>
      </c>
      <c r="Q600" s="1">
        <v>70000.0</v>
      </c>
      <c r="R600" s="1">
        <v>7.61298E8</v>
      </c>
      <c r="S600" s="1">
        <v>7.32632E8</v>
      </c>
      <c r="W600" s="4" t="str">
        <f>Raw_Data!C599&amp;"|"&amp;Raw_Data!D599&amp;"|"&amp;TEXT(Raw_Data!B599,"yyyy-mm-dd")</f>
        <v>Dish Network|DISH|2021-03-31</v>
      </c>
    </row>
    <row r="601">
      <c r="A601" s="1">
        <v>599.0</v>
      </c>
      <c r="B601" s="3">
        <v>44104.0</v>
      </c>
      <c r="C601" s="1" t="s">
        <v>340</v>
      </c>
      <c r="D601" s="1" t="s">
        <v>341</v>
      </c>
      <c r="F601" s="1">
        <v>8.06473E8</v>
      </c>
      <c r="G601" s="1">
        <v>5.04599E8</v>
      </c>
      <c r="H601" s="1">
        <v>5.16648E8</v>
      </c>
      <c r="I601" s="1">
        <v>1.526979E9</v>
      </c>
      <c r="J601" s="1">
        <v>8.11248E8</v>
      </c>
      <c r="K601" s="1">
        <v>8.11248E8</v>
      </c>
      <c r="L601" s="1">
        <v>6778000.0</v>
      </c>
      <c r="M601" s="1">
        <v>2.73514E8</v>
      </c>
      <c r="N601" s="1">
        <v>4.531591E9</v>
      </c>
      <c r="O601" s="1">
        <v>3.720343E9</v>
      </c>
      <c r="P601" s="1">
        <v>3.004612E9</v>
      </c>
      <c r="Q601" s="1">
        <v>-4775000.0</v>
      </c>
      <c r="R601" s="1">
        <v>5.32959E8</v>
      </c>
      <c r="S601" s="1">
        <v>5.04599E8</v>
      </c>
      <c r="W601" s="4" t="str">
        <f>Raw_Data!C600&amp;"|"&amp;Raw_Data!D600&amp;"|"&amp;TEXT(Raw_Data!B600,"yyyy-mm-dd")</f>
        <v>Dish Network|DISH|2020-12-31</v>
      </c>
    </row>
    <row r="602">
      <c r="A602" s="1">
        <v>600.0</v>
      </c>
      <c r="B602" s="3">
        <v>44316.0</v>
      </c>
      <c r="C602" s="1" t="s">
        <v>342</v>
      </c>
      <c r="D602" s="1" t="s">
        <v>343</v>
      </c>
      <c r="F602" s="1">
        <v>8.68458E8</v>
      </c>
      <c r="G602" s="1">
        <v>6.77749E8</v>
      </c>
      <c r="H602" s="1">
        <v>1.846818E9</v>
      </c>
      <c r="I602" s="1">
        <v>2.755668E9</v>
      </c>
      <c r="J602" s="1">
        <v>9.0885E8</v>
      </c>
      <c r="K602" s="1">
        <v>9.0885E8</v>
      </c>
      <c r="L602" s="1">
        <v>-4.0392E7</v>
      </c>
      <c r="M602" s="1">
        <v>1.90709E8</v>
      </c>
      <c r="N602" s="1">
        <v>8.400964E9</v>
      </c>
      <c r="O602" s="1">
        <v>7.492114E9</v>
      </c>
      <c r="P602" s="1">
        <v>5.645296E9</v>
      </c>
      <c r="Q602" s="1">
        <v>-4.0392E7</v>
      </c>
      <c r="R602" s="1">
        <v>6.77749E8</v>
      </c>
      <c r="S602" s="1">
        <v>6.77749E8</v>
      </c>
      <c r="W602" s="4" t="str">
        <f>Raw_Data!C601&amp;"|"&amp;Raw_Data!D601&amp;"|"&amp;TEXT(Raw_Data!B601,"yyyy-mm-dd")</f>
        <v>Dish Network|DISH|2020-09-30</v>
      </c>
    </row>
    <row r="603">
      <c r="A603" s="1">
        <v>601.0</v>
      </c>
      <c r="B603" s="3">
        <v>44225.0</v>
      </c>
      <c r="C603" s="1" t="s">
        <v>342</v>
      </c>
      <c r="D603" s="1" t="s">
        <v>343</v>
      </c>
      <c r="F603" s="1">
        <v>8.31956E8</v>
      </c>
      <c r="G603" s="1">
        <v>6.42743E8</v>
      </c>
      <c r="H603" s="1">
        <v>1.861771E9</v>
      </c>
      <c r="I603" s="1">
        <v>2.736695E9</v>
      </c>
      <c r="J603" s="1">
        <v>8.74924E8</v>
      </c>
      <c r="K603" s="1">
        <v>8.74924E8</v>
      </c>
      <c r="L603" s="1">
        <v>-4.0268E7</v>
      </c>
      <c r="M603" s="1">
        <v>1.89213E8</v>
      </c>
      <c r="N603" s="1">
        <v>8.414524E9</v>
      </c>
      <c r="O603" s="1">
        <v>7.5396E9</v>
      </c>
      <c r="P603" s="1">
        <v>5.677829E9</v>
      </c>
      <c r="Q603" s="1">
        <v>-4.2968E7</v>
      </c>
      <c r="R603" s="1">
        <v>6.42743E8</v>
      </c>
      <c r="S603" s="1">
        <v>6.42743E8</v>
      </c>
      <c r="W603" s="4" t="str">
        <f>Raw_Data!C602&amp;"|"&amp;Raw_Data!D602&amp;"|"&amp;TEXT(Raw_Data!B602,"yyyy-mm-dd")</f>
        <v>Dollar General|DG|2021-04-30</v>
      </c>
    </row>
    <row r="604">
      <c r="A604" s="1">
        <v>602.0</v>
      </c>
      <c r="B604" s="3">
        <v>44134.0</v>
      </c>
      <c r="C604" s="1" t="s">
        <v>342</v>
      </c>
      <c r="D604" s="1" t="s">
        <v>343</v>
      </c>
      <c r="F604" s="1">
        <v>7.32832E8</v>
      </c>
      <c r="G604" s="1">
        <v>5.7426E8</v>
      </c>
      <c r="H604" s="1">
        <v>1.79511E9</v>
      </c>
      <c r="I604" s="1">
        <v>2.56824E9</v>
      </c>
      <c r="J604" s="1">
        <v>7.7313E8</v>
      </c>
      <c r="K604" s="1">
        <v>7.7313E8</v>
      </c>
      <c r="L604" s="1">
        <v>-4.0298E7</v>
      </c>
      <c r="M604" s="1">
        <v>1.58572E8</v>
      </c>
      <c r="N604" s="1">
        <v>8.199625E9</v>
      </c>
      <c r="O604" s="1">
        <v>7.426495E9</v>
      </c>
      <c r="P604" s="1">
        <v>5.631385E9</v>
      </c>
      <c r="Q604" s="1">
        <v>-4.0298E7</v>
      </c>
      <c r="R604" s="1">
        <v>5.7426E8</v>
      </c>
      <c r="S604" s="1">
        <v>5.7426E8</v>
      </c>
      <c r="W604" s="4" t="str">
        <f>Raw_Data!C603&amp;"|"&amp;Raw_Data!D603&amp;"|"&amp;TEXT(Raw_Data!B603,"yyyy-mm-dd")</f>
        <v>Dollar General|DG|2021-01-29</v>
      </c>
    </row>
    <row r="605">
      <c r="A605" s="1">
        <v>603.0</v>
      </c>
      <c r="B605" s="3">
        <v>44043.0</v>
      </c>
      <c r="C605" s="1" t="s">
        <v>342</v>
      </c>
      <c r="D605" s="1" t="s">
        <v>343</v>
      </c>
      <c r="F605" s="1">
        <v>1.003301E9</v>
      </c>
      <c r="G605" s="1">
        <v>7.87601E8</v>
      </c>
      <c r="H605" s="1">
        <v>1.775608E9</v>
      </c>
      <c r="I605" s="1">
        <v>2.818235E9</v>
      </c>
      <c r="J605" s="1">
        <v>1.042627E9</v>
      </c>
      <c r="K605" s="1">
        <v>1.042627E9</v>
      </c>
      <c r="L605" s="1">
        <v>-3.9326E7</v>
      </c>
      <c r="M605" s="1">
        <v>2.157E8</v>
      </c>
      <c r="N605" s="1">
        <v>8.684241E9</v>
      </c>
      <c r="O605" s="1">
        <v>7.641614E9</v>
      </c>
      <c r="P605" s="1">
        <v>5.866006E9</v>
      </c>
      <c r="Q605" s="1">
        <v>-3.9326E7</v>
      </c>
      <c r="R605" s="1">
        <v>7.87601E8</v>
      </c>
      <c r="S605" s="1">
        <v>7.87601E8</v>
      </c>
      <c r="W605" s="4" t="str">
        <f>Raw_Data!C604&amp;"|"&amp;Raw_Data!D604&amp;"|"&amp;TEXT(Raw_Data!B604,"yyyy-mm-dd")</f>
        <v>Dollar General|DG|2020-10-30</v>
      </c>
    </row>
    <row r="606">
      <c r="A606" s="1">
        <v>604.0</v>
      </c>
      <c r="B606" s="3">
        <v>44317.0</v>
      </c>
      <c r="C606" s="1" t="s">
        <v>344</v>
      </c>
      <c r="D606" s="1" t="s">
        <v>345</v>
      </c>
      <c r="F606" s="1">
        <v>4.869E8</v>
      </c>
      <c r="G606" s="1">
        <v>3.745E8</v>
      </c>
      <c r="H606" s="1">
        <v>1.4471E9</v>
      </c>
      <c r="I606" s="1">
        <v>1.967E9</v>
      </c>
      <c r="J606" s="1">
        <v>5.199E8</v>
      </c>
      <c r="K606" s="1">
        <v>5.199E8</v>
      </c>
      <c r="L606" s="1">
        <v>-3.3E7</v>
      </c>
      <c r="M606" s="1">
        <v>1.124E8</v>
      </c>
      <c r="N606" s="1">
        <v>6.4797E9</v>
      </c>
      <c r="O606" s="1">
        <v>5.9598E9</v>
      </c>
      <c r="P606" s="1">
        <v>4.5127E9</v>
      </c>
      <c r="Q606" s="1">
        <v>-3.3E7</v>
      </c>
      <c r="R606" s="1">
        <v>3.745E8</v>
      </c>
      <c r="S606" s="1">
        <v>3.745E8</v>
      </c>
      <c r="W606" s="4" t="str">
        <f>Raw_Data!C605&amp;"|"&amp;Raw_Data!D605&amp;"|"&amp;TEXT(Raw_Data!B605,"yyyy-mm-dd")</f>
        <v>Dollar General|DG|2020-07-31</v>
      </c>
    </row>
    <row r="607">
      <c r="A607" s="1">
        <v>605.0</v>
      </c>
      <c r="B607" s="3">
        <v>44226.0</v>
      </c>
      <c r="C607" s="1" t="s">
        <v>344</v>
      </c>
      <c r="D607" s="1" t="s">
        <v>345</v>
      </c>
      <c r="F607" s="1">
        <v>6.474E8</v>
      </c>
      <c r="G607" s="1">
        <v>5.028E8</v>
      </c>
      <c r="H607" s="1">
        <v>1.3942E9</v>
      </c>
      <c r="I607" s="1">
        <v>2.1604E9</v>
      </c>
      <c r="J607" s="1">
        <v>7.181E8</v>
      </c>
      <c r="K607" s="1">
        <v>7.181E8</v>
      </c>
      <c r="L607" s="1">
        <v>-3.42E7</v>
      </c>
      <c r="M607" s="1">
        <v>1.446E8</v>
      </c>
      <c r="N607" s="1">
        <v>6.7679E9</v>
      </c>
      <c r="O607" s="1">
        <v>6.0498E9</v>
      </c>
      <c r="P607" s="1">
        <v>4.6075E9</v>
      </c>
      <c r="Q607" s="1">
        <v>-7.07E7</v>
      </c>
      <c r="R607" s="1">
        <v>5.028E8</v>
      </c>
      <c r="S607" s="1">
        <v>5.028E8</v>
      </c>
      <c r="W607" s="4" t="str">
        <f>Raw_Data!C606&amp;"|"&amp;Raw_Data!D606&amp;"|"&amp;TEXT(Raw_Data!B606,"yyyy-mm-dd")</f>
        <v>Dollar Tree|DLTR|2021-05-01</v>
      </c>
    </row>
    <row r="608">
      <c r="A608" s="1">
        <v>606.0</v>
      </c>
      <c r="B608" s="3">
        <v>44135.0</v>
      </c>
      <c r="C608" s="1" t="s">
        <v>344</v>
      </c>
      <c r="D608" s="1" t="s">
        <v>345</v>
      </c>
      <c r="F608" s="1">
        <v>4.273E8</v>
      </c>
      <c r="G608" s="1">
        <v>3.3E8</v>
      </c>
      <c r="H608" s="1">
        <v>1.4235E9</v>
      </c>
      <c r="I608" s="1">
        <v>1.9353E9</v>
      </c>
      <c r="J608" s="1">
        <v>5.118E8</v>
      </c>
      <c r="K608" s="1">
        <v>5.118E8</v>
      </c>
      <c r="L608" s="1">
        <v>-3.81E7</v>
      </c>
      <c r="M608" s="1">
        <v>9.73E7</v>
      </c>
      <c r="N608" s="1">
        <v>6.177E9</v>
      </c>
      <c r="O608" s="1">
        <v>5.6652E9</v>
      </c>
      <c r="P608" s="1">
        <v>4.2417E9</v>
      </c>
      <c r="Q608" s="1">
        <v>-8.45E7</v>
      </c>
      <c r="R608" s="1">
        <v>3.3E8</v>
      </c>
      <c r="S608" s="1">
        <v>3.3E8</v>
      </c>
      <c r="W608" s="4" t="str">
        <f>Raw_Data!C607&amp;"|"&amp;Raw_Data!D607&amp;"|"&amp;TEXT(Raw_Data!B607,"yyyy-mm-dd")</f>
        <v>Dollar Tree|DLTR|2021-01-30</v>
      </c>
    </row>
    <row r="609">
      <c r="A609" s="1">
        <v>607.0</v>
      </c>
      <c r="B609" s="3">
        <v>44044.0</v>
      </c>
      <c r="C609" s="1" t="s">
        <v>344</v>
      </c>
      <c r="D609" s="1" t="s">
        <v>345</v>
      </c>
      <c r="F609" s="1">
        <v>3.399E8</v>
      </c>
      <c r="G609" s="1">
        <v>2.615E8</v>
      </c>
      <c r="H609" s="1">
        <v>1.4191E9</v>
      </c>
      <c r="I609" s="1">
        <v>1.9276E9</v>
      </c>
      <c r="J609" s="1">
        <v>5.085E8</v>
      </c>
      <c r="K609" s="1">
        <v>5.085E8</v>
      </c>
      <c r="L609" s="1">
        <v>-3.48E7</v>
      </c>
      <c r="M609" s="1">
        <v>7.84E7</v>
      </c>
      <c r="N609" s="1">
        <v>6.2776E9</v>
      </c>
      <c r="O609" s="1">
        <v>5.7691E9</v>
      </c>
      <c r="P609" s="1">
        <v>4.35E9</v>
      </c>
      <c r="Q609" s="1">
        <v>-1.686E8</v>
      </c>
      <c r="R609" s="1">
        <v>2.615E8</v>
      </c>
      <c r="S609" s="1">
        <v>2.615E8</v>
      </c>
      <c r="W609" s="4" t="str">
        <f>Raw_Data!C608&amp;"|"&amp;Raw_Data!D608&amp;"|"&amp;TEXT(Raw_Data!B608,"yyyy-mm-dd")</f>
        <v>Dollar Tree|DLTR|2020-10-31</v>
      </c>
    </row>
    <row r="610">
      <c r="A610" s="1">
        <v>608.0</v>
      </c>
      <c r="B610" s="3">
        <v>44377.0</v>
      </c>
      <c r="C610" s="1" t="s">
        <v>346</v>
      </c>
      <c r="D610" s="1" t="s">
        <v>347</v>
      </c>
      <c r="F610" s="1">
        <v>2.22E8</v>
      </c>
      <c r="G610" s="1">
        <v>2.85E8</v>
      </c>
      <c r="H610" s="1">
        <v>-1.14E8</v>
      </c>
      <c r="I610" s="1">
        <v>1.51E9</v>
      </c>
      <c r="J610" s="1">
        <v>7.86E8</v>
      </c>
      <c r="K610" s="1">
        <v>7.86E8</v>
      </c>
      <c r="L610" s="1">
        <v>-5.18E8</v>
      </c>
      <c r="M610" s="1">
        <v>-4.7E7</v>
      </c>
      <c r="N610" s="1">
        <v>3.038E9</v>
      </c>
      <c r="O610" s="1">
        <v>2.252E9</v>
      </c>
      <c r="P610" s="1">
        <v>1.528E9</v>
      </c>
      <c r="Q610" s="1">
        <v>-5.64E8</v>
      </c>
      <c r="R610" s="1">
        <v>2.69E8</v>
      </c>
      <c r="S610" s="1">
        <v>2.69E8</v>
      </c>
      <c r="W610" s="4" t="str">
        <f>Raw_Data!C609&amp;"|"&amp;Raw_Data!D609&amp;"|"&amp;TEXT(Raw_Data!B609,"yyyy-mm-dd")</f>
        <v>Dollar Tree|DLTR|2020-08-01</v>
      </c>
    </row>
    <row r="611">
      <c r="A611" s="1">
        <v>609.0</v>
      </c>
      <c r="B611" s="3">
        <v>44286.0</v>
      </c>
      <c r="C611" s="1" t="s">
        <v>346</v>
      </c>
      <c r="D611" s="1" t="s">
        <v>347</v>
      </c>
      <c r="F611" s="1">
        <v>1.192E9</v>
      </c>
      <c r="G611" s="1">
        <v>1.008E9</v>
      </c>
      <c r="H611" s="1">
        <v>-1.24E8</v>
      </c>
      <c r="I611" s="1">
        <v>1.886E9</v>
      </c>
      <c r="J611" s="1">
        <v>1.257E9</v>
      </c>
      <c r="K611" s="1">
        <v>1.257E9</v>
      </c>
      <c r="L611" s="1">
        <v>-5.3E7</v>
      </c>
      <c r="M611" s="1">
        <v>2.12E8</v>
      </c>
      <c r="N611" s="1">
        <v>3.87E9</v>
      </c>
      <c r="O611" s="1">
        <v>2.613E9</v>
      </c>
      <c r="P611" s="1">
        <v>1.984E9</v>
      </c>
      <c r="Q611" s="1">
        <v>-6.5E7</v>
      </c>
      <c r="R611" s="1">
        <v>9.8E8</v>
      </c>
      <c r="S611" s="1">
        <v>9.92E8</v>
      </c>
      <c r="W611" s="4" t="str">
        <f>Raw_Data!C610&amp;"|"&amp;Raw_Data!D610&amp;"|"&amp;TEXT(Raw_Data!B610,"yyyy-mm-dd")</f>
        <v>Dominion Energy|D|2021-06-30</v>
      </c>
    </row>
    <row r="612">
      <c r="A612" s="1">
        <v>610.0</v>
      </c>
      <c r="B612" s="3">
        <v>44196.0</v>
      </c>
      <c r="C612" s="1" t="s">
        <v>346</v>
      </c>
      <c r="D612" s="1" t="s">
        <v>347</v>
      </c>
      <c r="F612" s="1">
        <v>1.021E9</v>
      </c>
      <c r="G612" s="1">
        <v>6.82E8</v>
      </c>
      <c r="H612" s="1">
        <v>-4.86E8</v>
      </c>
      <c r="I612" s="1">
        <v>1.762E9</v>
      </c>
      <c r="J612" s="1">
        <v>7.5E8</v>
      </c>
      <c r="K612" s="1">
        <v>7.5E8</v>
      </c>
      <c r="L612" s="1">
        <v>-2.72E8</v>
      </c>
      <c r="M612" s="1">
        <v>2.06E8</v>
      </c>
      <c r="N612" s="1">
        <v>3.521E9</v>
      </c>
      <c r="O612" s="1">
        <v>2.771E9</v>
      </c>
      <c r="P612" s="1">
        <v>1.759E9</v>
      </c>
      <c r="Q612" s="1">
        <v>2.71E8</v>
      </c>
      <c r="R612" s="1">
        <v>8.15E8</v>
      </c>
      <c r="S612" s="1">
        <v>6.65E8</v>
      </c>
      <c r="W612" s="4" t="str">
        <f>Raw_Data!C611&amp;"|"&amp;Raw_Data!D611&amp;"|"&amp;TEXT(Raw_Data!B611,"yyyy-mm-dd")</f>
        <v>Dominion Energy|D|2021-03-31</v>
      </c>
    </row>
    <row r="613">
      <c r="A613" s="1">
        <v>611.0</v>
      </c>
      <c r="B613" s="3">
        <v>44104.0</v>
      </c>
      <c r="C613" s="1" t="s">
        <v>346</v>
      </c>
      <c r="D613" s="1" t="s">
        <v>347</v>
      </c>
      <c r="F613" s="1">
        <v>2000000.0</v>
      </c>
      <c r="G613" s="1">
        <v>3.56E8</v>
      </c>
      <c r="H613" s="1">
        <v>3.1E7</v>
      </c>
      <c r="I613" s="1">
        <v>1.998E9</v>
      </c>
      <c r="J613" s="1">
        <v>9.51E8</v>
      </c>
      <c r="K613" s="1">
        <v>9.51E8</v>
      </c>
      <c r="L613" s="1">
        <v>-3.06E8</v>
      </c>
      <c r="M613" s="1">
        <v>-1.1E8</v>
      </c>
      <c r="N613" s="1">
        <v>3.607E9</v>
      </c>
      <c r="O613" s="1">
        <v>2.656E9</v>
      </c>
      <c r="P613" s="1">
        <v>1.609E9</v>
      </c>
      <c r="Q613" s="1">
        <v>-9.49E8</v>
      </c>
      <c r="R613" s="1">
        <v>1.12E8</v>
      </c>
      <c r="S613" s="1">
        <v>3.4E8</v>
      </c>
      <c r="W613" s="4" t="str">
        <f>Raw_Data!C612&amp;"|"&amp;Raw_Data!D612&amp;"|"&amp;TEXT(Raw_Data!B612,"yyyy-mm-dd")</f>
        <v>Dominion Energy|D|2020-12-31</v>
      </c>
    </row>
    <row r="614">
      <c r="A614" s="1">
        <v>612.0</v>
      </c>
      <c r="B614" s="3">
        <v>44367.0</v>
      </c>
      <c r="C614" s="1" t="s">
        <v>348</v>
      </c>
      <c r="D614" s="1" t="s">
        <v>349</v>
      </c>
      <c r="F614" s="1">
        <v>1.45093E8</v>
      </c>
      <c r="G614" s="1">
        <v>1.16619E8</v>
      </c>
      <c r="H614" s="1">
        <v>1.00448E8</v>
      </c>
      <c r="I614" s="1">
        <v>2.9135E8</v>
      </c>
      <c r="J614" s="1">
        <v>1.90902E8</v>
      </c>
      <c r="K614" s="1">
        <v>1.90902E8</v>
      </c>
      <c r="L614" s="1">
        <v>-4.5877E7</v>
      </c>
      <c r="M614" s="1">
        <v>2.8474E7</v>
      </c>
      <c r="N614" s="1">
        <v>1.032472E9</v>
      </c>
      <c r="O614" s="1">
        <v>8.4157E8</v>
      </c>
      <c r="P614" s="1">
        <v>7.41122E8</v>
      </c>
      <c r="Q614" s="1">
        <v>-4.5809E7</v>
      </c>
      <c r="R614" s="1">
        <v>1.16619E8</v>
      </c>
      <c r="S614" s="1">
        <v>1.16619E8</v>
      </c>
      <c r="W614" s="4" t="str">
        <f>Raw_Data!C613&amp;"|"&amp;Raw_Data!D613&amp;"|"&amp;TEXT(Raw_Data!B613,"yyyy-mm-dd")</f>
        <v>Dominion Energy|D|2020-09-30</v>
      </c>
    </row>
    <row r="615">
      <c r="A615" s="1">
        <v>613.0</v>
      </c>
      <c r="B615" s="3">
        <v>44283.0</v>
      </c>
      <c r="C615" s="1" t="s">
        <v>348</v>
      </c>
      <c r="D615" s="1" t="s">
        <v>349</v>
      </c>
      <c r="F615" s="1">
        <v>1.49638E8</v>
      </c>
      <c r="G615" s="1">
        <v>1.17761E8</v>
      </c>
      <c r="H615" s="1">
        <v>9.1253E7</v>
      </c>
      <c r="I615" s="1">
        <v>2.77791E8</v>
      </c>
      <c r="J615" s="1">
        <v>1.86538E8</v>
      </c>
      <c r="K615" s="1">
        <v>1.86538E8</v>
      </c>
      <c r="L615" s="1">
        <v>-3.9422E7</v>
      </c>
      <c r="M615" s="1">
        <v>3.1877E7</v>
      </c>
      <c r="N615" s="1">
        <v>9.83698E8</v>
      </c>
      <c r="O615" s="1">
        <v>7.9716E8</v>
      </c>
      <c r="P615" s="1">
        <v>7.05907E8</v>
      </c>
      <c r="Q615" s="1">
        <v>-3.69E7</v>
      </c>
      <c r="R615" s="1">
        <v>1.17761E8</v>
      </c>
      <c r="S615" s="1">
        <v>1.17761E8</v>
      </c>
      <c r="W615" s="4" t="str">
        <f>Raw_Data!C614&amp;"|"&amp;Raw_Data!D614&amp;"|"&amp;TEXT(Raw_Data!B614,"yyyy-mm-dd")</f>
        <v>Domino's Pizza|DPZ|2021-06-20</v>
      </c>
    </row>
    <row r="616">
      <c r="A616" s="1">
        <v>614.0</v>
      </c>
      <c r="B616" s="3">
        <v>44199.0</v>
      </c>
      <c r="C616" s="1" t="s">
        <v>348</v>
      </c>
      <c r="D616" s="1" t="s">
        <v>349</v>
      </c>
      <c r="F616" s="1">
        <v>1.89565E8</v>
      </c>
      <c r="G616" s="1">
        <v>1.51897E8</v>
      </c>
      <c r="H616" s="1">
        <v>1.38404E8</v>
      </c>
      <c r="I616" s="1">
        <v>3.82448E8</v>
      </c>
      <c r="J616" s="1">
        <v>2.44044E8</v>
      </c>
      <c r="K616" s="1">
        <v>2.44044E8</v>
      </c>
      <c r="L616" s="1">
        <v>-5.4479E7</v>
      </c>
      <c r="M616" s="1">
        <v>3.7668E7</v>
      </c>
      <c r="N616" s="1">
        <v>1.356567E9</v>
      </c>
      <c r="O616" s="1">
        <v>1.112523E9</v>
      </c>
      <c r="P616" s="1">
        <v>9.74119E8</v>
      </c>
      <c r="Q616" s="1">
        <v>-5.4479E7</v>
      </c>
      <c r="R616" s="1">
        <v>1.51897E8</v>
      </c>
      <c r="S616" s="1">
        <v>1.51897E8</v>
      </c>
      <c r="W616" s="4" t="str">
        <f>Raw_Data!C615&amp;"|"&amp;Raw_Data!D615&amp;"|"&amp;TEXT(Raw_Data!B615,"yyyy-mm-dd")</f>
        <v>Domino's Pizza|DPZ|2021-03-28</v>
      </c>
    </row>
    <row r="617">
      <c r="A617" s="1">
        <v>615.0</v>
      </c>
      <c r="B617" s="3">
        <v>44080.0</v>
      </c>
      <c r="C617" s="1" t="s">
        <v>348</v>
      </c>
      <c r="D617" s="1" t="s">
        <v>349</v>
      </c>
      <c r="F617" s="1">
        <v>1.23773E8</v>
      </c>
      <c r="G617" s="1">
        <v>9.9129E7</v>
      </c>
      <c r="H617" s="1">
        <v>9.1652E7</v>
      </c>
      <c r="I617" s="1">
        <v>2.53833E8</v>
      </c>
      <c r="J617" s="1">
        <v>1.62181E8</v>
      </c>
      <c r="K617" s="1">
        <v>1.62181E8</v>
      </c>
      <c r="L617" s="1">
        <v>-3.8605E7</v>
      </c>
      <c r="M617" s="1">
        <v>2.4644E7</v>
      </c>
      <c r="N617" s="1">
        <v>9.67719E8</v>
      </c>
      <c r="O617" s="1">
        <v>8.05538E8</v>
      </c>
      <c r="P617" s="1">
        <v>7.13886E8</v>
      </c>
      <c r="Q617" s="1">
        <v>-3.8408E7</v>
      </c>
      <c r="R617" s="1">
        <v>9.9129E7</v>
      </c>
      <c r="S617" s="1">
        <v>9.9129E7</v>
      </c>
      <c r="W617" s="4" t="str">
        <f>Raw_Data!C616&amp;"|"&amp;Raw_Data!D616&amp;"|"&amp;TEXT(Raw_Data!B616,"yyyy-mm-dd")</f>
        <v>Domino's Pizza|DPZ|2021-01-03</v>
      </c>
    </row>
    <row r="618">
      <c r="A618" s="1">
        <v>616.0</v>
      </c>
      <c r="B618" s="3">
        <v>44469.0</v>
      </c>
      <c r="C618" s="1" t="s">
        <v>350</v>
      </c>
      <c r="D618" s="1" t="s">
        <v>351</v>
      </c>
      <c r="E618" s="1">
        <v>3.44E7</v>
      </c>
      <c r="F618" s="1">
        <v>3.27519E8</v>
      </c>
      <c r="G618" s="1">
        <v>2.63756E8</v>
      </c>
      <c r="H618" s="1">
        <v>3.74239E8</v>
      </c>
      <c r="I618" s="1">
        <v>7.56773E8</v>
      </c>
      <c r="J618" s="1">
        <v>3.48134E8</v>
      </c>
      <c r="K618" s="1">
        <v>3.48134E8</v>
      </c>
      <c r="L618" s="1">
        <v>-2.6433E7</v>
      </c>
      <c r="M618" s="1">
        <v>6.3763E7</v>
      </c>
      <c r="N618" s="1">
        <v>2.018269E9</v>
      </c>
      <c r="O618" s="1">
        <v>1.670135E9</v>
      </c>
      <c r="P618" s="1">
        <v>1.261496E9</v>
      </c>
      <c r="Q618" s="1">
        <v>-2.0615E7</v>
      </c>
      <c r="R618" s="1">
        <v>2.63756E8</v>
      </c>
      <c r="S618" s="1">
        <v>2.63756E8</v>
      </c>
      <c r="W618" s="4" t="str">
        <f>Raw_Data!C617&amp;"|"&amp;Raw_Data!D617&amp;"|"&amp;TEXT(Raw_Data!B617,"yyyy-mm-dd")</f>
        <v>Domino's Pizza|DPZ|2020-09-06</v>
      </c>
    </row>
    <row r="619">
      <c r="A619" s="1">
        <v>617.0</v>
      </c>
      <c r="B619" s="3">
        <v>44377.0</v>
      </c>
      <c r="C619" s="1" t="s">
        <v>350</v>
      </c>
      <c r="D619" s="1" t="s">
        <v>351</v>
      </c>
      <c r="E619" s="1">
        <v>4.12E7</v>
      </c>
      <c r="F619" s="1">
        <v>3.23344E8</v>
      </c>
      <c r="G619" s="1">
        <v>2.64508E8</v>
      </c>
      <c r="H619" s="1">
        <v>3.80932E8</v>
      </c>
      <c r="I619" s="1">
        <v>7.77011E8</v>
      </c>
      <c r="J619" s="1">
        <v>3.54879E8</v>
      </c>
      <c r="K619" s="1">
        <v>3.54879E8</v>
      </c>
      <c r="L619" s="1">
        <v>-2.6661E7</v>
      </c>
      <c r="M619" s="1">
        <v>5.8836E7</v>
      </c>
      <c r="N619" s="1">
        <v>2.031676E9</v>
      </c>
      <c r="O619" s="1">
        <v>1.676797E9</v>
      </c>
      <c r="P619" s="1">
        <v>1.254665E9</v>
      </c>
      <c r="Q619" s="1">
        <v>-3.1535E7</v>
      </c>
      <c r="R619" s="1">
        <v>2.64508E8</v>
      </c>
      <c r="S619" s="1">
        <v>2.64508E8</v>
      </c>
      <c r="W619" s="4" t="str">
        <f>Raw_Data!C618&amp;"|"&amp;Raw_Data!D618&amp;"|"&amp;TEXT(Raw_Data!B618,"yyyy-mm-dd")</f>
        <v>Dover Corporation|DOV|2021-09-30</v>
      </c>
    </row>
    <row r="620">
      <c r="A620" s="1">
        <v>618.0</v>
      </c>
      <c r="B620" s="3">
        <v>44286.0</v>
      </c>
      <c r="C620" s="1" t="s">
        <v>350</v>
      </c>
      <c r="D620" s="1" t="s">
        <v>351</v>
      </c>
      <c r="E620" s="1">
        <v>4.12E7</v>
      </c>
      <c r="F620" s="1">
        <v>2.8925E8</v>
      </c>
      <c r="G620" s="1">
        <v>2.32769E8</v>
      </c>
      <c r="H620" s="1">
        <v>3.63954E8</v>
      </c>
      <c r="I620" s="1">
        <v>7.25455E8</v>
      </c>
      <c r="J620" s="1">
        <v>3.20301E8</v>
      </c>
      <c r="K620" s="1">
        <v>3.20301E8</v>
      </c>
      <c r="L620" s="1">
        <v>-2.6823E7</v>
      </c>
      <c r="M620" s="1">
        <v>5.6481E7</v>
      </c>
      <c r="N620" s="1">
        <v>1.867901E9</v>
      </c>
      <c r="O620" s="1">
        <v>1.5476E9</v>
      </c>
      <c r="P620" s="1">
        <v>1.142446E9</v>
      </c>
      <c r="Q620" s="1">
        <v>-3.1051E7</v>
      </c>
      <c r="R620" s="1">
        <v>2.32769E8</v>
      </c>
      <c r="S620" s="1">
        <v>2.32769E8</v>
      </c>
      <c r="W620" s="4" t="str">
        <f>Raw_Data!C619&amp;"|"&amp;Raw_Data!D619&amp;"|"&amp;TEXT(Raw_Data!B619,"yyyy-mm-dd")</f>
        <v>Dover Corporation|DOV|2021-06-30</v>
      </c>
    </row>
    <row r="621">
      <c r="A621" s="1">
        <v>619.0</v>
      </c>
      <c r="B621" s="3">
        <v>44196.0</v>
      </c>
      <c r="C621" s="1" t="s">
        <v>350</v>
      </c>
      <c r="D621" s="1" t="s">
        <v>351</v>
      </c>
      <c r="E621" s="1">
        <v>1.42101E8</v>
      </c>
      <c r="F621" s="1">
        <v>2.20408E8</v>
      </c>
      <c r="G621" s="1">
        <v>1.82106E8</v>
      </c>
      <c r="H621" s="1">
        <v>2.50888E8</v>
      </c>
      <c r="I621" s="1">
        <v>6.58535E8</v>
      </c>
      <c r="J621" s="1">
        <v>2.65546E8</v>
      </c>
      <c r="K621" s="1">
        <v>2.65546E8</v>
      </c>
      <c r="L621" s="1">
        <v>-2.8234E7</v>
      </c>
      <c r="M621" s="1">
        <v>3.8302E7</v>
      </c>
      <c r="N621" s="1">
        <v>1.78039E9</v>
      </c>
      <c r="O621" s="1">
        <v>1.514844E9</v>
      </c>
      <c r="P621" s="1">
        <v>1.121855E9</v>
      </c>
      <c r="Q621" s="1">
        <v>-4.5138E7</v>
      </c>
      <c r="R621" s="1">
        <v>1.82106E8</v>
      </c>
      <c r="S621" s="1">
        <v>1.82106E8</v>
      </c>
      <c r="W621" s="4" t="str">
        <f>Raw_Data!C620&amp;"|"&amp;Raw_Data!D620&amp;"|"&amp;TEXT(Raw_Data!B620,"yyyy-mm-dd")</f>
        <v>Dover Corporation|DOV|2021-03-31</v>
      </c>
    </row>
    <row r="622">
      <c r="A622" s="1">
        <v>620.0</v>
      </c>
      <c r="B622" s="3">
        <v>44377.0</v>
      </c>
      <c r="C622" s="1" t="s">
        <v>352</v>
      </c>
      <c r="D622" s="1" t="s">
        <v>353</v>
      </c>
      <c r="E622" s="1">
        <v>2.28E8</v>
      </c>
      <c r="F622" s="1">
        <v>2.456E9</v>
      </c>
      <c r="G622" s="1">
        <v>1.901E9</v>
      </c>
      <c r="H622" s="1">
        <v>3.54E8</v>
      </c>
      <c r="I622" s="1">
        <v>3.247E9</v>
      </c>
      <c r="J622" s="1">
        <v>2.565E9</v>
      </c>
      <c r="K622" s="1">
        <v>2.565E9</v>
      </c>
      <c r="L622" s="1">
        <v>-1.87E8</v>
      </c>
      <c r="M622" s="1">
        <v>5.24E8</v>
      </c>
      <c r="N622" s="1">
        <v>1.3885E10</v>
      </c>
      <c r="O622" s="1">
        <v>1.132E10</v>
      </c>
      <c r="P622" s="1">
        <v>1.0638E10</v>
      </c>
      <c r="Q622" s="1">
        <v>-1.09E8</v>
      </c>
      <c r="R622" s="1">
        <v>1.932E9</v>
      </c>
      <c r="S622" s="1">
        <v>1.891E9</v>
      </c>
      <c r="W622" s="4" t="str">
        <f>Raw_Data!C621&amp;"|"&amp;Raw_Data!D621&amp;"|"&amp;TEXT(Raw_Data!B621,"yyyy-mm-dd")</f>
        <v>Dover Corporation|DOV|2020-12-31</v>
      </c>
    </row>
    <row r="623">
      <c r="A623" s="1">
        <v>621.0</v>
      </c>
      <c r="B623" s="3">
        <v>44286.0</v>
      </c>
      <c r="C623" s="1" t="s">
        <v>352</v>
      </c>
      <c r="D623" s="1" t="s">
        <v>353</v>
      </c>
      <c r="E623" s="1">
        <v>1.94E8</v>
      </c>
      <c r="F623" s="1">
        <v>1.323E9</v>
      </c>
      <c r="G623" s="1">
        <v>9.91E8</v>
      </c>
      <c r="H623" s="1">
        <v>2.91E8</v>
      </c>
      <c r="I623" s="1">
        <v>1.82E9</v>
      </c>
      <c r="J623" s="1">
        <v>1.234E9</v>
      </c>
      <c r="K623" s="1">
        <v>1.234E9</v>
      </c>
      <c r="L623" s="1">
        <v>-1.96E8</v>
      </c>
      <c r="M623" s="1">
        <v>3.17E8</v>
      </c>
      <c r="N623" s="1">
        <v>1.1882E10</v>
      </c>
      <c r="O623" s="1">
        <v>1.0648E10</v>
      </c>
      <c r="P623" s="1">
        <v>1.0062E10</v>
      </c>
      <c r="Q623" s="1">
        <v>8.9E7</v>
      </c>
      <c r="R623" s="1">
        <v>1.006E9</v>
      </c>
      <c r="S623" s="1">
        <v>9.86E8</v>
      </c>
      <c r="W623" s="4" t="str">
        <f>Raw_Data!C622&amp;"|"&amp;Raw_Data!D622&amp;"|"&amp;TEXT(Raw_Data!B622,"yyyy-mm-dd")</f>
        <v>Dow|DOW|2021-06-30</v>
      </c>
    </row>
    <row r="624">
      <c r="A624" s="1">
        <v>622.0</v>
      </c>
      <c r="B624" s="3">
        <v>44196.0</v>
      </c>
      <c r="C624" s="1" t="s">
        <v>352</v>
      </c>
      <c r="D624" s="1" t="s">
        <v>353</v>
      </c>
      <c r="E624" s="1">
        <v>2.14E8</v>
      </c>
      <c r="F624" s="1">
        <v>1.816E9</v>
      </c>
      <c r="G624" s="1">
        <v>1.236E9</v>
      </c>
      <c r="H624" s="1">
        <v>4.05E8</v>
      </c>
      <c r="I624" s="1">
        <v>1.567E9</v>
      </c>
      <c r="J624" s="1">
        <v>8.47E8</v>
      </c>
      <c r="K624" s="1">
        <v>8.47E8</v>
      </c>
      <c r="L624" s="1">
        <v>-2.1E8</v>
      </c>
      <c r="M624" s="1">
        <v>5.62E8</v>
      </c>
      <c r="N624" s="1">
        <v>1.0706E10</v>
      </c>
      <c r="O624" s="1">
        <v>9.859E9</v>
      </c>
      <c r="P624" s="1">
        <v>9.139E9</v>
      </c>
      <c r="Q624" s="1">
        <v>9.69E8</v>
      </c>
      <c r="R624" s="1">
        <v>1.254E9</v>
      </c>
      <c r="S624" s="1">
        <v>1.236E9</v>
      </c>
      <c r="W624" s="4" t="str">
        <f>Raw_Data!C623&amp;"|"&amp;Raw_Data!D623&amp;"|"&amp;TEXT(Raw_Data!B623,"yyyy-mm-dd")</f>
        <v>Dow|DOW|2021-03-31</v>
      </c>
    </row>
    <row r="625">
      <c r="A625" s="1">
        <v>623.0</v>
      </c>
      <c r="B625" s="3">
        <v>44104.0</v>
      </c>
      <c r="C625" s="1" t="s">
        <v>352</v>
      </c>
      <c r="D625" s="1" t="s">
        <v>353</v>
      </c>
      <c r="E625" s="1">
        <v>1.93E8</v>
      </c>
      <c r="F625" s="1">
        <v>4.2E7</v>
      </c>
      <c r="G625" s="1">
        <v>-2.5E7</v>
      </c>
      <c r="H625" s="1">
        <v>3.46E8</v>
      </c>
      <c r="I625" s="1">
        <v>1.341E9</v>
      </c>
      <c r="J625" s="1">
        <v>7.02E8</v>
      </c>
      <c r="K625" s="1">
        <v>7.02E8</v>
      </c>
      <c r="L625" s="1">
        <v>-2.02E8</v>
      </c>
      <c r="M625" s="1">
        <v>4.3E7</v>
      </c>
      <c r="N625" s="1">
        <v>9.712E9</v>
      </c>
      <c r="O625" s="1">
        <v>9.01E9</v>
      </c>
      <c r="P625" s="1">
        <v>8.371E9</v>
      </c>
      <c r="Q625" s="1">
        <v>-6.6E8</v>
      </c>
      <c r="R625" s="1">
        <v>-1000000.0</v>
      </c>
      <c r="S625" s="1">
        <v>-2.8E7</v>
      </c>
      <c r="W625" s="4" t="str">
        <f>Raw_Data!C624&amp;"|"&amp;Raw_Data!D624&amp;"|"&amp;TEXT(Raw_Data!B624,"yyyy-mm-dd")</f>
        <v>Dow|DOW|2020-12-31</v>
      </c>
    </row>
    <row r="626">
      <c r="A626" s="1">
        <v>624.0</v>
      </c>
      <c r="B626" s="3">
        <v>44377.0</v>
      </c>
      <c r="C626" s="1" t="s">
        <v>354</v>
      </c>
      <c r="D626" s="1" t="s">
        <v>355</v>
      </c>
      <c r="F626" s="1">
        <v>2.01E8</v>
      </c>
      <c r="G626" s="1">
        <v>1.79E8</v>
      </c>
      <c r="H626" s="1">
        <v>3000000.0</v>
      </c>
      <c r="I626" s="1">
        <v>8.85E8</v>
      </c>
      <c r="J626" s="1">
        <v>3.88E8</v>
      </c>
      <c r="K626" s="1">
        <v>3.88E8</v>
      </c>
      <c r="L626" s="1">
        <v>-1.9E8</v>
      </c>
      <c r="M626" s="1">
        <v>2.2E7</v>
      </c>
      <c r="N626" s="1">
        <v>3.229E9</v>
      </c>
      <c r="O626" s="1">
        <v>2.841E9</v>
      </c>
      <c r="P626" s="1">
        <v>2.344E9</v>
      </c>
      <c r="Q626" s="1">
        <v>-1.87E8</v>
      </c>
      <c r="R626" s="1">
        <v>1.79E8</v>
      </c>
      <c r="S626" s="1">
        <v>1.78E8</v>
      </c>
      <c r="W626" s="4" t="str">
        <f>Raw_Data!C625&amp;"|"&amp;Raw_Data!D625&amp;"|"&amp;TEXT(Raw_Data!B625,"yyyy-mm-dd")</f>
        <v>Dow|DOW|2020-09-30</v>
      </c>
    </row>
    <row r="627">
      <c r="A627" s="1">
        <v>625.0</v>
      </c>
      <c r="B627" s="3">
        <v>44286.0</v>
      </c>
      <c r="C627" s="1" t="s">
        <v>354</v>
      </c>
      <c r="D627" s="1" t="s">
        <v>355</v>
      </c>
      <c r="F627" s="1">
        <v>4.25E8</v>
      </c>
      <c r="G627" s="1">
        <v>3.97E8</v>
      </c>
      <c r="H627" s="1">
        <v>4000000.0</v>
      </c>
      <c r="I627" s="1">
        <v>1.026E9</v>
      </c>
      <c r="J627" s="1">
        <v>5.32E8</v>
      </c>
      <c r="K627" s="1">
        <v>5.32E8</v>
      </c>
      <c r="L627" s="1">
        <v>-1.81E8</v>
      </c>
      <c r="M627" s="1">
        <v>2.8E7</v>
      </c>
      <c r="N627" s="1">
        <v>3.778E9</v>
      </c>
      <c r="O627" s="1">
        <v>3.246E9</v>
      </c>
      <c r="P627" s="1">
        <v>2.752E9</v>
      </c>
      <c r="Q627" s="1">
        <v>-1.07E8</v>
      </c>
      <c r="R627" s="1">
        <v>3.97E8</v>
      </c>
      <c r="S627" s="1">
        <v>3.97E8</v>
      </c>
      <c r="W627" s="4" t="str">
        <f>Raw_Data!C626&amp;"|"&amp;Raw_Data!D626&amp;"|"&amp;TEXT(Raw_Data!B626,"yyyy-mm-dd")</f>
        <v>DTE Energy|DTE|2021-06-30</v>
      </c>
    </row>
    <row r="628">
      <c r="A628" s="1">
        <v>626.0</v>
      </c>
      <c r="B628" s="3">
        <v>44196.0</v>
      </c>
      <c r="C628" s="1" t="s">
        <v>354</v>
      </c>
      <c r="D628" s="1" t="s">
        <v>355</v>
      </c>
      <c r="F628" s="1">
        <v>3.24E8</v>
      </c>
      <c r="G628" s="1">
        <v>2.75E8</v>
      </c>
      <c r="H628" s="1">
        <v>8000000.0</v>
      </c>
      <c r="I628" s="1">
        <v>9.49E8</v>
      </c>
      <c r="J628" s="1">
        <v>4.53E8</v>
      </c>
      <c r="K628" s="1">
        <v>4.53E8</v>
      </c>
      <c r="L628" s="1">
        <v>-1.88E8</v>
      </c>
      <c r="M628" s="1">
        <v>4.9E7</v>
      </c>
      <c r="N628" s="1">
        <v>3.288E9</v>
      </c>
      <c r="O628" s="1">
        <v>2.835E9</v>
      </c>
      <c r="P628" s="1">
        <v>2.339E9</v>
      </c>
      <c r="Q628" s="1">
        <v>-1.29E8</v>
      </c>
      <c r="R628" s="1">
        <v>2.75E8</v>
      </c>
      <c r="S628" s="1">
        <v>2.75E8</v>
      </c>
      <c r="W628" s="4" t="str">
        <f>Raw_Data!C627&amp;"|"&amp;Raw_Data!D627&amp;"|"&amp;TEXT(Raw_Data!B627,"yyyy-mm-dd")</f>
        <v>DTE Energy|DTE|2021-03-31</v>
      </c>
    </row>
    <row r="629">
      <c r="A629" s="1">
        <v>627.0</v>
      </c>
      <c r="B629" s="3">
        <v>44104.0</v>
      </c>
      <c r="C629" s="1" t="s">
        <v>354</v>
      </c>
      <c r="D629" s="1" t="s">
        <v>355</v>
      </c>
      <c r="F629" s="1">
        <v>5.4E8</v>
      </c>
      <c r="G629" s="1">
        <v>4.76E8</v>
      </c>
      <c r="H629" s="1">
        <v>5000000.0</v>
      </c>
      <c r="I629" s="1">
        <v>1.061E9</v>
      </c>
      <c r="J629" s="1">
        <v>5.97E8</v>
      </c>
      <c r="K629" s="1">
        <v>5.97E8</v>
      </c>
      <c r="L629" s="1">
        <v>-1.78E8</v>
      </c>
      <c r="M629" s="1">
        <v>6.3E7</v>
      </c>
      <c r="N629" s="1">
        <v>3.284E9</v>
      </c>
      <c r="O629" s="1">
        <v>2.687E9</v>
      </c>
      <c r="P629" s="1">
        <v>2.223E9</v>
      </c>
      <c r="Q629" s="1">
        <v>-5.7E7</v>
      </c>
      <c r="R629" s="1">
        <v>4.77E8</v>
      </c>
      <c r="S629" s="1">
        <v>4.75E8</v>
      </c>
      <c r="W629" s="4" t="str">
        <f>Raw_Data!C628&amp;"|"&amp;Raw_Data!D628&amp;"|"&amp;TEXT(Raw_Data!B628,"yyyy-mm-dd")</f>
        <v>DTE Energy|DTE|2020-12-31</v>
      </c>
    </row>
    <row r="630">
      <c r="A630" s="1">
        <v>628.0</v>
      </c>
      <c r="B630" s="3">
        <v>44377.0</v>
      </c>
      <c r="C630" s="1" t="s">
        <v>356</v>
      </c>
      <c r="D630" s="1" t="s">
        <v>357</v>
      </c>
      <c r="F630" s="1">
        <v>7.34E8</v>
      </c>
      <c r="G630" s="1">
        <v>7.65E8</v>
      </c>
      <c r="I630" s="1">
        <v>2.854E9</v>
      </c>
      <c r="J630" s="1">
        <v>1.298E9</v>
      </c>
      <c r="K630" s="1">
        <v>1.298E9</v>
      </c>
      <c r="L630" s="1">
        <v>-5.72E8</v>
      </c>
      <c r="M630" s="1">
        <v>3.6E7</v>
      </c>
      <c r="N630" s="1">
        <v>5.758E9</v>
      </c>
      <c r="O630" s="1">
        <v>4.46E9</v>
      </c>
      <c r="P630" s="1">
        <v>2.904E9</v>
      </c>
      <c r="Q630" s="1">
        <v>-5.64E8</v>
      </c>
      <c r="R630" s="1">
        <v>6.98E8</v>
      </c>
      <c r="S630" s="1">
        <v>7.38E8</v>
      </c>
      <c r="W630" s="4" t="str">
        <f>Raw_Data!C629&amp;"|"&amp;Raw_Data!D629&amp;"|"&amp;TEXT(Raw_Data!B629,"yyyy-mm-dd")</f>
        <v>DTE Energy|DTE|2020-09-30</v>
      </c>
    </row>
    <row r="631">
      <c r="A631" s="1">
        <v>629.0</v>
      </c>
      <c r="B631" s="3">
        <v>44286.0</v>
      </c>
      <c r="C631" s="1" t="s">
        <v>356</v>
      </c>
      <c r="D631" s="1" t="s">
        <v>357</v>
      </c>
      <c r="F631" s="1">
        <v>1.025E9</v>
      </c>
      <c r="G631" s="1">
        <v>9.92E8</v>
      </c>
      <c r="I631" s="1">
        <v>3.029E9</v>
      </c>
      <c r="J631" s="1">
        <v>1.45E9</v>
      </c>
      <c r="K631" s="1">
        <v>1.45E9</v>
      </c>
      <c r="L631" s="1">
        <v>-5.35E8</v>
      </c>
      <c r="M631" s="1">
        <v>8.4E7</v>
      </c>
      <c r="N631" s="1">
        <v>6.15E9</v>
      </c>
      <c r="O631" s="1">
        <v>4.7E9</v>
      </c>
      <c r="P631" s="1">
        <v>3.121E9</v>
      </c>
      <c r="Q631" s="1">
        <v>-4.25E8</v>
      </c>
      <c r="R631" s="1">
        <v>9.41E8</v>
      </c>
      <c r="S631" s="1">
        <v>9.64E8</v>
      </c>
      <c r="W631" s="4" t="str">
        <f>Raw_Data!C630&amp;"|"&amp;Raw_Data!D630&amp;"|"&amp;TEXT(Raw_Data!B630,"yyyy-mm-dd")</f>
        <v>Duke Energy|DUK|2021-06-30</v>
      </c>
    </row>
    <row r="632">
      <c r="A632" s="1">
        <v>630.0</v>
      </c>
      <c r="B632" s="3">
        <v>44196.0</v>
      </c>
      <c r="C632" s="1" t="s">
        <v>356</v>
      </c>
      <c r="D632" s="1" t="s">
        <v>357</v>
      </c>
      <c r="F632" s="1">
        <v>-3.19E8</v>
      </c>
      <c r="G632" s="1">
        <v>-6.3E7</v>
      </c>
      <c r="I632" s="1">
        <v>2.564E9</v>
      </c>
      <c r="J632" s="1">
        <v>1.022E9</v>
      </c>
      <c r="K632" s="1">
        <v>1.022E9</v>
      </c>
      <c r="L632" s="1">
        <v>-5.35E8</v>
      </c>
      <c r="M632" s="1">
        <v>-1.62E8</v>
      </c>
      <c r="N632" s="1">
        <v>5.777E9</v>
      </c>
      <c r="O632" s="1">
        <v>4.755E9</v>
      </c>
      <c r="P632" s="1">
        <v>3.213E9</v>
      </c>
      <c r="Q632" s="1">
        <v>-1.341E9</v>
      </c>
      <c r="R632" s="1">
        <v>-1.57E8</v>
      </c>
      <c r="S632" s="1">
        <v>-7.7E7</v>
      </c>
      <c r="W632" s="4" t="str">
        <f>Raw_Data!C631&amp;"|"&amp;Raw_Data!D631&amp;"|"&amp;TEXT(Raw_Data!B631,"yyyy-mm-dd")</f>
        <v>Duke Energy|DUK|2021-03-31</v>
      </c>
    </row>
    <row r="633">
      <c r="A633" s="1">
        <v>631.0</v>
      </c>
      <c r="B633" s="3">
        <v>44104.0</v>
      </c>
      <c r="C633" s="1" t="s">
        <v>356</v>
      </c>
      <c r="D633" s="1" t="s">
        <v>357</v>
      </c>
      <c r="F633" s="1">
        <v>1.339E9</v>
      </c>
      <c r="G633" s="1">
        <v>1.304E9</v>
      </c>
      <c r="I633" s="1">
        <v>3.42E9</v>
      </c>
      <c r="J633" s="1">
        <v>1.879E9</v>
      </c>
      <c r="K633" s="1">
        <v>1.879E9</v>
      </c>
      <c r="L633" s="1">
        <v>-5.22E8</v>
      </c>
      <c r="M633" s="1">
        <v>1.05E8</v>
      </c>
      <c r="N633" s="1">
        <v>6.721E9</v>
      </c>
      <c r="O633" s="1">
        <v>4.842E9</v>
      </c>
      <c r="P633" s="1">
        <v>3.301E9</v>
      </c>
      <c r="Q633" s="1">
        <v>-5.4E8</v>
      </c>
      <c r="R633" s="1">
        <v>1.234E9</v>
      </c>
      <c r="S633" s="1">
        <v>1.276E9</v>
      </c>
      <c r="W633" s="4" t="str">
        <f>Raw_Data!C632&amp;"|"&amp;Raw_Data!D632&amp;"|"&amp;TEXT(Raw_Data!B632,"yyyy-mm-dd")</f>
        <v>Duke Energy|DUK|2020-12-31</v>
      </c>
    </row>
    <row r="634">
      <c r="A634" s="1">
        <v>632.0</v>
      </c>
      <c r="B634" s="3">
        <v>44286.0</v>
      </c>
      <c r="C634" s="1" t="s">
        <v>358</v>
      </c>
      <c r="D634" s="1" t="s">
        <v>359</v>
      </c>
      <c r="F634" s="1">
        <v>8.5388E7</v>
      </c>
      <c r="G634" s="1">
        <v>7.9362E7</v>
      </c>
      <c r="H634" s="1">
        <v>2.4217E7</v>
      </c>
      <c r="I634" s="1">
        <v>1.93897E8</v>
      </c>
      <c r="J634" s="1">
        <v>7.2004E7</v>
      </c>
      <c r="K634" s="1">
        <v>7.2004E7</v>
      </c>
      <c r="L634" s="1">
        <v>-2.2507E7</v>
      </c>
      <c r="M634" s="1">
        <v>5184000.0</v>
      </c>
      <c r="N634" s="1">
        <v>2.9266E8</v>
      </c>
      <c r="O634" s="1">
        <v>2.20656E8</v>
      </c>
      <c r="P634" s="1">
        <v>9.8763E7</v>
      </c>
      <c r="Q634" s="1">
        <v>1.3384E7</v>
      </c>
      <c r="R634" s="1">
        <v>8.0204E7</v>
      </c>
      <c r="S634" s="1">
        <v>7.8991E7</v>
      </c>
      <c r="W634" s="4" t="str">
        <f>Raw_Data!C633&amp;"|"&amp;Raw_Data!D633&amp;"|"&amp;TEXT(Raw_Data!B633,"yyyy-mm-dd")</f>
        <v>Duke Energy|DUK|2020-09-30</v>
      </c>
    </row>
    <row r="635">
      <c r="A635" s="1">
        <v>633.0</v>
      </c>
      <c r="B635" s="3">
        <v>44196.0</v>
      </c>
      <c r="C635" s="1" t="s">
        <v>358</v>
      </c>
      <c r="D635" s="1" t="s">
        <v>359</v>
      </c>
      <c r="F635" s="1">
        <v>1.66418E8</v>
      </c>
      <c r="G635" s="1">
        <v>1.68816E8</v>
      </c>
      <c r="H635" s="1">
        <v>1.3196E7</v>
      </c>
      <c r="I635" s="1">
        <v>1.94057E8</v>
      </c>
      <c r="J635" s="1">
        <v>8.3053E7</v>
      </c>
      <c r="K635" s="1">
        <v>8.3053E7</v>
      </c>
      <c r="L635" s="1">
        <v>-2.4048E7</v>
      </c>
      <c r="M635" s="1">
        <v>-3946000.0</v>
      </c>
      <c r="N635" s="1">
        <v>2.69241E8</v>
      </c>
      <c r="O635" s="1">
        <v>1.86188E8</v>
      </c>
      <c r="P635" s="1">
        <v>7.5184E7</v>
      </c>
      <c r="Q635" s="1">
        <v>8.3365E7</v>
      </c>
      <c r="R635" s="1">
        <v>1.70364E8</v>
      </c>
      <c r="S635" s="1">
        <v>1.68433E8</v>
      </c>
      <c r="W635" s="4" t="str">
        <f>Raw_Data!C634&amp;"|"&amp;Raw_Data!D634&amp;"|"&amp;TEXT(Raw_Data!B634,"yyyy-mm-dd")</f>
        <v>Duke Realty Corp|DRE|2021-03-31</v>
      </c>
    </row>
    <row r="636">
      <c r="A636" s="1">
        <v>634.0</v>
      </c>
      <c r="B636" s="3">
        <v>44104.0</v>
      </c>
      <c r="C636" s="1" t="s">
        <v>358</v>
      </c>
      <c r="D636" s="1" t="s">
        <v>359</v>
      </c>
      <c r="F636" s="1">
        <v>7.152E7</v>
      </c>
      <c r="G636" s="1">
        <v>7.1823E7</v>
      </c>
      <c r="H636" s="1">
        <v>1.1439E7</v>
      </c>
      <c r="I636" s="1">
        <v>1.83094E8</v>
      </c>
      <c r="J636" s="1">
        <v>7.7229E7</v>
      </c>
      <c r="K636" s="1">
        <v>7.7229E7</v>
      </c>
      <c r="L636" s="1">
        <v>-2.3059E7</v>
      </c>
      <c r="M636" s="1">
        <v>-956000.0</v>
      </c>
      <c r="N636" s="1">
        <v>2.64956E8</v>
      </c>
      <c r="O636" s="1">
        <v>1.87727E8</v>
      </c>
      <c r="P636" s="1">
        <v>8.1862E7</v>
      </c>
      <c r="Q636" s="1">
        <v>-5709000.0</v>
      </c>
      <c r="R636" s="1">
        <v>7.2476E7</v>
      </c>
      <c r="S636" s="1">
        <v>7.1471E7</v>
      </c>
      <c r="W636" s="4" t="str">
        <f>Raw_Data!C635&amp;"|"&amp;Raw_Data!D635&amp;"|"&amp;TEXT(Raw_Data!B635,"yyyy-mm-dd")</f>
        <v>Duke Realty Corp|DRE|2020-12-31</v>
      </c>
    </row>
    <row r="637">
      <c r="A637" s="1">
        <v>635.0</v>
      </c>
      <c r="B637" s="3">
        <v>44012.0</v>
      </c>
      <c r="C637" s="1" t="s">
        <v>358</v>
      </c>
      <c r="D637" s="1" t="s">
        <v>359</v>
      </c>
      <c r="F637" s="1">
        <v>4.0047E7</v>
      </c>
      <c r="G637" s="1">
        <v>3.982E7</v>
      </c>
      <c r="H637" s="1">
        <v>1.1506E7</v>
      </c>
      <c r="I637" s="1">
        <v>1.76515E8</v>
      </c>
      <c r="J637" s="1">
        <v>7.2725E7</v>
      </c>
      <c r="K637" s="1">
        <v>7.2725E7</v>
      </c>
      <c r="L637" s="1">
        <v>-2.2841E7</v>
      </c>
      <c r="M637" s="1">
        <v>-150000.0</v>
      </c>
      <c r="N637" s="1">
        <v>2.41241E8</v>
      </c>
      <c r="O637" s="1">
        <v>1.68516E8</v>
      </c>
      <c r="P637" s="1">
        <v>6.4726E7</v>
      </c>
      <c r="Q637" s="1">
        <v>-3.2678E7</v>
      </c>
      <c r="R637" s="1">
        <v>4.0197E7</v>
      </c>
      <c r="S637" s="1">
        <v>3.9464E7</v>
      </c>
      <c r="W637" s="4" t="str">
        <f>Raw_Data!C636&amp;"|"&amp;Raw_Data!D636&amp;"|"&amp;TEXT(Raw_Data!B636,"yyyy-mm-dd")</f>
        <v>Duke Realty Corp|DRE|2020-09-30</v>
      </c>
    </row>
    <row r="638">
      <c r="A638" s="1">
        <v>636.0</v>
      </c>
      <c r="B638" s="3">
        <v>44377.0</v>
      </c>
      <c r="C638" s="1" t="s">
        <v>360</v>
      </c>
      <c r="D638" s="1" t="s">
        <v>361</v>
      </c>
      <c r="E638" s="1">
        <v>1.48E8</v>
      </c>
      <c r="F638" s="1">
        <v>7.15E8</v>
      </c>
      <c r="G638" s="1">
        <v>4.78E8</v>
      </c>
      <c r="H638" s="1">
        <v>4.46E8</v>
      </c>
      <c r="I638" s="1">
        <v>1.48E9</v>
      </c>
      <c r="J638" s="1">
        <v>7.19E8</v>
      </c>
      <c r="K638" s="1">
        <v>7.19E8</v>
      </c>
      <c r="L638" s="1">
        <v>-1.29E8</v>
      </c>
      <c r="M638" s="1">
        <v>1.51E8</v>
      </c>
      <c r="N638" s="1">
        <v>4.135E9</v>
      </c>
      <c r="O638" s="1">
        <v>3.416E9</v>
      </c>
      <c r="P638" s="1">
        <v>2.655E9</v>
      </c>
      <c r="Q638" s="1">
        <v>-4000000.0</v>
      </c>
      <c r="R638" s="1">
        <v>5.64E8</v>
      </c>
      <c r="S638" s="1">
        <v>4.78E8</v>
      </c>
      <c r="W638" s="4" t="str">
        <f>Raw_Data!C637&amp;"|"&amp;Raw_Data!D637&amp;"|"&amp;TEXT(Raw_Data!B637,"yyyy-mm-dd")</f>
        <v>Duke Realty Corp|DRE|2020-06-30</v>
      </c>
    </row>
    <row r="639">
      <c r="A639" s="1">
        <v>637.0</v>
      </c>
      <c r="B639" s="3">
        <v>44286.0</v>
      </c>
      <c r="C639" s="1" t="s">
        <v>360</v>
      </c>
      <c r="D639" s="1" t="s">
        <v>361</v>
      </c>
      <c r="E639" s="1">
        <v>1.56E8</v>
      </c>
      <c r="F639" s="1">
        <v>5.73E8</v>
      </c>
      <c r="G639" s="1">
        <v>5.394E9</v>
      </c>
      <c r="H639" s="1">
        <v>4.44E8</v>
      </c>
      <c r="I639" s="1">
        <v>1.464E9</v>
      </c>
      <c r="J639" s="1">
        <v>6.97E8</v>
      </c>
      <c r="K639" s="1">
        <v>6.97E8</v>
      </c>
      <c r="L639" s="1">
        <v>-1.46E8</v>
      </c>
      <c r="M639" s="1">
        <v>3.2E7</v>
      </c>
      <c r="N639" s="1">
        <v>3.976E9</v>
      </c>
      <c r="O639" s="1">
        <v>3.279E9</v>
      </c>
      <c r="P639" s="1">
        <v>2.512E9</v>
      </c>
      <c r="Q639" s="1">
        <v>-1.24E8</v>
      </c>
      <c r="R639" s="1">
        <v>5.41E8</v>
      </c>
      <c r="S639" s="1">
        <v>5.394E9</v>
      </c>
      <c r="W639" s="4" t="str">
        <f>Raw_Data!C638&amp;"|"&amp;Raw_Data!D638&amp;"|"&amp;TEXT(Raw_Data!B638,"yyyy-mm-dd")</f>
        <v>DuPont|DD|2021-06-30</v>
      </c>
    </row>
    <row r="640">
      <c r="A640" s="1">
        <v>638.0</v>
      </c>
      <c r="B640" s="3">
        <v>44196.0</v>
      </c>
      <c r="C640" s="1" t="s">
        <v>360</v>
      </c>
      <c r="D640" s="1" t="s">
        <v>361</v>
      </c>
      <c r="E640" s="1">
        <v>2.16E8</v>
      </c>
      <c r="F640" s="1">
        <v>1.56E8</v>
      </c>
      <c r="G640" s="1">
        <v>2.22E8</v>
      </c>
      <c r="H640" s="1">
        <v>5.29E8</v>
      </c>
      <c r="I640" s="1">
        <v>1.731E9</v>
      </c>
      <c r="J640" s="1">
        <v>4.58E8</v>
      </c>
      <c r="K640" s="1">
        <v>4.58E8</v>
      </c>
      <c r="L640" s="1">
        <v>-1.94E8</v>
      </c>
      <c r="M640" s="1">
        <v>-1.23E8</v>
      </c>
      <c r="N640" s="1">
        <v>5.252E9</v>
      </c>
      <c r="O640" s="1">
        <v>4.794E9</v>
      </c>
      <c r="P640" s="1">
        <v>3.521E9</v>
      </c>
      <c r="Q640" s="1">
        <v>-3.02E8</v>
      </c>
      <c r="R640" s="1">
        <v>2.79E8</v>
      </c>
      <c r="S640" s="1">
        <v>2.22E8</v>
      </c>
      <c r="W640" s="4" t="str">
        <f>Raw_Data!C639&amp;"|"&amp;Raw_Data!D639&amp;"|"&amp;TEXT(Raw_Data!B639,"yyyy-mm-dd")</f>
        <v>DuPont|DD|2021-03-31</v>
      </c>
    </row>
    <row r="641">
      <c r="A641" s="1">
        <v>639.0</v>
      </c>
      <c r="B641" s="3">
        <v>44104.0</v>
      </c>
      <c r="C641" s="1" t="s">
        <v>360</v>
      </c>
      <c r="D641" s="1" t="s">
        <v>361</v>
      </c>
      <c r="E641" s="1">
        <v>1.99E8</v>
      </c>
      <c r="F641" s="1">
        <v>2.0E7</v>
      </c>
      <c r="G641" s="1">
        <v>-7.9E7</v>
      </c>
      <c r="H641" s="1">
        <v>5.19E8</v>
      </c>
      <c r="I641" s="1">
        <v>1.704E9</v>
      </c>
      <c r="J641" s="1">
        <v>4.56E8</v>
      </c>
      <c r="K641" s="1">
        <v>4.56E8</v>
      </c>
      <c r="L641" s="1">
        <v>-1.97E8</v>
      </c>
      <c r="M641" s="1">
        <v>9.2E7</v>
      </c>
      <c r="N641" s="1">
        <v>5.096E9</v>
      </c>
      <c r="O641" s="1">
        <v>4.64E9</v>
      </c>
      <c r="P641" s="1">
        <v>3.392E9</v>
      </c>
      <c r="Q641" s="1">
        <v>-4.36E8</v>
      </c>
      <c r="R641" s="1">
        <v>-7.2E7</v>
      </c>
      <c r="S641" s="1">
        <v>-7.9E7</v>
      </c>
      <c r="W641" s="4" t="str">
        <f>Raw_Data!C640&amp;"|"&amp;Raw_Data!D640&amp;"|"&amp;TEXT(Raw_Data!B640,"yyyy-mm-dd")</f>
        <v>DuPont|DD|2020-12-31</v>
      </c>
    </row>
    <row r="642">
      <c r="A642" s="1">
        <v>640.0</v>
      </c>
      <c r="B642" s="3">
        <v>44377.0</v>
      </c>
      <c r="C642" s="1" t="s">
        <v>362</v>
      </c>
      <c r="D642" s="1" t="s">
        <v>363</v>
      </c>
      <c r="F642" s="1">
        <v>4.24E8</v>
      </c>
      <c r="G642" s="1">
        <v>2.78E8</v>
      </c>
      <c r="H642" s="1">
        <v>2.77E8</v>
      </c>
      <c r="I642" s="1">
        <v>8.86E8</v>
      </c>
      <c r="J642" s="1">
        <v>1.87E8</v>
      </c>
      <c r="K642" s="1">
        <v>1.87E8</v>
      </c>
      <c r="L642" s="1">
        <v>-6.2E7</v>
      </c>
      <c r="M642" s="1">
        <v>1.42E8</v>
      </c>
      <c r="N642" s="1">
        <v>4.141E9</v>
      </c>
      <c r="O642" s="1">
        <v>3.954E9</v>
      </c>
      <c r="P642" s="1">
        <v>3.255E9</v>
      </c>
      <c r="Q642" s="1">
        <v>2.37E8</v>
      </c>
      <c r="R642" s="1">
        <v>2.82E8</v>
      </c>
      <c r="S642" s="1">
        <v>2.78E8</v>
      </c>
      <c r="W642" s="4" t="str">
        <f>Raw_Data!C641&amp;"|"&amp;Raw_Data!D641&amp;"|"&amp;TEXT(Raw_Data!B641,"yyyy-mm-dd")</f>
        <v>DuPont|DD|2020-09-30</v>
      </c>
    </row>
    <row r="643">
      <c r="A643" s="1">
        <v>641.0</v>
      </c>
      <c r="B643" s="3">
        <v>44286.0</v>
      </c>
      <c r="C643" s="1" t="s">
        <v>362</v>
      </c>
      <c r="D643" s="1" t="s">
        <v>363</v>
      </c>
      <c r="F643" s="1">
        <v>-7.93E8</v>
      </c>
      <c r="G643" s="1">
        <v>-7.98E8</v>
      </c>
      <c r="H643" s="1">
        <v>8.32E8</v>
      </c>
      <c r="I643" s="1">
        <v>1.016E9</v>
      </c>
      <c r="J643" s="1">
        <v>-2.94E8</v>
      </c>
      <c r="K643" s="1">
        <v>-2.94E8</v>
      </c>
      <c r="L643" s="1">
        <v>-7.7E7</v>
      </c>
      <c r="M643" s="1">
        <v>1.1E7</v>
      </c>
      <c r="N643" s="1">
        <v>4.385E9</v>
      </c>
      <c r="O643" s="1">
        <v>4.679E9</v>
      </c>
      <c r="P643" s="1">
        <v>3.369E9</v>
      </c>
      <c r="Q643" s="1">
        <v>-4.99E8</v>
      </c>
      <c r="R643" s="1">
        <v>-8.04E8</v>
      </c>
      <c r="S643" s="1">
        <v>-7.98E8</v>
      </c>
      <c r="W643" s="4" t="str">
        <f>Raw_Data!C642&amp;"|"&amp;Raw_Data!D642&amp;"|"&amp;TEXT(Raw_Data!B642,"yyyy-mm-dd")</f>
        <v>DXC Technology|DXC|2021-06-30</v>
      </c>
    </row>
    <row r="644">
      <c r="A644" s="1">
        <v>642.0</v>
      </c>
      <c r="B644" s="3">
        <v>44196.0</v>
      </c>
      <c r="C644" s="1" t="s">
        <v>362</v>
      </c>
      <c r="D644" s="1" t="s">
        <v>363</v>
      </c>
      <c r="F644" s="1">
        <v>1.978E9</v>
      </c>
      <c r="G644" s="1">
        <v>1.098E9</v>
      </c>
      <c r="H644" s="1">
        <v>3.18E8</v>
      </c>
      <c r="I644" s="1">
        <v>9.55E8</v>
      </c>
      <c r="J644" s="1">
        <v>1.62E8</v>
      </c>
      <c r="K644" s="1">
        <v>1.62E8</v>
      </c>
      <c r="L644" s="1">
        <v>-8.2E7</v>
      </c>
      <c r="M644" s="1">
        <v>8.75E8</v>
      </c>
      <c r="N644" s="1">
        <v>4.288E9</v>
      </c>
      <c r="O644" s="1">
        <v>4.126E9</v>
      </c>
      <c r="P644" s="1">
        <v>3.333E9</v>
      </c>
      <c r="Q644" s="1">
        <v>1.816E9</v>
      </c>
      <c r="R644" s="1">
        <v>1.103E9</v>
      </c>
      <c r="S644" s="1">
        <v>1.098E9</v>
      </c>
      <c r="W644" s="4" t="str">
        <f>Raw_Data!C643&amp;"|"&amp;Raw_Data!D643&amp;"|"&amp;TEXT(Raw_Data!B643,"yyyy-mm-dd")</f>
        <v>DXC Technology|DXC|2021-03-31</v>
      </c>
    </row>
    <row r="645">
      <c r="A645" s="1">
        <v>643.0</v>
      </c>
      <c r="B645" s="3">
        <v>44104.0</v>
      </c>
      <c r="C645" s="1" t="s">
        <v>362</v>
      </c>
      <c r="D645" s="1" t="s">
        <v>363</v>
      </c>
      <c r="F645" s="1">
        <v>-3.06E8</v>
      </c>
      <c r="G645" s="1">
        <v>-2.44E8</v>
      </c>
      <c r="H645" s="1">
        <v>3.39E8</v>
      </c>
      <c r="I645" s="1">
        <v>9.91E8</v>
      </c>
      <c r="J645" s="1">
        <v>1.27E8</v>
      </c>
      <c r="K645" s="1">
        <v>1.27E8</v>
      </c>
      <c r="L645" s="1">
        <v>-9.6E7</v>
      </c>
      <c r="M645" s="1">
        <v>-6.0E7</v>
      </c>
      <c r="N645" s="1">
        <v>4.554E9</v>
      </c>
      <c r="O645" s="1">
        <v>4.427E9</v>
      </c>
      <c r="P645" s="1">
        <v>3.563E9</v>
      </c>
      <c r="Q645" s="1">
        <v>-4.33E8</v>
      </c>
      <c r="R645" s="1">
        <v>-2.46E8</v>
      </c>
      <c r="S645" s="1">
        <v>-2.44E8</v>
      </c>
      <c r="W645" s="4" t="str">
        <f>Raw_Data!C644&amp;"|"&amp;Raw_Data!D644&amp;"|"&amp;TEXT(Raw_Data!B644,"yyyy-mm-dd")</f>
        <v>DXC Technology|DXC|2020-12-31</v>
      </c>
    </row>
    <row r="646">
      <c r="A646" s="1">
        <v>644.0</v>
      </c>
      <c r="B646" s="3">
        <v>44377.0</v>
      </c>
      <c r="C646" s="1" t="s">
        <v>364</v>
      </c>
      <c r="D646" s="1" t="s">
        <v>365</v>
      </c>
      <c r="E646" s="1">
        <v>6.3E7</v>
      </c>
      <c r="F646" s="1">
        <v>-1.07E8</v>
      </c>
      <c r="G646" s="1">
        <v>-1.46E8</v>
      </c>
      <c r="H646" s="1">
        <v>1.65E8</v>
      </c>
      <c r="I646" s="1">
        <v>6.81E8</v>
      </c>
      <c r="J646" s="1">
        <v>4.53E8</v>
      </c>
      <c r="K646" s="1">
        <v>4.53E8</v>
      </c>
      <c r="L646" s="1">
        <v>-5.1E7</v>
      </c>
      <c r="M646" s="1">
        <v>3.7E7</v>
      </c>
      <c r="N646" s="1">
        <v>2.653E9</v>
      </c>
      <c r="O646" s="1">
        <v>2.2E9</v>
      </c>
      <c r="P646" s="1">
        <v>1.972E9</v>
      </c>
      <c r="Q646" s="1">
        <v>-5.6E8</v>
      </c>
      <c r="R646" s="1">
        <v>-1.44E8</v>
      </c>
      <c r="S646" s="1">
        <v>-1.46E8</v>
      </c>
      <c r="W646" s="4" t="str">
        <f>Raw_Data!C645&amp;"|"&amp;Raw_Data!D645&amp;"|"&amp;TEXT(Raw_Data!B645,"yyyy-mm-dd")</f>
        <v>DXC Technology|DXC|2020-09-30</v>
      </c>
    </row>
    <row r="647">
      <c r="A647" s="1">
        <v>645.0</v>
      </c>
      <c r="B647" s="3">
        <v>44286.0</v>
      </c>
      <c r="C647" s="1" t="s">
        <v>364</v>
      </c>
      <c r="D647" s="1" t="s">
        <v>365</v>
      </c>
      <c r="E647" s="1">
        <v>5.8E7</v>
      </c>
      <c r="F647" s="1">
        <v>3.39E8</v>
      </c>
      <c r="G647" s="1">
        <v>2.74E8</v>
      </c>
      <c r="H647" s="1">
        <v>1.48E8</v>
      </c>
      <c r="I647" s="1">
        <v>6.02E8</v>
      </c>
      <c r="J647" s="1">
        <v>3.96E8</v>
      </c>
      <c r="K647" s="1">
        <v>3.96E8</v>
      </c>
      <c r="L647" s="1">
        <v>-5.1E7</v>
      </c>
      <c r="M647" s="1">
        <v>6.2E7</v>
      </c>
      <c r="N647" s="1">
        <v>2.409E9</v>
      </c>
      <c r="O647" s="1">
        <v>2.013E9</v>
      </c>
      <c r="P647" s="1">
        <v>1.807E9</v>
      </c>
      <c r="Q647" s="1">
        <v>-5.7E7</v>
      </c>
      <c r="R647" s="1">
        <v>2.77E8</v>
      </c>
      <c r="S647" s="1">
        <v>2.74E8</v>
      </c>
      <c r="W647" s="4" t="str">
        <f>Raw_Data!C646&amp;"|"&amp;Raw_Data!D646&amp;"|"&amp;TEXT(Raw_Data!B646,"yyyy-mm-dd")</f>
        <v>Eastman Chemical|EMN|2021-06-30</v>
      </c>
    </row>
    <row r="648">
      <c r="A648" s="1">
        <v>646.0</v>
      </c>
      <c r="B648" s="3">
        <v>44196.0</v>
      </c>
      <c r="C648" s="1" t="s">
        <v>364</v>
      </c>
      <c r="D648" s="1" t="s">
        <v>365</v>
      </c>
      <c r="E648" s="1">
        <v>5.7E7</v>
      </c>
      <c r="F648" s="1">
        <v>2.5E7</v>
      </c>
      <c r="G648" s="1">
        <v>3.2E7</v>
      </c>
      <c r="H648" s="1">
        <v>3.83E8</v>
      </c>
      <c r="I648" s="1">
        <v>5.27E8</v>
      </c>
      <c r="J648" s="1">
        <v>8.7E7</v>
      </c>
      <c r="K648" s="1">
        <v>8.7E7</v>
      </c>
      <c r="L648" s="1">
        <v>-5.2E7</v>
      </c>
      <c r="M648" s="1">
        <v>-9000000.0</v>
      </c>
      <c r="N648" s="1">
        <v>2.186E9</v>
      </c>
      <c r="O648" s="1">
        <v>2.099E9</v>
      </c>
      <c r="P648" s="1">
        <v>1.659E9</v>
      </c>
      <c r="Q648" s="1">
        <v>-6.2E7</v>
      </c>
      <c r="R648" s="1">
        <v>3.4E7</v>
      </c>
      <c r="S648" s="1">
        <v>3.2E7</v>
      </c>
      <c r="W648" s="4" t="str">
        <f>Raw_Data!C647&amp;"|"&amp;Raw_Data!D647&amp;"|"&amp;TEXT(Raw_Data!B647,"yyyy-mm-dd")</f>
        <v>Eastman Chemical|EMN|2021-03-31</v>
      </c>
    </row>
    <row r="649">
      <c r="A649" s="1">
        <v>647.0</v>
      </c>
      <c r="B649" s="3">
        <v>44104.0</v>
      </c>
      <c r="C649" s="1" t="s">
        <v>364</v>
      </c>
      <c r="D649" s="1" t="s">
        <v>365</v>
      </c>
      <c r="E649" s="1">
        <v>5.6E7</v>
      </c>
      <c r="F649" s="1">
        <v>1.9E8</v>
      </c>
      <c r="G649" s="1">
        <v>1.61E8</v>
      </c>
      <c r="H649" s="1">
        <v>1.35E8</v>
      </c>
      <c r="I649" s="1">
        <v>5.08E8</v>
      </c>
      <c r="J649" s="1">
        <v>3.17E8</v>
      </c>
      <c r="K649" s="1">
        <v>3.17E8</v>
      </c>
      <c r="L649" s="1">
        <v>-5.4E7</v>
      </c>
      <c r="M649" s="1">
        <v>2.5E7</v>
      </c>
      <c r="N649" s="1">
        <v>2.122E9</v>
      </c>
      <c r="O649" s="1">
        <v>1.805E9</v>
      </c>
      <c r="P649" s="1">
        <v>1.614E9</v>
      </c>
      <c r="Q649" s="1">
        <v>-1.27E8</v>
      </c>
      <c r="R649" s="1">
        <v>1.65E8</v>
      </c>
      <c r="S649" s="1">
        <v>1.61E8</v>
      </c>
      <c r="W649" s="4" t="str">
        <f>Raw_Data!C648&amp;"|"&amp;Raw_Data!D648&amp;"|"&amp;TEXT(Raw_Data!B648,"yyyy-mm-dd")</f>
        <v>Eastman Chemical|EMN|2020-12-31</v>
      </c>
    </row>
    <row r="650">
      <c r="A650" s="1">
        <v>648.0</v>
      </c>
      <c r="B650" s="3">
        <v>44377.0</v>
      </c>
      <c r="C650" s="1" t="s">
        <v>366</v>
      </c>
      <c r="D650" s="1" t="s">
        <v>367</v>
      </c>
      <c r="E650" s="1">
        <v>1.54E8</v>
      </c>
      <c r="F650" s="1">
        <v>6.2E8</v>
      </c>
      <c r="G650" s="1">
        <v>5.06E8</v>
      </c>
      <c r="H650" s="1">
        <v>8.6E8</v>
      </c>
      <c r="I650" s="1">
        <v>1.67E9</v>
      </c>
      <c r="J650" s="1">
        <v>6.56E8</v>
      </c>
      <c r="K650" s="1">
        <v>6.56E8</v>
      </c>
      <c r="L650" s="1">
        <v>-1.23E8</v>
      </c>
      <c r="M650" s="1">
        <v>1.14E8</v>
      </c>
      <c r="N650" s="1">
        <v>5.215E9</v>
      </c>
      <c r="O650" s="1">
        <v>4.559E9</v>
      </c>
      <c r="P650" s="1">
        <v>3.545E9</v>
      </c>
      <c r="Q650" s="1">
        <v>-3.6E7</v>
      </c>
      <c r="R650" s="1">
        <v>5.06E8</v>
      </c>
      <c r="S650" s="1">
        <v>5.06E8</v>
      </c>
      <c r="W650" s="4" t="str">
        <f>Raw_Data!C649&amp;"|"&amp;Raw_Data!D649&amp;"|"&amp;TEXT(Raw_Data!B649,"yyyy-mm-dd")</f>
        <v>Eastman Chemical|EMN|2020-09-30</v>
      </c>
    </row>
    <row r="651">
      <c r="A651" s="1">
        <v>649.0</v>
      </c>
      <c r="B651" s="3">
        <v>44286.0</v>
      </c>
      <c r="C651" s="1" t="s">
        <v>366</v>
      </c>
      <c r="D651" s="1" t="s">
        <v>367</v>
      </c>
      <c r="E651" s="1">
        <v>1.48E8</v>
      </c>
      <c r="F651" s="1">
        <v>5.38E8</v>
      </c>
      <c r="G651" s="1">
        <v>4.58E8</v>
      </c>
      <c r="H651" s="1">
        <v>7.8E8</v>
      </c>
      <c r="I651" s="1">
        <v>1.508E9</v>
      </c>
      <c r="J651" s="1">
        <v>5.8E8</v>
      </c>
      <c r="K651" s="1">
        <v>5.8E8</v>
      </c>
      <c r="L651" s="1">
        <v>-1.23E8</v>
      </c>
      <c r="M651" s="1">
        <v>7.9E7</v>
      </c>
      <c r="N651" s="1">
        <v>4.692E9</v>
      </c>
      <c r="O651" s="1">
        <v>4.112E9</v>
      </c>
      <c r="P651" s="1">
        <v>3.184E9</v>
      </c>
      <c r="Q651" s="1">
        <v>-4.2E7</v>
      </c>
      <c r="R651" s="1">
        <v>4.59E8</v>
      </c>
      <c r="S651" s="1">
        <v>4.58E8</v>
      </c>
      <c r="W651" s="4" t="str">
        <f>Raw_Data!C650&amp;"|"&amp;Raw_Data!D650&amp;"|"&amp;TEXT(Raw_Data!B650,"yyyy-mm-dd")</f>
        <v>Eaton Corporation|ETN|2021-06-30</v>
      </c>
    </row>
    <row r="652">
      <c r="A652" s="1">
        <v>650.0</v>
      </c>
      <c r="B652" s="3">
        <v>44196.0</v>
      </c>
      <c r="C652" s="1" t="s">
        <v>366</v>
      </c>
      <c r="D652" s="1" t="s">
        <v>367</v>
      </c>
      <c r="E652" s="1">
        <v>1.4E8</v>
      </c>
      <c r="F652" s="1">
        <v>5.53E8</v>
      </c>
      <c r="G652" s="1">
        <v>4.75E8</v>
      </c>
      <c r="H652" s="1">
        <v>7.73E8</v>
      </c>
      <c r="I652" s="1">
        <v>1.509E9</v>
      </c>
      <c r="J652" s="1">
        <v>5.96E8</v>
      </c>
      <c r="K652" s="1">
        <v>5.96E8</v>
      </c>
      <c r="L652" s="1">
        <v>-1.62E8</v>
      </c>
      <c r="M652" s="1">
        <v>7.7E7</v>
      </c>
      <c r="N652" s="1">
        <v>4.687E9</v>
      </c>
      <c r="O652" s="1">
        <v>4.091E9</v>
      </c>
      <c r="P652" s="1">
        <v>3.178E9</v>
      </c>
      <c r="Q652" s="1">
        <v>-4.3E7</v>
      </c>
      <c r="R652" s="1">
        <v>4.76E8</v>
      </c>
      <c r="S652" s="1">
        <v>4.75E8</v>
      </c>
      <c r="W652" s="4" t="str">
        <f>Raw_Data!C651&amp;"|"&amp;Raw_Data!D651&amp;"|"&amp;TEXT(Raw_Data!B651,"yyyy-mm-dd")</f>
        <v>Eaton Corporation|ETN|2021-03-31</v>
      </c>
    </row>
    <row r="653">
      <c r="A653" s="1">
        <v>651.0</v>
      </c>
      <c r="B653" s="3">
        <v>44104.0</v>
      </c>
      <c r="C653" s="1" t="s">
        <v>366</v>
      </c>
      <c r="D653" s="1" t="s">
        <v>367</v>
      </c>
      <c r="E653" s="1">
        <v>1.32E8</v>
      </c>
      <c r="F653" s="1">
        <v>5.25E8</v>
      </c>
      <c r="G653" s="1">
        <v>4.46E8</v>
      </c>
      <c r="H653" s="1">
        <v>7.6E8</v>
      </c>
      <c r="I653" s="1">
        <v>1.475E9</v>
      </c>
      <c r="J653" s="1">
        <v>5.83E8</v>
      </c>
      <c r="K653" s="1">
        <v>5.83E8</v>
      </c>
      <c r="L653" s="1">
        <v>-9.0E7</v>
      </c>
      <c r="M653" s="1">
        <v>7.8E7</v>
      </c>
      <c r="N653" s="1">
        <v>4.526E9</v>
      </c>
      <c r="O653" s="1">
        <v>3.943E9</v>
      </c>
      <c r="P653" s="1">
        <v>3.051E9</v>
      </c>
      <c r="Q653" s="1">
        <v>-5.8E7</v>
      </c>
      <c r="R653" s="1">
        <v>4.47E8</v>
      </c>
      <c r="S653" s="1">
        <v>4.46E8</v>
      </c>
      <c r="W653" s="4" t="str">
        <f>Raw_Data!C652&amp;"|"&amp;Raw_Data!D652&amp;"|"&amp;TEXT(Raw_Data!B652,"yyyy-mm-dd")</f>
        <v>Eaton Corporation|ETN|2020-12-31</v>
      </c>
    </row>
    <row r="654">
      <c r="A654" s="1">
        <v>652.0</v>
      </c>
      <c r="B654" s="3">
        <v>44377.0</v>
      </c>
      <c r="C654" s="1" t="s">
        <v>368</v>
      </c>
      <c r="D654" s="1" t="s">
        <v>369</v>
      </c>
      <c r="E654" s="1">
        <v>3.5E8</v>
      </c>
      <c r="F654" s="1">
        <v>4.01E8</v>
      </c>
      <c r="G654" s="1">
        <v>1.0734E10</v>
      </c>
      <c r="H654" s="1">
        <v>8.09E8</v>
      </c>
      <c r="I654" s="1">
        <v>1.996E9</v>
      </c>
      <c r="J654" s="1">
        <v>7.32E8</v>
      </c>
      <c r="K654" s="1">
        <v>7.32E8</v>
      </c>
      <c r="L654" s="1">
        <v>-5.8E7</v>
      </c>
      <c r="M654" s="1">
        <v>1.07E8</v>
      </c>
      <c r="N654" s="1">
        <v>2.668E9</v>
      </c>
      <c r="O654" s="1">
        <v>1.936E9</v>
      </c>
      <c r="P654" s="1">
        <v>6.72E8</v>
      </c>
      <c r="Q654" s="1">
        <v>-3.31E8</v>
      </c>
      <c r="R654" s="1">
        <v>2.94E8</v>
      </c>
      <c r="S654" s="1">
        <v>1.0734E10</v>
      </c>
      <c r="W654" s="4" t="str">
        <f>Raw_Data!C653&amp;"|"&amp;Raw_Data!D653&amp;"|"&amp;TEXT(Raw_Data!B653,"yyyy-mm-dd")</f>
        <v>Eaton Corporation|ETN|2020-09-30</v>
      </c>
    </row>
    <row r="655">
      <c r="A655" s="1">
        <v>653.0</v>
      </c>
      <c r="B655" s="3">
        <v>44286.0</v>
      </c>
      <c r="C655" s="1" t="s">
        <v>368</v>
      </c>
      <c r="D655" s="1" t="s">
        <v>369</v>
      </c>
      <c r="E655" s="1">
        <v>3.04E8</v>
      </c>
      <c r="F655" s="1">
        <v>7.24E8</v>
      </c>
      <c r="G655" s="1">
        <v>6.41E8</v>
      </c>
      <c r="H655" s="1">
        <v>7.57E8</v>
      </c>
      <c r="I655" s="1">
        <v>2.032E9</v>
      </c>
      <c r="J655" s="1">
        <v>8.76E8</v>
      </c>
      <c r="K655" s="1">
        <v>8.76E8</v>
      </c>
      <c r="L655" s="1">
        <v>-6.7E7</v>
      </c>
      <c r="M655" s="1">
        <v>1.56E8</v>
      </c>
      <c r="N655" s="1">
        <v>2.638E9</v>
      </c>
      <c r="O655" s="1">
        <v>1.762E9</v>
      </c>
      <c r="P655" s="1">
        <v>6.06E8</v>
      </c>
      <c r="Q655" s="1">
        <v>-1.52E8</v>
      </c>
      <c r="R655" s="1">
        <v>5.68E8</v>
      </c>
      <c r="S655" s="1">
        <v>6.41E8</v>
      </c>
      <c r="W655" s="4" t="str">
        <f>Raw_Data!C654&amp;"|"&amp;Raw_Data!D654&amp;"|"&amp;TEXT(Raw_Data!B654,"yyyy-mm-dd")</f>
        <v>eBay|EBAY|2021-06-30</v>
      </c>
    </row>
    <row r="656">
      <c r="A656" s="1">
        <v>654.0</v>
      </c>
      <c r="B656" s="3">
        <v>44196.0</v>
      </c>
      <c r="C656" s="1" t="s">
        <v>368</v>
      </c>
      <c r="D656" s="1" t="s">
        <v>369</v>
      </c>
      <c r="E656" s="1">
        <v>2.99E8</v>
      </c>
      <c r="F656" s="1">
        <v>1.109E9</v>
      </c>
      <c r="G656" s="1">
        <v>8.45E8</v>
      </c>
      <c r="H656" s="1">
        <v>1.057E9</v>
      </c>
      <c r="I656" s="1">
        <v>2.126E9</v>
      </c>
      <c r="J656" s="1">
        <v>6.77E8</v>
      </c>
      <c r="K656" s="1">
        <v>6.77E8</v>
      </c>
      <c r="L656" s="1">
        <v>-9.4E7</v>
      </c>
      <c r="M656" s="1">
        <v>3.28E8</v>
      </c>
      <c r="N656" s="1">
        <v>2.868E9</v>
      </c>
      <c r="O656" s="1">
        <v>2.191E9</v>
      </c>
      <c r="P656" s="1">
        <v>7.42E8</v>
      </c>
      <c r="Q656" s="1">
        <v>4.32E8</v>
      </c>
      <c r="R656" s="1">
        <v>7.81E8</v>
      </c>
      <c r="S656" s="1">
        <v>8.45E8</v>
      </c>
      <c r="W656" s="4" t="str">
        <f>Raw_Data!C655&amp;"|"&amp;Raw_Data!D655&amp;"|"&amp;TEXT(Raw_Data!B655,"yyyy-mm-dd")</f>
        <v>eBay|EBAY|2021-03-31</v>
      </c>
    </row>
    <row r="657">
      <c r="A657" s="1">
        <v>655.0</v>
      </c>
      <c r="B657" s="3">
        <v>44104.0</v>
      </c>
      <c r="C657" s="1" t="s">
        <v>368</v>
      </c>
      <c r="D657" s="1" t="s">
        <v>369</v>
      </c>
      <c r="E657" s="1">
        <v>2.87E8</v>
      </c>
      <c r="F657" s="1">
        <v>7.74E8</v>
      </c>
      <c r="G657" s="1">
        <v>6.64E8</v>
      </c>
      <c r="H657" s="1">
        <v>9.18E8</v>
      </c>
      <c r="I657" s="1">
        <v>1.95E9</v>
      </c>
      <c r="J657" s="1">
        <v>6.79E8</v>
      </c>
      <c r="K657" s="1">
        <v>6.79E8</v>
      </c>
      <c r="L657" s="1">
        <v>-6.7E7</v>
      </c>
      <c r="M657" s="1">
        <v>1.53E8</v>
      </c>
      <c r="N657" s="1">
        <v>2.606E9</v>
      </c>
      <c r="O657" s="1">
        <v>1.927E9</v>
      </c>
      <c r="P657" s="1">
        <v>6.56E8</v>
      </c>
      <c r="Q657" s="1">
        <v>9.5E7</v>
      </c>
      <c r="R657" s="1">
        <v>6.21E8</v>
      </c>
      <c r="S657" s="1">
        <v>6.64E8</v>
      </c>
      <c r="W657" s="4" t="str">
        <f>Raw_Data!C656&amp;"|"&amp;Raw_Data!D656&amp;"|"&amp;TEXT(Raw_Data!B656,"yyyy-mm-dd")</f>
        <v>eBay|EBAY|2020-12-31</v>
      </c>
    </row>
    <row r="658">
      <c r="A658" s="1">
        <v>656.0</v>
      </c>
      <c r="B658" s="3">
        <v>44377.0</v>
      </c>
      <c r="C658" s="1" t="s">
        <v>370</v>
      </c>
      <c r="D658" s="1" t="s">
        <v>371</v>
      </c>
      <c r="F658" s="1">
        <v>3.997E8</v>
      </c>
      <c r="G658" s="1">
        <v>3.108E8</v>
      </c>
      <c r="H658" s="1">
        <v>8.362E8</v>
      </c>
      <c r="I658" s="1">
        <v>1.3224E9</v>
      </c>
      <c r="J658" s="1">
        <v>4.862E8</v>
      </c>
      <c r="K658" s="1">
        <v>4.862E8</v>
      </c>
      <c r="L658" s="1">
        <v>-5.17E7</v>
      </c>
      <c r="M658" s="1">
        <v>8.61E7</v>
      </c>
      <c r="N658" s="1">
        <v>3.1627E9</v>
      </c>
      <c r="O658" s="1">
        <v>2.6765E9</v>
      </c>
      <c r="P658" s="1">
        <v>1.8403E9</v>
      </c>
      <c r="Q658" s="1">
        <v>-8.65E7</v>
      </c>
      <c r="R658" s="1">
        <v>3.136E8</v>
      </c>
      <c r="S658" s="1">
        <v>3.108E8</v>
      </c>
      <c r="W658" s="4" t="str">
        <f>Raw_Data!C657&amp;"|"&amp;Raw_Data!D657&amp;"|"&amp;TEXT(Raw_Data!B657,"yyyy-mm-dd")</f>
        <v>eBay|EBAY|2020-09-30</v>
      </c>
    </row>
    <row r="659">
      <c r="A659" s="1">
        <v>657.0</v>
      </c>
      <c r="B659" s="3">
        <v>44286.0</v>
      </c>
      <c r="C659" s="1" t="s">
        <v>370</v>
      </c>
      <c r="D659" s="1" t="s">
        <v>371</v>
      </c>
      <c r="F659" s="1">
        <v>2.626E8</v>
      </c>
      <c r="G659" s="1">
        <v>1.936E8</v>
      </c>
      <c r="H659" s="1">
        <v>8.459E8</v>
      </c>
      <c r="I659" s="1">
        <v>1.1926E9</v>
      </c>
      <c r="J659" s="1">
        <v>3.467E8</v>
      </c>
      <c r="K659" s="1">
        <v>3.467E8</v>
      </c>
      <c r="L659" s="1">
        <v>-5.38E7</v>
      </c>
      <c r="M659" s="1">
        <v>6.61E7</v>
      </c>
      <c r="N659" s="1">
        <v>2.885E9</v>
      </c>
      <c r="O659" s="1">
        <v>2.5383E9</v>
      </c>
      <c r="P659" s="1">
        <v>1.6924E9</v>
      </c>
      <c r="Q659" s="1">
        <v>-6.71E7</v>
      </c>
      <c r="R659" s="1">
        <v>1.965E8</v>
      </c>
      <c r="S659" s="1">
        <v>1.936E8</v>
      </c>
      <c r="W659" s="4" t="str">
        <f>Raw_Data!C658&amp;"|"&amp;Raw_Data!D658&amp;"|"&amp;TEXT(Raw_Data!B658,"yyyy-mm-dd")</f>
        <v>Ecolab|ECL|2021-06-30</v>
      </c>
    </row>
    <row r="660">
      <c r="A660" s="1">
        <v>658.0</v>
      </c>
      <c r="B660" s="3">
        <v>44196.0</v>
      </c>
      <c r="C660" s="1" t="s">
        <v>370</v>
      </c>
      <c r="D660" s="1" t="s">
        <v>371</v>
      </c>
      <c r="F660" s="1">
        <v>3.78E8</v>
      </c>
      <c r="G660" s="1">
        <v>3.003E8</v>
      </c>
      <c r="H660" s="1">
        <v>7.946E8</v>
      </c>
      <c r="I660" s="1">
        <v>1.2876E9</v>
      </c>
      <c r="J660" s="1">
        <v>4.93E8</v>
      </c>
      <c r="K660" s="1">
        <v>4.93E8</v>
      </c>
      <c r="L660" s="1">
        <v>-5.14E7</v>
      </c>
      <c r="M660" s="1">
        <v>7.31E7</v>
      </c>
      <c r="N660" s="1">
        <v>3.0653E9</v>
      </c>
      <c r="O660" s="1">
        <v>2.5723E9</v>
      </c>
      <c r="P660" s="1">
        <v>1.7777E9</v>
      </c>
      <c r="Q660" s="1">
        <v>-1.15E8</v>
      </c>
      <c r="R660" s="1">
        <v>3.049E8</v>
      </c>
      <c r="S660" s="1">
        <v>3.003E8</v>
      </c>
      <c r="W660" s="4" t="str">
        <f>Raw_Data!C659&amp;"|"&amp;Raw_Data!D659&amp;"|"&amp;TEXT(Raw_Data!B659,"yyyy-mm-dd")</f>
        <v>Ecolab|ECL|2021-03-31</v>
      </c>
    </row>
    <row r="661">
      <c r="A661" s="1">
        <v>659.0</v>
      </c>
      <c r="B661" s="3">
        <v>44104.0</v>
      </c>
      <c r="C661" s="1" t="s">
        <v>370</v>
      </c>
      <c r="D661" s="1" t="s">
        <v>371</v>
      </c>
      <c r="F661" s="1">
        <v>2.917E8</v>
      </c>
      <c r="G661" s="1">
        <v>2.462E8</v>
      </c>
      <c r="H661" s="1">
        <v>7.875E8</v>
      </c>
      <c r="I661" s="1">
        <v>1.2585E9</v>
      </c>
      <c r="J661" s="1">
        <v>4.71E8</v>
      </c>
      <c r="K661" s="1">
        <v>4.71E8</v>
      </c>
      <c r="L661" s="1">
        <v>-5.59E7</v>
      </c>
      <c r="M661" s="1">
        <v>4.24E7</v>
      </c>
      <c r="N661" s="1">
        <v>3.0186E9</v>
      </c>
      <c r="O661" s="1">
        <v>2.5476E9</v>
      </c>
      <c r="P661" s="1">
        <v>1.7601E9</v>
      </c>
      <c r="Q661" s="1">
        <v>-1.793E8</v>
      </c>
      <c r="R661" s="1">
        <v>2.493E8</v>
      </c>
      <c r="S661" s="1">
        <v>2.462E8</v>
      </c>
      <c r="W661" s="4" t="str">
        <f>Raw_Data!C660&amp;"|"&amp;Raw_Data!D660&amp;"|"&amp;TEXT(Raw_Data!B660,"yyyy-mm-dd")</f>
        <v>Ecolab|ECL|2020-12-31</v>
      </c>
    </row>
    <row r="662">
      <c r="A662" s="1">
        <v>660.0</v>
      </c>
      <c r="B662" s="3">
        <v>44377.0</v>
      </c>
      <c r="C662" s="1" t="s">
        <v>372</v>
      </c>
      <c r="D662" s="1" t="s">
        <v>373</v>
      </c>
      <c r="F662" s="1">
        <v>3.86E8</v>
      </c>
      <c r="G662" s="1">
        <v>3.18E8</v>
      </c>
      <c r="H662" s="1">
        <v>-3.3E7</v>
      </c>
      <c r="I662" s="1">
        <v>1.278E9</v>
      </c>
      <c r="J662" s="1">
        <v>6.72E8</v>
      </c>
      <c r="K662" s="1">
        <v>6.72E8</v>
      </c>
      <c r="L662" s="1">
        <v>-2.75E8</v>
      </c>
      <c r="M662" s="1">
        <v>6.8E7</v>
      </c>
      <c r="N662" s="1">
        <v>3.315E9</v>
      </c>
      <c r="O662" s="1">
        <v>2.643E9</v>
      </c>
      <c r="P662" s="1">
        <v>2.037E9</v>
      </c>
      <c r="Q662" s="1">
        <v>-2.86E8</v>
      </c>
      <c r="R662" s="1">
        <v>3.18E8</v>
      </c>
      <c r="S662" s="1">
        <v>3.18E8</v>
      </c>
      <c r="W662" s="4" t="str">
        <f>Raw_Data!C661&amp;"|"&amp;Raw_Data!D661&amp;"|"&amp;TEXT(Raw_Data!B661,"yyyy-mm-dd")</f>
        <v>Ecolab|ECL|2020-09-30</v>
      </c>
    </row>
    <row r="663">
      <c r="A663" s="1">
        <v>661.0</v>
      </c>
      <c r="B663" s="3">
        <v>44286.0</v>
      </c>
      <c r="C663" s="1" t="s">
        <v>372</v>
      </c>
      <c r="D663" s="1" t="s">
        <v>373</v>
      </c>
      <c r="F663" s="1">
        <v>2.23E8</v>
      </c>
      <c r="G663" s="1">
        <v>2.59E8</v>
      </c>
      <c r="H663" s="1">
        <v>-3.3E7</v>
      </c>
      <c r="I663" s="1">
        <v>1.103E9</v>
      </c>
      <c r="J663" s="1">
        <v>4.85E8</v>
      </c>
      <c r="K663" s="1">
        <v>4.85E8</v>
      </c>
      <c r="L663" s="1">
        <v>-2.48E8</v>
      </c>
      <c r="M663" s="1">
        <v>-3.6E7</v>
      </c>
      <c r="N663" s="1">
        <v>2.96E9</v>
      </c>
      <c r="O663" s="1">
        <v>2.475E9</v>
      </c>
      <c r="P663" s="1">
        <v>1.857E9</v>
      </c>
      <c r="Q663" s="1">
        <v>-2.62E8</v>
      </c>
      <c r="R663" s="1">
        <v>2.59E8</v>
      </c>
      <c r="S663" s="1">
        <v>2.59E8</v>
      </c>
      <c r="W663" s="4" t="str">
        <f>Raw_Data!C662&amp;"|"&amp;Raw_Data!D662&amp;"|"&amp;TEXT(Raw_Data!B662,"yyyy-mm-dd")</f>
        <v>Edison International|EIX|2021-06-30</v>
      </c>
    </row>
    <row r="664">
      <c r="A664" s="1">
        <v>662.0</v>
      </c>
      <c r="B664" s="3">
        <v>44196.0</v>
      </c>
      <c r="C664" s="1" t="s">
        <v>372</v>
      </c>
      <c r="D664" s="1" t="s">
        <v>373</v>
      </c>
      <c r="F664" s="1">
        <v>5.76E8</v>
      </c>
      <c r="G664" s="1">
        <v>5.26E8</v>
      </c>
      <c r="H664" s="1">
        <v>3.66E8</v>
      </c>
      <c r="I664" s="1">
        <v>1.698E9</v>
      </c>
      <c r="J664" s="1">
        <v>7.88E8</v>
      </c>
      <c r="K664" s="1">
        <v>7.88E8</v>
      </c>
      <c r="L664" s="1">
        <v>-2.52E8</v>
      </c>
      <c r="M664" s="1">
        <v>5.0E7</v>
      </c>
      <c r="N664" s="1">
        <v>3.157E9</v>
      </c>
      <c r="O664" s="1">
        <v>2.369E9</v>
      </c>
      <c r="P664" s="1">
        <v>1.459E9</v>
      </c>
      <c r="Q664" s="1">
        <v>-2.12E8</v>
      </c>
      <c r="R664" s="1">
        <v>5.26E8</v>
      </c>
      <c r="S664" s="1">
        <v>5.26E8</v>
      </c>
      <c r="W664" s="4" t="str">
        <f>Raw_Data!C663&amp;"|"&amp;Raw_Data!D663&amp;"|"&amp;TEXT(Raw_Data!B663,"yyyy-mm-dd")</f>
        <v>Edison International|EIX|2021-03-31</v>
      </c>
    </row>
    <row r="665">
      <c r="A665" s="1">
        <v>663.0</v>
      </c>
      <c r="B665" s="3">
        <v>44104.0</v>
      </c>
      <c r="C665" s="1" t="s">
        <v>372</v>
      </c>
      <c r="D665" s="1" t="s">
        <v>373</v>
      </c>
      <c r="F665" s="1">
        <v>-5.63E8</v>
      </c>
      <c r="G665" s="1">
        <v>-2.88E8</v>
      </c>
      <c r="H665" s="1">
        <v>6.94E8</v>
      </c>
      <c r="I665" s="1">
        <v>2.301E9</v>
      </c>
      <c r="J665" s="1">
        <v>1.031E9</v>
      </c>
      <c r="K665" s="1">
        <v>1.031E9</v>
      </c>
      <c r="L665" s="1">
        <v>-2.68E8</v>
      </c>
      <c r="M665" s="1">
        <v>-2.75E8</v>
      </c>
      <c r="N665" s="1">
        <v>4.644E9</v>
      </c>
      <c r="O665" s="1">
        <v>3.613E9</v>
      </c>
      <c r="P665" s="1">
        <v>2.343E9</v>
      </c>
      <c r="Q665" s="1">
        <v>-1.594E9</v>
      </c>
      <c r="R665" s="1">
        <v>-2.88E8</v>
      </c>
      <c r="S665" s="1">
        <v>-2.88E8</v>
      </c>
      <c r="W665" s="4" t="str">
        <f>Raw_Data!C664&amp;"|"&amp;Raw_Data!D664&amp;"|"&amp;TEXT(Raw_Data!B664,"yyyy-mm-dd")</f>
        <v>Edison International|EIX|2020-12-31</v>
      </c>
    </row>
    <row r="666">
      <c r="A666" s="1">
        <v>664.0</v>
      </c>
      <c r="B666" s="3">
        <v>44377.0</v>
      </c>
      <c r="C666" s="1" t="s">
        <v>374</v>
      </c>
      <c r="D666" s="1" t="s">
        <v>375</v>
      </c>
      <c r="E666" s="1">
        <v>2.253E8</v>
      </c>
      <c r="F666" s="1">
        <v>5.455E8</v>
      </c>
      <c r="G666" s="1">
        <v>4.895E8</v>
      </c>
      <c r="H666" s="1">
        <v>3.745E8</v>
      </c>
      <c r="I666" s="1">
        <v>1.0417E9</v>
      </c>
      <c r="J666" s="1">
        <v>4.419E8</v>
      </c>
      <c r="K666" s="1">
        <v>4.419E8</v>
      </c>
      <c r="L666" s="1">
        <v>-2500000.0</v>
      </c>
      <c r="M666" s="1">
        <v>5.6E7</v>
      </c>
      <c r="N666" s="1">
        <v>1.376E9</v>
      </c>
      <c r="O666" s="1">
        <v>9.341E8</v>
      </c>
      <c r="P666" s="1">
        <v>3.343E8</v>
      </c>
      <c r="Q666" s="1">
        <v>1.036E8</v>
      </c>
      <c r="R666" s="1">
        <v>4.895E8</v>
      </c>
      <c r="S666" s="1">
        <v>4.895E8</v>
      </c>
      <c r="W666" s="4" t="str">
        <f>Raw_Data!C665&amp;"|"&amp;Raw_Data!D665&amp;"|"&amp;TEXT(Raw_Data!B665,"yyyy-mm-dd")</f>
        <v>Edison International|EIX|2020-09-30</v>
      </c>
    </row>
    <row r="667">
      <c r="A667" s="1">
        <v>665.0</v>
      </c>
      <c r="B667" s="3">
        <v>44286.0</v>
      </c>
      <c r="C667" s="1" t="s">
        <v>374</v>
      </c>
      <c r="D667" s="1" t="s">
        <v>375</v>
      </c>
      <c r="E667" s="1">
        <v>2.07E8</v>
      </c>
      <c r="F667" s="1">
        <v>3.893E8</v>
      </c>
      <c r="G667" s="1">
        <v>3.382E8</v>
      </c>
      <c r="H667" s="1">
        <v>3.308E8</v>
      </c>
      <c r="I667" s="1">
        <v>9.232E8</v>
      </c>
      <c r="J667" s="1">
        <v>3.854E8</v>
      </c>
      <c r="K667" s="1">
        <v>3.854E8</v>
      </c>
      <c r="L667" s="1">
        <v>-2500000.0</v>
      </c>
      <c r="M667" s="1">
        <v>5.11E7</v>
      </c>
      <c r="N667" s="1">
        <v>1.2166E9</v>
      </c>
      <c r="O667" s="1">
        <v>8.312E8</v>
      </c>
      <c r="P667" s="1">
        <v>2.934E8</v>
      </c>
      <c r="Q667" s="1">
        <v>3900000.0</v>
      </c>
      <c r="R667" s="1">
        <v>3.382E8</v>
      </c>
      <c r="S667" s="1">
        <v>3.382E8</v>
      </c>
      <c r="W667" s="4" t="str">
        <f>Raw_Data!C666&amp;"|"&amp;Raw_Data!D666&amp;"|"&amp;TEXT(Raw_Data!B666,"yyyy-mm-dd")</f>
        <v>Edwards Lifesciences|EW|2021-06-30</v>
      </c>
    </row>
    <row r="668">
      <c r="A668" s="1">
        <v>666.0</v>
      </c>
      <c r="B668" s="3">
        <v>44196.0</v>
      </c>
      <c r="C668" s="1" t="s">
        <v>374</v>
      </c>
      <c r="D668" s="1" t="s">
        <v>375</v>
      </c>
      <c r="E668" s="1">
        <v>1.957E8</v>
      </c>
      <c r="F668" s="1">
        <v>3.561E8</v>
      </c>
      <c r="G668" s="1">
        <v>3.095E8</v>
      </c>
      <c r="H668" s="1">
        <v>3.389E8</v>
      </c>
      <c r="I668" s="1">
        <v>8.954E8</v>
      </c>
      <c r="J668" s="1">
        <v>3.608E8</v>
      </c>
      <c r="K668" s="1">
        <v>3.608E8</v>
      </c>
      <c r="L668" s="1">
        <v>-1.58E7</v>
      </c>
      <c r="M668" s="1">
        <v>4.66E7</v>
      </c>
      <c r="N668" s="1">
        <v>1.1917E9</v>
      </c>
      <c r="O668" s="1">
        <v>8.309E8</v>
      </c>
      <c r="P668" s="1">
        <v>2.963E8</v>
      </c>
      <c r="Q668" s="1">
        <v>-4700000.0</v>
      </c>
      <c r="R668" s="1">
        <v>3.095E8</v>
      </c>
      <c r="S668" s="1">
        <v>3.095E8</v>
      </c>
      <c r="W668" s="4" t="str">
        <f>Raw_Data!C667&amp;"|"&amp;Raw_Data!D667&amp;"|"&amp;TEXT(Raw_Data!B667,"yyyy-mm-dd")</f>
        <v>Edwards Lifesciences|EW|2021-03-31</v>
      </c>
    </row>
    <row r="669">
      <c r="A669" s="1">
        <v>667.0</v>
      </c>
      <c r="B669" s="3">
        <v>44104.0</v>
      </c>
      <c r="C669" s="1" t="s">
        <v>374</v>
      </c>
      <c r="D669" s="1" t="s">
        <v>375</v>
      </c>
      <c r="E669" s="1">
        <v>1.955E8</v>
      </c>
      <c r="F669" s="1">
        <v>3.643E8</v>
      </c>
      <c r="G669" s="1">
        <v>3.252E8</v>
      </c>
      <c r="H669" s="1">
        <v>3.072E8</v>
      </c>
      <c r="I669" s="1">
        <v>8.599E8</v>
      </c>
      <c r="J669" s="1">
        <v>3.572E8</v>
      </c>
      <c r="K669" s="1">
        <v>3.572E8</v>
      </c>
      <c r="L669" s="1">
        <v>-800000.0</v>
      </c>
      <c r="M669" s="1">
        <v>3.91E7</v>
      </c>
      <c r="N669" s="1">
        <v>1.1409E9</v>
      </c>
      <c r="O669" s="1">
        <v>7.837E8</v>
      </c>
      <c r="P669" s="1">
        <v>2.81E8</v>
      </c>
      <c r="Q669" s="1">
        <v>7100000.0</v>
      </c>
      <c r="R669" s="1">
        <v>3.252E8</v>
      </c>
      <c r="S669" s="1">
        <v>3.252E8</v>
      </c>
      <c r="W669" s="4" t="str">
        <f>Raw_Data!C668&amp;"|"&amp;Raw_Data!D668&amp;"|"&amp;TEXT(Raw_Data!B668,"yyyy-mm-dd")</f>
        <v>Edwards Lifesciences|EW|2020-12-31</v>
      </c>
    </row>
    <row r="670">
      <c r="A670" s="1">
        <v>668.0</v>
      </c>
      <c r="B670" s="3">
        <v>44377.0</v>
      </c>
      <c r="C670" s="1" t="s">
        <v>376</v>
      </c>
      <c r="D670" s="1" t="s">
        <v>377</v>
      </c>
      <c r="E670" s="1">
        <v>5.15E8</v>
      </c>
      <c r="F670" s="1">
        <v>3.08E8</v>
      </c>
      <c r="G670" s="1">
        <v>2.04E8</v>
      </c>
      <c r="H670" s="1">
        <v>3.48E8</v>
      </c>
      <c r="I670" s="1">
        <v>1.236E9</v>
      </c>
      <c r="J670" s="1">
        <v>3.45E8</v>
      </c>
      <c r="K670" s="1">
        <v>3.45E8</v>
      </c>
      <c r="L670" s="1">
        <v>-1.4E7</v>
      </c>
      <c r="M670" s="1">
        <v>1.04E8</v>
      </c>
      <c r="N670" s="1">
        <v>1.551E9</v>
      </c>
      <c r="O670" s="1">
        <v>1.206E9</v>
      </c>
      <c r="P670" s="1">
        <v>3.15E8</v>
      </c>
      <c r="Q670" s="1">
        <v>-3.7E7</v>
      </c>
      <c r="R670" s="1">
        <v>2.04E8</v>
      </c>
      <c r="S670" s="1">
        <v>2.04E8</v>
      </c>
      <c r="W670" s="4" t="str">
        <f>Raw_Data!C669&amp;"|"&amp;Raw_Data!D669&amp;"|"&amp;TEXT(Raw_Data!B669,"yyyy-mm-dd")</f>
        <v>Edwards Lifesciences|EW|2020-09-30</v>
      </c>
    </row>
    <row r="671">
      <c r="A671" s="1">
        <v>669.0</v>
      </c>
      <c r="B671" s="3">
        <v>44286.0</v>
      </c>
      <c r="C671" s="1" t="s">
        <v>376</v>
      </c>
      <c r="D671" s="1" t="s">
        <v>377</v>
      </c>
      <c r="E671" s="1">
        <v>4.68E8</v>
      </c>
      <c r="F671" s="1">
        <v>1.65E8</v>
      </c>
      <c r="G671" s="1">
        <v>7.6E7</v>
      </c>
      <c r="H671" s="1">
        <v>3.61E8</v>
      </c>
      <c r="I671" s="1">
        <v>1.027E9</v>
      </c>
      <c r="J671" s="1">
        <v>1.84E8</v>
      </c>
      <c r="K671" s="1">
        <v>1.84E8</v>
      </c>
      <c r="L671" s="1">
        <v>-2.2E7</v>
      </c>
      <c r="M671" s="1">
        <v>8.9E7</v>
      </c>
      <c r="N671" s="1">
        <v>1.346E9</v>
      </c>
      <c r="O671" s="1">
        <v>1.162E9</v>
      </c>
      <c r="P671" s="1">
        <v>3.19E8</v>
      </c>
      <c r="Q671" s="1">
        <v>-1.9E7</v>
      </c>
      <c r="R671" s="1">
        <v>7.6E7</v>
      </c>
      <c r="S671" s="1">
        <v>7.6E7</v>
      </c>
      <c r="W671" s="4" t="str">
        <f>Raw_Data!C670&amp;"|"&amp;Raw_Data!D670&amp;"|"&amp;TEXT(Raw_Data!B670,"yyyy-mm-dd")</f>
        <v>Electronic Arts|EA|2021-06-30</v>
      </c>
    </row>
    <row r="672">
      <c r="A672" s="1">
        <v>670.0</v>
      </c>
      <c r="B672" s="3">
        <v>44196.0</v>
      </c>
      <c r="C672" s="1" t="s">
        <v>376</v>
      </c>
      <c r="D672" s="1" t="s">
        <v>377</v>
      </c>
      <c r="E672" s="1">
        <v>4.51E8</v>
      </c>
      <c r="F672" s="1">
        <v>2.45E8</v>
      </c>
      <c r="G672" s="1">
        <v>2.11E8</v>
      </c>
      <c r="H672" s="1">
        <v>3.65E8</v>
      </c>
      <c r="I672" s="1">
        <v>1.072E9</v>
      </c>
      <c r="J672" s="1">
        <v>2.51E8</v>
      </c>
      <c r="K672" s="1">
        <v>2.51E8</v>
      </c>
      <c r="L672" s="1">
        <v>-1.1E7</v>
      </c>
      <c r="M672" s="1">
        <v>3.4E7</v>
      </c>
      <c r="N672" s="1">
        <v>1.673E9</v>
      </c>
      <c r="O672" s="1">
        <v>1.422E9</v>
      </c>
      <c r="P672" s="1">
        <v>6.01E8</v>
      </c>
      <c r="Q672" s="1">
        <v>-6000000.0</v>
      </c>
      <c r="R672" s="1">
        <v>2.11E8</v>
      </c>
      <c r="S672" s="1">
        <v>2.11E8</v>
      </c>
      <c r="W672" s="4" t="str">
        <f>Raw_Data!C671&amp;"|"&amp;Raw_Data!D671&amp;"|"&amp;TEXT(Raw_Data!B671,"yyyy-mm-dd")</f>
        <v>Electronic Arts|EA|2021-03-31</v>
      </c>
    </row>
    <row r="673">
      <c r="A673" s="1">
        <v>671.0</v>
      </c>
      <c r="B673" s="3">
        <v>44104.0</v>
      </c>
      <c r="C673" s="1" t="s">
        <v>376</v>
      </c>
      <c r="D673" s="1" t="s">
        <v>377</v>
      </c>
      <c r="E673" s="1">
        <v>4.21E8</v>
      </c>
      <c r="F673" s="1">
        <v>1.39E8</v>
      </c>
      <c r="G673" s="1">
        <v>1.85E8</v>
      </c>
      <c r="H673" s="1">
        <v>2.89E8</v>
      </c>
      <c r="I673" s="1">
        <v>8.65E8</v>
      </c>
      <c r="J673" s="1">
        <v>1.49E8</v>
      </c>
      <c r="K673" s="1">
        <v>1.49E8</v>
      </c>
      <c r="L673" s="1">
        <v>-1.1E7</v>
      </c>
      <c r="M673" s="1">
        <v>-4.6E7</v>
      </c>
      <c r="N673" s="1">
        <v>1.151E9</v>
      </c>
      <c r="O673" s="1">
        <v>1.002E9</v>
      </c>
      <c r="P673" s="1">
        <v>2.86E8</v>
      </c>
      <c r="Q673" s="1">
        <v>-1.0E7</v>
      </c>
      <c r="R673" s="1">
        <v>1.85E8</v>
      </c>
      <c r="S673" s="1">
        <v>1.85E8</v>
      </c>
      <c r="W673" s="4" t="str">
        <f>Raw_Data!C672&amp;"|"&amp;Raw_Data!D672&amp;"|"&amp;TEXT(Raw_Data!B672,"yyyy-mm-dd")</f>
        <v>Electronic Arts|EA|2020-12-31</v>
      </c>
    </row>
    <row r="674">
      <c r="A674" s="1">
        <v>672.0</v>
      </c>
      <c r="B674" s="3">
        <v>44286.0</v>
      </c>
      <c r="C674" s="1" t="s">
        <v>378</v>
      </c>
      <c r="D674" s="1" t="s">
        <v>379</v>
      </c>
      <c r="E674" s="1">
        <v>1.6848E9</v>
      </c>
      <c r="F674" s="1">
        <v>1.4764E9</v>
      </c>
      <c r="G674" s="1">
        <v>1.3553E9</v>
      </c>
      <c r="H674" s="1">
        <v>1.5026E9</v>
      </c>
      <c r="I674" s="1">
        <v>4.927E9</v>
      </c>
      <c r="J674" s="1">
        <v>1.7396E9</v>
      </c>
      <c r="K674" s="1">
        <v>1.7396E9</v>
      </c>
      <c r="L674" s="1">
        <v>-8.78E7</v>
      </c>
      <c r="M674" s="1">
        <v>1.211E8</v>
      </c>
      <c r="N674" s="1">
        <v>6.8056E9</v>
      </c>
      <c r="O674" s="1">
        <v>5.066E9</v>
      </c>
      <c r="P674" s="1">
        <v>1.8786E9</v>
      </c>
      <c r="Q674" s="1">
        <v>-2.632E8</v>
      </c>
      <c r="R674" s="1">
        <v>1.3553E9</v>
      </c>
      <c r="S674" s="1">
        <v>1.3553E9</v>
      </c>
      <c r="W674" s="4" t="str">
        <f>Raw_Data!C673&amp;"|"&amp;Raw_Data!D673&amp;"|"&amp;TEXT(Raw_Data!B673,"yyyy-mm-dd")</f>
        <v>Electronic Arts|EA|2020-09-30</v>
      </c>
    </row>
    <row r="675">
      <c r="A675" s="1">
        <v>673.0</v>
      </c>
      <c r="B675" s="3">
        <v>44196.0</v>
      </c>
      <c r="C675" s="1" t="s">
        <v>378</v>
      </c>
      <c r="D675" s="1" t="s">
        <v>379</v>
      </c>
      <c r="E675" s="1">
        <v>1.838E9</v>
      </c>
      <c r="F675" s="1">
        <v>2.4691E9</v>
      </c>
      <c r="G675" s="1">
        <v>2.1168E9</v>
      </c>
      <c r="H675" s="1">
        <v>1.4966E9</v>
      </c>
      <c r="I675" s="1">
        <v>5.7202E9</v>
      </c>
      <c r="J675" s="1">
        <v>2.3856E9</v>
      </c>
      <c r="K675" s="1">
        <v>2.3856E9</v>
      </c>
      <c r="L675" s="1">
        <v>-8.92E7</v>
      </c>
      <c r="M675" s="1">
        <v>3.523E8</v>
      </c>
      <c r="N675" s="1">
        <v>7.44E9</v>
      </c>
      <c r="O675" s="1">
        <v>5.0544E9</v>
      </c>
      <c r="P675" s="1">
        <v>1.7198E9</v>
      </c>
      <c r="Q675" s="1">
        <v>8.35E7</v>
      </c>
      <c r="R675" s="1">
        <v>2.1168E9</v>
      </c>
      <c r="S675" s="1">
        <v>2.1168E9</v>
      </c>
      <c r="W675" s="4" t="str">
        <f>Raw_Data!C674&amp;"|"&amp;Raw_Data!D674&amp;"|"&amp;TEXT(Raw_Data!B674,"yyyy-mm-dd")</f>
        <v>Eli Lilly &amp; Co|LLY|2021-03-31</v>
      </c>
    </row>
    <row r="676">
      <c r="A676" s="1">
        <v>674.0</v>
      </c>
      <c r="B676" s="3">
        <v>44104.0</v>
      </c>
      <c r="C676" s="1" t="s">
        <v>378</v>
      </c>
      <c r="D676" s="1" t="s">
        <v>379</v>
      </c>
      <c r="E676" s="1">
        <v>1.4654E9</v>
      </c>
      <c r="F676" s="1">
        <v>1.4372E9</v>
      </c>
      <c r="G676" s="1">
        <v>1.2084E9</v>
      </c>
      <c r="H676" s="1">
        <v>1.4551E9</v>
      </c>
      <c r="I676" s="1">
        <v>4.4142E9</v>
      </c>
      <c r="J676" s="1">
        <v>1.4937E9</v>
      </c>
      <c r="K676" s="1">
        <v>1.4937E9</v>
      </c>
      <c r="L676" s="1">
        <v>-8.96E7</v>
      </c>
      <c r="M676" s="1">
        <v>2.288E8</v>
      </c>
      <c r="N676" s="1">
        <v>5.7406E9</v>
      </c>
      <c r="O676" s="1">
        <v>4.2469E9</v>
      </c>
      <c r="P676" s="1">
        <v>1.3264E9</v>
      </c>
      <c r="Q676" s="1">
        <v>-5.65E7</v>
      </c>
      <c r="R676" s="1">
        <v>1.2084E9</v>
      </c>
      <c r="S676" s="1">
        <v>1.2084E9</v>
      </c>
      <c r="W676" s="4" t="str">
        <f>Raw_Data!C675&amp;"|"&amp;Raw_Data!D675&amp;"|"&amp;TEXT(Raw_Data!B675,"yyyy-mm-dd")</f>
        <v>Eli Lilly &amp; Co|LLY|2020-12-31</v>
      </c>
    </row>
    <row r="677">
      <c r="A677" s="1">
        <v>675.0</v>
      </c>
      <c r="B677" s="3">
        <v>44012.0</v>
      </c>
      <c r="C677" s="1" t="s">
        <v>378</v>
      </c>
      <c r="D677" s="1" t="s">
        <v>379</v>
      </c>
      <c r="E677" s="1">
        <v>1.3902E9</v>
      </c>
      <c r="F677" s="1">
        <v>1.6437E9</v>
      </c>
      <c r="G677" s="1">
        <v>1.412E9</v>
      </c>
      <c r="H677" s="1">
        <v>1.4127E9</v>
      </c>
      <c r="I677" s="1">
        <v>4.2774E9</v>
      </c>
      <c r="J677" s="1">
        <v>1.4745E9</v>
      </c>
      <c r="K677" s="1">
        <v>1.4745E9</v>
      </c>
      <c r="L677" s="1">
        <v>-8.83E7</v>
      </c>
      <c r="M677" s="1">
        <v>2.317E8</v>
      </c>
      <c r="N677" s="1">
        <v>5.4994E9</v>
      </c>
      <c r="O677" s="1">
        <v>4.0249E9</v>
      </c>
      <c r="P677" s="1">
        <v>1.222E9</v>
      </c>
      <c r="Q677" s="1">
        <v>1.692E8</v>
      </c>
      <c r="R677" s="1">
        <v>1.412E9</v>
      </c>
      <c r="S677" s="1">
        <v>1.412E9</v>
      </c>
      <c r="W677" s="4" t="str">
        <f>Raw_Data!C676&amp;"|"&amp;Raw_Data!D676&amp;"|"&amp;TEXT(Raw_Data!B676,"yyyy-mm-dd")</f>
        <v>Eli Lilly &amp; Co|LLY|2020-09-30</v>
      </c>
    </row>
    <row r="678">
      <c r="A678" s="1">
        <v>676.0</v>
      </c>
      <c r="B678" s="3">
        <v>44377.0</v>
      </c>
      <c r="C678" s="1" t="s">
        <v>380</v>
      </c>
      <c r="D678" s="1" t="s">
        <v>381</v>
      </c>
      <c r="F678" s="1">
        <v>7.84E8</v>
      </c>
      <c r="G678" s="1">
        <v>6.27E8</v>
      </c>
      <c r="H678" s="1">
        <v>1.073E9</v>
      </c>
      <c r="I678" s="1">
        <v>1.982E9</v>
      </c>
      <c r="J678" s="1">
        <v>8.41E8</v>
      </c>
      <c r="K678" s="1">
        <v>8.41E8</v>
      </c>
      <c r="L678" s="1">
        <v>-4.0E7</v>
      </c>
      <c r="M678" s="1">
        <v>1.51E8</v>
      </c>
      <c r="N678" s="1">
        <v>4.697E9</v>
      </c>
      <c r="O678" s="1">
        <v>3.856E9</v>
      </c>
      <c r="P678" s="1">
        <v>2.715E9</v>
      </c>
      <c r="Q678" s="1">
        <v>-5.7E7</v>
      </c>
      <c r="R678" s="1">
        <v>6.33E8</v>
      </c>
      <c r="S678" s="1">
        <v>6.27E8</v>
      </c>
      <c r="W678" s="4" t="str">
        <f>Raw_Data!C677&amp;"|"&amp;Raw_Data!D677&amp;"|"&amp;TEXT(Raw_Data!B677,"yyyy-mm-dd")</f>
        <v>Eli Lilly &amp; Co|LLY|2020-06-30</v>
      </c>
    </row>
    <row r="679">
      <c r="A679" s="1">
        <v>677.0</v>
      </c>
      <c r="B679" s="3">
        <v>44286.0</v>
      </c>
      <c r="C679" s="1" t="s">
        <v>380</v>
      </c>
      <c r="D679" s="1" t="s">
        <v>381</v>
      </c>
      <c r="F679" s="1">
        <v>7.37E8</v>
      </c>
      <c r="G679" s="1">
        <v>5.61E8</v>
      </c>
      <c r="H679" s="1">
        <v>1.054E9</v>
      </c>
      <c r="I679" s="1">
        <v>1.862E9</v>
      </c>
      <c r="J679" s="1">
        <v>7.83E8</v>
      </c>
      <c r="K679" s="1">
        <v>7.83E8</v>
      </c>
      <c r="L679" s="1">
        <v>-4.2E7</v>
      </c>
      <c r="M679" s="1">
        <v>1.69E8</v>
      </c>
      <c r="N679" s="1">
        <v>4.431E9</v>
      </c>
      <c r="O679" s="1">
        <v>3.648E9</v>
      </c>
      <c r="P679" s="1">
        <v>2.569E9</v>
      </c>
      <c r="Q679" s="1">
        <v>-4.6E7</v>
      </c>
      <c r="R679" s="1">
        <v>5.68E8</v>
      </c>
      <c r="S679" s="1">
        <v>5.61E8</v>
      </c>
      <c r="W679" s="4" t="str">
        <f>Raw_Data!C678&amp;"|"&amp;Raw_Data!D678&amp;"|"&amp;TEXT(Raw_Data!B678,"yyyy-mm-dd")</f>
        <v>Emerson Electric Company|EMR|2021-06-30</v>
      </c>
    </row>
    <row r="680">
      <c r="A680" s="1">
        <v>678.0</v>
      </c>
      <c r="B680" s="3">
        <v>44196.0</v>
      </c>
      <c r="C680" s="1" t="s">
        <v>380</v>
      </c>
      <c r="D680" s="1" t="s">
        <v>381</v>
      </c>
      <c r="F680" s="1">
        <v>5.63E8</v>
      </c>
      <c r="G680" s="1">
        <v>4.45E8</v>
      </c>
      <c r="H680" s="1">
        <v>9.98E8</v>
      </c>
      <c r="I680" s="1">
        <v>1.723E9</v>
      </c>
      <c r="J680" s="1">
        <v>6.44E8</v>
      </c>
      <c r="K680" s="1">
        <v>6.44E8</v>
      </c>
      <c r="L680" s="1">
        <v>-4.2E7</v>
      </c>
      <c r="M680" s="1">
        <v>1.11E8</v>
      </c>
      <c r="N680" s="1">
        <v>4.161E9</v>
      </c>
      <c r="O680" s="1">
        <v>3.517E9</v>
      </c>
      <c r="P680" s="1">
        <v>2.438E9</v>
      </c>
      <c r="Q680" s="1">
        <v>-8.1E7</v>
      </c>
      <c r="R680" s="1">
        <v>4.52E8</v>
      </c>
      <c r="S680" s="1">
        <v>4.45E8</v>
      </c>
      <c r="W680" s="4" t="str">
        <f>Raw_Data!C679&amp;"|"&amp;Raw_Data!D679&amp;"|"&amp;TEXT(Raw_Data!B679,"yyyy-mm-dd")</f>
        <v>Emerson Electric Company|EMR|2021-03-31</v>
      </c>
    </row>
    <row r="681">
      <c r="A681" s="1">
        <v>679.0</v>
      </c>
      <c r="B681" s="3">
        <v>44104.0</v>
      </c>
      <c r="C681" s="1" t="s">
        <v>380</v>
      </c>
      <c r="D681" s="1" t="s">
        <v>381</v>
      </c>
      <c r="F681" s="1">
        <v>7.65E8</v>
      </c>
      <c r="G681" s="1">
        <v>7.23E8</v>
      </c>
      <c r="H681" s="1">
        <v>9.46E8</v>
      </c>
      <c r="I681" s="1">
        <v>1.887E9</v>
      </c>
      <c r="J681" s="1">
        <v>9.26E8</v>
      </c>
      <c r="K681" s="1">
        <v>9.26E8</v>
      </c>
      <c r="L681" s="1">
        <v>-4.3E7</v>
      </c>
      <c r="M681" s="1">
        <v>3.5E7</v>
      </c>
      <c r="N681" s="1">
        <v>4.558E9</v>
      </c>
      <c r="O681" s="1">
        <v>3.632E9</v>
      </c>
      <c r="P681" s="1">
        <v>2.671E9</v>
      </c>
      <c r="Q681" s="1">
        <v>-1.61E8</v>
      </c>
      <c r="R681" s="1">
        <v>7.3E8</v>
      </c>
      <c r="S681" s="1">
        <v>7.23E8</v>
      </c>
      <c r="W681" s="4" t="str">
        <f>Raw_Data!C680&amp;"|"&amp;Raw_Data!D680&amp;"|"&amp;TEXT(Raw_Data!B680,"yyyy-mm-dd")</f>
        <v>Emerson Electric Company|EMR|2020-12-31</v>
      </c>
    </row>
    <row r="682">
      <c r="A682" s="1">
        <v>680.0</v>
      </c>
      <c r="B682" s="3">
        <v>44286.0</v>
      </c>
      <c r="C682" s="1" t="s">
        <v>382</v>
      </c>
      <c r="D682" s="1" t="s">
        <v>383</v>
      </c>
      <c r="E682" s="1">
        <v>2.1818E7</v>
      </c>
      <c r="F682" s="1">
        <v>-1666000.0</v>
      </c>
      <c r="G682" s="1">
        <v>3.1698E7</v>
      </c>
      <c r="H682" s="1">
        <v>3.6645E7</v>
      </c>
      <c r="I682" s="1">
        <v>1.22949E8</v>
      </c>
      <c r="J682" s="1">
        <v>6.4486E7</v>
      </c>
      <c r="K682" s="1">
        <v>6.4486E7</v>
      </c>
      <c r="L682" s="1">
        <v>-7329000.0</v>
      </c>
      <c r="M682" s="1">
        <v>-3.3364E7</v>
      </c>
      <c r="N682" s="1">
        <v>3.01754E8</v>
      </c>
      <c r="O682" s="1">
        <v>2.37268E8</v>
      </c>
      <c r="P682" s="1">
        <v>1.78805E8</v>
      </c>
      <c r="Q682" s="1">
        <v>-6.6152E7</v>
      </c>
      <c r="R682" s="1">
        <v>3.1698E7</v>
      </c>
      <c r="S682" s="1">
        <v>3.1698E7</v>
      </c>
      <c r="W682" s="4" t="str">
        <f>Raw_Data!C681&amp;"|"&amp;Raw_Data!D681&amp;"|"&amp;TEXT(Raw_Data!B681,"yyyy-mm-dd")</f>
        <v>Emerson Electric Company|EMR|2020-09-30</v>
      </c>
    </row>
    <row r="683">
      <c r="A683" s="1">
        <v>681.0</v>
      </c>
      <c r="B683" s="3">
        <v>44196.0</v>
      </c>
      <c r="C683" s="1" t="s">
        <v>382</v>
      </c>
      <c r="D683" s="1" t="s">
        <v>383</v>
      </c>
      <c r="E683" s="1">
        <v>1.5801E7</v>
      </c>
      <c r="F683" s="1">
        <v>7.1352E7</v>
      </c>
      <c r="G683" s="1">
        <v>7.2991E7</v>
      </c>
      <c r="H683" s="1">
        <v>2.7023E7</v>
      </c>
      <c r="I683" s="1">
        <v>1.21938E8</v>
      </c>
      <c r="J683" s="1">
        <v>7.9114E7</v>
      </c>
      <c r="K683" s="1">
        <v>7.9114E7</v>
      </c>
      <c r="L683" s="1">
        <v>-5901000.0</v>
      </c>
      <c r="M683" s="1">
        <v>-1639000.0</v>
      </c>
      <c r="N683" s="1">
        <v>2.64839E8</v>
      </c>
      <c r="O683" s="1">
        <v>1.85725E8</v>
      </c>
      <c r="P683" s="1">
        <v>1.42901E8</v>
      </c>
      <c r="Q683" s="1">
        <v>-7762000.0</v>
      </c>
      <c r="R683" s="1">
        <v>7.2991E7</v>
      </c>
      <c r="S683" s="1">
        <v>7.2991E7</v>
      </c>
      <c r="W683" s="4" t="str">
        <f>Raw_Data!C682&amp;"|"&amp;Raw_Data!D682&amp;"|"&amp;TEXT(Raw_Data!B682,"yyyy-mm-dd")</f>
        <v>Enphase Energy|ENPH|2021-03-31</v>
      </c>
    </row>
    <row r="684">
      <c r="A684" s="1">
        <v>682.0</v>
      </c>
      <c r="B684" s="3">
        <v>44104.0</v>
      </c>
      <c r="C684" s="1" t="s">
        <v>382</v>
      </c>
      <c r="D684" s="1" t="s">
        <v>383</v>
      </c>
      <c r="E684" s="1">
        <v>1.5052E7</v>
      </c>
      <c r="F684" s="1">
        <v>4.4845E7</v>
      </c>
      <c r="G684" s="1">
        <v>3.9362E7</v>
      </c>
      <c r="H684" s="1">
        <v>2.817E7</v>
      </c>
      <c r="I684" s="1">
        <v>9.4981E7</v>
      </c>
      <c r="J684" s="1">
        <v>5.1759E7</v>
      </c>
      <c r="K684" s="1">
        <v>5.1759E7</v>
      </c>
      <c r="L684" s="1">
        <v>-5993000.0</v>
      </c>
      <c r="M684" s="1">
        <v>5483000.0</v>
      </c>
      <c r="N684" s="1">
        <v>1.78503E8</v>
      </c>
      <c r="O684" s="1">
        <v>1.26744E8</v>
      </c>
      <c r="P684" s="1">
        <v>8.3522E7</v>
      </c>
      <c r="Q684" s="1">
        <v>-6914000.0</v>
      </c>
      <c r="R684" s="1">
        <v>3.9362E7</v>
      </c>
      <c r="S684" s="1">
        <v>3.9362E7</v>
      </c>
      <c r="W684" s="4" t="str">
        <f>Raw_Data!C683&amp;"|"&amp;Raw_Data!D683&amp;"|"&amp;TEXT(Raw_Data!B683,"yyyy-mm-dd")</f>
        <v>Enphase Energy|ENPH|2020-12-31</v>
      </c>
    </row>
    <row r="685">
      <c r="A685" s="1">
        <v>683.0</v>
      </c>
      <c r="B685" s="3">
        <v>44012.0</v>
      </c>
      <c r="C685" s="1" t="s">
        <v>382</v>
      </c>
      <c r="D685" s="1" t="s">
        <v>383</v>
      </c>
      <c r="E685" s="1">
        <v>1.3192E7</v>
      </c>
      <c r="F685" s="1">
        <v>-5.3855E7</v>
      </c>
      <c r="G685" s="1">
        <v>-4.7294E7</v>
      </c>
      <c r="H685" s="1">
        <v>2.4341E7</v>
      </c>
      <c r="I685" s="1">
        <v>4.8387E7</v>
      </c>
      <c r="J685" s="1">
        <v>1.0854E7</v>
      </c>
      <c r="K685" s="1">
        <v>1.0854E7</v>
      </c>
      <c r="L685" s="1">
        <v>-5952000.0</v>
      </c>
      <c r="M685" s="1">
        <v>-6561000.0</v>
      </c>
      <c r="N685" s="1">
        <v>1.25538E8</v>
      </c>
      <c r="O685" s="1">
        <v>1.14684E8</v>
      </c>
      <c r="P685" s="1">
        <v>7.7151E7</v>
      </c>
      <c r="Q685" s="1">
        <v>-6.4709E7</v>
      </c>
      <c r="R685" s="1">
        <v>-4.7294E7</v>
      </c>
      <c r="S685" s="1">
        <v>-4.7294E7</v>
      </c>
      <c r="W685" s="4" t="str">
        <f>Raw_Data!C684&amp;"|"&amp;Raw_Data!D684&amp;"|"&amp;TEXT(Raw_Data!B684,"yyyy-mm-dd")</f>
        <v>Enphase Energy|ENPH|2020-09-30</v>
      </c>
    </row>
    <row r="686">
      <c r="A686" s="1">
        <v>684.0</v>
      </c>
      <c r="B686" s="3">
        <v>44377.0</v>
      </c>
      <c r="C686" s="1" t="s">
        <v>384</v>
      </c>
      <c r="D686" s="1" t="s">
        <v>385</v>
      </c>
      <c r="F686" s="1">
        <v>-2.439E7</v>
      </c>
      <c r="G686" s="1">
        <v>-5974000.0</v>
      </c>
      <c r="H686" s="1">
        <v>1.45691E8</v>
      </c>
      <c r="I686" s="1">
        <v>1.118817E9</v>
      </c>
      <c r="J686" s="1">
        <v>3.64609E8</v>
      </c>
      <c r="K686" s="1">
        <v>3.64609E8</v>
      </c>
      <c r="L686" s="1">
        <v>-2.24968E8</v>
      </c>
      <c r="M686" s="1">
        <v>-1.8416E7</v>
      </c>
      <c r="N686" s="1">
        <v>2.82207E9</v>
      </c>
      <c r="O686" s="1">
        <v>2.457461E9</v>
      </c>
      <c r="P686" s="1">
        <v>1.703253E9</v>
      </c>
      <c r="Q686" s="1">
        <v>-3.88999E8</v>
      </c>
      <c r="R686" s="1">
        <v>-5974000.0</v>
      </c>
      <c r="S686" s="1">
        <v>-5974000.0</v>
      </c>
      <c r="W686" s="4" t="str">
        <f>Raw_Data!C685&amp;"|"&amp;Raw_Data!D685&amp;"|"&amp;TEXT(Raw_Data!B685,"yyyy-mm-dd")</f>
        <v>Enphase Energy|ENPH|2020-06-30</v>
      </c>
    </row>
    <row r="687">
      <c r="A687" s="1">
        <v>685.0</v>
      </c>
      <c r="B687" s="3">
        <v>44286.0</v>
      </c>
      <c r="C687" s="1" t="s">
        <v>384</v>
      </c>
      <c r="D687" s="1" t="s">
        <v>385</v>
      </c>
      <c r="F687" s="1">
        <v>4.00507E8</v>
      </c>
      <c r="G687" s="1">
        <v>3.34565E8</v>
      </c>
      <c r="H687" s="1">
        <v>3.1739E7</v>
      </c>
      <c r="I687" s="1">
        <v>1.213412E9</v>
      </c>
      <c r="J687" s="1">
        <v>4.79531E8</v>
      </c>
      <c r="K687" s="1">
        <v>4.79531E8</v>
      </c>
      <c r="L687" s="1">
        <v>-2.10514E8</v>
      </c>
      <c r="M687" s="1">
        <v>6.5942E7</v>
      </c>
      <c r="N687" s="1">
        <v>2.844838E9</v>
      </c>
      <c r="O687" s="1">
        <v>2.365307E9</v>
      </c>
      <c r="P687" s="1">
        <v>1.631426E9</v>
      </c>
      <c r="Q687" s="1">
        <v>-7.9024E7</v>
      </c>
      <c r="R687" s="1">
        <v>3.34565E8</v>
      </c>
      <c r="S687" s="1">
        <v>3.34565E8</v>
      </c>
      <c r="W687" s="4" t="str">
        <f>Raw_Data!C686&amp;"|"&amp;Raw_Data!D686&amp;"|"&amp;TEXT(Raw_Data!B686,"yyyy-mm-dd")</f>
        <v>Entergy|ETR|2021-06-30</v>
      </c>
    </row>
    <row r="688">
      <c r="A688" s="1">
        <v>686.0</v>
      </c>
      <c r="B688" s="3">
        <v>44196.0</v>
      </c>
      <c r="C688" s="1" t="s">
        <v>384</v>
      </c>
      <c r="D688" s="1" t="s">
        <v>385</v>
      </c>
      <c r="F688" s="1">
        <v>9.9096E7</v>
      </c>
      <c r="G688" s="1">
        <v>3.87968E8</v>
      </c>
      <c r="H688" s="1">
        <v>-1.65327E8</v>
      </c>
      <c r="I688" s="1">
        <v>9.68432E8</v>
      </c>
      <c r="J688" s="1">
        <v>3.98729E8</v>
      </c>
      <c r="K688" s="1">
        <v>3.98729E8</v>
      </c>
      <c r="L688" s="1">
        <v>-2.12411E8</v>
      </c>
      <c r="M688" s="1">
        <v>-2.88872E8</v>
      </c>
      <c r="N688" s="1">
        <v>2.370102E9</v>
      </c>
      <c r="O688" s="1">
        <v>1.971373E9</v>
      </c>
      <c r="P688" s="1">
        <v>1.40167E9</v>
      </c>
      <c r="Q688" s="1">
        <v>-2.99633E8</v>
      </c>
      <c r="R688" s="1">
        <v>3.87968E8</v>
      </c>
      <c r="S688" s="1">
        <v>3.87968E8</v>
      </c>
      <c r="W688" s="4" t="str">
        <f>Raw_Data!C687&amp;"|"&amp;Raw_Data!D687&amp;"|"&amp;TEXT(Raw_Data!B687,"yyyy-mm-dd")</f>
        <v>Entergy|ETR|2021-03-31</v>
      </c>
    </row>
    <row r="689">
      <c r="A689" s="1">
        <v>687.0</v>
      </c>
      <c r="B689" s="3">
        <v>44104.0</v>
      </c>
      <c r="C689" s="1" t="s">
        <v>384</v>
      </c>
      <c r="D689" s="1" t="s">
        <v>385</v>
      </c>
      <c r="F689" s="1">
        <v>6.70563E8</v>
      </c>
      <c r="G689" s="1">
        <v>5.21119E8</v>
      </c>
      <c r="H689" s="1">
        <v>7.6341E7</v>
      </c>
      <c r="I689" s="1">
        <v>1.421255E9</v>
      </c>
      <c r="J689" s="1">
        <v>7.06136E8</v>
      </c>
      <c r="K689" s="1">
        <v>7.06136E8</v>
      </c>
      <c r="L689" s="1">
        <v>-2.12439E8</v>
      </c>
      <c r="M689" s="1">
        <v>1.49444E8</v>
      </c>
      <c r="N689" s="1">
        <v>2.903568E9</v>
      </c>
      <c r="O689" s="1">
        <v>2.197432E9</v>
      </c>
      <c r="P689" s="1">
        <v>1.482313E9</v>
      </c>
      <c r="Q689" s="1">
        <v>-3.5573E7</v>
      </c>
      <c r="R689" s="1">
        <v>5.21119E8</v>
      </c>
      <c r="S689" s="1">
        <v>5.21119E8</v>
      </c>
      <c r="W689" s="4" t="str">
        <f>Raw_Data!C688&amp;"|"&amp;Raw_Data!D688&amp;"|"&amp;TEXT(Raw_Data!B688,"yyyy-mm-dd")</f>
        <v>Entergy|ETR|2020-12-31</v>
      </c>
    </row>
    <row r="690">
      <c r="A690" s="1">
        <v>688.0</v>
      </c>
      <c r="B690" s="3">
        <v>44377.0</v>
      </c>
      <c r="C690" s="1" t="s">
        <v>386</v>
      </c>
      <c r="D690" s="1" t="s">
        <v>387</v>
      </c>
      <c r="F690" s="1">
        <v>1.124E9</v>
      </c>
      <c r="G690" s="1">
        <v>9.07E8</v>
      </c>
      <c r="H690" s="1">
        <v>1.2E8</v>
      </c>
      <c r="I690" s="1">
        <v>2.912E9</v>
      </c>
      <c r="J690" s="1">
        <v>1.121E9</v>
      </c>
      <c r="K690" s="1">
        <v>1.121E9</v>
      </c>
      <c r="L690" s="1">
        <v>-4.5E7</v>
      </c>
      <c r="M690" s="1">
        <v>2.17E8</v>
      </c>
      <c r="N690" s="1">
        <v>4.515E9</v>
      </c>
      <c r="O690" s="1">
        <v>3.394E9</v>
      </c>
      <c r="P690" s="1">
        <v>1.603E9</v>
      </c>
      <c r="Q690" s="1">
        <v>3000000.0</v>
      </c>
      <c r="R690" s="1">
        <v>9.07E8</v>
      </c>
      <c r="S690" s="1">
        <v>9.07E8</v>
      </c>
      <c r="W690" s="4" t="str">
        <f>Raw_Data!C689&amp;"|"&amp;Raw_Data!D689&amp;"|"&amp;TEXT(Raw_Data!B689,"yyyy-mm-dd")</f>
        <v>Entergy|ETR|2020-09-30</v>
      </c>
    </row>
    <row r="691">
      <c r="A691" s="1">
        <v>689.0</v>
      </c>
      <c r="B691" s="3">
        <v>44286.0</v>
      </c>
      <c r="C691" s="1" t="s">
        <v>386</v>
      </c>
      <c r="D691" s="1" t="s">
        <v>387</v>
      </c>
      <c r="F691" s="1">
        <v>8.81E8</v>
      </c>
      <c r="G691" s="1">
        <v>6.77E8</v>
      </c>
      <c r="H691" s="1">
        <v>1.1E8</v>
      </c>
      <c r="I691" s="1">
        <v>2.618E9</v>
      </c>
      <c r="J691" s="1">
        <v>9.39E8</v>
      </c>
      <c r="K691" s="1">
        <v>9.39E8</v>
      </c>
      <c r="L691" s="1">
        <v>-4.7E7</v>
      </c>
      <c r="M691" s="1">
        <v>2.04E8</v>
      </c>
      <c r="N691" s="1">
        <v>4.067E9</v>
      </c>
      <c r="O691" s="1">
        <v>3.128E9</v>
      </c>
      <c r="P691" s="1">
        <v>1.449E9</v>
      </c>
      <c r="Q691" s="1">
        <v>-5.8E7</v>
      </c>
      <c r="R691" s="1">
        <v>6.77E8</v>
      </c>
      <c r="S691" s="1">
        <v>6.77E8</v>
      </c>
      <c r="W691" s="4" t="str">
        <f>Raw_Data!C690&amp;"|"&amp;Raw_Data!D690&amp;"|"&amp;TEXT(Raw_Data!B690,"yyyy-mm-dd")</f>
        <v>EOG Resources|EOG|2021-06-30</v>
      </c>
    </row>
    <row r="692">
      <c r="A692" s="1">
        <v>690.0</v>
      </c>
      <c r="B692" s="3">
        <v>44196.0</v>
      </c>
      <c r="C692" s="1" t="s">
        <v>386</v>
      </c>
      <c r="D692" s="1" t="s">
        <v>387</v>
      </c>
      <c r="F692" s="1">
        <v>4.2776E8</v>
      </c>
      <c r="G692" s="1">
        <v>3.37466E8</v>
      </c>
      <c r="H692" s="1">
        <v>1.13235E8</v>
      </c>
      <c r="I692" s="1">
        <v>1.704077E9</v>
      </c>
      <c r="J692" s="1">
        <v>8.52826E8</v>
      </c>
      <c r="K692" s="1">
        <v>8.52826E8</v>
      </c>
      <c r="L692" s="1">
        <v>-5.3121E7</v>
      </c>
      <c r="M692" s="1">
        <v>9.0294E7</v>
      </c>
      <c r="N692" s="1">
        <v>2.901794E9</v>
      </c>
      <c r="O692" s="1">
        <v>2.048968E9</v>
      </c>
      <c r="P692" s="1">
        <v>1.197717E9</v>
      </c>
      <c r="Q692" s="1">
        <v>-4.25066E8</v>
      </c>
      <c r="R692" s="1">
        <v>3.37466E8</v>
      </c>
      <c r="S692" s="1">
        <v>3.37466E8</v>
      </c>
      <c r="W692" s="4" t="str">
        <f>Raw_Data!C691&amp;"|"&amp;Raw_Data!D691&amp;"|"&amp;TEXT(Raw_Data!B691,"yyyy-mm-dd")</f>
        <v>EOG Resources|EOG|2021-03-31</v>
      </c>
    </row>
    <row r="693">
      <c r="A693" s="1">
        <v>691.0</v>
      </c>
      <c r="B693" s="3">
        <v>44104.0</v>
      </c>
      <c r="C693" s="1" t="s">
        <v>386</v>
      </c>
      <c r="D693" s="1" t="s">
        <v>387</v>
      </c>
      <c r="F693" s="1">
        <v>-5.2555E7</v>
      </c>
      <c r="G693" s="1">
        <v>-4.2467E7</v>
      </c>
      <c r="H693" s="1">
        <v>1.2446E8</v>
      </c>
      <c r="I693" s="1">
        <v>1.276567E9</v>
      </c>
      <c r="J693" s="1">
        <v>6.8262E7</v>
      </c>
      <c r="K693" s="1">
        <v>6.8262E7</v>
      </c>
      <c r="L693" s="1">
        <v>-5.3242E7</v>
      </c>
      <c r="M693" s="1">
        <v>-1.0088E7</v>
      </c>
      <c r="N693" s="1">
        <v>2.320438E9</v>
      </c>
      <c r="O693" s="1">
        <v>2.252176E9</v>
      </c>
      <c r="P693" s="1">
        <v>1.043871E9</v>
      </c>
      <c r="Q693" s="1">
        <v>-1.20817E8</v>
      </c>
      <c r="R693" s="1">
        <v>-4.2467E7</v>
      </c>
      <c r="S693" s="1">
        <v>-4.2467E7</v>
      </c>
      <c r="W693" s="4" t="str">
        <f>Raw_Data!C692&amp;"|"&amp;Raw_Data!D692&amp;"|"&amp;TEXT(Raw_Data!B692,"yyyy-mm-dd")</f>
        <v>EOG Resources|EOG|2020-12-31</v>
      </c>
    </row>
    <row r="694">
      <c r="A694" s="1">
        <v>692.0</v>
      </c>
      <c r="B694" s="3">
        <v>44377.0</v>
      </c>
      <c r="C694" s="1" t="s">
        <v>388</v>
      </c>
      <c r="D694" s="1" t="s">
        <v>389</v>
      </c>
      <c r="F694" s="1">
        <v>2.771E8</v>
      </c>
      <c r="G694" s="1">
        <v>2.151E8</v>
      </c>
      <c r="H694" s="1">
        <v>3.284E8</v>
      </c>
      <c r="I694" s="1">
        <v>7.518E8</v>
      </c>
      <c r="J694" s="1">
        <v>3.06E8</v>
      </c>
      <c r="K694" s="1">
        <v>3.06E8</v>
      </c>
      <c r="L694" s="1">
        <v>-3.49E7</v>
      </c>
      <c r="M694" s="1">
        <v>6.12E7</v>
      </c>
      <c r="N694" s="1">
        <v>1.2348E9</v>
      </c>
      <c r="O694" s="1">
        <v>9.288E8</v>
      </c>
      <c r="P694" s="1">
        <v>4.83E8</v>
      </c>
      <c r="Q694" s="1">
        <v>-2.89E7</v>
      </c>
      <c r="R694" s="1">
        <v>2.159E8</v>
      </c>
      <c r="S694" s="1">
        <v>2.151E8</v>
      </c>
      <c r="W694" s="4" t="str">
        <f>Raw_Data!C693&amp;"|"&amp;Raw_Data!D693&amp;"|"&amp;TEXT(Raw_Data!B693,"yyyy-mm-dd")</f>
        <v>EOG Resources|EOG|2020-09-30</v>
      </c>
    </row>
    <row r="695">
      <c r="A695" s="1">
        <v>693.0</v>
      </c>
      <c r="B695" s="3">
        <v>44286.0</v>
      </c>
      <c r="C695" s="1" t="s">
        <v>388</v>
      </c>
      <c r="D695" s="1" t="s">
        <v>389</v>
      </c>
      <c r="F695" s="1">
        <v>2.685E8</v>
      </c>
      <c r="G695" s="1">
        <v>2.016E8</v>
      </c>
      <c r="H695" s="1">
        <v>3.088E8</v>
      </c>
      <c r="I695" s="1">
        <v>7.297E8</v>
      </c>
      <c r="J695" s="1">
        <v>3.066E8</v>
      </c>
      <c r="K695" s="1">
        <v>3.066E8</v>
      </c>
      <c r="L695" s="1">
        <v>-3.72E7</v>
      </c>
      <c r="M695" s="1">
        <v>6.56E7</v>
      </c>
      <c r="N695" s="1">
        <v>1.213E9</v>
      </c>
      <c r="O695" s="1">
        <v>9.064E8</v>
      </c>
      <c r="P695" s="1">
        <v>4.833E8</v>
      </c>
      <c r="Q695" s="1">
        <v>-3.81E7</v>
      </c>
      <c r="R695" s="1">
        <v>2.029E8</v>
      </c>
      <c r="S695" s="1">
        <v>2.016E8</v>
      </c>
      <c r="W695" s="4" t="str">
        <f>Raw_Data!C694&amp;"|"&amp;Raw_Data!D694&amp;"|"&amp;TEXT(Raw_Data!B694,"yyyy-mm-dd")</f>
        <v>Equifax|EFX|2021-06-30</v>
      </c>
    </row>
    <row r="696">
      <c r="A696" s="1">
        <v>694.0</v>
      </c>
      <c r="B696" s="3">
        <v>44196.0</v>
      </c>
      <c r="C696" s="1" t="s">
        <v>388</v>
      </c>
      <c r="D696" s="1" t="s">
        <v>389</v>
      </c>
      <c r="F696" s="1">
        <v>1.116E8</v>
      </c>
      <c r="G696" s="1">
        <v>8.74E7</v>
      </c>
      <c r="H696" s="1">
        <v>3.444E8</v>
      </c>
      <c r="I696" s="1">
        <v>6.375E8</v>
      </c>
      <c r="J696" s="1">
        <v>1.916E8</v>
      </c>
      <c r="K696" s="1">
        <v>1.916E8</v>
      </c>
      <c r="L696" s="1">
        <v>-3.69E7</v>
      </c>
      <c r="M696" s="1">
        <v>2.1E7</v>
      </c>
      <c r="N696" s="1">
        <v>1.1184E9</v>
      </c>
      <c r="O696" s="1">
        <v>9.268E8</v>
      </c>
      <c r="P696" s="1">
        <v>4.809E8</v>
      </c>
      <c r="Q696" s="1">
        <v>-8.0E7</v>
      </c>
      <c r="R696" s="1">
        <v>9.06E7</v>
      </c>
      <c r="S696" s="1">
        <v>8.74E7</v>
      </c>
      <c r="W696" s="4" t="str">
        <f>Raw_Data!C695&amp;"|"&amp;Raw_Data!D695&amp;"|"&amp;TEXT(Raw_Data!B695,"yyyy-mm-dd")</f>
        <v>Equifax|EFX|2021-03-31</v>
      </c>
    </row>
    <row r="697">
      <c r="A697" s="1">
        <v>695.0</v>
      </c>
      <c r="B697" s="3">
        <v>44104.0</v>
      </c>
      <c r="C697" s="1" t="s">
        <v>388</v>
      </c>
      <c r="D697" s="1" t="s">
        <v>389</v>
      </c>
      <c r="F697" s="1">
        <v>3.004E8</v>
      </c>
      <c r="G697" s="1">
        <v>2.242E8</v>
      </c>
      <c r="H697" s="1">
        <v>3.32E8</v>
      </c>
      <c r="I697" s="1">
        <v>6.351E8</v>
      </c>
      <c r="J697" s="1">
        <v>2.024E8</v>
      </c>
      <c r="K697" s="1">
        <v>2.024E8</v>
      </c>
      <c r="L697" s="1">
        <v>-3.74E7</v>
      </c>
      <c r="M697" s="1">
        <v>7.54E7</v>
      </c>
      <c r="N697" s="1">
        <v>1.0683E9</v>
      </c>
      <c r="O697" s="1">
        <v>8.659E8</v>
      </c>
      <c r="P697" s="1">
        <v>4.332E8</v>
      </c>
      <c r="Q697" s="1">
        <v>9.8E7</v>
      </c>
      <c r="R697" s="1">
        <v>2.25E8</v>
      </c>
      <c r="S697" s="1">
        <v>2.242E8</v>
      </c>
      <c r="W697" s="4" t="str">
        <f>Raw_Data!C696&amp;"|"&amp;Raw_Data!D696&amp;"|"&amp;TEXT(Raw_Data!B696,"yyyy-mm-dd")</f>
        <v>Equifax|EFX|2020-12-31</v>
      </c>
    </row>
    <row r="698">
      <c r="A698" s="1">
        <v>696.0</v>
      </c>
      <c r="B698" s="3">
        <v>44377.0</v>
      </c>
      <c r="C698" s="1" t="s">
        <v>390</v>
      </c>
      <c r="D698" s="1" t="s">
        <v>391</v>
      </c>
      <c r="F698" s="1">
        <v>4.996E7</v>
      </c>
      <c r="G698" s="1">
        <v>6.8339E7</v>
      </c>
      <c r="H698" s="1">
        <v>5.07615E8</v>
      </c>
      <c r="I698" s="1">
        <v>7.92799E8</v>
      </c>
      <c r="J698" s="1">
        <v>2.85184E8</v>
      </c>
      <c r="K698" s="1">
        <v>2.85184E8</v>
      </c>
      <c r="L698" s="1">
        <v>-8.7231E7</v>
      </c>
      <c r="M698" s="1">
        <v>-1.8527E7</v>
      </c>
      <c r="N698" s="1">
        <v>1.657919E9</v>
      </c>
      <c r="O698" s="1">
        <v>1.372735E9</v>
      </c>
      <c r="P698" s="1">
        <v>8.6512E8</v>
      </c>
      <c r="Q698" s="1">
        <v>-2.35224E8</v>
      </c>
      <c r="R698" s="1">
        <v>6.8487E7</v>
      </c>
      <c r="S698" s="1">
        <v>6.8339E7</v>
      </c>
      <c r="W698" s="4" t="str">
        <f>Raw_Data!C697&amp;"|"&amp;Raw_Data!D697&amp;"|"&amp;TEXT(Raw_Data!B697,"yyyy-mm-dd")</f>
        <v>Equifax|EFX|2020-09-30</v>
      </c>
    </row>
    <row r="699">
      <c r="A699" s="1">
        <v>697.0</v>
      </c>
      <c r="B699" s="3">
        <v>44286.0</v>
      </c>
      <c r="C699" s="1" t="s">
        <v>390</v>
      </c>
      <c r="D699" s="1" t="s">
        <v>391</v>
      </c>
      <c r="F699" s="1">
        <v>1.88702E8</v>
      </c>
      <c r="G699" s="1">
        <v>1.56362E8</v>
      </c>
      <c r="H699" s="1">
        <v>4.84283E8</v>
      </c>
      <c r="I699" s="1">
        <v>7.84847E8</v>
      </c>
      <c r="J699" s="1">
        <v>3.00564E8</v>
      </c>
      <c r="K699" s="1">
        <v>3.00564E8</v>
      </c>
      <c r="L699" s="1">
        <v>-8.9681E7</v>
      </c>
      <c r="M699" s="1">
        <v>3.2628E7</v>
      </c>
      <c r="N699" s="1">
        <v>1.596064E9</v>
      </c>
      <c r="O699" s="1">
        <v>1.2955E9</v>
      </c>
      <c r="P699" s="1">
        <v>8.11217E8</v>
      </c>
      <c r="Q699" s="1">
        <v>-1.11862E8</v>
      </c>
      <c r="R699" s="1">
        <v>1.56074E8</v>
      </c>
      <c r="S699" s="1">
        <v>1.56362E8</v>
      </c>
      <c r="W699" s="4" t="str">
        <f>Raw_Data!C698&amp;"|"&amp;Raw_Data!D698&amp;"|"&amp;TEXT(Raw_Data!B698,"yyyy-mm-dd")</f>
        <v>Equinix|EQIX|2021-06-30</v>
      </c>
    </row>
    <row r="700">
      <c r="A700" s="1">
        <v>698.0</v>
      </c>
      <c r="B700" s="3">
        <v>44196.0</v>
      </c>
      <c r="C700" s="1" t="s">
        <v>390</v>
      </c>
      <c r="D700" s="1" t="s">
        <v>391</v>
      </c>
      <c r="F700" s="1">
        <v>9.224E7</v>
      </c>
      <c r="G700" s="1">
        <v>5.0994E7</v>
      </c>
      <c r="H700" s="1">
        <v>4.80199E8</v>
      </c>
      <c r="I700" s="1">
        <v>7.4117E8</v>
      </c>
      <c r="J700" s="1">
        <v>2.60971E8</v>
      </c>
      <c r="K700" s="1">
        <v>2.60971E8</v>
      </c>
      <c r="L700" s="1">
        <v>-9.0912E7</v>
      </c>
      <c r="M700" s="1">
        <v>4.1304E7</v>
      </c>
      <c r="N700" s="1">
        <v>1.571905E9</v>
      </c>
      <c r="O700" s="1">
        <v>1.310934E9</v>
      </c>
      <c r="P700" s="1">
        <v>8.30735E8</v>
      </c>
      <c r="Q700" s="1">
        <v>-1.68731E8</v>
      </c>
      <c r="R700" s="1">
        <v>5.0936E7</v>
      </c>
      <c r="S700" s="1">
        <v>5.0994E7</v>
      </c>
      <c r="W700" s="4" t="str">
        <f>Raw_Data!C699&amp;"|"&amp;Raw_Data!D699&amp;"|"&amp;TEXT(Raw_Data!B699,"yyyy-mm-dd")</f>
        <v>Equinix|EQIX|2021-03-31</v>
      </c>
    </row>
    <row r="701">
      <c r="A701" s="1">
        <v>699.0</v>
      </c>
      <c r="B701" s="3">
        <v>44104.0</v>
      </c>
      <c r="C701" s="1" t="s">
        <v>390</v>
      </c>
      <c r="D701" s="1" t="s">
        <v>391</v>
      </c>
      <c r="F701" s="1">
        <v>9.6734E7</v>
      </c>
      <c r="G701" s="1">
        <v>6.6687E7</v>
      </c>
      <c r="H701" s="1">
        <v>4.52077E8</v>
      </c>
      <c r="I701" s="1">
        <v>7.49314E8</v>
      </c>
      <c r="J701" s="1">
        <v>2.97237E8</v>
      </c>
      <c r="K701" s="1">
        <v>2.97237E8</v>
      </c>
      <c r="L701" s="1">
        <v>-9.9736E7</v>
      </c>
      <c r="M701" s="1">
        <v>2.9903E7</v>
      </c>
      <c r="N701" s="1">
        <v>1.517293E9</v>
      </c>
      <c r="O701" s="1">
        <v>1.220056E9</v>
      </c>
      <c r="P701" s="1">
        <v>7.67979E8</v>
      </c>
      <c r="Q701" s="1">
        <v>-2.00503E8</v>
      </c>
      <c r="R701" s="1">
        <v>6.6831E7</v>
      </c>
      <c r="S701" s="1">
        <v>6.6687E7</v>
      </c>
      <c r="W701" s="4" t="str">
        <f>Raw_Data!C700&amp;"|"&amp;Raw_Data!D700&amp;"|"&amp;TEXT(Raw_Data!B700,"yyyy-mm-dd")</f>
        <v>Equinix|EQIX|2020-12-31</v>
      </c>
    </row>
    <row r="702">
      <c r="A702" s="1">
        <v>700.0</v>
      </c>
      <c r="B702" s="3">
        <v>44377.0</v>
      </c>
      <c r="C702" s="1" t="s">
        <v>392</v>
      </c>
      <c r="D702" s="1" t="s">
        <v>393</v>
      </c>
      <c r="F702" s="1">
        <v>3.28282E8</v>
      </c>
      <c r="G702" s="1">
        <v>3.16386E8</v>
      </c>
      <c r="H702" s="1">
        <v>1.4678E7</v>
      </c>
      <c r="I702" s="1">
        <v>3.68457E8</v>
      </c>
      <c r="J702" s="1">
        <v>1.53106E8</v>
      </c>
      <c r="K702" s="1">
        <v>1.53106E8</v>
      </c>
      <c r="L702" s="1">
        <v>-6.9063E7</v>
      </c>
      <c r="M702" s="1">
        <v>242000.0</v>
      </c>
      <c r="N702" s="1">
        <v>5.98059E8</v>
      </c>
      <c r="O702" s="1">
        <v>4.44953E8</v>
      </c>
      <c r="P702" s="1">
        <v>2.29602E8</v>
      </c>
      <c r="Q702" s="1">
        <v>1.75176E8</v>
      </c>
      <c r="R702" s="1">
        <v>3.2804E8</v>
      </c>
      <c r="S702" s="1">
        <v>3.15614E8</v>
      </c>
      <c r="W702" s="4" t="str">
        <f>Raw_Data!C701&amp;"|"&amp;Raw_Data!D701&amp;"|"&amp;TEXT(Raw_Data!B701,"yyyy-mm-dd")</f>
        <v>Equinix|EQIX|2020-09-30</v>
      </c>
    </row>
    <row r="703">
      <c r="A703" s="1">
        <v>701.0</v>
      </c>
      <c r="B703" s="3">
        <v>44286.0</v>
      </c>
      <c r="C703" s="1" t="s">
        <v>392</v>
      </c>
      <c r="D703" s="1" t="s">
        <v>393</v>
      </c>
      <c r="F703" s="1">
        <v>6.0517E7</v>
      </c>
      <c r="G703" s="1">
        <v>5.7539E7</v>
      </c>
      <c r="H703" s="1">
        <v>1.5383E7</v>
      </c>
      <c r="I703" s="1">
        <v>3.50948E8</v>
      </c>
      <c r="J703" s="1">
        <v>1.35603E8</v>
      </c>
      <c r="K703" s="1">
        <v>1.35603E8</v>
      </c>
      <c r="L703" s="1">
        <v>-6.9543E7</v>
      </c>
      <c r="M703" s="1">
        <v>153000.0</v>
      </c>
      <c r="N703" s="1">
        <v>5.97602E8</v>
      </c>
      <c r="O703" s="1">
        <v>4.61999E8</v>
      </c>
      <c r="P703" s="1">
        <v>2.46654E8</v>
      </c>
      <c r="Q703" s="1">
        <v>-7.5086E7</v>
      </c>
      <c r="R703" s="1">
        <v>6.0364E7</v>
      </c>
      <c r="S703" s="1">
        <v>5.6766E7</v>
      </c>
      <c r="W703" s="4" t="str">
        <f>Raw_Data!C702&amp;"|"&amp;Raw_Data!D702&amp;"|"&amp;TEXT(Raw_Data!B702,"yyyy-mm-dd")</f>
        <v>Equity Residential|EQR|2021-06-30</v>
      </c>
    </row>
    <row r="704">
      <c r="A704" s="1">
        <v>702.0</v>
      </c>
      <c r="B704" s="3">
        <v>44196.0</v>
      </c>
      <c r="C704" s="1" t="s">
        <v>392</v>
      </c>
      <c r="D704" s="1" t="s">
        <v>393</v>
      </c>
      <c r="F704" s="1">
        <v>2.63334E8</v>
      </c>
      <c r="G704" s="1">
        <v>2.52856E8</v>
      </c>
      <c r="H704" s="1">
        <v>1.1093E7</v>
      </c>
      <c r="I704" s="1">
        <v>3.89939E8</v>
      </c>
      <c r="J704" s="1">
        <v>1.77017E8</v>
      </c>
      <c r="K704" s="1">
        <v>1.77017E8</v>
      </c>
      <c r="L704" s="1">
        <v>-1.1941E8</v>
      </c>
      <c r="M704" s="1">
        <v>350000.0</v>
      </c>
      <c r="N704" s="1">
        <v>6.13435E8</v>
      </c>
      <c r="O704" s="1">
        <v>4.36418E8</v>
      </c>
      <c r="P704" s="1">
        <v>2.23496E8</v>
      </c>
      <c r="Q704" s="1">
        <v>8.6317E7</v>
      </c>
      <c r="R704" s="1">
        <v>2.62984E8</v>
      </c>
      <c r="S704" s="1">
        <v>2.52084E8</v>
      </c>
      <c r="W704" s="4" t="str">
        <f>Raw_Data!C703&amp;"|"&amp;Raw_Data!D703&amp;"|"&amp;TEXT(Raw_Data!B703,"yyyy-mm-dd")</f>
        <v>Equity Residential|EQR|2021-03-31</v>
      </c>
    </row>
    <row r="705">
      <c r="A705" s="1">
        <v>703.0</v>
      </c>
      <c r="B705" s="3">
        <v>44104.0</v>
      </c>
      <c r="C705" s="1" t="s">
        <v>392</v>
      </c>
      <c r="D705" s="1" t="s">
        <v>393</v>
      </c>
      <c r="F705" s="1">
        <v>9.5627E7</v>
      </c>
      <c r="G705" s="1">
        <v>9.1286E7</v>
      </c>
      <c r="H705" s="1">
        <v>1.0859E7</v>
      </c>
      <c r="I705" s="1">
        <v>3.93899E8</v>
      </c>
      <c r="J705" s="1">
        <v>1.82435E8</v>
      </c>
      <c r="K705" s="1">
        <v>1.82435E8</v>
      </c>
      <c r="L705" s="1">
        <v>-8.2975E7</v>
      </c>
      <c r="M705" s="1">
        <v>262000.0</v>
      </c>
      <c r="N705" s="1">
        <v>6.22433E8</v>
      </c>
      <c r="O705" s="1">
        <v>4.39998E8</v>
      </c>
      <c r="P705" s="1">
        <v>2.28534E8</v>
      </c>
      <c r="Q705" s="1">
        <v>-8.6808E7</v>
      </c>
      <c r="R705" s="1">
        <v>9.5365E7</v>
      </c>
      <c r="S705" s="1">
        <v>9.0513E7</v>
      </c>
      <c r="W705" s="4" t="str">
        <f>Raw_Data!C704&amp;"|"&amp;Raw_Data!D704&amp;"|"&amp;TEXT(Raw_Data!B704,"yyyy-mm-dd")</f>
        <v>Equity Residential|EQR|2020-12-31</v>
      </c>
    </row>
    <row r="706">
      <c r="A706" s="1">
        <v>704.0</v>
      </c>
      <c r="B706" s="3">
        <v>44377.0</v>
      </c>
      <c r="C706" s="1" t="s">
        <v>394</v>
      </c>
      <c r="D706" s="1" t="s">
        <v>395</v>
      </c>
      <c r="F706" s="1">
        <v>6.9615E7</v>
      </c>
      <c r="G706" s="1">
        <v>6.4846E7</v>
      </c>
      <c r="H706" s="1">
        <v>1.2222E7</v>
      </c>
      <c r="I706" s="1">
        <v>2.52587E8</v>
      </c>
      <c r="J706" s="1">
        <v>1.11629E8</v>
      </c>
      <c r="K706" s="1">
        <v>1.11629E8</v>
      </c>
      <c r="L706" s="1">
        <v>-5.0971E7</v>
      </c>
      <c r="M706" s="1">
        <v>0.0</v>
      </c>
      <c r="N706" s="1">
        <v>3.69226E8</v>
      </c>
      <c r="O706" s="1">
        <v>2.57597E8</v>
      </c>
      <c r="P706" s="1">
        <v>1.16639E8</v>
      </c>
      <c r="Q706" s="1">
        <v>-4.2014E7</v>
      </c>
      <c r="R706" s="1">
        <v>6.9615E7</v>
      </c>
      <c r="S706" s="1">
        <v>6.4846E7</v>
      </c>
      <c r="W706" s="4" t="str">
        <f>Raw_Data!C705&amp;"|"&amp;Raw_Data!D705&amp;"|"&amp;TEXT(Raw_Data!B705,"yyyy-mm-dd")</f>
        <v>Equity Residential|EQR|2020-09-30</v>
      </c>
    </row>
    <row r="707">
      <c r="A707" s="1">
        <v>705.0</v>
      </c>
      <c r="B707" s="3">
        <v>44286.0</v>
      </c>
      <c r="C707" s="1" t="s">
        <v>394</v>
      </c>
      <c r="D707" s="1" t="s">
        <v>395</v>
      </c>
      <c r="F707" s="1">
        <v>1.76949E8</v>
      </c>
      <c r="G707" s="1">
        <v>1.68444E8</v>
      </c>
      <c r="H707" s="1">
        <v>9812000.0</v>
      </c>
      <c r="I707" s="1">
        <v>2.52695E8</v>
      </c>
      <c r="J707" s="1">
        <v>1.14296E8</v>
      </c>
      <c r="K707" s="1">
        <v>1.14296E8</v>
      </c>
      <c r="L707" s="1">
        <v>-5.1649E7</v>
      </c>
      <c r="M707" s="1">
        <v>0.0</v>
      </c>
      <c r="N707" s="1">
        <v>3.72136E8</v>
      </c>
      <c r="O707" s="1">
        <v>2.5784E8</v>
      </c>
      <c r="P707" s="1">
        <v>1.19441E8</v>
      </c>
      <c r="Q707" s="1">
        <v>6.2653E7</v>
      </c>
      <c r="R707" s="1">
        <v>1.76949E8</v>
      </c>
      <c r="S707" s="1">
        <v>1.68444E8</v>
      </c>
      <c r="W707" s="4" t="str">
        <f>Raw_Data!C706&amp;"|"&amp;Raw_Data!D706&amp;"|"&amp;TEXT(Raw_Data!B706,"yyyy-mm-dd")</f>
        <v>Essex Property Trust|ESS|2021-06-30</v>
      </c>
    </row>
    <row r="708">
      <c r="A708" s="1">
        <v>706.0</v>
      </c>
      <c r="B708" s="3">
        <v>44196.0</v>
      </c>
      <c r="C708" s="1" t="s">
        <v>394</v>
      </c>
      <c r="D708" s="1" t="s">
        <v>395</v>
      </c>
      <c r="F708" s="1">
        <v>1.01649E8</v>
      </c>
      <c r="G708" s="1">
        <v>9.5745E7</v>
      </c>
      <c r="H708" s="1">
        <v>2.3144E7</v>
      </c>
      <c r="I708" s="1">
        <v>2.53071E8</v>
      </c>
      <c r="J708" s="1">
        <v>9.98E7</v>
      </c>
      <c r="K708" s="1">
        <v>9.98E7</v>
      </c>
      <c r="L708" s="1">
        <v>-5.5609E7</v>
      </c>
      <c r="M708" s="1">
        <v>0.0</v>
      </c>
      <c r="N708" s="1">
        <v>3.69733E8</v>
      </c>
      <c r="O708" s="1">
        <v>2.69933E8</v>
      </c>
      <c r="P708" s="1">
        <v>1.16662E8</v>
      </c>
      <c r="Q708" s="1">
        <v>1849000.0</v>
      </c>
      <c r="R708" s="1">
        <v>1.01649E8</v>
      </c>
      <c r="S708" s="1">
        <v>9.5745E7</v>
      </c>
      <c r="W708" s="4" t="str">
        <f>Raw_Data!C707&amp;"|"&amp;Raw_Data!D707&amp;"|"&amp;TEXT(Raw_Data!B707,"yyyy-mm-dd")</f>
        <v>Essex Property Trust|ESS|2021-03-31</v>
      </c>
    </row>
    <row r="709">
      <c r="A709" s="1">
        <v>707.0</v>
      </c>
      <c r="B709" s="3">
        <v>44104.0</v>
      </c>
      <c r="C709" s="1" t="s">
        <v>394</v>
      </c>
      <c r="D709" s="1" t="s">
        <v>395</v>
      </c>
      <c r="F709" s="1">
        <v>7.8842E7</v>
      </c>
      <c r="G709" s="1">
        <v>7.3661E7</v>
      </c>
      <c r="H709" s="1">
        <v>1.331E7</v>
      </c>
      <c r="I709" s="1">
        <v>2.64755E8</v>
      </c>
      <c r="J709" s="1">
        <v>1.21243E8</v>
      </c>
      <c r="K709" s="1">
        <v>1.21243E8</v>
      </c>
      <c r="L709" s="1">
        <v>-5.543E7</v>
      </c>
      <c r="M709" s="1">
        <v>0.0</v>
      </c>
      <c r="N709" s="1">
        <v>3.85771E8</v>
      </c>
      <c r="O709" s="1">
        <v>2.64528E8</v>
      </c>
      <c r="P709" s="1">
        <v>1.21016E8</v>
      </c>
      <c r="Q709" s="1">
        <v>-4.2401E7</v>
      </c>
      <c r="R709" s="1">
        <v>7.8842E7</v>
      </c>
      <c r="S709" s="1">
        <v>7.3661E7</v>
      </c>
      <c r="W709" s="4" t="str">
        <f>Raw_Data!C708&amp;"|"&amp;Raw_Data!D708&amp;"|"&amp;TEXT(Raw_Data!B708,"yyyy-mm-dd")</f>
        <v>Essex Property Trust|ESS|2020-12-31</v>
      </c>
    </row>
    <row r="710">
      <c r="A710" s="1">
        <v>708.0</v>
      </c>
      <c r="B710" s="3">
        <v>44377.0</v>
      </c>
      <c r="C710" s="1" t="s">
        <v>396</v>
      </c>
      <c r="D710" s="1" t="s">
        <v>397</v>
      </c>
      <c r="F710" s="1">
        <v>1.05E9</v>
      </c>
      <c r="G710" s="1">
        <v>1.018E9</v>
      </c>
      <c r="H710" s="1">
        <v>2.604E9</v>
      </c>
      <c r="I710" s="1">
        <v>2.951E9</v>
      </c>
      <c r="J710" s="1">
        <v>3.47E8</v>
      </c>
      <c r="K710" s="1">
        <v>3.47E8</v>
      </c>
      <c r="L710" s="1">
        <v>-4.2E7</v>
      </c>
      <c r="M710" s="1">
        <v>3.5E7</v>
      </c>
      <c r="N710" s="1">
        <v>3.936E9</v>
      </c>
      <c r="O710" s="1">
        <v>3.589E9</v>
      </c>
      <c r="P710" s="1">
        <v>9.85E8</v>
      </c>
      <c r="Q710" s="1">
        <v>7.03E8</v>
      </c>
      <c r="R710" s="1">
        <v>1.015E9</v>
      </c>
      <c r="S710" s="1">
        <v>1.018E9</v>
      </c>
      <c r="W710" s="4" t="str">
        <f>Raw_Data!C709&amp;"|"&amp;Raw_Data!D709&amp;"|"&amp;TEXT(Raw_Data!B709,"yyyy-mm-dd")</f>
        <v>Essex Property Trust|ESS|2020-09-30</v>
      </c>
    </row>
    <row r="711">
      <c r="A711" s="1">
        <v>709.0</v>
      </c>
      <c r="B711" s="3">
        <v>44286.0</v>
      </c>
      <c r="C711" s="1" t="s">
        <v>396</v>
      </c>
      <c r="D711" s="1" t="s">
        <v>397</v>
      </c>
      <c r="F711" s="1">
        <v>5.8E8</v>
      </c>
      <c r="G711" s="1">
        <v>4.56E8</v>
      </c>
      <c r="H711" s="1">
        <v>2.05E9</v>
      </c>
      <c r="I711" s="1">
        <v>2.929E9</v>
      </c>
      <c r="J711" s="1">
        <v>8.79E8</v>
      </c>
      <c r="K711" s="1">
        <v>8.79E8</v>
      </c>
      <c r="L711" s="1">
        <v>-4.3E7</v>
      </c>
      <c r="M711" s="1">
        <v>1.22E8</v>
      </c>
      <c r="N711" s="1">
        <v>3.864E9</v>
      </c>
      <c r="O711" s="1">
        <v>2.985E9</v>
      </c>
      <c r="P711" s="1">
        <v>9.35E8</v>
      </c>
      <c r="Q711" s="1">
        <v>-2.99E8</v>
      </c>
      <c r="R711" s="1">
        <v>4.58E8</v>
      </c>
      <c r="S711" s="1">
        <v>4.56E8</v>
      </c>
      <c r="W711" s="4" t="str">
        <f>Raw_Data!C710&amp;"|"&amp;Raw_Data!D710&amp;"|"&amp;TEXT(Raw_Data!B710,"yyyy-mm-dd")</f>
        <v>Estée Lauder Companies|EL|2021-06-30</v>
      </c>
    </row>
    <row r="712">
      <c r="A712" s="1">
        <v>710.0</v>
      </c>
      <c r="B712" s="3">
        <v>44196.0</v>
      </c>
      <c r="C712" s="1" t="s">
        <v>396</v>
      </c>
      <c r="D712" s="1" t="s">
        <v>397</v>
      </c>
      <c r="F712" s="1">
        <v>1.03E9</v>
      </c>
      <c r="G712" s="1">
        <v>8.73E8</v>
      </c>
      <c r="H712" s="1">
        <v>2.599E9</v>
      </c>
      <c r="I712" s="1">
        <v>3.771E9</v>
      </c>
      <c r="J712" s="1">
        <v>1.172E9</v>
      </c>
      <c r="K712" s="1">
        <v>1.172E9</v>
      </c>
      <c r="L712" s="1">
        <v>-4.3E7</v>
      </c>
      <c r="M712" s="1">
        <v>1.53E8</v>
      </c>
      <c r="N712" s="1">
        <v>4.853E9</v>
      </c>
      <c r="O712" s="1">
        <v>3.681E9</v>
      </c>
      <c r="P712" s="1">
        <v>1.082E9</v>
      </c>
      <c r="Q712" s="1">
        <v>-1.42E8</v>
      </c>
      <c r="R712" s="1">
        <v>8.77E8</v>
      </c>
      <c r="S712" s="1">
        <v>8.73E8</v>
      </c>
      <c r="W712" s="4" t="str">
        <f>Raw_Data!C711&amp;"|"&amp;Raw_Data!D711&amp;"|"&amp;TEXT(Raw_Data!B711,"yyyy-mm-dd")</f>
        <v>Estée Lauder Companies|EL|2021-03-31</v>
      </c>
    </row>
    <row r="713">
      <c r="A713" s="1">
        <v>711.0</v>
      </c>
      <c r="B713" s="3">
        <v>44104.0</v>
      </c>
      <c r="C713" s="1" t="s">
        <v>396</v>
      </c>
      <c r="D713" s="1" t="s">
        <v>397</v>
      </c>
      <c r="F713" s="1">
        <v>6.71E8</v>
      </c>
      <c r="G713" s="1">
        <v>5.23E8</v>
      </c>
      <c r="H713" s="1">
        <v>2.029E9</v>
      </c>
      <c r="I713" s="1">
        <v>2.74E9</v>
      </c>
      <c r="J713" s="1">
        <v>7.11E8</v>
      </c>
      <c r="K713" s="1">
        <v>7.11E8</v>
      </c>
      <c r="L713" s="1">
        <v>-4.5E7</v>
      </c>
      <c r="M713" s="1">
        <v>1.46E8</v>
      </c>
      <c r="N713" s="1">
        <v>3.562E9</v>
      </c>
      <c r="O713" s="1">
        <v>2.851E9</v>
      </c>
      <c r="P713" s="1">
        <v>8.22E8</v>
      </c>
      <c r="Q713" s="1">
        <v>-4.0E7</v>
      </c>
      <c r="R713" s="1">
        <v>5.25E8</v>
      </c>
      <c r="S713" s="1">
        <v>5.23E8</v>
      </c>
      <c r="W713" s="4" t="str">
        <f>Raw_Data!C712&amp;"|"&amp;Raw_Data!D712&amp;"|"&amp;TEXT(Raw_Data!B712,"yyyy-mm-dd")</f>
        <v>Estée Lauder Companies|EL|2020-12-31</v>
      </c>
    </row>
    <row r="714">
      <c r="A714" s="1">
        <v>712.0</v>
      </c>
      <c r="B714" s="3">
        <v>44377.0</v>
      </c>
      <c r="C714" s="1" t="s">
        <v>398</v>
      </c>
      <c r="D714" s="1" t="s">
        <v>399</v>
      </c>
      <c r="E714" s="1">
        <v>6.1753E7</v>
      </c>
      <c r="F714" s="1">
        <v>8.5754E7</v>
      </c>
      <c r="G714" s="1">
        <v>9.8254E7</v>
      </c>
      <c r="H714" s="1">
        <v>2.19129E8</v>
      </c>
      <c r="I714" s="1">
        <v>3.79931E8</v>
      </c>
      <c r="J714" s="1">
        <v>9.9049E7</v>
      </c>
      <c r="K714" s="1">
        <v>9.9049E7</v>
      </c>
      <c r="L714" s="1">
        <v>-1882000.0</v>
      </c>
      <c r="M714" s="1">
        <v>-1.25E7</v>
      </c>
      <c r="N714" s="1">
        <v>5.289E8</v>
      </c>
      <c r="O714" s="1">
        <v>4.29851E8</v>
      </c>
      <c r="P714" s="1">
        <v>1.48969E8</v>
      </c>
      <c r="Q714" s="1">
        <v>-1.3295E7</v>
      </c>
      <c r="R714" s="1">
        <v>9.8254E7</v>
      </c>
      <c r="S714" s="1">
        <v>9.8254E7</v>
      </c>
      <c r="W714" s="4" t="str">
        <f>Raw_Data!C713&amp;"|"&amp;Raw_Data!D713&amp;"|"&amp;TEXT(Raw_Data!B713,"yyyy-mm-dd")</f>
        <v>Estée Lauder Companies|EL|2020-09-30</v>
      </c>
    </row>
    <row r="715">
      <c r="A715" s="1">
        <v>713.0</v>
      </c>
      <c r="B715" s="3">
        <v>44286.0</v>
      </c>
      <c r="C715" s="1" t="s">
        <v>398</v>
      </c>
      <c r="D715" s="1" t="s">
        <v>399</v>
      </c>
      <c r="E715" s="1">
        <v>5.3706E7</v>
      </c>
      <c r="F715" s="1">
        <v>1.57728E8</v>
      </c>
      <c r="G715" s="1">
        <v>1.43766E8</v>
      </c>
      <c r="H715" s="1">
        <v>2.03386E8</v>
      </c>
      <c r="I715" s="1">
        <v>4.07729E8</v>
      </c>
      <c r="J715" s="1">
        <v>1.50637E8</v>
      </c>
      <c r="K715" s="1">
        <v>1.50637E8</v>
      </c>
      <c r="L715" s="1">
        <v>-1685000.0</v>
      </c>
      <c r="M715" s="1">
        <v>1.3962E7</v>
      </c>
      <c r="N715" s="1">
        <v>5.50646E8</v>
      </c>
      <c r="O715" s="1">
        <v>4.00009E8</v>
      </c>
      <c r="P715" s="1">
        <v>1.42917E8</v>
      </c>
      <c r="Q715" s="1">
        <v>7091000.0</v>
      </c>
      <c r="R715" s="1">
        <v>1.43766E8</v>
      </c>
      <c r="S715" s="1">
        <v>1.43766E8</v>
      </c>
      <c r="W715" s="4" t="str">
        <f>Raw_Data!C714&amp;"|"&amp;Raw_Data!D714&amp;"|"&amp;TEXT(Raw_Data!B714,"yyyy-mm-dd")</f>
        <v>Etsy|ETSY|2021-06-30</v>
      </c>
    </row>
    <row r="716">
      <c r="A716" s="1">
        <v>714.0</v>
      </c>
      <c r="B716" s="3">
        <v>44196.0</v>
      </c>
      <c r="C716" s="1" t="s">
        <v>398</v>
      </c>
      <c r="D716" s="1" t="s">
        <v>399</v>
      </c>
      <c r="E716" s="1">
        <v>5.1157E7</v>
      </c>
      <c r="F716" s="1">
        <v>1.53307E8</v>
      </c>
      <c r="G716" s="1">
        <v>1.48538E8</v>
      </c>
      <c r="H716" s="1">
        <v>2.5398E8</v>
      </c>
      <c r="I716" s="1">
        <v>4.66575E8</v>
      </c>
      <c r="J716" s="1">
        <v>1.61438E8</v>
      </c>
      <c r="K716" s="1">
        <v>1.61438E8</v>
      </c>
      <c r="L716" s="1">
        <v>-1.1417E7</v>
      </c>
      <c r="M716" s="1">
        <v>4769000.0</v>
      </c>
      <c r="N716" s="1">
        <v>6.17355E8</v>
      </c>
      <c r="O716" s="1">
        <v>4.55917E8</v>
      </c>
      <c r="P716" s="1">
        <v>1.5078E8</v>
      </c>
      <c r="Q716" s="1">
        <v>-8131000.0</v>
      </c>
      <c r="R716" s="1">
        <v>1.48538E8</v>
      </c>
      <c r="S716" s="1">
        <v>1.48538E8</v>
      </c>
      <c r="W716" s="4" t="str">
        <f>Raw_Data!C715&amp;"|"&amp;Raw_Data!D715&amp;"|"&amp;TEXT(Raw_Data!B715,"yyyy-mm-dd")</f>
        <v>Etsy|ETSY|2021-03-31</v>
      </c>
    </row>
    <row r="717">
      <c r="A717" s="1">
        <v>715.0</v>
      </c>
      <c r="B717" s="3">
        <v>44104.0</v>
      </c>
      <c r="C717" s="1" t="s">
        <v>398</v>
      </c>
      <c r="D717" s="1" t="s">
        <v>399</v>
      </c>
      <c r="E717" s="1">
        <v>4.5908E7</v>
      </c>
      <c r="F717" s="1">
        <v>9.0393E7</v>
      </c>
      <c r="G717" s="1">
        <v>9.1761E7</v>
      </c>
      <c r="H717" s="1">
        <v>1.66841E8</v>
      </c>
      <c r="I717" s="1">
        <v>3.3131E8</v>
      </c>
      <c r="J717" s="1">
        <v>1.18561E8</v>
      </c>
      <c r="K717" s="1">
        <v>1.18561E8</v>
      </c>
      <c r="L717" s="1">
        <v>-1.0615E7</v>
      </c>
      <c r="M717" s="1">
        <v>-1368000.0</v>
      </c>
      <c r="N717" s="1">
        <v>4.51478E8</v>
      </c>
      <c r="O717" s="1">
        <v>3.32917E8</v>
      </c>
      <c r="P717" s="1">
        <v>1.20168E8</v>
      </c>
      <c r="Q717" s="1">
        <v>-2.8168E7</v>
      </c>
      <c r="R717" s="1">
        <v>9.1761E7</v>
      </c>
      <c r="S717" s="1">
        <v>9.1761E7</v>
      </c>
      <c r="W717" s="4" t="str">
        <f>Raw_Data!C716&amp;"|"&amp;Raw_Data!D716&amp;"|"&amp;TEXT(Raw_Data!B716,"yyyy-mm-dd")</f>
        <v>Etsy|ETSY|2020-12-31</v>
      </c>
    </row>
    <row r="718">
      <c r="A718" s="1">
        <v>716.0</v>
      </c>
      <c r="B718" s="3">
        <v>44377.0</v>
      </c>
      <c r="C718" s="1" t="s">
        <v>400</v>
      </c>
      <c r="D718" s="1" t="s">
        <v>401</v>
      </c>
      <c r="F718" s="1">
        <v>7.60181E8</v>
      </c>
      <c r="G718" s="1">
        <v>6.79982E8</v>
      </c>
      <c r="H718" s="1">
        <v>1.6168E7</v>
      </c>
      <c r="I718" s="1">
        <v>7.91956E8</v>
      </c>
      <c r="J718" s="1">
        <v>7.75788E8</v>
      </c>
      <c r="K718" s="1">
        <v>7.75788E8</v>
      </c>
      <c r="L718" s="1">
        <v>-1.5607E7</v>
      </c>
      <c r="M718" s="1">
        <v>8.0199E7</v>
      </c>
      <c r="N718" s="1">
        <v>3.07669E9</v>
      </c>
      <c r="O718" s="1">
        <v>2.300902E9</v>
      </c>
      <c r="P718" s="1">
        <v>2.284734E9</v>
      </c>
      <c r="Q718" s="1">
        <v>-1.5607E7</v>
      </c>
      <c r="R718" s="1">
        <v>6.79982E8</v>
      </c>
      <c r="S718" s="1">
        <v>6.79982E8</v>
      </c>
      <c r="W718" s="4" t="str">
        <f>Raw_Data!C717&amp;"|"&amp;Raw_Data!D717&amp;"|"&amp;TEXT(Raw_Data!B717,"yyyy-mm-dd")</f>
        <v>Etsy|ETSY|2020-09-30</v>
      </c>
    </row>
    <row r="719">
      <c r="A719" s="1">
        <v>717.0</v>
      </c>
      <c r="B719" s="3">
        <v>44286.0</v>
      </c>
      <c r="C719" s="1" t="s">
        <v>400</v>
      </c>
      <c r="D719" s="1" t="s">
        <v>401</v>
      </c>
      <c r="F719" s="1">
        <v>3.73095E8</v>
      </c>
      <c r="G719" s="1">
        <v>3.41862E8</v>
      </c>
      <c r="H719" s="1">
        <v>1.2378E7</v>
      </c>
      <c r="I719" s="1">
        <v>3.49312E8</v>
      </c>
      <c r="J719" s="1">
        <v>3.36934E8</v>
      </c>
      <c r="K719" s="1">
        <v>3.36934E8</v>
      </c>
      <c r="L719" s="1">
        <v>-1.5639E7</v>
      </c>
      <c r="M719" s="1">
        <v>3.1233E7</v>
      </c>
      <c r="N719" s="1">
        <v>2.691973E9</v>
      </c>
      <c r="O719" s="1">
        <v>2.355039E9</v>
      </c>
      <c r="P719" s="1">
        <v>2.342661E9</v>
      </c>
      <c r="Q719" s="1">
        <v>3.6161E7</v>
      </c>
      <c r="R719" s="1">
        <v>3.41862E8</v>
      </c>
      <c r="S719" s="1">
        <v>3.37446E8</v>
      </c>
      <c r="W719" s="4" t="str">
        <f>Raw_Data!C718&amp;"|"&amp;Raw_Data!D718&amp;"|"&amp;TEXT(Raw_Data!B718,"yyyy-mm-dd")</f>
        <v>Everest Re|RE|2021-06-30</v>
      </c>
    </row>
    <row r="720">
      <c r="A720" s="1">
        <v>718.0</v>
      </c>
      <c r="B720" s="3">
        <v>44196.0</v>
      </c>
      <c r="C720" s="1" t="s">
        <v>400</v>
      </c>
      <c r="D720" s="1" t="s">
        <v>401</v>
      </c>
      <c r="F720" s="1">
        <v>1.19396E8</v>
      </c>
      <c r="G720" s="1">
        <v>6.3602E7</v>
      </c>
      <c r="H720" s="1">
        <v>1.1934E7</v>
      </c>
      <c r="I720" s="1">
        <v>1.91376E8</v>
      </c>
      <c r="J720" s="1">
        <v>1.79442E8</v>
      </c>
      <c r="K720" s="1">
        <v>1.79442E8</v>
      </c>
      <c r="L720" s="1">
        <v>-1.4846E7</v>
      </c>
      <c r="M720" s="1">
        <v>5.5794E7</v>
      </c>
      <c r="N720" s="1">
        <v>2.806599E9</v>
      </c>
      <c r="O720" s="1">
        <v>2.627157E9</v>
      </c>
      <c r="P720" s="1">
        <v>2.615223E9</v>
      </c>
      <c r="Q720" s="1">
        <v>-6.0046E7</v>
      </c>
      <c r="R720" s="1">
        <v>6.3602E7</v>
      </c>
      <c r="S720" s="1">
        <v>6.2893E7</v>
      </c>
      <c r="W720" s="4" t="str">
        <f>Raw_Data!C719&amp;"|"&amp;Raw_Data!D719&amp;"|"&amp;TEXT(Raw_Data!B719,"yyyy-mm-dd")</f>
        <v>Everest Re|RE|2021-03-31</v>
      </c>
    </row>
    <row r="721">
      <c r="A721" s="1">
        <v>719.0</v>
      </c>
      <c r="B721" s="3">
        <v>44104.0</v>
      </c>
      <c r="C721" s="1" t="s">
        <v>400</v>
      </c>
      <c r="D721" s="1" t="s">
        <v>401</v>
      </c>
      <c r="F721" s="1">
        <v>2.72508E8</v>
      </c>
      <c r="G721" s="1">
        <v>2.43057E8</v>
      </c>
      <c r="H721" s="1">
        <v>1.0618E7</v>
      </c>
      <c r="I721" s="1">
        <v>2.28367E8</v>
      </c>
      <c r="J721" s="1">
        <v>2.17749E8</v>
      </c>
      <c r="K721" s="1">
        <v>2.17749E8</v>
      </c>
      <c r="L721" s="1">
        <v>-6641000.0</v>
      </c>
      <c r="M721" s="1">
        <v>2.9451E7</v>
      </c>
      <c r="N721" s="1">
        <v>2.548784E9</v>
      </c>
      <c r="O721" s="1">
        <v>2.331035E9</v>
      </c>
      <c r="P721" s="1">
        <v>2.320417E9</v>
      </c>
      <c r="Q721" s="1">
        <v>5.4759E7</v>
      </c>
      <c r="R721" s="1">
        <v>2.43057E8</v>
      </c>
      <c r="S721" s="1">
        <v>2.40138E8</v>
      </c>
      <c r="W721" s="4" t="str">
        <f>Raw_Data!C720&amp;"|"&amp;Raw_Data!D720&amp;"|"&amp;TEXT(Raw_Data!B720,"yyyy-mm-dd")</f>
        <v>Everest Re|RE|2020-12-31</v>
      </c>
    </row>
    <row r="722">
      <c r="A722" s="1">
        <v>720.0</v>
      </c>
      <c r="B722" s="3">
        <v>44377.0</v>
      </c>
      <c r="C722" s="1" t="s">
        <v>402</v>
      </c>
      <c r="D722" s="1" t="s">
        <v>403</v>
      </c>
      <c r="F722" s="1">
        <v>2.079E8</v>
      </c>
      <c r="G722" s="1">
        <v>1.853E8</v>
      </c>
      <c r="I722" s="1">
        <v>6.184E8</v>
      </c>
      <c r="J722" s="1">
        <v>2.953E8</v>
      </c>
      <c r="K722" s="1">
        <v>2.953E8</v>
      </c>
      <c r="L722" s="1">
        <v>-9.38E7</v>
      </c>
      <c r="M722" s="1">
        <v>1.96E7</v>
      </c>
      <c r="N722" s="1">
        <v>1.2362E9</v>
      </c>
      <c r="O722" s="1">
        <v>9.409E8</v>
      </c>
      <c r="P722" s="1">
        <v>6.178E8</v>
      </c>
      <c r="Q722" s="1">
        <v>-8.74E7</v>
      </c>
      <c r="R722" s="1">
        <v>1.883E8</v>
      </c>
      <c r="S722" s="1">
        <v>1.853E8</v>
      </c>
      <c r="W722" s="4" t="str">
        <f>Raw_Data!C721&amp;"|"&amp;Raw_Data!D721&amp;"|"&amp;TEXT(Raw_Data!B721,"yyyy-mm-dd")</f>
        <v>Everest Re|RE|2020-09-30</v>
      </c>
    </row>
    <row r="723">
      <c r="A723" s="1">
        <v>721.0</v>
      </c>
      <c r="B723" s="3">
        <v>44286.0</v>
      </c>
      <c r="C723" s="1" t="s">
        <v>402</v>
      </c>
      <c r="D723" s="1" t="s">
        <v>403</v>
      </c>
      <c r="F723" s="1">
        <v>2.176E8</v>
      </c>
      <c r="G723" s="1">
        <v>1.916E8</v>
      </c>
      <c r="H723" s="1">
        <v>1.48E7</v>
      </c>
      <c r="I723" s="1">
        <v>6.39E8</v>
      </c>
      <c r="J723" s="1">
        <v>3.1E8</v>
      </c>
      <c r="K723" s="1">
        <v>3.1E8</v>
      </c>
      <c r="L723" s="1">
        <v>-9.4E7</v>
      </c>
      <c r="M723" s="1">
        <v>2.3E7</v>
      </c>
      <c r="N723" s="1">
        <v>1.6119E9</v>
      </c>
      <c r="O723" s="1">
        <v>1.3019E9</v>
      </c>
      <c r="P723" s="1">
        <v>9.729E8</v>
      </c>
      <c r="Q723" s="1">
        <v>-9.24E7</v>
      </c>
      <c r="R723" s="1">
        <v>1.946E8</v>
      </c>
      <c r="S723" s="1">
        <v>1.916E8</v>
      </c>
      <c r="W723" s="4" t="str">
        <f>Raw_Data!C722&amp;"|"&amp;Raw_Data!D722&amp;"|"&amp;TEXT(Raw_Data!B722,"yyyy-mm-dd")</f>
        <v>Evergy|EVRG|2021-06-30</v>
      </c>
    </row>
    <row r="724">
      <c r="A724" s="1">
        <v>722.0</v>
      </c>
      <c r="B724" s="3">
        <v>44196.0</v>
      </c>
      <c r="C724" s="1" t="s">
        <v>402</v>
      </c>
      <c r="D724" s="1" t="s">
        <v>403</v>
      </c>
      <c r="F724" s="1">
        <v>6.24E7</v>
      </c>
      <c r="G724" s="1">
        <v>5.1E7</v>
      </c>
      <c r="H724" s="1">
        <v>1.49E7</v>
      </c>
      <c r="I724" s="1">
        <v>4.76E8</v>
      </c>
      <c r="J724" s="1">
        <v>1.491E8</v>
      </c>
      <c r="K724" s="1">
        <v>1.491E8</v>
      </c>
      <c r="L724" s="1">
        <v>-9.34E7</v>
      </c>
      <c r="M724" s="1">
        <v>8400000.0</v>
      </c>
      <c r="N724" s="1">
        <v>1.0944E9</v>
      </c>
      <c r="O724" s="1">
        <v>9.453E8</v>
      </c>
      <c r="P724" s="1">
        <v>6.184E8</v>
      </c>
      <c r="Q724" s="1">
        <v>-8.67E7</v>
      </c>
      <c r="R724" s="1">
        <v>5.4E7</v>
      </c>
      <c r="S724" s="1">
        <v>5.1E7</v>
      </c>
      <c r="W724" s="4" t="str">
        <f>Raw_Data!C723&amp;"|"&amp;Raw_Data!D723&amp;"|"&amp;TEXT(Raw_Data!B723,"yyyy-mm-dd")</f>
        <v>Evergy|EVRG|2021-03-31</v>
      </c>
    </row>
    <row r="725">
      <c r="A725" s="1">
        <v>723.0</v>
      </c>
      <c r="B725" s="3">
        <v>44104.0</v>
      </c>
      <c r="C725" s="1" t="s">
        <v>402</v>
      </c>
      <c r="D725" s="1" t="s">
        <v>403</v>
      </c>
      <c r="F725" s="1">
        <v>4.175E8</v>
      </c>
      <c r="G725" s="1">
        <v>3.645E8</v>
      </c>
      <c r="H725" s="1">
        <v>1.37E7</v>
      </c>
      <c r="I725" s="1">
        <v>8.594E8</v>
      </c>
      <c r="J725" s="1">
        <v>5.367E8</v>
      </c>
      <c r="K725" s="1">
        <v>5.367E8</v>
      </c>
      <c r="L725" s="1">
        <v>-9.48E7</v>
      </c>
      <c r="M725" s="1">
        <v>5.0E7</v>
      </c>
      <c r="N725" s="1">
        <v>1.5176E9</v>
      </c>
      <c r="O725" s="1">
        <v>9.809E8</v>
      </c>
      <c r="P725" s="1">
        <v>6.582E8</v>
      </c>
      <c r="Q725" s="1">
        <v>-1.192E8</v>
      </c>
      <c r="R725" s="1">
        <v>3.675E8</v>
      </c>
      <c r="S725" s="1">
        <v>3.645E8</v>
      </c>
      <c r="W725" s="4" t="str">
        <f>Raw_Data!C724&amp;"|"&amp;Raw_Data!D724&amp;"|"&amp;TEXT(Raw_Data!B724,"yyyy-mm-dd")</f>
        <v>Evergy|EVRG|2020-12-31</v>
      </c>
    </row>
    <row r="726">
      <c r="A726" s="1">
        <v>724.0</v>
      </c>
      <c r="B726" s="3">
        <v>44377.0</v>
      </c>
      <c r="C726" s="1" t="s">
        <v>404</v>
      </c>
      <c r="D726" s="1" t="s">
        <v>405</v>
      </c>
      <c r="F726" s="1">
        <v>3.52789E8</v>
      </c>
      <c r="G726" s="1">
        <v>2.6452E8</v>
      </c>
      <c r="H726" s="1">
        <v>-2.21E7</v>
      </c>
      <c r="I726" s="1">
        <v>1.061304E9</v>
      </c>
      <c r="J726" s="1">
        <v>4.73705E8</v>
      </c>
      <c r="K726" s="1">
        <v>4.73705E8</v>
      </c>
      <c r="L726" s="1">
        <v>-1.45435E8</v>
      </c>
      <c r="M726" s="1">
        <v>8.6389E7</v>
      </c>
      <c r="N726" s="1">
        <v>2.122538E9</v>
      </c>
      <c r="O726" s="1">
        <v>1.648833E9</v>
      </c>
      <c r="P726" s="1">
        <v>1.061234E9</v>
      </c>
      <c r="Q726" s="1">
        <v>-1.20916E8</v>
      </c>
      <c r="R726" s="1">
        <v>2.664E8</v>
      </c>
      <c r="S726" s="1">
        <v>2.6452E8</v>
      </c>
      <c r="W726" s="4" t="str">
        <f>Raw_Data!C725&amp;"|"&amp;Raw_Data!D725&amp;"|"&amp;TEXT(Raw_Data!B725,"yyyy-mm-dd")</f>
        <v>Evergy|EVRG|2020-09-30</v>
      </c>
    </row>
    <row r="727">
      <c r="A727" s="1">
        <v>725.0</v>
      </c>
      <c r="B727" s="3">
        <v>44286.0</v>
      </c>
      <c r="C727" s="1" t="s">
        <v>404</v>
      </c>
      <c r="D727" s="1" t="s">
        <v>405</v>
      </c>
      <c r="F727" s="1">
        <v>4.82003E8</v>
      </c>
      <c r="G727" s="1">
        <v>3.66143E8</v>
      </c>
      <c r="H727" s="1">
        <v>-2.01E7</v>
      </c>
      <c r="I727" s="1">
        <v>1.361807E9</v>
      </c>
      <c r="J727" s="1">
        <v>6.05668E8</v>
      </c>
      <c r="K727" s="1">
        <v>6.05668E8</v>
      </c>
      <c r="L727" s="1">
        <v>-1.37766E8</v>
      </c>
      <c r="M727" s="1">
        <v>1.1398E8</v>
      </c>
      <c r="N727" s="1">
        <v>2.82584E9</v>
      </c>
      <c r="O727" s="1">
        <v>2.220172E9</v>
      </c>
      <c r="P727" s="1">
        <v>1.464033E9</v>
      </c>
      <c r="Q727" s="1">
        <v>-1.23665E8</v>
      </c>
      <c r="R727" s="1">
        <v>3.68023E8</v>
      </c>
      <c r="S727" s="1">
        <v>3.66143E8</v>
      </c>
      <c r="W727" s="4" t="str">
        <f>Raw_Data!C726&amp;"|"&amp;Raw_Data!D726&amp;"|"&amp;TEXT(Raw_Data!B726,"yyyy-mm-dd")</f>
        <v>Eversource Energy|ES|2021-06-30</v>
      </c>
    </row>
    <row r="728">
      <c r="A728" s="1">
        <v>726.0</v>
      </c>
      <c r="B728" s="3">
        <v>44196.0</v>
      </c>
      <c r="C728" s="1" t="s">
        <v>404</v>
      </c>
      <c r="D728" s="1" t="s">
        <v>405</v>
      </c>
      <c r="F728" s="1">
        <v>3.44368E8</v>
      </c>
      <c r="G728" s="1">
        <v>2.71923E8</v>
      </c>
      <c r="H728" s="1">
        <v>-1.01E7</v>
      </c>
      <c r="I728" s="1">
        <v>1.087446E9</v>
      </c>
      <c r="J728" s="1">
        <v>4.67328E8</v>
      </c>
      <c r="K728" s="1">
        <v>4.67328E8</v>
      </c>
      <c r="L728" s="1">
        <v>-1.35385E8</v>
      </c>
      <c r="M728" s="1">
        <v>7.0565E7</v>
      </c>
      <c r="N728" s="1">
        <v>2.233933E9</v>
      </c>
      <c r="O728" s="1">
        <v>1.766605E9</v>
      </c>
      <c r="P728" s="1">
        <v>1.146487E9</v>
      </c>
      <c r="Q728" s="1">
        <v>-1.2296E8</v>
      </c>
      <c r="R728" s="1">
        <v>2.73803E8</v>
      </c>
      <c r="S728" s="1">
        <v>2.71923E8</v>
      </c>
      <c r="W728" s="4" t="str">
        <f>Raw_Data!C727&amp;"|"&amp;Raw_Data!D727&amp;"|"&amp;TEXT(Raw_Data!B727,"yyyy-mm-dd")</f>
        <v>Eversource Energy|ES|2021-03-31</v>
      </c>
    </row>
    <row r="729">
      <c r="A729" s="1">
        <v>727.0</v>
      </c>
      <c r="B729" s="3">
        <v>44104.0</v>
      </c>
      <c r="C729" s="1" t="s">
        <v>404</v>
      </c>
      <c r="D729" s="1" t="s">
        <v>405</v>
      </c>
      <c r="F729" s="1">
        <v>4.56382E8</v>
      </c>
      <c r="G729" s="1">
        <v>3.4626E8</v>
      </c>
      <c r="H729" s="1">
        <v>-1.1E7</v>
      </c>
      <c r="I729" s="1">
        <v>1.207257E9</v>
      </c>
      <c r="J729" s="1">
        <v>5.7413E8</v>
      </c>
      <c r="K729" s="1">
        <v>5.7413E8</v>
      </c>
      <c r="L729" s="1">
        <v>-1.34066E8</v>
      </c>
      <c r="M729" s="1">
        <v>1.08242E8</v>
      </c>
      <c r="N729" s="1">
        <v>2.343642E9</v>
      </c>
      <c r="O729" s="1">
        <v>1.769512E9</v>
      </c>
      <c r="P729" s="1">
        <v>1.136385E9</v>
      </c>
      <c r="Q729" s="1">
        <v>-1.17748E8</v>
      </c>
      <c r="R729" s="1">
        <v>3.4814E8</v>
      </c>
      <c r="S729" s="1">
        <v>3.4626E8</v>
      </c>
      <c r="W729" s="4" t="str">
        <f>Raw_Data!C728&amp;"|"&amp;Raw_Data!D728&amp;"|"&amp;TEXT(Raw_Data!B728,"yyyy-mm-dd")</f>
        <v>Eversource Energy|ES|2020-12-31</v>
      </c>
    </row>
    <row r="730">
      <c r="A730" s="1">
        <v>728.0</v>
      </c>
      <c r="B730" s="3">
        <v>44286.0</v>
      </c>
      <c r="C730" s="1" t="s">
        <v>406</v>
      </c>
      <c r="D730" s="1" t="s">
        <v>407</v>
      </c>
      <c r="F730" s="1">
        <v>-2.83E8</v>
      </c>
      <c r="G730" s="1">
        <v>-2.89E8</v>
      </c>
      <c r="H730" s="1">
        <v>-2.0E7</v>
      </c>
      <c r="I730" s="1">
        <v>1.943E9</v>
      </c>
      <c r="J730" s="1">
        <v>5.02E8</v>
      </c>
      <c r="K730" s="1">
        <v>5.02E8</v>
      </c>
      <c r="L730" s="1">
        <v>-3.86E8</v>
      </c>
      <c r="M730" s="1">
        <v>-1.9E7</v>
      </c>
      <c r="N730" s="1">
        <v>9.89E9</v>
      </c>
      <c r="O730" s="1">
        <v>9.388E9</v>
      </c>
      <c r="P730" s="1">
        <v>7.947E9</v>
      </c>
      <c r="Q730" s="1">
        <v>-7.85E8</v>
      </c>
      <c r="R730" s="1">
        <v>-2.64E8</v>
      </c>
      <c r="S730" s="1">
        <v>-2.89E8</v>
      </c>
      <c r="W730" s="4" t="str">
        <f>Raw_Data!C729&amp;"|"&amp;Raw_Data!D729&amp;"|"&amp;TEXT(Raw_Data!B729,"yyyy-mm-dd")</f>
        <v>Eversource Energy|ES|2020-09-30</v>
      </c>
    </row>
    <row r="731">
      <c r="A731" s="1">
        <v>729.0</v>
      </c>
      <c r="B731" s="3">
        <v>44196.0</v>
      </c>
      <c r="C731" s="1" t="s">
        <v>406</v>
      </c>
      <c r="D731" s="1" t="s">
        <v>407</v>
      </c>
      <c r="F731" s="1">
        <v>6.67E8</v>
      </c>
      <c r="G731" s="1">
        <v>3.59E8</v>
      </c>
      <c r="H731" s="1">
        <v>-1.5E7</v>
      </c>
      <c r="I731" s="1">
        <v>2.259E9</v>
      </c>
      <c r="J731" s="1">
        <v>8.44E8</v>
      </c>
      <c r="K731" s="1">
        <v>8.44E8</v>
      </c>
      <c r="L731" s="1">
        <v>-3.94E8</v>
      </c>
      <c r="M731" s="1">
        <v>2.32E8</v>
      </c>
      <c r="N731" s="1">
        <v>8.114E9</v>
      </c>
      <c r="O731" s="1">
        <v>7.27E9</v>
      </c>
      <c r="P731" s="1">
        <v>5.855E9</v>
      </c>
      <c r="Q731" s="1">
        <v>-1.77E8</v>
      </c>
      <c r="R731" s="1">
        <v>4.35E8</v>
      </c>
      <c r="S731" s="1">
        <v>3.59E8</v>
      </c>
      <c r="W731" s="4" t="str">
        <f>Raw_Data!C730&amp;"|"&amp;Raw_Data!D730&amp;"|"&amp;TEXT(Raw_Data!B730,"yyyy-mm-dd")</f>
        <v>Exelon|EXC|2021-03-31</v>
      </c>
    </row>
    <row r="732">
      <c r="A732" s="1">
        <v>730.0</v>
      </c>
      <c r="B732" s="3">
        <v>44104.0</v>
      </c>
      <c r="C732" s="1" t="s">
        <v>406</v>
      </c>
      <c r="D732" s="1" t="s">
        <v>407</v>
      </c>
      <c r="F732" s="1">
        <v>7.85E8</v>
      </c>
      <c r="G732" s="1">
        <v>5.01E8</v>
      </c>
      <c r="H732" s="1">
        <v>-1.5E7</v>
      </c>
      <c r="I732" s="1">
        <v>3.132E9</v>
      </c>
      <c r="J732" s="1">
        <v>1.674E9</v>
      </c>
      <c r="K732" s="1">
        <v>1.674E9</v>
      </c>
      <c r="L732" s="1">
        <v>-4.04E8</v>
      </c>
      <c r="M732" s="1">
        <v>2.16E8</v>
      </c>
      <c r="N732" s="1">
        <v>8.853E9</v>
      </c>
      <c r="O732" s="1">
        <v>7.179E9</v>
      </c>
      <c r="P732" s="1">
        <v>5.721E9</v>
      </c>
      <c r="Q732" s="1">
        <v>-8.89E8</v>
      </c>
      <c r="R732" s="1">
        <v>5.69E8</v>
      </c>
      <c r="S732" s="1">
        <v>5.01E8</v>
      </c>
      <c r="W732" s="4" t="str">
        <f>Raw_Data!C731&amp;"|"&amp;Raw_Data!D731&amp;"|"&amp;TEXT(Raw_Data!B731,"yyyy-mm-dd")</f>
        <v>Exelon|EXC|2020-12-31</v>
      </c>
    </row>
    <row r="733">
      <c r="A733" s="1">
        <v>731.0</v>
      </c>
      <c r="B733" s="3">
        <v>44012.0</v>
      </c>
      <c r="C733" s="1" t="s">
        <v>406</v>
      </c>
      <c r="D733" s="1" t="s">
        <v>407</v>
      </c>
      <c r="F733" s="1">
        <v>7.93E8</v>
      </c>
      <c r="G733" s="1">
        <v>5.21E8</v>
      </c>
      <c r="H733" s="1">
        <v>-1.3E7</v>
      </c>
      <c r="I733" s="1">
        <v>1.966E9</v>
      </c>
      <c r="J733" s="1">
        <v>5.67E8</v>
      </c>
      <c r="K733" s="1">
        <v>5.67E8</v>
      </c>
      <c r="L733" s="1">
        <v>-4.27E8</v>
      </c>
      <c r="M733" s="1">
        <v>2.19E8</v>
      </c>
      <c r="N733" s="1">
        <v>7.325E9</v>
      </c>
      <c r="O733" s="1">
        <v>6.758E9</v>
      </c>
      <c r="P733" s="1">
        <v>5.359E9</v>
      </c>
      <c r="Q733" s="1">
        <v>2.26E8</v>
      </c>
      <c r="R733" s="1">
        <v>5.74E8</v>
      </c>
      <c r="S733" s="1">
        <v>5.21E8</v>
      </c>
      <c r="W733" s="4" t="str">
        <f>Raw_Data!C732&amp;"|"&amp;Raw_Data!D732&amp;"|"&amp;TEXT(Raw_Data!B732,"yyyy-mm-dd")</f>
        <v>Exelon|EXC|2020-09-30</v>
      </c>
    </row>
    <row r="734">
      <c r="A734" s="1">
        <v>732.0</v>
      </c>
      <c r="B734" s="3">
        <v>44286.0</v>
      </c>
      <c r="C734" s="1" t="s">
        <v>408</v>
      </c>
      <c r="D734" s="1" t="s">
        <v>409</v>
      </c>
      <c r="E734" s="1">
        <v>2.47E8</v>
      </c>
      <c r="F734" s="1">
        <v>-7.5E8</v>
      </c>
      <c r="G734" s="1">
        <v>-5.78E8</v>
      </c>
      <c r="H734" s="1">
        <v>8.2E8</v>
      </c>
      <c r="I734" s="1">
        <v>9.35E8</v>
      </c>
      <c r="J734" s="1">
        <v>-3.41E8</v>
      </c>
      <c r="K734" s="1">
        <v>-3.41E8</v>
      </c>
      <c r="L734" s="1">
        <v>-9.8E7</v>
      </c>
      <c r="M734" s="1">
        <v>-1.69E8</v>
      </c>
      <c r="N734" s="1">
        <v>1.246E9</v>
      </c>
      <c r="O734" s="1">
        <v>1.587E9</v>
      </c>
      <c r="P734" s="1">
        <v>3.11E8</v>
      </c>
      <c r="Q734" s="1">
        <v>-4.09E8</v>
      </c>
      <c r="R734" s="1">
        <v>-5.81E8</v>
      </c>
      <c r="S734" s="1">
        <v>-6.06E8</v>
      </c>
      <c r="W734" s="4" t="str">
        <f>Raw_Data!C733&amp;"|"&amp;Raw_Data!D733&amp;"|"&amp;TEXT(Raw_Data!B733,"yyyy-mm-dd")</f>
        <v>Exelon|EXC|2020-06-30</v>
      </c>
    </row>
    <row r="735">
      <c r="A735" s="1">
        <v>733.0</v>
      </c>
      <c r="B735" s="3">
        <v>44196.0</v>
      </c>
      <c r="C735" s="1" t="s">
        <v>408</v>
      </c>
      <c r="D735" s="1" t="s">
        <v>409</v>
      </c>
      <c r="E735" s="1">
        <v>2.23E8</v>
      </c>
      <c r="F735" s="1">
        <v>-4.95E8</v>
      </c>
      <c r="G735" s="1">
        <v>-3.83E8</v>
      </c>
      <c r="H735" s="1">
        <v>6.35E8</v>
      </c>
      <c r="I735" s="1">
        <v>6.33E8</v>
      </c>
      <c r="J735" s="1">
        <v>-4.23E8</v>
      </c>
      <c r="K735" s="1">
        <v>-4.23E8</v>
      </c>
      <c r="L735" s="1">
        <v>-1.02E8</v>
      </c>
      <c r="M735" s="1">
        <v>-1.04E8</v>
      </c>
      <c r="N735" s="1">
        <v>9.2E8</v>
      </c>
      <c r="O735" s="1">
        <v>1.343E9</v>
      </c>
      <c r="P735" s="1">
        <v>2.87E8</v>
      </c>
      <c r="Q735" s="1">
        <v>-7.2E7</v>
      </c>
      <c r="R735" s="1">
        <v>-3.91E8</v>
      </c>
      <c r="S735" s="1">
        <v>-4.12E8</v>
      </c>
      <c r="W735" s="4" t="str">
        <f>Raw_Data!C734&amp;"|"&amp;Raw_Data!D734&amp;"|"&amp;TEXT(Raw_Data!B734,"yyyy-mm-dd")</f>
        <v>Expedia Group|EXPE|2021-03-31</v>
      </c>
    </row>
    <row r="736">
      <c r="A736" s="1">
        <v>734.0</v>
      </c>
      <c r="B736" s="3">
        <v>44104.0</v>
      </c>
      <c r="C736" s="1" t="s">
        <v>408</v>
      </c>
      <c r="D736" s="1" t="s">
        <v>409</v>
      </c>
      <c r="E736" s="1">
        <v>2.24E8</v>
      </c>
      <c r="F736" s="1">
        <v>-2.24E8</v>
      </c>
      <c r="G736" s="1">
        <v>-1.92E8</v>
      </c>
      <c r="H736" s="1">
        <v>6.63E8</v>
      </c>
      <c r="I736" s="1">
        <v>1.129E9</v>
      </c>
      <c r="J736" s="1">
        <v>2.0E7</v>
      </c>
      <c r="K736" s="1">
        <v>2.0E7</v>
      </c>
      <c r="L736" s="1">
        <v>-1.13E8</v>
      </c>
      <c r="M736" s="1">
        <v>-2.4E7</v>
      </c>
      <c r="N736" s="1">
        <v>1.504E9</v>
      </c>
      <c r="O736" s="1">
        <v>1.484E9</v>
      </c>
      <c r="P736" s="1">
        <v>3.75E8</v>
      </c>
      <c r="Q736" s="1">
        <v>-2.44E8</v>
      </c>
      <c r="R736" s="1">
        <v>-2.0E8</v>
      </c>
      <c r="S736" s="1">
        <v>-2.21E8</v>
      </c>
      <c r="W736" s="4" t="str">
        <f>Raw_Data!C735&amp;"|"&amp;Raw_Data!D735&amp;"|"&amp;TEXT(Raw_Data!B735,"yyyy-mm-dd")</f>
        <v>Expedia Group|EXPE|2020-12-31</v>
      </c>
    </row>
    <row r="737">
      <c r="A737" s="1">
        <v>735.0</v>
      </c>
      <c r="B737" s="3">
        <v>44012.0</v>
      </c>
      <c r="C737" s="1" t="s">
        <v>408</v>
      </c>
      <c r="D737" s="1" t="s">
        <v>409</v>
      </c>
      <c r="E737" s="1">
        <v>2.55E8</v>
      </c>
      <c r="F737" s="1">
        <v>-9.53E8</v>
      </c>
      <c r="G737" s="1">
        <v>-7.36E8</v>
      </c>
      <c r="H737" s="1">
        <v>4.48E8</v>
      </c>
      <c r="I737" s="1">
        <v>1.77E8</v>
      </c>
      <c r="J737" s="1">
        <v>-7.58E8</v>
      </c>
      <c r="K737" s="1">
        <v>-7.58E8</v>
      </c>
      <c r="L737" s="1">
        <v>-9.5E7</v>
      </c>
      <c r="M737" s="1">
        <v>-2.13E8</v>
      </c>
      <c r="N737" s="1">
        <v>5.66E8</v>
      </c>
      <c r="O737" s="1">
        <v>1.324E9</v>
      </c>
      <c r="P737" s="1">
        <v>3.89E8</v>
      </c>
      <c r="Q737" s="1">
        <v>-1.95E8</v>
      </c>
      <c r="R737" s="1">
        <v>-7.4E8</v>
      </c>
      <c r="S737" s="1">
        <v>-7.53E8</v>
      </c>
      <c r="W737" s="4" t="str">
        <f>Raw_Data!C736&amp;"|"&amp;Raw_Data!D736&amp;"|"&amp;TEXT(Raw_Data!B736,"yyyy-mm-dd")</f>
        <v>Expedia Group|EXPE|2020-09-30</v>
      </c>
    </row>
    <row r="738">
      <c r="A738" s="1">
        <v>736.0</v>
      </c>
      <c r="B738" s="3">
        <v>44286.0</v>
      </c>
      <c r="C738" s="1" t="s">
        <v>410</v>
      </c>
      <c r="D738" s="1" t="s">
        <v>411</v>
      </c>
      <c r="F738" s="1">
        <v>3.90461E8</v>
      </c>
      <c r="G738" s="1">
        <v>2.8722E8</v>
      </c>
      <c r="H738" s="1">
        <v>3070000.0</v>
      </c>
      <c r="I738" s="1">
        <v>4.54151E8</v>
      </c>
      <c r="J738" s="1">
        <v>3.85515E8</v>
      </c>
      <c r="K738" s="1">
        <v>3.85515E8</v>
      </c>
      <c r="M738" s="1">
        <v>1.02511E8</v>
      </c>
      <c r="N738" s="1">
        <v>3.35754E9</v>
      </c>
      <c r="O738" s="1">
        <v>2.972025E9</v>
      </c>
      <c r="P738" s="1">
        <v>2.903389E9</v>
      </c>
      <c r="Q738" s="1">
        <v>4946000.0</v>
      </c>
      <c r="R738" s="1">
        <v>2.8795E8</v>
      </c>
      <c r="S738" s="1">
        <v>2.8722E8</v>
      </c>
      <c r="W738" s="4" t="str">
        <f>Raw_Data!C737&amp;"|"&amp;Raw_Data!D737&amp;"|"&amp;TEXT(Raw_Data!B737,"yyyy-mm-dd")</f>
        <v>Expedia Group|EXPE|2020-06-30</v>
      </c>
    </row>
    <row r="739">
      <c r="A739" s="1">
        <v>737.0</v>
      </c>
      <c r="B739" s="3">
        <v>44196.0</v>
      </c>
      <c r="C739" s="1" t="s">
        <v>410</v>
      </c>
      <c r="D739" s="1" t="s">
        <v>411</v>
      </c>
      <c r="F739" s="1">
        <v>2.83907E8</v>
      </c>
      <c r="G739" s="1">
        <v>1.9862E8</v>
      </c>
      <c r="H739" s="1">
        <v>4135000.0</v>
      </c>
      <c r="I739" s="1">
        <v>3.57761E8</v>
      </c>
      <c r="J739" s="1">
        <v>2.81811E8</v>
      </c>
      <c r="K739" s="1">
        <v>2.81811E8</v>
      </c>
      <c r="M739" s="1">
        <v>8.4382E7</v>
      </c>
      <c r="N739" s="1">
        <v>3.169188E9</v>
      </c>
      <c r="O739" s="1">
        <v>2.887377E9</v>
      </c>
      <c r="P739" s="1">
        <v>2.811427E9</v>
      </c>
      <c r="Q739" s="1">
        <v>2096000.0</v>
      </c>
      <c r="R739" s="1">
        <v>1.99525E8</v>
      </c>
      <c r="S739" s="1">
        <v>1.9862E8</v>
      </c>
      <c r="W739" s="4" t="str">
        <f>Raw_Data!C738&amp;"|"&amp;Raw_Data!D738&amp;"|"&amp;TEXT(Raw_Data!B738,"yyyy-mm-dd")</f>
        <v>Expeditors|EXPD|2021-03-31</v>
      </c>
    </row>
    <row r="740">
      <c r="A740" s="1">
        <v>738.0</v>
      </c>
      <c r="B740" s="3">
        <v>44104.0</v>
      </c>
      <c r="C740" s="1" t="s">
        <v>410</v>
      </c>
      <c r="D740" s="1" t="s">
        <v>411</v>
      </c>
      <c r="F740" s="1">
        <v>2.54429E8</v>
      </c>
      <c r="G740" s="1">
        <v>1.91307E8</v>
      </c>
      <c r="H740" s="1">
        <v>2945000.0</v>
      </c>
      <c r="I740" s="1">
        <v>3.18282E8</v>
      </c>
      <c r="J740" s="1">
        <v>2.51945E8</v>
      </c>
      <c r="K740" s="1">
        <v>2.51945E8</v>
      </c>
      <c r="M740" s="1">
        <v>6.271E7</v>
      </c>
      <c r="N740" s="1">
        <v>2.464797E9</v>
      </c>
      <c r="O740" s="1">
        <v>2.212852E9</v>
      </c>
      <c r="P740" s="1">
        <v>2.146515E9</v>
      </c>
      <c r="Q740" s="1">
        <v>2484000.0</v>
      </c>
      <c r="R740" s="1">
        <v>1.91719E8</v>
      </c>
      <c r="S740" s="1">
        <v>1.91307E8</v>
      </c>
      <c r="W740" s="4" t="str">
        <f>Raw_Data!C739&amp;"|"&amp;Raw_Data!D739&amp;"|"&amp;TEXT(Raw_Data!B739,"yyyy-mm-dd")</f>
        <v>Expeditors|EXPD|2020-12-31</v>
      </c>
    </row>
    <row r="741">
      <c r="A741" s="1">
        <v>739.0</v>
      </c>
      <c r="B741" s="3">
        <v>44012.0</v>
      </c>
      <c r="C741" s="1" t="s">
        <v>410</v>
      </c>
      <c r="D741" s="1" t="s">
        <v>411</v>
      </c>
      <c r="F741" s="1">
        <v>2.50982E8</v>
      </c>
      <c r="G741" s="1">
        <v>1.83869E8</v>
      </c>
      <c r="H741" s="1">
        <v>3113000.0</v>
      </c>
      <c r="I741" s="1">
        <v>3.13109E8</v>
      </c>
      <c r="J741" s="1">
        <v>2.47626E8</v>
      </c>
      <c r="K741" s="1">
        <v>2.47626E8</v>
      </c>
      <c r="M741" s="1">
        <v>6.6794E7</v>
      </c>
      <c r="N741" s="1">
        <v>2.580632E9</v>
      </c>
      <c r="O741" s="1">
        <v>2.333006E9</v>
      </c>
      <c r="P741" s="1">
        <v>2.267523E9</v>
      </c>
      <c r="Q741" s="1">
        <v>3356000.0</v>
      </c>
      <c r="R741" s="1">
        <v>1.84188E8</v>
      </c>
      <c r="S741" s="1">
        <v>1.83869E8</v>
      </c>
      <c r="W741" s="4" t="str">
        <f>Raw_Data!C740&amp;"|"&amp;Raw_Data!D740&amp;"|"&amp;TEXT(Raw_Data!B740,"yyyy-mm-dd")</f>
        <v>Expeditors|EXPD|2020-09-30</v>
      </c>
    </row>
    <row r="742">
      <c r="A742" s="1">
        <v>740.0</v>
      </c>
      <c r="B742" s="3">
        <v>44377.0</v>
      </c>
      <c r="C742" s="1" t="s">
        <v>412</v>
      </c>
      <c r="D742" s="1" t="s">
        <v>413</v>
      </c>
      <c r="F742" s="1">
        <v>1.84E8</v>
      </c>
      <c r="G742" s="1">
        <v>1.67948E8</v>
      </c>
      <c r="H742" s="1">
        <v>2.6341E7</v>
      </c>
      <c r="I742" s="1">
        <v>2.97313E8</v>
      </c>
      <c r="J742" s="1">
        <v>2.11402E8</v>
      </c>
      <c r="K742" s="1">
        <v>2.11402E8</v>
      </c>
      <c r="L742" s="1">
        <v>-4.024E7</v>
      </c>
      <c r="M742" s="1">
        <v>5421000.0</v>
      </c>
      <c r="N742" s="1">
        <v>3.93203E8</v>
      </c>
      <c r="O742" s="1">
        <v>1.81801E8</v>
      </c>
      <c r="P742" s="1">
        <v>9.589E7</v>
      </c>
      <c r="Q742" s="1">
        <v>-2.7402E7</v>
      </c>
      <c r="R742" s="1">
        <v>1.78579E8</v>
      </c>
      <c r="S742" s="1">
        <v>1.67716E8</v>
      </c>
      <c r="W742" s="4" t="str">
        <f>Raw_Data!C741&amp;"|"&amp;Raw_Data!D741&amp;"|"&amp;TEXT(Raw_Data!B741,"yyyy-mm-dd")</f>
        <v>Expeditors|EXPD|2020-06-30</v>
      </c>
    </row>
    <row r="743">
      <c r="A743" s="1">
        <v>741.0</v>
      </c>
      <c r="B743" s="3">
        <v>44286.0</v>
      </c>
      <c r="C743" s="1" t="s">
        <v>412</v>
      </c>
      <c r="D743" s="1" t="s">
        <v>413</v>
      </c>
      <c r="F743" s="1">
        <v>2.19638E8</v>
      </c>
      <c r="G743" s="1">
        <v>2.02998E8</v>
      </c>
      <c r="H743" s="1">
        <v>2.354E7</v>
      </c>
      <c r="I743" s="1">
        <v>2.66285E8</v>
      </c>
      <c r="J743" s="1">
        <v>1.84146E8</v>
      </c>
      <c r="K743" s="1">
        <v>1.84146E8</v>
      </c>
      <c r="L743" s="1">
        <v>-4.0695E7</v>
      </c>
      <c r="M743" s="1">
        <v>4137000.0</v>
      </c>
      <c r="N743" s="1">
        <v>3.65813E8</v>
      </c>
      <c r="O743" s="1">
        <v>1.81667E8</v>
      </c>
      <c r="P743" s="1">
        <v>9.9528E7</v>
      </c>
      <c r="Q743" s="1">
        <v>3.5492E7</v>
      </c>
      <c r="R743" s="1">
        <v>2.15501E8</v>
      </c>
      <c r="S743" s="1">
        <v>2.02686E8</v>
      </c>
      <c r="W743" s="4" t="str">
        <f>Raw_Data!C742&amp;"|"&amp;Raw_Data!D742&amp;"|"&amp;TEXT(Raw_Data!B742,"yyyy-mm-dd")</f>
        <v>Extra Space Storage|EXR|2021-06-30</v>
      </c>
    </row>
    <row r="744">
      <c r="A744" s="1">
        <v>742.0</v>
      </c>
      <c r="B744" s="3">
        <v>44196.0</v>
      </c>
      <c r="C744" s="1" t="s">
        <v>412</v>
      </c>
      <c r="D744" s="1" t="s">
        <v>413</v>
      </c>
      <c r="F744" s="1">
        <v>1.70106E8</v>
      </c>
      <c r="G744" s="1">
        <v>1.56056E8</v>
      </c>
      <c r="H744" s="1">
        <v>5.2688E7</v>
      </c>
      <c r="I744" s="1">
        <v>2.9377E8</v>
      </c>
      <c r="J744" s="1">
        <v>1.84343E8</v>
      </c>
      <c r="K744" s="1">
        <v>1.84343E8</v>
      </c>
      <c r="L744" s="1">
        <v>-4.1016E7</v>
      </c>
      <c r="M744" s="1">
        <v>3797000.0</v>
      </c>
      <c r="N744" s="1">
        <v>3.60159E8</v>
      </c>
      <c r="O744" s="1">
        <v>1.75816E8</v>
      </c>
      <c r="P744" s="1">
        <v>6.6389E7</v>
      </c>
      <c r="Q744" s="1">
        <v>-1.4237E7</v>
      </c>
      <c r="R744" s="1">
        <v>1.66309E8</v>
      </c>
      <c r="S744" s="1">
        <v>1.55863E8</v>
      </c>
      <c r="W744" s="4" t="str">
        <f>Raw_Data!C743&amp;"|"&amp;Raw_Data!D743&amp;"|"&amp;TEXT(Raw_Data!B743,"yyyy-mm-dd")</f>
        <v>Extra Space Storage|EXR|2021-03-31</v>
      </c>
    </row>
    <row r="745">
      <c r="A745" s="1">
        <v>743.0</v>
      </c>
      <c r="B745" s="3">
        <v>44104.0</v>
      </c>
      <c r="C745" s="1" t="s">
        <v>412</v>
      </c>
      <c r="D745" s="1" t="s">
        <v>413</v>
      </c>
      <c r="F745" s="1">
        <v>1.28511E8</v>
      </c>
      <c r="G745" s="1">
        <v>1.14633E8</v>
      </c>
      <c r="H745" s="1">
        <v>2.3894E7</v>
      </c>
      <c r="I745" s="1">
        <v>2.49118E8</v>
      </c>
      <c r="J745" s="1">
        <v>1.68812E8</v>
      </c>
      <c r="K745" s="1">
        <v>1.68812E8</v>
      </c>
      <c r="L745" s="1">
        <v>-4.3446E7</v>
      </c>
      <c r="M745" s="1">
        <v>4657000.0</v>
      </c>
      <c r="N745" s="1">
        <v>3.48629E8</v>
      </c>
      <c r="O745" s="1">
        <v>1.79817E8</v>
      </c>
      <c r="P745" s="1">
        <v>9.9511E7</v>
      </c>
      <c r="Q745" s="1">
        <v>-4.0301E7</v>
      </c>
      <c r="R745" s="1">
        <v>1.23854E8</v>
      </c>
      <c r="S745" s="1">
        <v>1.14456E8</v>
      </c>
      <c r="W745" s="4" t="str">
        <f>Raw_Data!C744&amp;"|"&amp;Raw_Data!D744&amp;"|"&amp;TEXT(Raw_Data!B744,"yyyy-mm-dd")</f>
        <v>Extra Space Storage|EXR|2020-12-31</v>
      </c>
    </row>
    <row r="746">
      <c r="A746" s="1">
        <v>744.0</v>
      </c>
      <c r="B746" s="3">
        <v>44377.0</v>
      </c>
      <c r="C746" s="1" t="s">
        <v>414</v>
      </c>
      <c r="D746" s="1" t="s">
        <v>415</v>
      </c>
      <c r="F746" s="1">
        <v>6.307E9</v>
      </c>
      <c r="G746" s="1">
        <v>4.69E9</v>
      </c>
      <c r="H746" s="1">
        <v>2.497E9</v>
      </c>
      <c r="I746" s="1">
        <v>2.0506E10</v>
      </c>
      <c r="J746" s="1">
        <v>5.135E9</v>
      </c>
      <c r="K746" s="1">
        <v>5.135E9</v>
      </c>
      <c r="L746" s="1">
        <v>-2.54E8</v>
      </c>
      <c r="M746" s="1">
        <v>1.526E9</v>
      </c>
      <c r="N746" s="1">
        <v>6.6306E10</v>
      </c>
      <c r="O746" s="1">
        <v>6.1171E10</v>
      </c>
      <c r="P746" s="1">
        <v>4.58E10</v>
      </c>
      <c r="Q746" s="1">
        <v>1.172E9</v>
      </c>
      <c r="R746" s="1">
        <v>4.781E9</v>
      </c>
      <c r="S746" s="1">
        <v>4.69E9</v>
      </c>
      <c r="W746" s="4" t="str">
        <f>Raw_Data!C745&amp;"|"&amp;Raw_Data!D745&amp;"|"&amp;TEXT(Raw_Data!B745,"yyyy-mm-dd")</f>
        <v>Extra Space Storage|EXR|2020-09-30</v>
      </c>
    </row>
    <row r="747">
      <c r="A747" s="1">
        <v>745.0</v>
      </c>
      <c r="B747" s="3">
        <v>44286.0</v>
      </c>
      <c r="C747" s="1" t="s">
        <v>414</v>
      </c>
      <c r="D747" s="1" t="s">
        <v>415</v>
      </c>
      <c r="F747" s="1">
        <v>3.592E9</v>
      </c>
      <c r="G747" s="1">
        <v>2.73E9</v>
      </c>
      <c r="H747" s="1">
        <v>2.767E9</v>
      </c>
      <c r="I747" s="1">
        <v>1.7011E10</v>
      </c>
      <c r="J747" s="1">
        <v>3.027E9</v>
      </c>
      <c r="K747" s="1">
        <v>3.027E9</v>
      </c>
      <c r="L747" s="1">
        <v>-2.58E8</v>
      </c>
      <c r="M747" s="1">
        <v>7.96E8</v>
      </c>
      <c r="N747" s="1">
        <v>5.7674E10</v>
      </c>
      <c r="O747" s="1">
        <v>5.4647E10</v>
      </c>
      <c r="P747" s="1">
        <v>4.0663E10</v>
      </c>
      <c r="Q747" s="1">
        <v>5.65E8</v>
      </c>
      <c r="R747" s="1">
        <v>2.796E9</v>
      </c>
      <c r="S747" s="1">
        <v>2.73E9</v>
      </c>
      <c r="W747" s="4" t="str">
        <f>Raw_Data!C746&amp;"|"&amp;Raw_Data!D746&amp;"|"&amp;TEXT(Raw_Data!B746,"yyyy-mm-dd")</f>
        <v>ExxonMobil|XOM|2021-06-30</v>
      </c>
    </row>
    <row r="748">
      <c r="A748" s="1">
        <v>746.0</v>
      </c>
      <c r="B748" s="3">
        <v>44196.0</v>
      </c>
      <c r="C748" s="1" t="s">
        <v>414</v>
      </c>
      <c r="D748" s="1" t="s">
        <v>415</v>
      </c>
      <c r="F748" s="1">
        <v>-2.6613E10</v>
      </c>
      <c r="G748" s="1">
        <v>-2.007E10</v>
      </c>
      <c r="H748" s="1">
        <v>2.187E9</v>
      </c>
      <c r="I748" s="1">
        <v>1.5973E10</v>
      </c>
      <c r="J748" s="1">
        <v>-1.176E9</v>
      </c>
      <c r="K748" s="1">
        <v>-1.176E9</v>
      </c>
      <c r="L748" s="1">
        <v>-3.13E8</v>
      </c>
      <c r="M748" s="1">
        <v>-6.01E9</v>
      </c>
      <c r="N748" s="1">
        <v>4.6203E10</v>
      </c>
      <c r="O748" s="1">
        <v>4.7379E10</v>
      </c>
      <c r="P748" s="1">
        <v>3.023E10</v>
      </c>
      <c r="Q748" s="1">
        <v>-2.5437E10</v>
      </c>
      <c r="R748" s="1">
        <v>-2.0603E10</v>
      </c>
      <c r="S748" s="1">
        <v>-2.007E10</v>
      </c>
      <c r="W748" s="4" t="str">
        <f>Raw_Data!C747&amp;"|"&amp;Raw_Data!D747&amp;"|"&amp;TEXT(Raw_Data!B747,"yyyy-mm-dd")</f>
        <v>ExxonMobil|XOM|2021-03-31</v>
      </c>
    </row>
    <row r="749">
      <c r="A749" s="1">
        <v>747.0</v>
      </c>
      <c r="B749" s="3">
        <v>44104.0</v>
      </c>
      <c r="C749" s="1" t="s">
        <v>414</v>
      </c>
      <c r="D749" s="1" t="s">
        <v>415</v>
      </c>
      <c r="F749" s="1">
        <v>-3.72E8</v>
      </c>
      <c r="G749" s="1">
        <v>-6.8E8</v>
      </c>
      <c r="H749" s="1">
        <v>2.716E9</v>
      </c>
      <c r="I749" s="1">
        <v>1.4643E10</v>
      </c>
      <c r="J749" s="1">
        <v>-5.96E8</v>
      </c>
      <c r="K749" s="1">
        <v>-5.96E8</v>
      </c>
      <c r="L749" s="1">
        <v>-2.79E8</v>
      </c>
      <c r="M749" s="1">
        <v>3.37E8</v>
      </c>
      <c r="N749" s="1">
        <v>4.5696E10</v>
      </c>
      <c r="O749" s="1">
        <v>4.6292E10</v>
      </c>
      <c r="P749" s="1">
        <v>3.1053E10</v>
      </c>
      <c r="Q749" s="1">
        <v>2.24E8</v>
      </c>
      <c r="R749" s="1">
        <v>-7.09E8</v>
      </c>
      <c r="S749" s="1">
        <v>-6.8E8</v>
      </c>
      <c r="W749" s="4" t="str">
        <f>Raw_Data!C748&amp;"|"&amp;Raw_Data!D748&amp;"|"&amp;TEXT(Raw_Data!B748,"yyyy-mm-dd")</f>
        <v>ExxonMobil|XOM|2020-12-31</v>
      </c>
    </row>
    <row r="750">
      <c r="A750" s="1">
        <v>748.0</v>
      </c>
      <c r="B750" s="3">
        <v>44286.0</v>
      </c>
      <c r="C750" s="1" t="s">
        <v>416</v>
      </c>
      <c r="D750" s="1" t="s">
        <v>417</v>
      </c>
      <c r="E750" s="1">
        <v>1.30608E8</v>
      </c>
      <c r="F750" s="1">
        <v>5.2124E7</v>
      </c>
      <c r="G750" s="1">
        <v>4.3241E7</v>
      </c>
      <c r="H750" s="1">
        <v>2.96256E8</v>
      </c>
      <c r="I750" s="1">
        <v>5.2109E8</v>
      </c>
      <c r="J750" s="1">
        <v>9.4226E7</v>
      </c>
      <c r="K750" s="1">
        <v>9.4226E7</v>
      </c>
      <c r="M750" s="1">
        <v>8883000.0</v>
      </c>
      <c r="N750" s="1">
        <v>6.45287E8</v>
      </c>
      <c r="O750" s="1">
        <v>5.51061E8</v>
      </c>
      <c r="P750" s="1">
        <v>1.24197E8</v>
      </c>
      <c r="Q750" s="1">
        <v>-4.2102E7</v>
      </c>
      <c r="R750" s="1">
        <v>4.3241E7</v>
      </c>
      <c r="S750" s="1">
        <v>4.3241E7</v>
      </c>
      <c r="W750" s="4" t="str">
        <f>Raw_Data!C749&amp;"|"&amp;Raw_Data!D749&amp;"|"&amp;TEXT(Raw_Data!B749,"yyyy-mm-dd")</f>
        <v>ExxonMobil|XOM|2020-09-30</v>
      </c>
    </row>
    <row r="751">
      <c r="A751" s="1">
        <v>749.0</v>
      </c>
      <c r="B751" s="3">
        <v>44196.0</v>
      </c>
      <c r="C751" s="1" t="s">
        <v>416</v>
      </c>
      <c r="D751" s="1" t="s">
        <v>417</v>
      </c>
      <c r="E751" s="1">
        <v>1.14191E8</v>
      </c>
      <c r="F751" s="1">
        <v>1.17065E8</v>
      </c>
      <c r="G751" s="1">
        <v>8.7678E7</v>
      </c>
      <c r="H751" s="1">
        <v>2.74999E8</v>
      </c>
      <c r="I751" s="1">
        <v>5.09638E8</v>
      </c>
      <c r="J751" s="1">
        <v>1.20448E8</v>
      </c>
      <c r="K751" s="1">
        <v>1.20448E8</v>
      </c>
      <c r="M751" s="1">
        <v>2.9387E7</v>
      </c>
      <c r="N751" s="1">
        <v>6.24617E8</v>
      </c>
      <c r="O751" s="1">
        <v>5.04169E8</v>
      </c>
      <c r="P751" s="1">
        <v>1.14979E8</v>
      </c>
      <c r="Q751" s="1">
        <v>-3383000.0</v>
      </c>
      <c r="R751" s="1">
        <v>8.7678E7</v>
      </c>
      <c r="S751" s="1">
        <v>8.7678E7</v>
      </c>
      <c r="W751" s="4" t="str">
        <f>Raw_Data!C750&amp;"|"&amp;Raw_Data!D750&amp;"|"&amp;TEXT(Raw_Data!B750,"yyyy-mm-dd")</f>
        <v>F5 Networks|FFIV|2021-03-31</v>
      </c>
    </row>
    <row r="752">
      <c r="A752" s="1">
        <v>750.0</v>
      </c>
      <c r="B752" s="3">
        <v>44104.0</v>
      </c>
      <c r="C752" s="1" t="s">
        <v>416</v>
      </c>
      <c r="D752" s="1" t="s">
        <v>417</v>
      </c>
      <c r="E752" s="1">
        <v>1.203E8</v>
      </c>
      <c r="F752" s="1">
        <v>9.7523E7</v>
      </c>
      <c r="G752" s="1">
        <v>7.7663E7</v>
      </c>
      <c r="H752" s="1">
        <v>2.83936E8</v>
      </c>
      <c r="I752" s="1">
        <v>5.02849E8</v>
      </c>
      <c r="J752" s="1">
        <v>9.8613E7</v>
      </c>
      <c r="K752" s="1">
        <v>9.8613E7</v>
      </c>
      <c r="M752" s="1">
        <v>1.986E7</v>
      </c>
      <c r="N752" s="1">
        <v>6.14816E8</v>
      </c>
      <c r="O752" s="1">
        <v>5.16203E8</v>
      </c>
      <c r="P752" s="1">
        <v>1.11967E8</v>
      </c>
      <c r="Q752" s="1">
        <v>-1090000.0</v>
      </c>
      <c r="R752" s="1">
        <v>7.7663E7</v>
      </c>
      <c r="S752" s="1">
        <v>7.7663E7</v>
      </c>
      <c r="W752" s="4" t="str">
        <f>Raw_Data!C751&amp;"|"&amp;Raw_Data!D751&amp;"|"&amp;TEXT(Raw_Data!B751,"yyyy-mm-dd")</f>
        <v>F5 Networks|FFIV|2020-12-31</v>
      </c>
    </row>
    <row r="753">
      <c r="A753" s="1">
        <v>751.0</v>
      </c>
      <c r="B753" s="3">
        <v>44012.0</v>
      </c>
      <c r="C753" s="1" t="s">
        <v>416</v>
      </c>
      <c r="D753" s="1" t="s">
        <v>417</v>
      </c>
      <c r="E753" s="1">
        <v>1.15991E8</v>
      </c>
      <c r="F753" s="1">
        <v>8.7762E7</v>
      </c>
      <c r="G753" s="1">
        <v>6.9872E7</v>
      </c>
      <c r="H753" s="1">
        <v>2.736E8</v>
      </c>
      <c r="I753" s="1">
        <v>4.77212E8</v>
      </c>
      <c r="J753" s="1">
        <v>8.7621E7</v>
      </c>
      <c r="K753" s="1">
        <v>8.7621E7</v>
      </c>
      <c r="M753" s="1">
        <v>1.789E7</v>
      </c>
      <c r="N753" s="1">
        <v>5.83252E8</v>
      </c>
      <c r="O753" s="1">
        <v>4.95631E8</v>
      </c>
      <c r="P753" s="1">
        <v>1.0604E8</v>
      </c>
      <c r="Q753" s="1">
        <v>141000.0</v>
      </c>
      <c r="R753" s="1">
        <v>6.9872E7</v>
      </c>
      <c r="S753" s="1">
        <v>6.9872E7</v>
      </c>
      <c r="W753" s="4" t="str">
        <f>Raw_Data!C752&amp;"|"&amp;Raw_Data!D752&amp;"|"&amp;TEXT(Raw_Data!B752,"yyyy-mm-dd")</f>
        <v>F5 Networks|FFIV|2020-09-30</v>
      </c>
    </row>
    <row r="754">
      <c r="A754" s="1">
        <v>752.0</v>
      </c>
      <c r="B754" s="3">
        <v>44377.0</v>
      </c>
      <c r="C754" s="1" t="s">
        <v>418</v>
      </c>
      <c r="D754" s="1" t="s">
        <v>419</v>
      </c>
      <c r="E754" s="1">
        <v>6.096E9</v>
      </c>
      <c r="F754" s="1">
        <v>1.2513E10</v>
      </c>
      <c r="G754" s="1">
        <v>1.0394E10</v>
      </c>
      <c r="H754" s="1">
        <v>5.215E9</v>
      </c>
      <c r="I754" s="1">
        <v>2.3678E10</v>
      </c>
      <c r="J754" s="1">
        <v>1.2367E10</v>
      </c>
      <c r="K754" s="1">
        <v>1.2367E10</v>
      </c>
      <c r="M754" s="1">
        <v>2.119E9</v>
      </c>
      <c r="N754" s="1">
        <v>2.9077E10</v>
      </c>
      <c r="O754" s="1">
        <v>1.671E10</v>
      </c>
      <c r="P754" s="1">
        <v>5.399E9</v>
      </c>
      <c r="Q754" s="1">
        <v>1.46E8</v>
      </c>
      <c r="R754" s="1">
        <v>1.0394E10</v>
      </c>
      <c r="S754" s="1">
        <v>1.0394E10</v>
      </c>
      <c r="W754" s="4" t="str">
        <f>Raw_Data!C753&amp;"|"&amp;Raw_Data!D753&amp;"|"&amp;TEXT(Raw_Data!B753,"yyyy-mm-dd")</f>
        <v>F5 Networks|FFIV|2020-06-30</v>
      </c>
    </row>
    <row r="755">
      <c r="A755" s="1">
        <v>753.0</v>
      </c>
      <c r="B755" s="3">
        <v>44286.0</v>
      </c>
      <c r="C755" s="1" t="s">
        <v>418</v>
      </c>
      <c r="D755" s="1" t="s">
        <v>419</v>
      </c>
      <c r="E755" s="1">
        <v>5.197E9</v>
      </c>
      <c r="F755" s="1">
        <v>1.1503E10</v>
      </c>
      <c r="G755" s="1">
        <v>9.497E9</v>
      </c>
      <c r="H755" s="1">
        <v>4.465E9</v>
      </c>
      <c r="I755" s="1">
        <v>2.104E10</v>
      </c>
      <c r="J755" s="1">
        <v>1.1378E10</v>
      </c>
      <c r="K755" s="1">
        <v>1.1378E10</v>
      </c>
      <c r="M755" s="1">
        <v>2.006E9</v>
      </c>
      <c r="N755" s="1">
        <v>2.6171E10</v>
      </c>
      <c r="O755" s="1">
        <v>1.4793E10</v>
      </c>
      <c r="P755" s="1">
        <v>5.131E9</v>
      </c>
      <c r="Q755" s="1">
        <v>1.25E8</v>
      </c>
      <c r="R755" s="1">
        <v>9.497E9</v>
      </c>
      <c r="S755" s="1">
        <v>9.497E9</v>
      </c>
      <c r="W755" s="4" t="str">
        <f>Raw_Data!C754&amp;"|"&amp;Raw_Data!D754&amp;"|"&amp;TEXT(Raw_Data!B754,"yyyy-mm-dd")</f>
        <v>Facebook|FB|2021-06-30</v>
      </c>
    </row>
    <row r="756">
      <c r="A756" s="1">
        <v>754.0</v>
      </c>
      <c r="B756" s="3">
        <v>44196.0</v>
      </c>
      <c r="C756" s="1" t="s">
        <v>418</v>
      </c>
      <c r="D756" s="1" t="s">
        <v>419</v>
      </c>
      <c r="E756" s="1">
        <v>5.207E9</v>
      </c>
      <c r="F756" s="1">
        <v>1.3055E10</v>
      </c>
      <c r="G756" s="1">
        <v>1.1219E10</v>
      </c>
      <c r="H756" s="1">
        <v>4.88E9</v>
      </c>
      <c r="I756" s="1">
        <v>2.2862E10</v>
      </c>
      <c r="J756" s="1">
        <v>1.2775E10</v>
      </c>
      <c r="K756" s="1">
        <v>1.2775E10</v>
      </c>
      <c r="M756" s="1">
        <v>1.836E9</v>
      </c>
      <c r="N756" s="1">
        <v>2.8072E10</v>
      </c>
      <c r="O756" s="1">
        <v>1.5297E10</v>
      </c>
      <c r="P756" s="1">
        <v>5.21E9</v>
      </c>
      <c r="Q756" s="1">
        <v>2.8E8</v>
      </c>
      <c r="R756" s="1">
        <v>1.1219E10</v>
      </c>
      <c r="S756" s="1">
        <v>1.1219E10</v>
      </c>
      <c r="W756" s="4" t="str">
        <f>Raw_Data!C755&amp;"|"&amp;Raw_Data!D755&amp;"|"&amp;TEXT(Raw_Data!B755,"yyyy-mm-dd")</f>
        <v>Facebook|FB|2021-03-31</v>
      </c>
    </row>
    <row r="757">
      <c r="A757" s="1">
        <v>755.0</v>
      </c>
      <c r="B757" s="3">
        <v>44104.0</v>
      </c>
      <c r="C757" s="1" t="s">
        <v>418</v>
      </c>
      <c r="D757" s="1" t="s">
        <v>419</v>
      </c>
      <c r="E757" s="1">
        <v>4.763E9</v>
      </c>
      <c r="F757" s="1">
        <v>8.133E9</v>
      </c>
      <c r="G757" s="1">
        <v>7.846E9</v>
      </c>
      <c r="H757" s="1">
        <v>4.473E9</v>
      </c>
      <c r="I757" s="1">
        <v>1.7276E10</v>
      </c>
      <c r="J757" s="1">
        <v>8.04E9</v>
      </c>
      <c r="K757" s="1">
        <v>8.04E9</v>
      </c>
      <c r="M757" s="1">
        <v>2.87E8</v>
      </c>
      <c r="N757" s="1">
        <v>2.147E10</v>
      </c>
      <c r="O757" s="1">
        <v>1.343E10</v>
      </c>
      <c r="P757" s="1">
        <v>4.194E9</v>
      </c>
      <c r="Q757" s="1">
        <v>9.3E7</v>
      </c>
      <c r="R757" s="1">
        <v>7.846E9</v>
      </c>
      <c r="S757" s="1">
        <v>7.846E9</v>
      </c>
      <c r="W757" s="4" t="str">
        <f>Raw_Data!C756&amp;"|"&amp;Raw_Data!D756&amp;"|"&amp;TEXT(Raw_Data!B756,"yyyy-mm-dd")</f>
        <v>Facebook|FB|2020-12-31</v>
      </c>
    </row>
    <row r="758">
      <c r="A758" s="1">
        <v>756.0</v>
      </c>
      <c r="B758" s="3">
        <v>44377.0</v>
      </c>
      <c r="C758" s="1" t="s">
        <v>420</v>
      </c>
      <c r="D758" s="1" t="s">
        <v>421</v>
      </c>
      <c r="F758" s="1">
        <v>3.152E8</v>
      </c>
      <c r="G758" s="1">
        <v>2.397E8</v>
      </c>
      <c r="H758" s="1">
        <v>3.829E8</v>
      </c>
      <c r="I758" s="1">
        <v>7.007E8</v>
      </c>
      <c r="J758" s="1">
        <v>3.178E8</v>
      </c>
      <c r="K758" s="1">
        <v>3.178E8</v>
      </c>
      <c r="L758" s="1">
        <v>-2600000.0</v>
      </c>
      <c r="M758" s="1">
        <v>7.55E7</v>
      </c>
      <c r="N758" s="1">
        <v>1.5077E9</v>
      </c>
      <c r="O758" s="1">
        <v>1.1899E9</v>
      </c>
      <c r="P758" s="1">
        <v>8.07E8</v>
      </c>
      <c r="Q758" s="1">
        <v>-2600000.0</v>
      </c>
      <c r="R758" s="1">
        <v>2.397E8</v>
      </c>
      <c r="S758" s="1">
        <v>2.397E8</v>
      </c>
      <c r="W758" s="4" t="str">
        <f>Raw_Data!C757&amp;"|"&amp;Raw_Data!D757&amp;"|"&amp;TEXT(Raw_Data!B757,"yyyy-mm-dd")</f>
        <v>Facebook|FB|2020-09-30</v>
      </c>
    </row>
    <row r="759">
      <c r="A759" s="1">
        <v>757.0</v>
      </c>
      <c r="B759" s="3">
        <v>44286.0</v>
      </c>
      <c r="C759" s="1" t="s">
        <v>420</v>
      </c>
      <c r="D759" s="1" t="s">
        <v>421</v>
      </c>
      <c r="F759" s="1">
        <v>2.779E8</v>
      </c>
      <c r="G759" s="1">
        <v>2.106E8</v>
      </c>
      <c r="H759" s="1">
        <v>3.631E8</v>
      </c>
      <c r="I759" s="1">
        <v>6.434E8</v>
      </c>
      <c r="J759" s="1">
        <v>2.803E8</v>
      </c>
      <c r="K759" s="1">
        <v>2.803E8</v>
      </c>
      <c r="L759" s="1">
        <v>-2400000.0</v>
      </c>
      <c r="M759" s="1">
        <v>6.73E7</v>
      </c>
      <c r="N759" s="1">
        <v>1.417E9</v>
      </c>
      <c r="O759" s="1">
        <v>1.1367E9</v>
      </c>
      <c r="P759" s="1">
        <v>7.736E8</v>
      </c>
      <c r="Q759" s="1">
        <v>-2400000.0</v>
      </c>
      <c r="R759" s="1">
        <v>2.106E8</v>
      </c>
      <c r="S759" s="1">
        <v>2.106E8</v>
      </c>
      <c r="W759" s="4" t="str">
        <f>Raw_Data!C758&amp;"|"&amp;Raw_Data!D758&amp;"|"&amp;TEXT(Raw_Data!B758,"yyyy-mm-dd")</f>
        <v>Fastenal|FAST|2021-06-30</v>
      </c>
    </row>
    <row r="760">
      <c r="A760" s="1">
        <v>758.0</v>
      </c>
      <c r="B760" s="3">
        <v>44196.0</v>
      </c>
      <c r="C760" s="1" t="s">
        <v>420</v>
      </c>
      <c r="D760" s="1" t="s">
        <v>421</v>
      </c>
      <c r="F760" s="1">
        <v>2.622E8</v>
      </c>
      <c r="G760" s="1">
        <v>1.961E8</v>
      </c>
      <c r="H760" s="1">
        <v>3.547E8</v>
      </c>
      <c r="I760" s="1">
        <v>6.188E8</v>
      </c>
      <c r="J760" s="1">
        <v>2.641E8</v>
      </c>
      <c r="K760" s="1">
        <v>2.641E8</v>
      </c>
      <c r="L760" s="1">
        <v>-2500000.0</v>
      </c>
      <c r="M760" s="1">
        <v>6.61E7</v>
      </c>
      <c r="N760" s="1">
        <v>1.358E9</v>
      </c>
      <c r="O760" s="1">
        <v>1.0939E9</v>
      </c>
      <c r="P760" s="1">
        <v>7.392E8</v>
      </c>
      <c r="Q760" s="1">
        <v>-1900000.0</v>
      </c>
      <c r="R760" s="1">
        <v>1.961E8</v>
      </c>
      <c r="S760" s="1">
        <v>1.961E8</v>
      </c>
      <c r="W760" s="4" t="str">
        <f>Raw_Data!C759&amp;"|"&amp;Raw_Data!D759&amp;"|"&amp;TEXT(Raw_Data!B759,"yyyy-mm-dd")</f>
        <v>Fastenal|FAST|2021-03-31</v>
      </c>
    </row>
    <row r="761">
      <c r="A761" s="1">
        <v>759.0</v>
      </c>
      <c r="B761" s="3">
        <v>44104.0</v>
      </c>
      <c r="C761" s="1" t="s">
        <v>420</v>
      </c>
      <c r="D761" s="1" t="s">
        <v>421</v>
      </c>
      <c r="F761" s="1">
        <v>2.876E8</v>
      </c>
      <c r="G761" s="1">
        <v>2.215E8</v>
      </c>
      <c r="H761" s="1">
        <v>3.515E8</v>
      </c>
      <c r="I761" s="1">
        <v>6.406E8</v>
      </c>
      <c r="J761" s="1">
        <v>2.891E8</v>
      </c>
      <c r="K761" s="1">
        <v>2.891E8</v>
      </c>
      <c r="L761" s="1">
        <v>-2600000.0</v>
      </c>
      <c r="M761" s="1">
        <v>6.61E7</v>
      </c>
      <c r="N761" s="1">
        <v>1.4133E9</v>
      </c>
      <c r="O761" s="1">
        <v>1.1242E9</v>
      </c>
      <c r="P761" s="1">
        <v>7.727E8</v>
      </c>
      <c r="Q761" s="1">
        <v>-1500000.0</v>
      </c>
      <c r="R761" s="1">
        <v>2.215E8</v>
      </c>
      <c r="S761" s="1">
        <v>2.215E8</v>
      </c>
      <c r="W761" s="4" t="str">
        <f>Raw_Data!C760&amp;"|"&amp;Raw_Data!D760&amp;"|"&amp;TEXT(Raw_Data!B760,"yyyy-mm-dd")</f>
        <v>Fastenal|FAST|2020-12-31</v>
      </c>
    </row>
    <row r="762">
      <c r="A762" s="1">
        <v>760.0</v>
      </c>
      <c r="B762" s="3">
        <v>44377.0</v>
      </c>
      <c r="C762" s="1" t="s">
        <v>422</v>
      </c>
      <c r="D762" s="1" t="s">
        <v>423</v>
      </c>
      <c r="F762" s="1">
        <v>4.8059E7</v>
      </c>
      <c r="G762" s="1">
        <v>4.6204E7</v>
      </c>
      <c r="H762" s="1">
        <v>1.2846E7</v>
      </c>
      <c r="I762" s="1">
        <v>1.59507E8</v>
      </c>
      <c r="J762" s="1">
        <v>7.8986E7</v>
      </c>
      <c r="K762" s="1">
        <v>7.8986E7</v>
      </c>
      <c r="L762" s="1">
        <v>-3.1177E7</v>
      </c>
      <c r="M762" s="1">
        <v>0.0</v>
      </c>
      <c r="N762" s="1">
        <v>2.31748E8</v>
      </c>
      <c r="O762" s="1">
        <v>1.52762E8</v>
      </c>
      <c r="P762" s="1">
        <v>7.2241E7</v>
      </c>
      <c r="Q762" s="1">
        <v>-3.0927E7</v>
      </c>
      <c r="R762" s="1">
        <v>4.8059E7</v>
      </c>
      <c r="S762" s="1">
        <v>4.3895E7</v>
      </c>
      <c r="W762" s="4" t="str">
        <f>Raw_Data!C761&amp;"|"&amp;Raw_Data!D761&amp;"|"&amp;TEXT(Raw_Data!B761,"yyyy-mm-dd")</f>
        <v>Fastenal|FAST|2020-09-30</v>
      </c>
    </row>
    <row r="763">
      <c r="A763" s="1">
        <v>761.0</v>
      </c>
      <c r="B763" s="3">
        <v>44286.0</v>
      </c>
      <c r="C763" s="1" t="s">
        <v>422</v>
      </c>
      <c r="D763" s="1" t="s">
        <v>423</v>
      </c>
      <c r="F763" s="1">
        <v>4.9739E7</v>
      </c>
      <c r="G763" s="1">
        <v>4.8236E7</v>
      </c>
      <c r="H763" s="1">
        <v>1.0258E7</v>
      </c>
      <c r="I763" s="1">
        <v>1.38165E8</v>
      </c>
      <c r="J763" s="1">
        <v>6.4033E7</v>
      </c>
      <c r="K763" s="1">
        <v>6.4033E7</v>
      </c>
      <c r="L763" s="1">
        <v>-3.2085E7</v>
      </c>
      <c r="M763" s="1">
        <v>0.0</v>
      </c>
      <c r="N763" s="1">
        <v>2.16823E8</v>
      </c>
      <c r="O763" s="1">
        <v>1.5279E8</v>
      </c>
      <c r="P763" s="1">
        <v>7.8658E7</v>
      </c>
      <c r="Q763" s="1">
        <v>-1.4294E7</v>
      </c>
      <c r="R763" s="1">
        <v>4.9739E7</v>
      </c>
      <c r="S763" s="1">
        <v>4.5932E7</v>
      </c>
      <c r="W763" s="4" t="str">
        <f>Raw_Data!C762&amp;"|"&amp;Raw_Data!D762&amp;"|"&amp;TEXT(Raw_Data!B762,"yyyy-mm-dd")</f>
        <v>Federal Realty Investment Trust|FRT|2021-06-30</v>
      </c>
    </row>
    <row r="764">
      <c r="A764" s="1">
        <v>762.0</v>
      </c>
      <c r="B764" s="3">
        <v>44196.0</v>
      </c>
      <c r="C764" s="1" t="s">
        <v>422</v>
      </c>
      <c r="D764" s="1" t="s">
        <v>423</v>
      </c>
      <c r="F764" s="1">
        <v>1.02211E8</v>
      </c>
      <c r="G764" s="1">
        <v>9.4725E7</v>
      </c>
      <c r="H764" s="1">
        <v>1.8739E7</v>
      </c>
      <c r="I764" s="1">
        <v>1.47122E8</v>
      </c>
      <c r="J764" s="1">
        <v>6.3959E7</v>
      </c>
      <c r="K764" s="1">
        <v>6.3959E7</v>
      </c>
      <c r="L764" s="1">
        <v>-3.7543E7</v>
      </c>
      <c r="M764" s="1">
        <v>0.0</v>
      </c>
      <c r="N764" s="1">
        <v>2.18108E8</v>
      </c>
      <c r="O764" s="1">
        <v>1.54149E8</v>
      </c>
      <c r="P764" s="1">
        <v>7.0986E7</v>
      </c>
      <c r="Q764" s="1">
        <v>3.8252E7</v>
      </c>
      <c r="R764" s="1">
        <v>1.02211E8</v>
      </c>
      <c r="S764" s="1">
        <v>9.2467E7</v>
      </c>
      <c r="W764" s="4" t="str">
        <f>Raw_Data!C763&amp;"|"&amp;Raw_Data!D763&amp;"|"&amp;TEXT(Raw_Data!B763,"yyyy-mm-dd")</f>
        <v>Federal Realty Investment Trust|FRT|2021-03-31</v>
      </c>
    </row>
    <row r="765">
      <c r="A765" s="1">
        <v>763.0</v>
      </c>
      <c r="B765" s="3">
        <v>44104.0</v>
      </c>
      <c r="C765" s="1" t="s">
        <v>422</v>
      </c>
      <c r="D765" s="1" t="s">
        <v>423</v>
      </c>
      <c r="F765" s="1">
        <v>-3.3623E7</v>
      </c>
      <c r="G765" s="1">
        <v>-2.8289E7</v>
      </c>
      <c r="H765" s="1">
        <v>9308000.0</v>
      </c>
      <c r="I765" s="1">
        <v>1.34224E8</v>
      </c>
      <c r="J765" s="1">
        <v>5.9285E7</v>
      </c>
      <c r="K765" s="1">
        <v>5.9285E7</v>
      </c>
      <c r="L765" s="1">
        <v>-3.6228E7</v>
      </c>
      <c r="M765" s="1">
        <v>0.0</v>
      </c>
      <c r="N765" s="1">
        <v>2.06576E8</v>
      </c>
      <c r="O765" s="1">
        <v>1.47291E8</v>
      </c>
      <c r="P765" s="1">
        <v>7.2352E7</v>
      </c>
      <c r="Q765" s="1">
        <v>-9.2908E7</v>
      </c>
      <c r="R765" s="1">
        <v>-3.3623E7</v>
      </c>
      <c r="S765" s="1">
        <v>-3.0548E7</v>
      </c>
      <c r="W765" s="4" t="str">
        <f>Raw_Data!C764&amp;"|"&amp;Raw_Data!D764&amp;"|"&amp;TEXT(Raw_Data!B764,"yyyy-mm-dd")</f>
        <v>Federal Realty Investment Trust|FRT|2020-12-31</v>
      </c>
    </row>
    <row r="766">
      <c r="A766" s="1">
        <v>764.0</v>
      </c>
      <c r="B766" s="3">
        <v>44347.0</v>
      </c>
      <c r="C766" s="1" t="s">
        <v>424</v>
      </c>
      <c r="D766" s="1" t="s">
        <v>425</v>
      </c>
      <c r="F766" s="1">
        <v>2.613E9</v>
      </c>
      <c r="G766" s="1">
        <v>1.868E9</v>
      </c>
      <c r="H766" s="1">
        <v>4.28E8</v>
      </c>
      <c r="I766" s="1">
        <v>7.594E9</v>
      </c>
      <c r="J766" s="1">
        <v>3.333E9</v>
      </c>
      <c r="K766" s="1">
        <v>3.333E9</v>
      </c>
      <c r="L766" s="1">
        <v>-1.86E8</v>
      </c>
      <c r="M766" s="1">
        <v>7.45E8</v>
      </c>
      <c r="N766" s="1">
        <v>2.2565E10</v>
      </c>
      <c r="O766" s="1">
        <v>1.9232E10</v>
      </c>
      <c r="P766" s="1">
        <v>1.4971E10</v>
      </c>
      <c r="Q766" s="1">
        <v>-7.2E8</v>
      </c>
      <c r="R766" s="1">
        <v>1.868E9</v>
      </c>
      <c r="S766" s="1">
        <v>1.868E9</v>
      </c>
      <c r="W766" s="4" t="str">
        <f>Raw_Data!C765&amp;"|"&amp;Raw_Data!D765&amp;"|"&amp;TEXT(Raw_Data!B765,"yyyy-mm-dd")</f>
        <v>Federal Realty Investment Trust|FRT|2020-09-30</v>
      </c>
    </row>
    <row r="767">
      <c r="A767" s="1">
        <v>765.0</v>
      </c>
      <c r="B767" s="3">
        <v>44255.0</v>
      </c>
      <c r="C767" s="1" t="s">
        <v>424</v>
      </c>
      <c r="D767" s="1" t="s">
        <v>425</v>
      </c>
      <c r="F767" s="1">
        <v>1.049E9</v>
      </c>
      <c r="G767" s="1">
        <v>8.92E8</v>
      </c>
      <c r="H767" s="1">
        <v>4.28E8</v>
      </c>
      <c r="I767" s="1">
        <v>5.333E9</v>
      </c>
      <c r="J767" s="1">
        <v>1.217E9</v>
      </c>
      <c r="K767" s="1">
        <v>1.217E9</v>
      </c>
      <c r="L767" s="1">
        <v>-1.87E8</v>
      </c>
      <c r="M767" s="1">
        <v>1.57E8</v>
      </c>
      <c r="N767" s="1">
        <v>2.151E10</v>
      </c>
      <c r="O767" s="1">
        <v>2.0293E10</v>
      </c>
      <c r="P767" s="1">
        <v>1.6177E10</v>
      </c>
      <c r="Q767" s="1">
        <v>-1.68E8</v>
      </c>
      <c r="R767" s="1">
        <v>8.92E8</v>
      </c>
      <c r="S767" s="1">
        <v>8.89E8</v>
      </c>
      <c r="W767" s="4" t="str">
        <f>Raw_Data!C766&amp;"|"&amp;Raw_Data!D766&amp;"|"&amp;TEXT(Raw_Data!B766,"yyyy-mm-dd")</f>
        <v>FedEx|FDX|2021-05-31</v>
      </c>
    </row>
    <row r="768">
      <c r="A768" s="1">
        <v>766.0</v>
      </c>
      <c r="B768" s="3">
        <v>44165.0</v>
      </c>
      <c r="C768" s="1" t="s">
        <v>424</v>
      </c>
      <c r="D768" s="1" t="s">
        <v>425</v>
      </c>
      <c r="F768" s="1">
        <v>1.406E9</v>
      </c>
      <c r="G768" s="1">
        <v>1.226E9</v>
      </c>
      <c r="H768" s="1">
        <v>4.28E8</v>
      </c>
      <c r="I768" s="1">
        <v>5.417E9</v>
      </c>
      <c r="J768" s="1">
        <v>1.615E9</v>
      </c>
      <c r="K768" s="1">
        <v>1.615E9</v>
      </c>
      <c r="L768" s="1">
        <v>-1.84E8</v>
      </c>
      <c r="M768" s="1">
        <v>1.8E8</v>
      </c>
      <c r="N768" s="1">
        <v>2.0563E10</v>
      </c>
      <c r="O768" s="1">
        <v>1.8948E10</v>
      </c>
      <c r="P768" s="1">
        <v>1.5146E10</v>
      </c>
      <c r="Q768" s="1">
        <v>-2.09E8</v>
      </c>
      <c r="R768" s="1">
        <v>1.226E9</v>
      </c>
      <c r="S768" s="1">
        <v>1.224E9</v>
      </c>
      <c r="W768" s="4" t="str">
        <f>Raw_Data!C767&amp;"|"&amp;Raw_Data!D767&amp;"|"&amp;TEXT(Raw_Data!B767,"yyyy-mm-dd")</f>
        <v>FedEx|FDX|2021-02-28</v>
      </c>
    </row>
    <row r="769">
      <c r="A769" s="1">
        <v>767.0</v>
      </c>
      <c r="B769" s="3">
        <v>44074.0</v>
      </c>
      <c r="C769" s="1" t="s">
        <v>424</v>
      </c>
      <c r="D769" s="1" t="s">
        <v>425</v>
      </c>
      <c r="F769" s="1">
        <v>1.606E9</v>
      </c>
      <c r="G769" s="1">
        <v>1.245E9</v>
      </c>
      <c r="H769" s="1">
        <v>4.28E8</v>
      </c>
      <c r="I769" s="1">
        <v>5.386E9</v>
      </c>
      <c r="J769" s="1">
        <v>1.791E9</v>
      </c>
      <c r="K769" s="1">
        <v>1.791E9</v>
      </c>
      <c r="L769" s="1">
        <v>-1.84E8</v>
      </c>
      <c r="M769" s="1">
        <v>3.61E8</v>
      </c>
      <c r="N769" s="1">
        <v>1.9321E10</v>
      </c>
      <c r="O769" s="1">
        <v>1.753E10</v>
      </c>
      <c r="P769" s="1">
        <v>1.3935E10</v>
      </c>
      <c r="Q769" s="1">
        <v>-1.85E8</v>
      </c>
      <c r="R769" s="1">
        <v>1.245E9</v>
      </c>
      <c r="S769" s="1">
        <v>1.243E9</v>
      </c>
      <c r="W769" s="4" t="str">
        <f>Raw_Data!C768&amp;"|"&amp;Raw_Data!D768&amp;"|"&amp;TEXT(Raw_Data!B768,"yyyy-mm-dd")</f>
        <v>FedEx|FDX|2020-11-30</v>
      </c>
    </row>
    <row r="770">
      <c r="A770" s="1">
        <v>768.0</v>
      </c>
      <c r="B770" s="3">
        <v>44377.0</v>
      </c>
      <c r="C770" s="1" t="s">
        <v>426</v>
      </c>
      <c r="D770" s="1" t="s">
        <v>427</v>
      </c>
      <c r="F770" s="1">
        <v>6.44E8</v>
      </c>
      <c r="G770" s="1">
        <v>3.41E8</v>
      </c>
      <c r="H770" s="1">
        <v>9.77E8</v>
      </c>
      <c r="I770" s="1">
        <v>1.34E9</v>
      </c>
      <c r="J770" s="1">
        <v>3.63E8</v>
      </c>
      <c r="K770" s="1">
        <v>3.63E8</v>
      </c>
      <c r="L770" s="1">
        <v>-4.8E7</v>
      </c>
      <c r="M770" s="1">
        <v>3.02E8</v>
      </c>
      <c r="N770" s="1">
        <v>3.475E9</v>
      </c>
      <c r="O770" s="1">
        <v>3.112E9</v>
      </c>
      <c r="P770" s="1">
        <v>2.135E9</v>
      </c>
      <c r="Q770" s="1">
        <v>2.81E8</v>
      </c>
      <c r="R770" s="1">
        <v>3.42E8</v>
      </c>
      <c r="S770" s="1">
        <v>3.41E8</v>
      </c>
      <c r="W770" s="4" t="str">
        <f>Raw_Data!C769&amp;"|"&amp;Raw_Data!D769&amp;"|"&amp;TEXT(Raw_Data!B769,"yyyy-mm-dd")</f>
        <v>FedEx|FDX|2020-08-31</v>
      </c>
    </row>
    <row r="771">
      <c r="A771" s="1">
        <v>769.0</v>
      </c>
      <c r="B771" s="3">
        <v>44286.0</v>
      </c>
      <c r="C771" s="1" t="s">
        <v>426</v>
      </c>
      <c r="D771" s="1" t="s">
        <v>427</v>
      </c>
      <c r="F771" s="1">
        <v>-4.67E8</v>
      </c>
      <c r="G771" s="1">
        <v>-3.73E8</v>
      </c>
      <c r="H771" s="1">
        <v>9.97E8</v>
      </c>
      <c r="I771" s="1">
        <v>1.105E9</v>
      </c>
      <c r="J771" s="1">
        <v>1.08E8</v>
      </c>
      <c r="K771" s="1">
        <v>1.08E8</v>
      </c>
      <c r="L771" s="1">
        <v>-7.4E7</v>
      </c>
      <c r="M771" s="1">
        <v>-9.7E7</v>
      </c>
      <c r="N771" s="1">
        <v>3.223E9</v>
      </c>
      <c r="O771" s="1">
        <v>3.115E9</v>
      </c>
      <c r="P771" s="1">
        <v>2.118E9</v>
      </c>
      <c r="Q771" s="1">
        <v>-5.75E8</v>
      </c>
      <c r="R771" s="1">
        <v>-3.7E8</v>
      </c>
      <c r="S771" s="1">
        <v>-3.73E8</v>
      </c>
      <c r="W771" s="4" t="str">
        <f>Raw_Data!C770&amp;"|"&amp;Raw_Data!D770&amp;"|"&amp;TEXT(Raw_Data!B770,"yyyy-mm-dd")</f>
        <v>Fidelity National Information Services|FIS|2021-06-30</v>
      </c>
    </row>
    <row r="772">
      <c r="A772" s="1">
        <v>770.0</v>
      </c>
      <c r="B772" s="3">
        <v>44196.0</v>
      </c>
      <c r="C772" s="1" t="s">
        <v>426</v>
      </c>
      <c r="D772" s="1" t="s">
        <v>427</v>
      </c>
      <c r="F772" s="1">
        <v>1.05E8</v>
      </c>
      <c r="G772" s="1">
        <v>1.04E8</v>
      </c>
      <c r="H772" s="1">
        <v>6.61E8</v>
      </c>
      <c r="I772" s="1">
        <v>1.206E9</v>
      </c>
      <c r="J772" s="1">
        <v>5.45E8</v>
      </c>
      <c r="K772" s="1">
        <v>5.45E8</v>
      </c>
      <c r="L772" s="1">
        <v>-8.7E7</v>
      </c>
      <c r="M772" s="1">
        <v>2000000.0</v>
      </c>
      <c r="N772" s="1">
        <v>3.316E9</v>
      </c>
      <c r="O772" s="1">
        <v>2.771E9</v>
      </c>
      <c r="P772" s="1">
        <v>2.11E9</v>
      </c>
      <c r="Q772" s="1">
        <v>-4.4E8</v>
      </c>
      <c r="R772" s="1">
        <v>1.03E8</v>
      </c>
      <c r="S772" s="1">
        <v>1.04E8</v>
      </c>
      <c r="W772" s="4" t="str">
        <f>Raw_Data!C771&amp;"|"&amp;Raw_Data!D771&amp;"|"&amp;TEXT(Raw_Data!B771,"yyyy-mm-dd")</f>
        <v>Fidelity National Information Services|FIS|2021-03-31</v>
      </c>
    </row>
    <row r="773">
      <c r="A773" s="1">
        <v>771.0</v>
      </c>
      <c r="B773" s="3">
        <v>44104.0</v>
      </c>
      <c r="C773" s="1" t="s">
        <v>426</v>
      </c>
      <c r="D773" s="1" t="s">
        <v>427</v>
      </c>
      <c r="F773" s="1">
        <v>1.43E8</v>
      </c>
      <c r="G773" s="1">
        <v>2.0E7</v>
      </c>
      <c r="H773" s="1">
        <v>6.67E8</v>
      </c>
      <c r="I773" s="1">
        <v>1.093E9</v>
      </c>
      <c r="J773" s="1">
        <v>4.26E8</v>
      </c>
      <c r="K773" s="1">
        <v>4.26E8</v>
      </c>
      <c r="L773" s="1">
        <v>-8.4E7</v>
      </c>
      <c r="M773" s="1">
        <v>1.21E8</v>
      </c>
      <c r="N773" s="1">
        <v>3.197E9</v>
      </c>
      <c r="O773" s="1">
        <v>2.771E9</v>
      </c>
      <c r="P773" s="1">
        <v>2.104E9</v>
      </c>
      <c r="Q773" s="1">
        <v>-2.83E8</v>
      </c>
      <c r="R773" s="1">
        <v>2.2E7</v>
      </c>
      <c r="S773" s="1">
        <v>2.0E7</v>
      </c>
      <c r="W773" s="4" t="str">
        <f>Raw_Data!C772&amp;"|"&amp;Raw_Data!D772&amp;"|"&amp;TEXT(Raw_Data!B772,"yyyy-mm-dd")</f>
        <v>Fidelity National Information Services|FIS|2020-12-31</v>
      </c>
    </row>
    <row r="774">
      <c r="A774" s="1">
        <v>772.0</v>
      </c>
      <c r="B774" s="3">
        <v>44377.0</v>
      </c>
      <c r="C774" s="1" t="s">
        <v>428</v>
      </c>
      <c r="D774" s="1" t="s">
        <v>429</v>
      </c>
      <c r="F774" s="1">
        <v>9.11E8</v>
      </c>
      <c r="G774" s="1">
        <v>7.09E8</v>
      </c>
      <c r="H774" s="1">
        <v>8.61E8</v>
      </c>
      <c r="I774" s="1">
        <v>2.066E9</v>
      </c>
      <c r="J774" s="1">
        <v>0.0</v>
      </c>
      <c r="K774" s="1">
        <v>9.15E8</v>
      </c>
      <c r="M774" s="1">
        <v>2.02E8</v>
      </c>
      <c r="N774" s="1">
        <v>2.066E9</v>
      </c>
      <c r="O774" s="1">
        <v>1.151E9</v>
      </c>
      <c r="P774" s="1">
        <v>0.0</v>
      </c>
      <c r="Q774" s="1">
        <v>-4000000.0</v>
      </c>
      <c r="R774" s="1">
        <v>7.09E8</v>
      </c>
      <c r="S774" s="1">
        <v>6.73E8</v>
      </c>
      <c r="W774" s="4" t="str">
        <f>Raw_Data!C773&amp;"|"&amp;Raw_Data!D773&amp;"|"&amp;TEXT(Raw_Data!B773,"yyyy-mm-dd")</f>
        <v>Fidelity National Information Services|FIS|2020-09-30</v>
      </c>
    </row>
    <row r="775">
      <c r="A775" s="1">
        <v>773.0</v>
      </c>
      <c r="B775" s="3">
        <v>44286.0</v>
      </c>
      <c r="C775" s="1" t="s">
        <v>428</v>
      </c>
      <c r="D775" s="1" t="s">
        <v>429</v>
      </c>
      <c r="F775" s="1">
        <v>8.83E8</v>
      </c>
      <c r="G775" s="1">
        <v>6.94E8</v>
      </c>
      <c r="H775" s="1">
        <v>9.35E8</v>
      </c>
      <c r="I775" s="1">
        <v>2.125E9</v>
      </c>
      <c r="J775" s="1">
        <v>0.0</v>
      </c>
      <c r="K775" s="1">
        <v>9.1E8</v>
      </c>
      <c r="M775" s="1">
        <v>1.89E8</v>
      </c>
      <c r="N775" s="1">
        <v>2.125E9</v>
      </c>
      <c r="O775" s="1">
        <v>1.215E9</v>
      </c>
      <c r="P775" s="1">
        <v>0.0</v>
      </c>
      <c r="Q775" s="1">
        <v>-2.7E7</v>
      </c>
      <c r="R775" s="1">
        <v>6.94E8</v>
      </c>
      <c r="S775" s="1">
        <v>6.72E8</v>
      </c>
      <c r="W775" s="4" t="str">
        <f>Raw_Data!C774&amp;"|"&amp;Raw_Data!D774&amp;"|"&amp;TEXT(Raw_Data!B774,"yyyy-mm-dd")</f>
        <v>Fifth Third Bancorp|FITB|2021-06-30</v>
      </c>
    </row>
    <row r="776">
      <c r="A776" s="1">
        <v>774.0</v>
      </c>
      <c r="B776" s="3">
        <v>44196.0</v>
      </c>
      <c r="C776" s="1" t="s">
        <v>428</v>
      </c>
      <c r="D776" s="1" t="s">
        <v>429</v>
      </c>
      <c r="F776" s="1">
        <v>7.46E8</v>
      </c>
      <c r="G776" s="1">
        <v>6.04E8</v>
      </c>
      <c r="H776" s="1">
        <v>9.26E8</v>
      </c>
      <c r="I776" s="1">
        <v>1.991E9</v>
      </c>
      <c r="J776" s="1">
        <v>0.0</v>
      </c>
      <c r="K776" s="1">
        <v>7.57E8</v>
      </c>
      <c r="M776" s="1">
        <v>1.42E8</v>
      </c>
      <c r="N776" s="1">
        <v>1.991E9</v>
      </c>
      <c r="O776" s="1">
        <v>1.234E9</v>
      </c>
      <c r="P776" s="1">
        <v>0.0</v>
      </c>
      <c r="Q776" s="1">
        <v>-1.1E7</v>
      </c>
      <c r="R776" s="1">
        <v>6.04E8</v>
      </c>
      <c r="S776" s="1">
        <v>5.66E8</v>
      </c>
      <c r="W776" s="4" t="str">
        <f>Raw_Data!C775&amp;"|"&amp;Raw_Data!D775&amp;"|"&amp;TEXT(Raw_Data!B775,"yyyy-mm-dd")</f>
        <v>Fifth Third Bancorp|FITB|2021-03-31</v>
      </c>
    </row>
    <row r="777">
      <c r="A777" s="1">
        <v>775.0</v>
      </c>
      <c r="B777" s="3">
        <v>44104.0</v>
      </c>
      <c r="C777" s="1" t="s">
        <v>428</v>
      </c>
      <c r="D777" s="1" t="s">
        <v>429</v>
      </c>
      <c r="F777" s="1">
        <v>7.46E8</v>
      </c>
      <c r="G777" s="1">
        <v>5.81E8</v>
      </c>
      <c r="H777" s="1">
        <v>8.71E8</v>
      </c>
      <c r="I777" s="1">
        <v>1.918E9</v>
      </c>
      <c r="J777" s="1">
        <v>0.0</v>
      </c>
      <c r="K777" s="1">
        <v>7.58E8</v>
      </c>
      <c r="M777" s="1">
        <v>1.65E8</v>
      </c>
      <c r="N777" s="1">
        <v>1.918E9</v>
      </c>
      <c r="O777" s="1">
        <v>1.16E9</v>
      </c>
      <c r="P777" s="1">
        <v>0.0</v>
      </c>
      <c r="Q777" s="1">
        <v>-1.2E7</v>
      </c>
      <c r="R777" s="1">
        <v>5.81E8</v>
      </c>
      <c r="S777" s="1">
        <v>5.6E8</v>
      </c>
      <c r="W777" s="4" t="str">
        <f>Raw_Data!C776&amp;"|"&amp;Raw_Data!D776&amp;"|"&amp;TEXT(Raw_Data!B776,"yyyy-mm-dd")</f>
        <v>Fifth Third Bancorp|FITB|2020-12-31</v>
      </c>
    </row>
    <row r="778">
      <c r="A778" s="1">
        <v>776.0</v>
      </c>
      <c r="B778" s="3">
        <v>44377.0</v>
      </c>
      <c r="C778" s="1" t="s">
        <v>430</v>
      </c>
      <c r="D778" s="1" t="s">
        <v>431</v>
      </c>
      <c r="F778" s="1">
        <v>4.51565E8</v>
      </c>
      <c r="G778" s="1">
        <v>3.73106E8</v>
      </c>
      <c r="H778" s="1">
        <v>6.76044E8</v>
      </c>
      <c r="I778" s="1">
        <v>1.21433E9</v>
      </c>
      <c r="J778" s="1">
        <v>0.0</v>
      </c>
      <c r="K778" s="1">
        <v>4.70188E8</v>
      </c>
      <c r="M778" s="1">
        <v>7.8459E7</v>
      </c>
      <c r="N778" s="1">
        <v>1.21433E9</v>
      </c>
      <c r="O778" s="1">
        <v>7.44142E8</v>
      </c>
      <c r="P778" s="1">
        <v>0.0</v>
      </c>
      <c r="Q778" s="1">
        <v>-1.8623E7</v>
      </c>
      <c r="R778" s="1">
        <v>3.73106E8</v>
      </c>
      <c r="S778" s="1">
        <v>3.49451E8</v>
      </c>
      <c r="W778" s="4" t="str">
        <f>Raw_Data!C777&amp;"|"&amp;Raw_Data!D777&amp;"|"&amp;TEXT(Raw_Data!B777,"yyyy-mm-dd")</f>
        <v>Fifth Third Bancorp|FITB|2020-09-30</v>
      </c>
    </row>
    <row r="779">
      <c r="A779" s="1">
        <v>777.0</v>
      </c>
      <c r="B779" s="3">
        <v>44286.0</v>
      </c>
      <c r="C779" s="1" t="s">
        <v>430</v>
      </c>
      <c r="D779" s="1" t="s">
        <v>431</v>
      </c>
      <c r="F779" s="1">
        <v>4.28845E8</v>
      </c>
      <c r="G779" s="1">
        <v>3.34833E8</v>
      </c>
      <c r="H779" s="1">
        <v>6.38356E8</v>
      </c>
      <c r="I779" s="1">
        <v>1.149241E9</v>
      </c>
      <c r="J779" s="1">
        <v>0.0</v>
      </c>
      <c r="K779" s="1">
        <v>4.4547E8</v>
      </c>
      <c r="M779" s="1">
        <v>9.4012E7</v>
      </c>
      <c r="N779" s="1">
        <v>1.149241E9</v>
      </c>
      <c r="O779" s="1">
        <v>7.03771E8</v>
      </c>
      <c r="P779" s="1">
        <v>0.0</v>
      </c>
      <c r="Q779" s="1">
        <v>-1.6625E7</v>
      </c>
      <c r="R779" s="1">
        <v>3.34833E8</v>
      </c>
      <c r="S779" s="1">
        <v>3.16308E8</v>
      </c>
      <c r="W779" s="4" t="str">
        <f>Raw_Data!C778&amp;"|"&amp;Raw_Data!D778&amp;"|"&amp;TEXT(Raw_Data!B778,"yyyy-mm-dd")</f>
        <v>First Republic Bank|FRC|2021-06-30</v>
      </c>
    </row>
    <row r="780">
      <c r="A780" s="1">
        <v>778.0</v>
      </c>
      <c r="B780" s="3">
        <v>44196.0</v>
      </c>
      <c r="C780" s="1" t="s">
        <v>430</v>
      </c>
      <c r="D780" s="1" t="s">
        <v>431</v>
      </c>
      <c r="F780" s="1">
        <v>3.79255E8</v>
      </c>
      <c r="G780" s="1">
        <v>2.9556E8</v>
      </c>
      <c r="H780" s="1">
        <v>5.83502E8</v>
      </c>
      <c r="I780" s="1">
        <v>1.045299E9</v>
      </c>
      <c r="J780" s="1">
        <v>0.0</v>
      </c>
      <c r="K780" s="1">
        <v>4.17705E8</v>
      </c>
      <c r="M780" s="1">
        <v>8.3695E7</v>
      </c>
      <c r="N780" s="1">
        <v>1.045299E9</v>
      </c>
      <c r="O780" s="1">
        <v>6.27594E8</v>
      </c>
      <c r="P780" s="1">
        <v>0.0</v>
      </c>
      <c r="Q780" s="1">
        <v>-3.845E7</v>
      </c>
      <c r="R780" s="1">
        <v>2.9556E8</v>
      </c>
      <c r="S780" s="1">
        <v>2.79488E8</v>
      </c>
      <c r="W780" s="4" t="str">
        <f>Raw_Data!C779&amp;"|"&amp;Raw_Data!D779&amp;"|"&amp;TEXT(Raw_Data!B779,"yyyy-mm-dd")</f>
        <v>First Republic Bank|FRC|2021-03-31</v>
      </c>
    </row>
    <row r="781">
      <c r="A781" s="1">
        <v>779.0</v>
      </c>
      <c r="B781" s="3">
        <v>44104.0</v>
      </c>
      <c r="C781" s="1" t="s">
        <v>430</v>
      </c>
      <c r="D781" s="1" t="s">
        <v>431</v>
      </c>
      <c r="F781" s="1">
        <v>3.64515E8</v>
      </c>
      <c r="G781" s="1">
        <v>2.93137E8</v>
      </c>
      <c r="H781" s="1">
        <v>5.32071E8</v>
      </c>
      <c r="I781" s="1">
        <v>9.72725E8</v>
      </c>
      <c r="J781" s="1">
        <v>0.0</v>
      </c>
      <c r="K781" s="1">
        <v>3.75518E8</v>
      </c>
      <c r="M781" s="1">
        <v>7.1378E7</v>
      </c>
      <c r="N781" s="1">
        <v>9.72725E8</v>
      </c>
      <c r="O781" s="1">
        <v>5.97207E8</v>
      </c>
      <c r="P781" s="1">
        <v>0.0</v>
      </c>
      <c r="Q781" s="1">
        <v>-1.1003E7</v>
      </c>
      <c r="R781" s="1">
        <v>2.93137E8</v>
      </c>
      <c r="S781" s="1">
        <v>2.78321E8</v>
      </c>
      <c r="W781" s="4" t="str">
        <f>Raw_Data!C780&amp;"|"&amp;Raw_Data!D780&amp;"|"&amp;TEXT(Raw_Data!B780,"yyyy-mm-dd")</f>
        <v>First Republic Bank|FRC|2020-12-31</v>
      </c>
    </row>
    <row r="782">
      <c r="A782" s="1">
        <v>780.0</v>
      </c>
      <c r="B782" s="3">
        <v>44286.0</v>
      </c>
      <c r="C782" s="1" t="s">
        <v>432</v>
      </c>
      <c r="D782" s="1" t="s">
        <v>433</v>
      </c>
      <c r="F782" s="1">
        <v>4.22E8</v>
      </c>
      <c r="G782" s="1">
        <v>3.35E8</v>
      </c>
      <c r="H782" s="1">
        <v>-1.17E8</v>
      </c>
      <c r="I782" s="1">
        <v>1.798E9</v>
      </c>
      <c r="J782" s="1">
        <v>5.67E8</v>
      </c>
      <c r="K782" s="1">
        <v>5.67E8</v>
      </c>
      <c r="L782" s="1">
        <v>-2.79E8</v>
      </c>
      <c r="M782" s="1">
        <v>8.7E7</v>
      </c>
      <c r="N782" s="1">
        <v>2.726E9</v>
      </c>
      <c r="O782" s="1">
        <v>2.159E9</v>
      </c>
      <c r="P782" s="1">
        <v>9.28E8</v>
      </c>
      <c r="Q782" s="1">
        <v>-1.45E8</v>
      </c>
      <c r="R782" s="1">
        <v>3.35E8</v>
      </c>
      <c r="S782" s="1">
        <v>3.35E8</v>
      </c>
      <c r="W782" s="4" t="str">
        <f>Raw_Data!C781&amp;"|"&amp;Raw_Data!D781&amp;"|"&amp;TEXT(Raw_Data!B781,"yyyy-mm-dd")</f>
        <v>First Republic Bank|FRC|2020-09-30</v>
      </c>
    </row>
    <row r="783">
      <c r="A783" s="1">
        <v>781.0</v>
      </c>
      <c r="B783" s="3">
        <v>44196.0</v>
      </c>
      <c r="C783" s="1" t="s">
        <v>432</v>
      </c>
      <c r="D783" s="1" t="s">
        <v>433</v>
      </c>
      <c r="F783" s="1">
        <v>2.16E8</v>
      </c>
      <c r="G783" s="1">
        <v>2.42E8</v>
      </c>
      <c r="H783" s="1">
        <v>-2.35E8</v>
      </c>
      <c r="I783" s="1">
        <v>1.843E9</v>
      </c>
      <c r="J783" s="1">
        <v>6.89E8</v>
      </c>
      <c r="K783" s="1">
        <v>6.89E8</v>
      </c>
      <c r="L783" s="1">
        <v>-2.66E8</v>
      </c>
      <c r="M783" s="1">
        <v>4000000.0</v>
      </c>
      <c r="N783" s="1">
        <v>2.354E9</v>
      </c>
      <c r="O783" s="1">
        <v>1.665E9</v>
      </c>
      <c r="P783" s="1">
        <v>5.11E8</v>
      </c>
      <c r="Q783" s="1">
        <v>-4.73E8</v>
      </c>
      <c r="R783" s="1">
        <v>2.12E8</v>
      </c>
      <c r="S783" s="1">
        <v>2.42E8</v>
      </c>
      <c r="W783" s="4" t="str">
        <f>Raw_Data!C782&amp;"|"&amp;Raw_Data!D782&amp;"|"&amp;TEXT(Raw_Data!B782,"yyyy-mm-dd")</f>
        <v>FirstEnergy|FE|2021-03-31</v>
      </c>
    </row>
    <row r="784">
      <c r="A784" s="1">
        <v>782.0</v>
      </c>
      <c r="B784" s="3">
        <v>44104.0</v>
      </c>
      <c r="C784" s="1" t="s">
        <v>432</v>
      </c>
      <c r="D784" s="1" t="s">
        <v>433</v>
      </c>
      <c r="F784" s="1">
        <v>5.76E8</v>
      </c>
      <c r="G784" s="1">
        <v>4.54E8</v>
      </c>
      <c r="H784" s="1">
        <v>-2.35E8</v>
      </c>
      <c r="I784" s="1">
        <v>2.246E9</v>
      </c>
      <c r="J784" s="1">
        <v>7.21E8</v>
      </c>
      <c r="K784" s="1">
        <v>7.21E8</v>
      </c>
      <c r="L784" s="1">
        <v>-2.58E8</v>
      </c>
      <c r="M784" s="1">
        <v>1.16E8</v>
      </c>
      <c r="N784" s="1">
        <v>3.022E9</v>
      </c>
      <c r="O784" s="1">
        <v>2.301E9</v>
      </c>
      <c r="P784" s="1">
        <v>7.76E8</v>
      </c>
      <c r="Q784" s="1">
        <v>-1.45E8</v>
      </c>
      <c r="R784" s="1">
        <v>4.6E8</v>
      </c>
      <c r="S784" s="1">
        <v>4.54E8</v>
      </c>
      <c r="W784" s="4" t="str">
        <f>Raw_Data!C783&amp;"|"&amp;Raw_Data!D783&amp;"|"&amp;TEXT(Raw_Data!B783,"yyyy-mm-dd")</f>
        <v>FirstEnergy|FE|2020-12-31</v>
      </c>
    </row>
    <row r="785">
      <c r="A785" s="1">
        <v>783.0</v>
      </c>
      <c r="B785" s="3">
        <v>44012.0</v>
      </c>
      <c r="C785" s="1" t="s">
        <v>432</v>
      </c>
      <c r="D785" s="1" t="s">
        <v>433</v>
      </c>
      <c r="F785" s="1">
        <v>3.73E8</v>
      </c>
      <c r="G785" s="1">
        <v>3.09E8</v>
      </c>
      <c r="H785" s="1">
        <v>-2.35E8</v>
      </c>
      <c r="I785" s="1">
        <v>1.819E9</v>
      </c>
      <c r="J785" s="1">
        <v>5.15E8</v>
      </c>
      <c r="K785" s="1">
        <v>5.15E8</v>
      </c>
      <c r="L785" s="1">
        <v>-2.57E8</v>
      </c>
      <c r="M785" s="1">
        <v>6.6E7</v>
      </c>
      <c r="N785" s="1">
        <v>2.522E9</v>
      </c>
      <c r="O785" s="1">
        <v>2.007E9</v>
      </c>
      <c r="P785" s="1">
        <v>7.03E8</v>
      </c>
      <c r="Q785" s="1">
        <v>-1.42E8</v>
      </c>
      <c r="R785" s="1">
        <v>3.07E8</v>
      </c>
      <c r="S785" s="1">
        <v>3.09E8</v>
      </c>
      <c r="W785" s="4" t="str">
        <f>Raw_Data!C784&amp;"|"&amp;Raw_Data!D784&amp;"|"&amp;TEXT(Raw_Data!B784,"yyyy-mm-dd")</f>
        <v>FirstEnergy|FE|2020-09-30</v>
      </c>
    </row>
    <row r="786">
      <c r="A786" s="1">
        <v>784.0</v>
      </c>
      <c r="B786" s="3">
        <v>44377.0</v>
      </c>
      <c r="C786" s="1" t="s">
        <v>434</v>
      </c>
      <c r="D786" s="1" t="s">
        <v>435</v>
      </c>
      <c r="F786" s="1">
        <v>5.12E8</v>
      </c>
      <c r="G786" s="1">
        <v>2.69E8</v>
      </c>
      <c r="H786" s="1">
        <v>1.44E9</v>
      </c>
      <c r="I786" s="1">
        <v>2.084E9</v>
      </c>
      <c r="J786" s="1">
        <v>6.44E8</v>
      </c>
      <c r="K786" s="1">
        <v>6.44E8</v>
      </c>
      <c r="L786" s="1">
        <v>-1.76E8</v>
      </c>
      <c r="M786" s="1">
        <v>2.28E8</v>
      </c>
      <c r="N786" s="1">
        <v>4.051E9</v>
      </c>
      <c r="O786" s="1">
        <v>3.407E9</v>
      </c>
      <c r="P786" s="1">
        <v>1.967E9</v>
      </c>
      <c r="Q786" s="1">
        <v>-1.32E8</v>
      </c>
      <c r="R786" s="1">
        <v>2.84E8</v>
      </c>
      <c r="S786" s="1">
        <v>2.69E8</v>
      </c>
      <c r="W786" s="4" t="str">
        <f>Raw_Data!C785&amp;"|"&amp;Raw_Data!D785&amp;"|"&amp;TEXT(Raw_Data!B785,"yyyy-mm-dd")</f>
        <v>FirstEnergy|FE|2020-06-30</v>
      </c>
    </row>
    <row r="787">
      <c r="A787" s="1">
        <v>785.0</v>
      </c>
      <c r="B787" s="3">
        <v>44286.0</v>
      </c>
      <c r="C787" s="1" t="s">
        <v>434</v>
      </c>
      <c r="D787" s="1" t="s">
        <v>435</v>
      </c>
      <c r="F787" s="1">
        <v>3.36E8</v>
      </c>
      <c r="G787" s="1">
        <v>3.04E8</v>
      </c>
      <c r="H787" s="1">
        <v>1.367E9</v>
      </c>
      <c r="I787" s="1">
        <v>1.848E9</v>
      </c>
      <c r="J787" s="1">
        <v>4.81E8</v>
      </c>
      <c r="K787" s="1">
        <v>4.81E8</v>
      </c>
      <c r="L787" s="1">
        <v>-1.77E8</v>
      </c>
      <c r="M787" s="1">
        <v>1.8E7</v>
      </c>
      <c r="N787" s="1">
        <v>3.755E9</v>
      </c>
      <c r="O787" s="1">
        <v>3.274E9</v>
      </c>
      <c r="P787" s="1">
        <v>1.907E9</v>
      </c>
      <c r="Q787" s="1">
        <v>-1.45E8</v>
      </c>
      <c r="R787" s="1">
        <v>3.18E8</v>
      </c>
      <c r="S787" s="1">
        <v>3.04E8</v>
      </c>
      <c r="W787" s="4" t="str">
        <f>Raw_Data!C786&amp;"|"&amp;Raw_Data!D786&amp;"|"&amp;TEXT(Raw_Data!B786,"yyyy-mm-dd")</f>
        <v>Fiserv|FISV|2021-06-30</v>
      </c>
    </row>
    <row r="788">
      <c r="A788" s="1">
        <v>786.0</v>
      </c>
      <c r="B788" s="3">
        <v>44196.0</v>
      </c>
      <c r="C788" s="1" t="s">
        <v>434</v>
      </c>
      <c r="D788" s="1" t="s">
        <v>435</v>
      </c>
      <c r="F788" s="1">
        <v>3.33E8</v>
      </c>
      <c r="G788" s="1">
        <v>3.0E8</v>
      </c>
      <c r="H788" s="1">
        <v>1.379E9</v>
      </c>
      <c r="I788" s="1">
        <v>1.978E9</v>
      </c>
      <c r="J788" s="1">
        <v>5.99E8</v>
      </c>
      <c r="K788" s="1">
        <v>5.99E8</v>
      </c>
      <c r="L788" s="1">
        <v>-1.75E8</v>
      </c>
      <c r="M788" s="1">
        <v>2.0E7</v>
      </c>
      <c r="N788" s="1">
        <v>3.832E9</v>
      </c>
      <c r="O788" s="1">
        <v>3.233E9</v>
      </c>
      <c r="P788" s="1">
        <v>1.854E9</v>
      </c>
      <c r="Q788" s="1">
        <v>-2.66E8</v>
      </c>
      <c r="R788" s="1">
        <v>3.13E8</v>
      </c>
      <c r="S788" s="1">
        <v>3.0E8</v>
      </c>
      <c r="W788" s="4" t="str">
        <f>Raw_Data!C787&amp;"|"&amp;Raw_Data!D787&amp;"|"&amp;TEXT(Raw_Data!B787,"yyyy-mm-dd")</f>
        <v>Fiserv|FISV|2021-03-31</v>
      </c>
    </row>
    <row r="789">
      <c r="A789" s="1">
        <v>787.0</v>
      </c>
      <c r="B789" s="3">
        <v>44104.0</v>
      </c>
      <c r="C789" s="1" t="s">
        <v>434</v>
      </c>
      <c r="D789" s="1" t="s">
        <v>435</v>
      </c>
      <c r="F789" s="1">
        <v>4.0E8</v>
      </c>
      <c r="G789" s="1">
        <v>2.64E8</v>
      </c>
      <c r="H789" s="1">
        <v>1.408E9</v>
      </c>
      <c r="I789" s="1">
        <v>1.953E9</v>
      </c>
      <c r="J789" s="1">
        <v>5.45E8</v>
      </c>
      <c r="K789" s="1">
        <v>5.45E8</v>
      </c>
      <c r="L789" s="1">
        <v>-1.76E8</v>
      </c>
      <c r="M789" s="1">
        <v>1.24E8</v>
      </c>
      <c r="N789" s="1">
        <v>3.786E9</v>
      </c>
      <c r="O789" s="1">
        <v>3.241E9</v>
      </c>
      <c r="P789" s="1">
        <v>1.833E9</v>
      </c>
      <c r="Q789" s="1">
        <v>-1.45E8</v>
      </c>
      <c r="R789" s="1">
        <v>2.76E8</v>
      </c>
      <c r="S789" s="1">
        <v>2.64E8</v>
      </c>
      <c r="W789" s="4" t="str">
        <f>Raw_Data!C788&amp;"|"&amp;Raw_Data!D788&amp;"|"&amp;TEXT(Raw_Data!B788,"yyyy-mm-dd")</f>
        <v>Fiserv|FISV|2020-12-31</v>
      </c>
    </row>
    <row r="790">
      <c r="A790" s="1">
        <v>788.0</v>
      </c>
      <c r="B790" s="3">
        <v>44377.0</v>
      </c>
      <c r="C790" s="1" t="s">
        <v>436</v>
      </c>
      <c r="D790" s="1" t="s">
        <v>437</v>
      </c>
      <c r="F790" s="1">
        <v>2.62519E8</v>
      </c>
      <c r="G790" s="1">
        <v>1.96247E8</v>
      </c>
      <c r="H790" s="1">
        <v>1.78233E8</v>
      </c>
      <c r="I790" s="1">
        <v>5.45087E8</v>
      </c>
      <c r="J790" s="1">
        <v>2.97612E8</v>
      </c>
      <c r="K790" s="1">
        <v>2.97612E8</v>
      </c>
      <c r="L790" s="1">
        <v>-3.4685E7</v>
      </c>
      <c r="M790" s="1">
        <v>6.6272E7</v>
      </c>
      <c r="N790" s="1">
        <v>6.67381E8</v>
      </c>
      <c r="O790" s="1">
        <v>3.69769E8</v>
      </c>
      <c r="P790" s="1">
        <v>1.22294E8</v>
      </c>
      <c r="Q790" s="1">
        <v>-3.5093E7</v>
      </c>
      <c r="R790" s="1">
        <v>1.96247E8</v>
      </c>
      <c r="S790" s="1">
        <v>1.96247E8</v>
      </c>
      <c r="W790" s="4" t="str">
        <f>Raw_Data!C789&amp;"|"&amp;Raw_Data!D789&amp;"|"&amp;TEXT(Raw_Data!B789,"yyyy-mm-dd")</f>
        <v>Fiserv|FISV|2020-09-30</v>
      </c>
    </row>
    <row r="791">
      <c r="A791" s="1">
        <v>789.0</v>
      </c>
      <c r="B791" s="3">
        <v>44286.0</v>
      </c>
      <c r="C791" s="1" t="s">
        <v>436</v>
      </c>
      <c r="D791" s="1" t="s">
        <v>437</v>
      </c>
      <c r="F791" s="1">
        <v>2.3568E8</v>
      </c>
      <c r="G791" s="1">
        <v>1.84239E8</v>
      </c>
      <c r="H791" s="1">
        <v>1.60444E8</v>
      </c>
      <c r="I791" s="1">
        <v>4.92195E8</v>
      </c>
      <c r="J791" s="1">
        <v>2.65965E8</v>
      </c>
      <c r="K791" s="1">
        <v>2.65965E8</v>
      </c>
      <c r="L791" s="1">
        <v>-2.8551E7</v>
      </c>
      <c r="M791" s="1">
        <v>5.1441E7</v>
      </c>
      <c r="N791" s="1">
        <v>6.08623E8</v>
      </c>
      <c r="O791" s="1">
        <v>3.42658E8</v>
      </c>
      <c r="P791" s="1">
        <v>1.16428E8</v>
      </c>
      <c r="Q791" s="1">
        <v>-3.0285E7</v>
      </c>
      <c r="R791" s="1">
        <v>1.84239E8</v>
      </c>
      <c r="S791" s="1">
        <v>1.84239E8</v>
      </c>
      <c r="W791" s="4" t="str">
        <f>Raw_Data!C790&amp;"|"&amp;Raw_Data!D790&amp;"|"&amp;TEXT(Raw_Data!B790,"yyyy-mm-dd")</f>
        <v>Fleetcor|FLT|2021-06-30</v>
      </c>
    </row>
    <row r="792">
      <c r="A792" s="1">
        <v>790.0</v>
      </c>
      <c r="B792" s="3">
        <v>44196.0</v>
      </c>
      <c r="C792" s="1" t="s">
        <v>436</v>
      </c>
      <c r="D792" s="1" t="s">
        <v>437</v>
      </c>
      <c r="F792" s="1">
        <v>2.63188E8</v>
      </c>
      <c r="G792" s="1">
        <v>2.09851E8</v>
      </c>
      <c r="H792" s="1">
        <v>1.38698E8</v>
      </c>
      <c r="I792" s="1">
        <v>4.95819E8</v>
      </c>
      <c r="J792" s="1">
        <v>2.94233E8</v>
      </c>
      <c r="K792" s="1">
        <v>2.94233E8</v>
      </c>
      <c r="L792" s="1">
        <v>-3.0329E7</v>
      </c>
      <c r="M792" s="1">
        <v>5.3337E7</v>
      </c>
      <c r="N792" s="1">
        <v>6.17333E8</v>
      </c>
      <c r="O792" s="1">
        <v>3.231E8</v>
      </c>
      <c r="P792" s="1">
        <v>1.21514E8</v>
      </c>
      <c r="Q792" s="1">
        <v>-3.1045E7</v>
      </c>
      <c r="R792" s="1">
        <v>2.09851E8</v>
      </c>
      <c r="S792" s="1">
        <v>2.09851E8</v>
      </c>
      <c r="W792" s="4" t="str">
        <f>Raw_Data!C791&amp;"|"&amp;Raw_Data!D791&amp;"|"&amp;TEXT(Raw_Data!B791,"yyyy-mm-dd")</f>
        <v>Fleetcor|FLT|2021-03-31</v>
      </c>
    </row>
    <row r="793">
      <c r="A793" s="1">
        <v>791.0</v>
      </c>
      <c r="B793" s="3">
        <v>44104.0</v>
      </c>
      <c r="C793" s="1" t="s">
        <v>436</v>
      </c>
      <c r="D793" s="1" t="s">
        <v>437</v>
      </c>
      <c r="F793" s="1">
        <v>2.3541E8</v>
      </c>
      <c r="G793" s="1">
        <v>1.88817E8</v>
      </c>
      <c r="H793" s="1">
        <v>1.3763E8</v>
      </c>
      <c r="I793" s="1">
        <v>4.65427E8</v>
      </c>
      <c r="J793" s="1">
        <v>2.64532E8</v>
      </c>
      <c r="K793" s="1">
        <v>2.64532E8</v>
      </c>
      <c r="L793" s="1">
        <v>-3.1383E7</v>
      </c>
      <c r="M793" s="1">
        <v>4.6593E7</v>
      </c>
      <c r="N793" s="1">
        <v>5.85283E8</v>
      </c>
      <c r="O793" s="1">
        <v>3.20751E8</v>
      </c>
      <c r="P793" s="1">
        <v>1.19856E8</v>
      </c>
      <c r="Q793" s="1">
        <v>-2.9122E7</v>
      </c>
      <c r="R793" s="1">
        <v>1.88817E8</v>
      </c>
      <c r="S793" s="1">
        <v>1.88817E8</v>
      </c>
      <c r="W793" s="4" t="str">
        <f>Raw_Data!C792&amp;"|"&amp;Raw_Data!D792&amp;"|"&amp;TEXT(Raw_Data!B792,"yyyy-mm-dd")</f>
        <v>Fleetcor|FLT|2020-12-31</v>
      </c>
    </row>
    <row r="794">
      <c r="A794" s="1">
        <v>792.0</v>
      </c>
      <c r="B794" s="3">
        <v>44377.0</v>
      </c>
      <c r="C794" s="1" t="s">
        <v>438</v>
      </c>
      <c r="D794" s="1" t="s">
        <v>439</v>
      </c>
      <c r="E794" s="1">
        <v>6.59E7</v>
      </c>
      <c r="F794" s="1">
        <v>2.512E8</v>
      </c>
      <c r="G794" s="1">
        <v>2.029E8</v>
      </c>
      <c r="H794" s="1">
        <v>1.61E8</v>
      </c>
      <c r="I794" s="1">
        <v>5.318E8</v>
      </c>
      <c r="J794" s="1">
        <v>2.991E8</v>
      </c>
      <c r="K794" s="1">
        <v>2.991E8</v>
      </c>
      <c r="L794" s="1">
        <v>-3.26E7</v>
      </c>
      <c r="M794" s="1">
        <v>3.34E7</v>
      </c>
      <c r="N794" s="1">
        <v>1.242E9</v>
      </c>
      <c r="O794" s="1">
        <v>9.429E8</v>
      </c>
      <c r="P794" s="1">
        <v>7.102E8</v>
      </c>
      <c r="Q794" s="1">
        <v>-4.79E7</v>
      </c>
      <c r="R794" s="1">
        <v>2.178E8</v>
      </c>
      <c r="S794" s="1">
        <v>2.024E8</v>
      </c>
      <c r="W794" s="4" t="str">
        <f>Raw_Data!C793&amp;"|"&amp;Raw_Data!D793&amp;"|"&amp;TEXT(Raw_Data!B793,"yyyy-mm-dd")</f>
        <v>Fleetcor|FLT|2020-09-30</v>
      </c>
    </row>
    <row r="795">
      <c r="A795" s="1">
        <v>793.0</v>
      </c>
      <c r="B795" s="3">
        <v>44286.0</v>
      </c>
      <c r="C795" s="1" t="s">
        <v>438</v>
      </c>
      <c r="D795" s="1" t="s">
        <v>439</v>
      </c>
      <c r="E795" s="1">
        <v>7.4E7</v>
      </c>
      <c r="F795" s="1">
        <v>2.235E8</v>
      </c>
      <c r="G795" s="1">
        <v>1.826E8</v>
      </c>
      <c r="H795" s="1">
        <v>1.741E8</v>
      </c>
      <c r="I795" s="1">
        <v>5.124E8</v>
      </c>
      <c r="J795" s="1">
        <v>2.643E8</v>
      </c>
      <c r="K795" s="1">
        <v>2.643E8</v>
      </c>
      <c r="L795" s="1">
        <v>-3.24E7</v>
      </c>
      <c r="M795" s="1">
        <v>3.22E7</v>
      </c>
      <c r="N795" s="1">
        <v>1.1956E9</v>
      </c>
      <c r="O795" s="1">
        <v>9.313E8</v>
      </c>
      <c r="P795" s="1">
        <v>6.832E8</v>
      </c>
      <c r="Q795" s="1">
        <v>-4.08E7</v>
      </c>
      <c r="R795" s="1">
        <v>1.913E8</v>
      </c>
      <c r="S795" s="1">
        <v>1.822E8</v>
      </c>
      <c r="W795" s="4" t="str">
        <f>Raw_Data!C794&amp;"|"&amp;Raw_Data!D794&amp;"|"&amp;TEXT(Raw_Data!B794,"yyyy-mm-dd")</f>
        <v>FMC Corporation|FMC|2021-06-30</v>
      </c>
    </row>
    <row r="796">
      <c r="A796" s="1">
        <v>794.0</v>
      </c>
      <c r="B796" s="3">
        <v>44196.0</v>
      </c>
      <c r="C796" s="1" t="s">
        <v>438</v>
      </c>
      <c r="D796" s="1" t="s">
        <v>439</v>
      </c>
      <c r="E796" s="1">
        <v>8.46E7</v>
      </c>
      <c r="F796" s="1">
        <v>1.075E8</v>
      </c>
      <c r="G796" s="1">
        <v>4.95E7</v>
      </c>
      <c r="H796" s="1">
        <v>1.687E8</v>
      </c>
      <c r="I796" s="1">
        <v>5.014E8</v>
      </c>
      <c r="J796" s="1">
        <v>2.486E8</v>
      </c>
      <c r="K796" s="1">
        <v>2.486E8</v>
      </c>
      <c r="L796" s="1">
        <v>-3.43E7</v>
      </c>
      <c r="M796" s="1">
        <v>6.86E7</v>
      </c>
      <c r="N796" s="1">
        <v>1.1522E9</v>
      </c>
      <c r="O796" s="1">
        <v>9.036E8</v>
      </c>
      <c r="P796" s="1">
        <v>6.508E8</v>
      </c>
      <c r="Q796" s="1">
        <v>-1.411E8</v>
      </c>
      <c r="R796" s="1">
        <v>3.89E7</v>
      </c>
      <c r="S796" s="1">
        <v>4.94E7</v>
      </c>
      <c r="W796" s="4" t="str">
        <f>Raw_Data!C795&amp;"|"&amp;Raw_Data!D795&amp;"|"&amp;TEXT(Raw_Data!B795,"yyyy-mm-dd")</f>
        <v>FMC Corporation|FMC|2021-03-31</v>
      </c>
    </row>
    <row r="797">
      <c r="A797" s="1">
        <v>795.0</v>
      </c>
      <c r="B797" s="3">
        <v>44104.0</v>
      </c>
      <c r="C797" s="1" t="s">
        <v>438</v>
      </c>
      <c r="D797" s="1" t="s">
        <v>439</v>
      </c>
      <c r="E797" s="1">
        <v>7.17E7</v>
      </c>
      <c r="F797" s="1">
        <v>1.489E8</v>
      </c>
      <c r="G797" s="1">
        <v>1.114E8</v>
      </c>
      <c r="H797" s="1">
        <v>1.733E8</v>
      </c>
      <c r="I797" s="1">
        <v>4.664E8</v>
      </c>
      <c r="J797" s="1">
        <v>2.213E8</v>
      </c>
      <c r="K797" s="1">
        <v>2.213E8</v>
      </c>
      <c r="L797" s="1">
        <v>-3.55E7</v>
      </c>
      <c r="M797" s="1">
        <v>1.84E7</v>
      </c>
      <c r="N797" s="1">
        <v>1.0846E9</v>
      </c>
      <c r="O797" s="1">
        <v>8.633E8</v>
      </c>
      <c r="P797" s="1">
        <v>6.182E8</v>
      </c>
      <c r="Q797" s="1">
        <v>-7.24E7</v>
      </c>
      <c r="R797" s="1">
        <v>1.305E8</v>
      </c>
      <c r="S797" s="1">
        <v>1.111E8</v>
      </c>
      <c r="W797" s="4" t="str">
        <f>Raw_Data!C796&amp;"|"&amp;Raw_Data!D796&amp;"|"&amp;TEXT(Raw_Data!B796,"yyyy-mm-dd")</f>
        <v>FMC Corporation|FMC|2020-12-31</v>
      </c>
    </row>
    <row r="798">
      <c r="A798" s="1">
        <v>796.0</v>
      </c>
      <c r="B798" s="3">
        <v>44377.0</v>
      </c>
      <c r="C798" s="1" t="s">
        <v>440</v>
      </c>
      <c r="D798" s="1" t="s">
        <v>441</v>
      </c>
      <c r="F798" s="1">
        <v>7.35E8</v>
      </c>
      <c r="G798" s="1">
        <v>5.61E8</v>
      </c>
      <c r="H798" s="1">
        <v>1.856E9</v>
      </c>
      <c r="I798" s="1">
        <v>2.864E9</v>
      </c>
      <c r="J798" s="1">
        <v>1.008E9</v>
      </c>
      <c r="K798" s="1">
        <v>1.008E9</v>
      </c>
      <c r="L798" s="1">
        <v>-4.53E8</v>
      </c>
      <c r="M798" s="1">
        <v>1.82E8</v>
      </c>
      <c r="N798" s="1">
        <v>2.6752E10</v>
      </c>
      <c r="O798" s="1">
        <v>2.5744E10</v>
      </c>
      <c r="P798" s="1">
        <v>2.3888E10</v>
      </c>
      <c r="Q798" s="1">
        <v>-2.73E8</v>
      </c>
      <c r="R798" s="1">
        <v>5.53E8</v>
      </c>
      <c r="S798" s="1">
        <v>5.61E8</v>
      </c>
      <c r="W798" s="4" t="str">
        <f>Raw_Data!C797&amp;"|"&amp;Raw_Data!D797&amp;"|"&amp;TEXT(Raw_Data!B797,"yyyy-mm-dd")</f>
        <v>FMC Corporation|FMC|2020-09-30</v>
      </c>
    </row>
    <row r="799">
      <c r="A799" s="1">
        <v>797.0</v>
      </c>
      <c r="B799" s="3">
        <v>44286.0</v>
      </c>
      <c r="C799" s="1" t="s">
        <v>440</v>
      </c>
      <c r="D799" s="1" t="s">
        <v>441</v>
      </c>
      <c r="F799" s="1">
        <v>3.942E9</v>
      </c>
      <c r="G799" s="1">
        <v>3.262E9</v>
      </c>
      <c r="H799" s="1">
        <v>2.231E9</v>
      </c>
      <c r="I799" s="1">
        <v>5.357E9</v>
      </c>
      <c r="J799" s="1">
        <v>3.126E9</v>
      </c>
      <c r="K799" s="1">
        <v>3.126E9</v>
      </c>
      <c r="L799" s="1">
        <v>-4.76E8</v>
      </c>
      <c r="M799" s="1">
        <v>6.8E8</v>
      </c>
      <c r="N799" s="1">
        <v>3.6228E10</v>
      </c>
      <c r="O799" s="1">
        <v>3.3102E10</v>
      </c>
      <c r="P799" s="1">
        <v>3.0871E10</v>
      </c>
      <c r="Q799" s="1">
        <v>8.16E8</v>
      </c>
      <c r="R799" s="1">
        <v>3.262E9</v>
      </c>
      <c r="S799" s="1">
        <v>3.262E9</v>
      </c>
      <c r="W799" s="4" t="str">
        <f>Raw_Data!C798&amp;"|"&amp;Raw_Data!D798&amp;"|"&amp;TEXT(Raw_Data!B798,"yyyy-mm-dd")</f>
        <v>Ford|F|2021-06-30</v>
      </c>
    </row>
    <row r="800">
      <c r="A800" s="1">
        <v>798.0</v>
      </c>
      <c r="B800" s="3">
        <v>44196.0</v>
      </c>
      <c r="C800" s="1" t="s">
        <v>440</v>
      </c>
      <c r="D800" s="1" t="s">
        <v>441</v>
      </c>
      <c r="F800" s="1">
        <v>-3.81E9</v>
      </c>
      <c r="G800" s="1">
        <v>-2.788E9</v>
      </c>
      <c r="H800" s="1">
        <v>3.304E9</v>
      </c>
      <c r="I800" s="1">
        <v>1.035E9</v>
      </c>
      <c r="J800" s="1">
        <v>-2.269E9</v>
      </c>
      <c r="K800" s="1">
        <v>-2.269E9</v>
      </c>
      <c r="L800" s="1">
        <v>-4.72E8</v>
      </c>
      <c r="M800" s="1">
        <v>-1.019E9</v>
      </c>
      <c r="N800" s="1">
        <v>3.5952E10</v>
      </c>
      <c r="O800" s="1">
        <v>3.8221E10</v>
      </c>
      <c r="P800" s="1">
        <v>3.4917E10</v>
      </c>
      <c r="Q800" s="1">
        <v>-1.541E9</v>
      </c>
      <c r="R800" s="1">
        <v>-2.791E9</v>
      </c>
      <c r="S800" s="1">
        <v>-2.788E9</v>
      </c>
      <c r="W800" s="4" t="str">
        <f>Raw_Data!C799&amp;"|"&amp;Raw_Data!D799&amp;"|"&amp;TEXT(Raw_Data!B799,"yyyy-mm-dd")</f>
        <v>Ford|F|2021-03-31</v>
      </c>
    </row>
    <row r="801">
      <c r="A801" s="1">
        <v>799.0</v>
      </c>
      <c r="B801" s="3">
        <v>44104.0</v>
      </c>
      <c r="C801" s="1" t="s">
        <v>440</v>
      </c>
      <c r="D801" s="1" t="s">
        <v>441</v>
      </c>
      <c r="F801" s="1">
        <v>2.756E9</v>
      </c>
      <c r="G801" s="1">
        <v>2.385E9</v>
      </c>
      <c r="H801" s="1">
        <v>1.822E9</v>
      </c>
      <c r="I801" s="1">
        <v>4.83E9</v>
      </c>
      <c r="J801" s="1">
        <v>3.008E9</v>
      </c>
      <c r="K801" s="1">
        <v>3.008E9</v>
      </c>
      <c r="L801" s="1">
        <v>-5.07E8</v>
      </c>
      <c r="M801" s="1">
        <v>3.66E8</v>
      </c>
      <c r="N801" s="1">
        <v>3.7501E10</v>
      </c>
      <c r="O801" s="1">
        <v>3.4493E10</v>
      </c>
      <c r="P801" s="1">
        <v>3.2671E10</v>
      </c>
      <c r="Q801" s="1">
        <v>-2.52E8</v>
      </c>
      <c r="R801" s="1">
        <v>2.39E9</v>
      </c>
      <c r="S801" s="1">
        <v>2.385E9</v>
      </c>
      <c r="W801" s="4" t="str">
        <f>Raw_Data!C800&amp;"|"&amp;Raw_Data!D800&amp;"|"&amp;TEXT(Raw_Data!B800,"yyyy-mm-dd")</f>
        <v>Ford|F|2020-12-31</v>
      </c>
    </row>
    <row r="802">
      <c r="A802" s="1">
        <v>800.0</v>
      </c>
      <c r="B802" s="3">
        <v>44377.0</v>
      </c>
      <c r="C802" s="1" t="s">
        <v>442</v>
      </c>
      <c r="D802" s="1" t="s">
        <v>443</v>
      </c>
      <c r="E802" s="1">
        <v>1.066E8</v>
      </c>
      <c r="F802" s="1">
        <v>1.45E8</v>
      </c>
      <c r="G802" s="1">
        <v>1.375E8</v>
      </c>
      <c r="H802" s="1">
        <v>3.613E8</v>
      </c>
      <c r="I802" s="1">
        <v>6.142E8</v>
      </c>
      <c r="J802" s="1">
        <v>1.463E8</v>
      </c>
      <c r="K802" s="1">
        <v>1.463E8</v>
      </c>
      <c r="L802" s="1">
        <v>-4500000.0</v>
      </c>
      <c r="M802" s="1">
        <v>7500000.0</v>
      </c>
      <c r="N802" s="1">
        <v>8.011E8</v>
      </c>
      <c r="O802" s="1">
        <v>6.548E8</v>
      </c>
      <c r="P802" s="1">
        <v>1.869E8</v>
      </c>
      <c r="Q802" s="1">
        <v>-1300000.0</v>
      </c>
      <c r="R802" s="1">
        <v>1.375E8</v>
      </c>
      <c r="S802" s="1">
        <v>1.375E8</v>
      </c>
      <c r="W802" s="4" t="str">
        <f>Raw_Data!C801&amp;"|"&amp;Raw_Data!D801&amp;"|"&amp;TEXT(Raw_Data!B801,"yyyy-mm-dd")</f>
        <v>Ford|F|2020-09-30</v>
      </c>
    </row>
    <row r="803">
      <c r="A803" s="1">
        <v>801.0</v>
      </c>
      <c r="B803" s="3">
        <v>44286.0</v>
      </c>
      <c r="C803" s="1" t="s">
        <v>442</v>
      </c>
      <c r="D803" s="1" t="s">
        <v>443</v>
      </c>
      <c r="E803" s="1">
        <v>9.72E7</v>
      </c>
      <c r="F803" s="1">
        <v>1.194E8</v>
      </c>
      <c r="G803" s="1">
        <v>1.072E8</v>
      </c>
      <c r="H803" s="1">
        <v>3.36E8</v>
      </c>
      <c r="I803" s="1">
        <v>5.537E8</v>
      </c>
      <c r="J803" s="1">
        <v>1.205E8</v>
      </c>
      <c r="K803" s="1">
        <v>1.205E8</v>
      </c>
      <c r="L803" s="1">
        <v>-200000.0</v>
      </c>
      <c r="M803" s="1">
        <v>1.22E7</v>
      </c>
      <c r="N803" s="1">
        <v>7.103E8</v>
      </c>
      <c r="O803" s="1">
        <v>5.898E8</v>
      </c>
      <c r="P803" s="1">
        <v>1.566E8</v>
      </c>
      <c r="Q803" s="1">
        <v>-1100000.0</v>
      </c>
      <c r="R803" s="1">
        <v>1.072E8</v>
      </c>
      <c r="S803" s="1">
        <v>1.072E8</v>
      </c>
      <c r="W803" s="4" t="str">
        <f>Raw_Data!C802&amp;"|"&amp;Raw_Data!D802&amp;"|"&amp;TEXT(Raw_Data!B802,"yyyy-mm-dd")</f>
        <v>Fortinet|FTNT|2021-06-30</v>
      </c>
    </row>
    <row r="804">
      <c r="A804" s="1">
        <v>802.0</v>
      </c>
      <c r="B804" s="3">
        <v>44196.0</v>
      </c>
      <c r="C804" s="1" t="s">
        <v>442</v>
      </c>
      <c r="D804" s="1" t="s">
        <v>443</v>
      </c>
      <c r="E804" s="1">
        <v>8.9E7</v>
      </c>
      <c r="F804" s="1">
        <v>1.717E8</v>
      </c>
      <c r="G804" s="1">
        <v>1.467E8</v>
      </c>
      <c r="H804" s="1">
        <v>3.238E8</v>
      </c>
      <c r="I804" s="1">
        <v>5.81E8</v>
      </c>
      <c r="J804" s="1">
        <v>1.682E8</v>
      </c>
      <c r="K804" s="1">
        <v>1.682E8</v>
      </c>
      <c r="L804" s="1">
        <v>-200000.0</v>
      </c>
      <c r="M804" s="1">
        <v>2.5E7</v>
      </c>
      <c r="N804" s="1">
        <v>7.48E8</v>
      </c>
      <c r="O804" s="1">
        <v>5.798E8</v>
      </c>
      <c r="P804" s="1">
        <v>1.67E8</v>
      </c>
      <c r="Q804" s="1">
        <v>3500000.0</v>
      </c>
      <c r="R804" s="1">
        <v>1.467E8</v>
      </c>
      <c r="S804" s="1">
        <v>1.467E8</v>
      </c>
      <c r="W804" s="4" t="str">
        <f>Raw_Data!C803&amp;"|"&amp;Raw_Data!D803&amp;"|"&amp;TEXT(Raw_Data!B803,"yyyy-mm-dd")</f>
        <v>Fortinet|FTNT|2021-03-31</v>
      </c>
    </row>
    <row r="805">
      <c r="A805" s="1">
        <v>803.0</v>
      </c>
      <c r="B805" s="3">
        <v>44104.0</v>
      </c>
      <c r="C805" s="1" t="s">
        <v>442</v>
      </c>
      <c r="D805" s="1" t="s">
        <v>443</v>
      </c>
      <c r="E805" s="1">
        <v>9.0E7</v>
      </c>
      <c r="F805" s="1">
        <v>1.284E8</v>
      </c>
      <c r="G805" s="1">
        <v>1.234E8</v>
      </c>
      <c r="H805" s="1">
        <v>2.961E8</v>
      </c>
      <c r="I805" s="1">
        <v>5.119E8</v>
      </c>
      <c r="J805" s="1">
        <v>1.258E8</v>
      </c>
      <c r="K805" s="1">
        <v>1.258E8</v>
      </c>
      <c r="L805" s="1">
        <v>-200000.0</v>
      </c>
      <c r="M805" s="1">
        <v>5000000.0</v>
      </c>
      <c r="N805" s="1">
        <v>6.511E8</v>
      </c>
      <c r="O805" s="1">
        <v>5.253E8</v>
      </c>
      <c r="P805" s="1">
        <v>1.392E8</v>
      </c>
      <c r="Q805" s="1">
        <v>2600000.0</v>
      </c>
      <c r="R805" s="1">
        <v>1.234E8</v>
      </c>
      <c r="S805" s="1">
        <v>1.234E8</v>
      </c>
      <c r="W805" s="4" t="str">
        <f>Raw_Data!C804&amp;"|"&amp;Raw_Data!D804&amp;"|"&amp;TEXT(Raw_Data!B804,"yyyy-mm-dd")</f>
        <v>Fortinet|FTNT|2020-12-31</v>
      </c>
    </row>
    <row r="806">
      <c r="A806" s="1">
        <v>804.0</v>
      </c>
      <c r="B806" s="3">
        <v>44379.0</v>
      </c>
      <c r="C806" s="1" t="s">
        <v>444</v>
      </c>
      <c r="D806" s="1" t="s">
        <v>445</v>
      </c>
      <c r="E806" s="1">
        <v>8.78E7</v>
      </c>
      <c r="F806" s="1">
        <v>2.075E8</v>
      </c>
      <c r="G806" s="1">
        <v>1.809E8</v>
      </c>
      <c r="H806" s="1">
        <v>4.571E8</v>
      </c>
      <c r="I806" s="1">
        <v>7.555E8</v>
      </c>
      <c r="J806" s="1">
        <v>2.106E8</v>
      </c>
      <c r="K806" s="1">
        <v>2.106E8</v>
      </c>
      <c r="L806" s="1">
        <v>-2.52E7</v>
      </c>
      <c r="M806" s="1">
        <v>2.55E7</v>
      </c>
      <c r="N806" s="1">
        <v>1.3197E9</v>
      </c>
      <c r="O806" s="1">
        <v>1.1091E9</v>
      </c>
      <c r="P806" s="1">
        <v>5.642E8</v>
      </c>
      <c r="Q806" s="1">
        <v>-3100000.0</v>
      </c>
      <c r="R806" s="1">
        <v>1.82E8</v>
      </c>
      <c r="S806" s="1">
        <v>1.637E8</v>
      </c>
      <c r="W806" s="4" t="str">
        <f>Raw_Data!C805&amp;"|"&amp;Raw_Data!D805&amp;"|"&amp;TEXT(Raw_Data!B805,"yyyy-mm-dd")</f>
        <v>Fortinet|FTNT|2020-09-30</v>
      </c>
    </row>
    <row r="807">
      <c r="A807" s="1">
        <v>805.0</v>
      </c>
      <c r="B807" s="3">
        <v>44288.0</v>
      </c>
      <c r="C807" s="1" t="s">
        <v>444</v>
      </c>
      <c r="D807" s="1" t="s">
        <v>445</v>
      </c>
      <c r="E807" s="1">
        <v>8.62E7</v>
      </c>
      <c r="F807" s="1">
        <v>1.187E8</v>
      </c>
      <c r="G807" s="1">
        <v>1.102E8</v>
      </c>
      <c r="H807" s="1">
        <v>4.289E8</v>
      </c>
      <c r="I807" s="1">
        <v>7.119E8</v>
      </c>
      <c r="J807" s="1">
        <v>1.968E8</v>
      </c>
      <c r="K807" s="1">
        <v>1.968E8</v>
      </c>
      <c r="L807" s="1">
        <v>-2.77E7</v>
      </c>
      <c r="M807" s="1">
        <v>7000000.0</v>
      </c>
      <c r="N807" s="1">
        <v>1.2592E9</v>
      </c>
      <c r="O807" s="1">
        <v>1.0624E9</v>
      </c>
      <c r="P807" s="1">
        <v>5.473E8</v>
      </c>
      <c r="Q807" s="1">
        <v>-7.81E7</v>
      </c>
      <c r="R807" s="1">
        <v>1.117E8</v>
      </c>
      <c r="S807" s="1">
        <v>9.29E7</v>
      </c>
      <c r="W807" s="4" t="str">
        <f>Raw_Data!C806&amp;"|"&amp;Raw_Data!D806&amp;"|"&amp;TEXT(Raw_Data!B806,"yyyy-mm-dd")</f>
        <v>Fortive|FTV|2021-07-02</v>
      </c>
    </row>
    <row r="808">
      <c r="A808" s="1">
        <v>806.0</v>
      </c>
      <c r="B808" s="3">
        <v>44196.0</v>
      </c>
      <c r="C808" s="1" t="s">
        <v>444</v>
      </c>
      <c r="D808" s="1" t="s">
        <v>445</v>
      </c>
      <c r="E808" s="1">
        <v>-1.03E7</v>
      </c>
      <c r="F808" s="1">
        <v>1.018E9</v>
      </c>
      <c r="G808" s="1">
        <v>1.2156E9</v>
      </c>
      <c r="H808" s="1">
        <v>2.36E7</v>
      </c>
      <c r="I808" s="1">
        <v>-5.68E7</v>
      </c>
      <c r="J808" s="1">
        <v>-7.01E7</v>
      </c>
      <c r="K808" s="1">
        <v>-7.01E7</v>
      </c>
      <c r="L808" s="1">
        <v>-1.78E7</v>
      </c>
      <c r="M808" s="1">
        <v>-3.58E7</v>
      </c>
      <c r="N808" s="1">
        <v>-5.526E8</v>
      </c>
      <c r="O808" s="1">
        <v>-4.825E8</v>
      </c>
      <c r="P808" s="1">
        <v>-4.958E8</v>
      </c>
      <c r="Q808" s="1">
        <v>1.0881E9</v>
      </c>
      <c r="R808" s="1">
        <v>1.0538E9</v>
      </c>
      <c r="S808" s="1">
        <v>1.1984E9</v>
      </c>
      <c r="W808" s="4" t="str">
        <f>Raw_Data!C807&amp;"|"&amp;Raw_Data!D807&amp;"|"&amp;TEXT(Raw_Data!B807,"yyyy-mm-dd")</f>
        <v>Fortive|FTV|2021-04-02</v>
      </c>
    </row>
    <row r="809">
      <c r="A809" s="1">
        <v>807.0</v>
      </c>
      <c r="B809" s="3">
        <v>44099.0</v>
      </c>
      <c r="C809" s="1" t="s">
        <v>444</v>
      </c>
      <c r="D809" s="1" t="s">
        <v>445</v>
      </c>
      <c r="E809" s="1">
        <v>1.107E8</v>
      </c>
      <c r="F809" s="1">
        <v>2.651E8</v>
      </c>
      <c r="G809" s="1">
        <v>2.258E8</v>
      </c>
      <c r="H809" s="1">
        <v>5.631E8</v>
      </c>
      <c r="I809" s="1">
        <v>9.834E8</v>
      </c>
      <c r="J809" s="1">
        <v>3.096E8</v>
      </c>
      <c r="K809" s="1">
        <v>3.096E8</v>
      </c>
      <c r="L809" s="1">
        <v>-4.39E7</v>
      </c>
      <c r="M809" s="1">
        <v>3.93E7</v>
      </c>
      <c r="N809" s="1">
        <v>1.9023E9</v>
      </c>
      <c r="O809" s="1">
        <v>1.5927E9</v>
      </c>
      <c r="P809" s="1">
        <v>9.189E8</v>
      </c>
      <c r="Q809" s="1">
        <v>-4.45E7</v>
      </c>
      <c r="R809" s="1">
        <v>2.258E8</v>
      </c>
      <c r="S809" s="1">
        <v>2.085E8</v>
      </c>
      <c r="W809" s="4" t="str">
        <f>Raw_Data!C808&amp;"|"&amp;Raw_Data!D808&amp;"|"&amp;TEXT(Raw_Data!B808,"yyyy-mm-dd")</f>
        <v>Fortive|FTV|2020-12-31</v>
      </c>
    </row>
    <row r="810">
      <c r="A810" s="1">
        <v>808.0</v>
      </c>
      <c r="B810" s="3">
        <v>44377.0</v>
      </c>
      <c r="C810" s="1" t="s">
        <v>446</v>
      </c>
      <c r="D810" s="1" t="s">
        <v>447</v>
      </c>
      <c r="F810" s="1">
        <v>2.75E8</v>
      </c>
      <c r="G810" s="1">
        <v>2.172E8</v>
      </c>
      <c r="H810" s="1">
        <v>3.946E8</v>
      </c>
      <c r="I810" s="1">
        <v>7.058E8</v>
      </c>
      <c r="J810" s="1">
        <v>2.952E8</v>
      </c>
      <c r="K810" s="1">
        <v>2.952E8</v>
      </c>
      <c r="L810" s="1">
        <v>-2.12E7</v>
      </c>
      <c r="M810" s="1">
        <v>5.78E7</v>
      </c>
      <c r="N810" s="1">
        <v>1.9361E9</v>
      </c>
      <c r="O810" s="1">
        <v>1.6409E9</v>
      </c>
      <c r="P810" s="1">
        <v>1.2303E9</v>
      </c>
      <c r="Q810" s="1">
        <v>-2.02E7</v>
      </c>
      <c r="R810" s="1">
        <v>2.172E8</v>
      </c>
      <c r="S810" s="1">
        <v>2.172E8</v>
      </c>
      <c r="W810" s="4" t="str">
        <f>Raw_Data!C809&amp;"|"&amp;Raw_Data!D809&amp;"|"&amp;TEXT(Raw_Data!B809,"yyyy-mm-dd")</f>
        <v>Fortive|FTV|2020-09-25</v>
      </c>
    </row>
    <row r="811">
      <c r="A811" s="1">
        <v>809.0</v>
      </c>
      <c r="B811" s="3">
        <v>44286.0</v>
      </c>
      <c r="C811" s="1" t="s">
        <v>446</v>
      </c>
      <c r="D811" s="1" t="s">
        <v>447</v>
      </c>
      <c r="F811" s="1">
        <v>2.237E8</v>
      </c>
      <c r="G811" s="1">
        <v>1.778E8</v>
      </c>
      <c r="H811" s="1">
        <v>3.715E8</v>
      </c>
      <c r="I811" s="1">
        <v>6.474E8</v>
      </c>
      <c r="J811" s="1">
        <v>2.593E8</v>
      </c>
      <c r="K811" s="1">
        <v>2.593E8</v>
      </c>
      <c r="L811" s="1">
        <v>-2.14E7</v>
      </c>
      <c r="M811" s="1">
        <v>4.59E7</v>
      </c>
      <c r="N811" s="1">
        <v>1.771E9</v>
      </c>
      <c r="O811" s="1">
        <v>1.5117E9</v>
      </c>
      <c r="P811" s="1">
        <v>1.1236E9</v>
      </c>
      <c r="Q811" s="1">
        <v>-3.56E7</v>
      </c>
      <c r="R811" s="1">
        <v>1.778E8</v>
      </c>
      <c r="S811" s="1">
        <v>1.778E8</v>
      </c>
      <c r="W811" s="4" t="str">
        <f>Raw_Data!C810&amp;"|"&amp;Raw_Data!D810&amp;"|"&amp;TEXT(Raw_Data!B810,"yyyy-mm-dd")</f>
        <v>Fortune Brands Home &amp; Security|FBHS|2021-06-30</v>
      </c>
    </row>
    <row r="812">
      <c r="A812" s="1">
        <v>810.0</v>
      </c>
      <c r="B812" s="3">
        <v>44196.0</v>
      </c>
      <c r="C812" s="1" t="s">
        <v>446</v>
      </c>
      <c r="D812" s="1" t="s">
        <v>447</v>
      </c>
      <c r="F812" s="1">
        <v>2.107E8</v>
      </c>
      <c r="G812" s="1">
        <v>1.636E8</v>
      </c>
      <c r="H812" s="1">
        <v>3.632E8</v>
      </c>
      <c r="I812" s="1">
        <v>6.181E8</v>
      </c>
      <c r="J812" s="1">
        <v>2.44E8</v>
      </c>
      <c r="K812" s="1">
        <v>2.44E8</v>
      </c>
      <c r="L812" s="1">
        <v>-1.95E7</v>
      </c>
      <c r="M812" s="1">
        <v>4.71E7</v>
      </c>
      <c r="N812" s="1">
        <v>1.6597E9</v>
      </c>
      <c r="O812" s="1">
        <v>1.4157E9</v>
      </c>
      <c r="P812" s="1">
        <v>1.0416E9</v>
      </c>
      <c r="Q812" s="1">
        <v>-3.33E7</v>
      </c>
      <c r="R812" s="1">
        <v>1.636E8</v>
      </c>
      <c r="S812" s="1">
        <v>1.636E8</v>
      </c>
      <c r="W812" s="4" t="str">
        <f>Raw_Data!C811&amp;"|"&amp;Raw_Data!D811&amp;"|"&amp;TEXT(Raw_Data!B811,"yyyy-mm-dd")</f>
        <v>Fortune Brands Home &amp; Security|FBHS|2021-03-31</v>
      </c>
    </row>
    <row r="813">
      <c r="A813" s="1">
        <v>811.0</v>
      </c>
      <c r="B813" s="3">
        <v>44104.0</v>
      </c>
      <c r="C813" s="1" t="s">
        <v>446</v>
      </c>
      <c r="D813" s="1" t="s">
        <v>447</v>
      </c>
      <c r="F813" s="1">
        <v>2.198E8</v>
      </c>
      <c r="G813" s="1">
        <v>1.646E8</v>
      </c>
      <c r="H813" s="1">
        <v>3.278E8</v>
      </c>
      <c r="I813" s="1">
        <v>5.806E8</v>
      </c>
      <c r="J813" s="1">
        <v>2.423E8</v>
      </c>
      <c r="K813" s="1">
        <v>2.423E8</v>
      </c>
      <c r="L813" s="1">
        <v>-2.01E7</v>
      </c>
      <c r="M813" s="1">
        <v>5.4E7</v>
      </c>
      <c r="N813" s="1">
        <v>1.6521E9</v>
      </c>
      <c r="O813" s="1">
        <v>1.4098E9</v>
      </c>
      <c r="P813" s="1">
        <v>1.0715E9</v>
      </c>
      <c r="Q813" s="1">
        <v>-2.25E7</v>
      </c>
      <c r="R813" s="1">
        <v>1.658E8</v>
      </c>
      <c r="S813" s="1">
        <v>1.646E8</v>
      </c>
      <c r="W813" s="4" t="str">
        <f>Raw_Data!C812&amp;"|"&amp;Raw_Data!D812&amp;"|"&amp;TEXT(Raw_Data!B812,"yyyy-mm-dd")</f>
        <v>Fortune Brands Home &amp; Security|FBHS|2020-12-31</v>
      </c>
    </row>
    <row r="814">
      <c r="A814" s="1">
        <v>812.0</v>
      </c>
      <c r="B814" s="3">
        <v>44377.0</v>
      </c>
      <c r="C814" s="1" t="s">
        <v>448</v>
      </c>
      <c r="D814" s="1" t="s">
        <v>449</v>
      </c>
      <c r="F814" s="1">
        <v>3.57E8</v>
      </c>
      <c r="G814" s="1">
        <v>2.53E8</v>
      </c>
      <c r="H814" s="1">
        <v>5.4E8</v>
      </c>
      <c r="I814" s="1">
        <v>1.252E9</v>
      </c>
      <c r="J814" s="1">
        <v>6.28E8</v>
      </c>
      <c r="K814" s="1">
        <v>6.28E8</v>
      </c>
      <c r="L814" s="1">
        <v>-9.9E7</v>
      </c>
      <c r="M814" s="1">
        <v>8.5E7</v>
      </c>
      <c r="N814" s="1">
        <v>2.89E9</v>
      </c>
      <c r="O814" s="1">
        <v>2.262E9</v>
      </c>
      <c r="P814" s="1">
        <v>1.638E9</v>
      </c>
      <c r="Q814" s="1">
        <v>-2.71E8</v>
      </c>
      <c r="R814" s="1">
        <v>2.72E8</v>
      </c>
      <c r="S814" s="1">
        <v>2.53E8</v>
      </c>
      <c r="W814" s="4" t="str">
        <f>Raw_Data!C813&amp;"|"&amp;Raw_Data!D813&amp;"|"&amp;TEXT(Raw_Data!B813,"yyyy-mm-dd")</f>
        <v>Fortune Brands Home &amp; Security|FBHS|2020-09-30</v>
      </c>
    </row>
    <row r="815">
      <c r="A815" s="1">
        <v>813.0</v>
      </c>
      <c r="B815" s="3">
        <v>44286.0</v>
      </c>
      <c r="C815" s="1" t="s">
        <v>448</v>
      </c>
      <c r="D815" s="1" t="s">
        <v>449</v>
      </c>
      <c r="F815" s="1">
        <v>7.78E8</v>
      </c>
      <c r="G815" s="1">
        <v>5.67E8</v>
      </c>
      <c r="H815" s="1">
        <v>4.37E8</v>
      </c>
      <c r="I815" s="1">
        <v>1.33E9</v>
      </c>
      <c r="J815" s="1">
        <v>8.15E8</v>
      </c>
      <c r="K815" s="1">
        <v>8.15E8</v>
      </c>
      <c r="L815" s="1">
        <v>-9.8E7</v>
      </c>
      <c r="M815" s="1">
        <v>1.96E8</v>
      </c>
      <c r="N815" s="1">
        <v>3.215E9</v>
      </c>
      <c r="O815" s="1">
        <v>2.4E9</v>
      </c>
      <c r="P815" s="1">
        <v>1.885E9</v>
      </c>
      <c r="Q815" s="1">
        <v>-3.7E7</v>
      </c>
      <c r="R815" s="1">
        <v>5.82E8</v>
      </c>
      <c r="S815" s="1">
        <v>5.67E8</v>
      </c>
      <c r="W815" s="4" t="str">
        <f>Raw_Data!C814&amp;"|"&amp;Raw_Data!D814&amp;"|"&amp;TEXT(Raw_Data!B814,"yyyy-mm-dd")</f>
        <v>Fox Corporation (Class A)|FOXA|2021-06-30</v>
      </c>
    </row>
    <row r="816">
      <c r="A816" s="1">
        <v>814.0</v>
      </c>
      <c r="B816" s="3">
        <v>44196.0</v>
      </c>
      <c r="C816" s="1" t="s">
        <v>448</v>
      </c>
      <c r="D816" s="1" t="s">
        <v>449</v>
      </c>
      <c r="F816" s="1">
        <v>3.04E8</v>
      </c>
      <c r="G816" s="1">
        <v>2.24E8</v>
      </c>
      <c r="H816" s="1">
        <v>4.42E8</v>
      </c>
      <c r="I816" s="1">
        <v>7.41E8</v>
      </c>
      <c r="J816" s="1">
        <v>2.29E8</v>
      </c>
      <c r="K816" s="1">
        <v>2.29E8</v>
      </c>
      <c r="L816" s="1">
        <v>-9.9E7</v>
      </c>
      <c r="M816" s="1">
        <v>7.4E7</v>
      </c>
      <c r="N816" s="1">
        <v>4.087E9</v>
      </c>
      <c r="O816" s="1">
        <v>3.858E9</v>
      </c>
      <c r="P816" s="1">
        <v>3.346E9</v>
      </c>
      <c r="Q816" s="1">
        <v>7.5E7</v>
      </c>
      <c r="R816" s="1">
        <v>2.3E8</v>
      </c>
      <c r="S816" s="1">
        <v>2.24E8</v>
      </c>
      <c r="W816" s="4" t="str">
        <f>Raw_Data!C815&amp;"|"&amp;Raw_Data!D815&amp;"|"&amp;TEXT(Raw_Data!B815,"yyyy-mm-dd")</f>
        <v>Fox Corporation (Class A)|FOXA|2021-03-31</v>
      </c>
    </row>
    <row r="817">
      <c r="A817" s="1">
        <v>815.0</v>
      </c>
      <c r="B817" s="3">
        <v>44104.0</v>
      </c>
      <c r="C817" s="1" t="s">
        <v>448</v>
      </c>
      <c r="D817" s="1" t="s">
        <v>449</v>
      </c>
      <c r="F817" s="1">
        <v>1.479E9</v>
      </c>
      <c r="G817" s="1">
        <v>1.106E9</v>
      </c>
      <c r="H817" s="1">
        <v>3.88E8</v>
      </c>
      <c r="I817" s="1">
        <v>1.549E9</v>
      </c>
      <c r="J817" s="1">
        <v>1.093E9</v>
      </c>
      <c r="K817" s="1">
        <v>1.093E9</v>
      </c>
      <c r="L817" s="1">
        <v>-9.9E7</v>
      </c>
      <c r="M817" s="1">
        <v>3.62E8</v>
      </c>
      <c r="N817" s="1">
        <v>2.717E9</v>
      </c>
      <c r="O817" s="1">
        <v>1.624E9</v>
      </c>
      <c r="P817" s="1">
        <v>1.168E9</v>
      </c>
      <c r="Q817" s="1">
        <v>3.86E8</v>
      </c>
      <c r="R817" s="1">
        <v>1.117E9</v>
      </c>
      <c r="S817" s="1">
        <v>1.106E9</v>
      </c>
      <c r="W817" s="4" t="str">
        <f>Raw_Data!C816&amp;"|"&amp;Raw_Data!D816&amp;"|"&amp;TEXT(Raw_Data!B816,"yyyy-mm-dd")</f>
        <v>Fox Corporation (Class A)|FOXA|2020-12-31</v>
      </c>
    </row>
    <row r="818">
      <c r="A818" s="1">
        <v>816.0</v>
      </c>
      <c r="B818" s="3">
        <v>44377.0</v>
      </c>
      <c r="C818" s="1" t="s">
        <v>450</v>
      </c>
      <c r="D818" s="1" t="s">
        <v>451</v>
      </c>
      <c r="F818" s="1">
        <v>3.57E8</v>
      </c>
      <c r="G818" s="1">
        <v>2.53E8</v>
      </c>
      <c r="H818" s="1">
        <v>5.4E8</v>
      </c>
      <c r="I818" s="1">
        <v>1.252E9</v>
      </c>
      <c r="J818" s="1">
        <v>6.28E8</v>
      </c>
      <c r="K818" s="1">
        <v>6.28E8</v>
      </c>
      <c r="L818" s="1">
        <v>-9.9E7</v>
      </c>
      <c r="M818" s="1">
        <v>8.5E7</v>
      </c>
      <c r="N818" s="1">
        <v>2.89E9</v>
      </c>
      <c r="O818" s="1">
        <v>2.262E9</v>
      </c>
      <c r="P818" s="1">
        <v>1.638E9</v>
      </c>
      <c r="Q818" s="1">
        <v>-2.71E8</v>
      </c>
      <c r="R818" s="1">
        <v>2.72E8</v>
      </c>
      <c r="S818" s="1">
        <v>2.53E8</v>
      </c>
      <c r="W818" s="4" t="str">
        <f>Raw_Data!C817&amp;"|"&amp;Raw_Data!D817&amp;"|"&amp;TEXT(Raw_Data!B817,"yyyy-mm-dd")</f>
        <v>Fox Corporation (Class A)|FOXA|2020-09-30</v>
      </c>
    </row>
    <row r="819">
      <c r="A819" s="1">
        <v>817.0</v>
      </c>
      <c r="B819" s="3">
        <v>44286.0</v>
      </c>
      <c r="C819" s="1" t="s">
        <v>450</v>
      </c>
      <c r="D819" s="1" t="s">
        <v>451</v>
      </c>
      <c r="F819" s="1">
        <v>7.78E8</v>
      </c>
      <c r="G819" s="1">
        <v>5.67E8</v>
      </c>
      <c r="H819" s="1">
        <v>4.37E8</v>
      </c>
      <c r="I819" s="1">
        <v>1.33E9</v>
      </c>
      <c r="J819" s="1">
        <v>8.15E8</v>
      </c>
      <c r="K819" s="1">
        <v>8.15E8</v>
      </c>
      <c r="L819" s="1">
        <v>-9.8E7</v>
      </c>
      <c r="M819" s="1">
        <v>1.96E8</v>
      </c>
      <c r="N819" s="1">
        <v>3.215E9</v>
      </c>
      <c r="O819" s="1">
        <v>2.4E9</v>
      </c>
      <c r="P819" s="1">
        <v>1.885E9</v>
      </c>
      <c r="Q819" s="1">
        <v>-3.7E7</v>
      </c>
      <c r="R819" s="1">
        <v>5.82E8</v>
      </c>
      <c r="S819" s="1">
        <v>5.67E8</v>
      </c>
      <c r="W819" s="4" t="str">
        <f>Raw_Data!C818&amp;"|"&amp;Raw_Data!D818&amp;"|"&amp;TEXT(Raw_Data!B818,"yyyy-mm-dd")</f>
        <v>Fox Corporation (Class B)|FOX|2021-06-30</v>
      </c>
    </row>
    <row r="820">
      <c r="A820" s="1">
        <v>818.0</v>
      </c>
      <c r="B820" s="3">
        <v>44196.0</v>
      </c>
      <c r="C820" s="1" t="s">
        <v>450</v>
      </c>
      <c r="D820" s="1" t="s">
        <v>451</v>
      </c>
      <c r="F820" s="1">
        <v>3.04E8</v>
      </c>
      <c r="G820" s="1">
        <v>2.24E8</v>
      </c>
      <c r="H820" s="1">
        <v>4.42E8</v>
      </c>
      <c r="I820" s="1">
        <v>7.41E8</v>
      </c>
      <c r="J820" s="1">
        <v>2.29E8</v>
      </c>
      <c r="K820" s="1">
        <v>2.29E8</v>
      </c>
      <c r="L820" s="1">
        <v>-9.9E7</v>
      </c>
      <c r="M820" s="1">
        <v>7.4E7</v>
      </c>
      <c r="N820" s="1">
        <v>4.087E9</v>
      </c>
      <c r="O820" s="1">
        <v>3.858E9</v>
      </c>
      <c r="P820" s="1">
        <v>3.346E9</v>
      </c>
      <c r="Q820" s="1">
        <v>7.5E7</v>
      </c>
      <c r="R820" s="1">
        <v>2.3E8</v>
      </c>
      <c r="S820" s="1">
        <v>2.24E8</v>
      </c>
      <c r="W820" s="4" t="str">
        <f>Raw_Data!C819&amp;"|"&amp;Raw_Data!D819&amp;"|"&amp;TEXT(Raw_Data!B819,"yyyy-mm-dd")</f>
        <v>Fox Corporation (Class B)|FOX|2021-03-31</v>
      </c>
    </row>
    <row r="821">
      <c r="A821" s="1">
        <v>819.0</v>
      </c>
      <c r="B821" s="3">
        <v>44104.0</v>
      </c>
      <c r="C821" s="1" t="s">
        <v>450</v>
      </c>
      <c r="D821" s="1" t="s">
        <v>451</v>
      </c>
      <c r="F821" s="1">
        <v>1.479E9</v>
      </c>
      <c r="G821" s="1">
        <v>1.106E9</v>
      </c>
      <c r="H821" s="1">
        <v>3.88E8</v>
      </c>
      <c r="I821" s="1">
        <v>1.549E9</v>
      </c>
      <c r="J821" s="1">
        <v>1.093E9</v>
      </c>
      <c r="K821" s="1">
        <v>1.093E9</v>
      </c>
      <c r="L821" s="1">
        <v>-9.9E7</v>
      </c>
      <c r="M821" s="1">
        <v>3.62E8</v>
      </c>
      <c r="N821" s="1">
        <v>2.717E9</v>
      </c>
      <c r="O821" s="1">
        <v>1.624E9</v>
      </c>
      <c r="P821" s="1">
        <v>1.168E9</v>
      </c>
      <c r="Q821" s="1">
        <v>3.86E8</v>
      </c>
      <c r="R821" s="1">
        <v>1.117E9</v>
      </c>
      <c r="S821" s="1">
        <v>1.106E9</v>
      </c>
      <c r="W821" s="4" t="str">
        <f>Raw_Data!C820&amp;"|"&amp;Raw_Data!D820&amp;"|"&amp;TEXT(Raw_Data!B820,"yyyy-mm-dd")</f>
        <v>Fox Corporation (Class B)|FOX|2020-12-31</v>
      </c>
    </row>
    <row r="822">
      <c r="A822" s="1">
        <v>820.0</v>
      </c>
      <c r="B822" s="3">
        <v>44377.0</v>
      </c>
      <c r="C822" s="1" t="s">
        <v>452</v>
      </c>
      <c r="D822" s="1" t="s">
        <v>453</v>
      </c>
      <c r="F822" s="1">
        <v>5.554E8</v>
      </c>
      <c r="G822" s="1">
        <v>4.384E8</v>
      </c>
      <c r="H822" s="1">
        <v>3.344E8</v>
      </c>
      <c r="I822" s="1">
        <v>9.135E8</v>
      </c>
      <c r="J822" s="1">
        <v>5.211E8</v>
      </c>
      <c r="K822" s="1">
        <v>5.211E8</v>
      </c>
      <c r="L822" s="1">
        <v>-2.57E7</v>
      </c>
      <c r="M822" s="1">
        <v>8.38E7</v>
      </c>
      <c r="N822" s="1">
        <v>2.1729E9</v>
      </c>
      <c r="O822" s="1">
        <v>1.6518E9</v>
      </c>
      <c r="P822" s="1">
        <v>1.2594E9</v>
      </c>
      <c r="Q822" s="1">
        <v>3.43E7</v>
      </c>
      <c r="R822" s="1">
        <v>4.716E8</v>
      </c>
      <c r="S822" s="1">
        <v>4.19E8</v>
      </c>
      <c r="W822" s="4" t="str">
        <f>Raw_Data!C821&amp;"|"&amp;Raw_Data!D821&amp;"|"&amp;TEXT(Raw_Data!B821,"yyyy-mm-dd")</f>
        <v>Fox Corporation (Class B)|FOX|2020-09-30</v>
      </c>
    </row>
    <row r="823">
      <c r="A823" s="1">
        <v>821.0</v>
      </c>
      <c r="B823" s="3">
        <v>44286.0</v>
      </c>
      <c r="C823" s="1" t="s">
        <v>452</v>
      </c>
      <c r="D823" s="1" t="s">
        <v>453</v>
      </c>
      <c r="F823" s="1">
        <v>6.135E8</v>
      </c>
      <c r="G823" s="1">
        <v>3.818E8</v>
      </c>
      <c r="H823" s="1">
        <v>2.882E8</v>
      </c>
      <c r="I823" s="1">
        <v>8.595E8</v>
      </c>
      <c r="J823" s="1">
        <v>5.134E8</v>
      </c>
      <c r="K823" s="1">
        <v>5.134E8</v>
      </c>
      <c r="L823" s="1">
        <v>-1.59E7</v>
      </c>
      <c r="M823" s="1">
        <v>1.281E8</v>
      </c>
      <c r="N823" s="1">
        <v>2.0765E9</v>
      </c>
      <c r="O823" s="1">
        <v>1.5631E9</v>
      </c>
      <c r="P823" s="1">
        <v>1.217E9</v>
      </c>
      <c r="Q823" s="1">
        <v>1.001E8</v>
      </c>
      <c r="R823" s="1">
        <v>4.854E8</v>
      </c>
      <c r="S823" s="1">
        <v>3.649E8</v>
      </c>
      <c r="W823" s="4" t="str">
        <f>Raw_Data!C822&amp;"|"&amp;Raw_Data!D822&amp;"|"&amp;TEXT(Raw_Data!B822,"yyyy-mm-dd")</f>
        <v>Franklin Resources|BEN|2021-06-30</v>
      </c>
    </row>
    <row r="824">
      <c r="A824" s="1">
        <v>822.0</v>
      </c>
      <c r="B824" s="3">
        <v>44196.0</v>
      </c>
      <c r="C824" s="1" t="s">
        <v>452</v>
      </c>
      <c r="D824" s="1" t="s">
        <v>453</v>
      </c>
      <c r="F824" s="1">
        <v>5.373E8</v>
      </c>
      <c r="G824" s="1">
        <v>3.453E8</v>
      </c>
      <c r="H824" s="1">
        <v>2.849E8</v>
      </c>
      <c r="I824" s="1">
        <v>8.3E8</v>
      </c>
      <c r="J824" s="1">
        <v>4.869E8</v>
      </c>
      <c r="K824" s="1">
        <v>4.869E8</v>
      </c>
      <c r="L824" s="1">
        <v>-2.97E7</v>
      </c>
      <c r="M824" s="1">
        <v>1.425E8</v>
      </c>
      <c r="N824" s="1">
        <v>1.9951E9</v>
      </c>
      <c r="O824" s="1">
        <v>1.5082E9</v>
      </c>
      <c r="P824" s="1">
        <v>1.1651E9</v>
      </c>
      <c r="Q824" s="1">
        <v>5.04E7</v>
      </c>
      <c r="R824" s="1">
        <v>3.948E8</v>
      </c>
      <c r="S824" s="1">
        <v>3.307E8</v>
      </c>
      <c r="W824" s="4" t="str">
        <f>Raw_Data!C823&amp;"|"&amp;Raw_Data!D823&amp;"|"&amp;TEXT(Raw_Data!B823,"yyyy-mm-dd")</f>
        <v>Franklin Resources|BEN|2021-03-31</v>
      </c>
    </row>
    <row r="825">
      <c r="A825" s="1">
        <v>823.0</v>
      </c>
      <c r="B825" s="3">
        <v>44104.0</v>
      </c>
      <c r="C825" s="1" t="s">
        <v>452</v>
      </c>
      <c r="D825" s="1" t="s">
        <v>453</v>
      </c>
      <c r="F825" s="1">
        <v>1.996E8</v>
      </c>
      <c r="G825" s="1">
        <v>7.89E7</v>
      </c>
      <c r="H825" s="1">
        <v>2.319E8</v>
      </c>
      <c r="I825" s="1">
        <v>6.79E8</v>
      </c>
      <c r="J825" s="1">
        <v>4.098E8</v>
      </c>
      <c r="K825" s="1">
        <v>4.098E8</v>
      </c>
      <c r="L825" s="1">
        <v>-1.57E7</v>
      </c>
      <c r="M825" s="1">
        <v>7.31E7</v>
      </c>
      <c r="N825" s="1">
        <v>1.6274E9</v>
      </c>
      <c r="O825" s="1">
        <v>1.2176E9</v>
      </c>
      <c r="P825" s="1">
        <v>9.484E8</v>
      </c>
      <c r="Q825" s="1">
        <v>-2.102E8</v>
      </c>
      <c r="R825" s="1">
        <v>1.265E8</v>
      </c>
      <c r="S825" s="1">
        <v>6.36E7</v>
      </c>
      <c r="W825" s="4" t="str">
        <f>Raw_Data!C824&amp;"|"&amp;Raw_Data!D824&amp;"|"&amp;TEXT(Raw_Data!B824,"yyyy-mm-dd")</f>
        <v>Franklin Resources|BEN|2020-12-31</v>
      </c>
    </row>
    <row r="826">
      <c r="A826" s="1">
        <v>824.0</v>
      </c>
      <c r="B826" s="3">
        <v>44377.0</v>
      </c>
      <c r="C826" s="1" t="s">
        <v>454</v>
      </c>
      <c r="D826" s="1" t="s">
        <v>455</v>
      </c>
      <c r="F826" s="1">
        <v>1.934E9</v>
      </c>
      <c r="G826" s="1">
        <v>1.083E9</v>
      </c>
      <c r="H826" s="1">
        <v>8.7E7</v>
      </c>
      <c r="I826" s="1">
        <v>2.75E9</v>
      </c>
      <c r="J826" s="1">
        <v>2.133E9</v>
      </c>
      <c r="K826" s="1">
        <v>2.133E9</v>
      </c>
      <c r="L826" s="1">
        <v>-1.48E8</v>
      </c>
      <c r="M826" s="1">
        <v>6.03E8</v>
      </c>
      <c r="N826" s="1">
        <v>5.748E9</v>
      </c>
      <c r="O826" s="1">
        <v>3.615E9</v>
      </c>
      <c r="P826" s="1">
        <v>2.998E9</v>
      </c>
      <c r="Q826" s="1">
        <v>-1.99E8</v>
      </c>
      <c r="R826" s="1">
        <v>1.331E9</v>
      </c>
      <c r="S826" s="1">
        <v>1.079E9</v>
      </c>
      <c r="W826" s="4" t="str">
        <f>Raw_Data!C825&amp;"|"&amp;Raw_Data!D825&amp;"|"&amp;TEXT(Raw_Data!B825,"yyyy-mm-dd")</f>
        <v>Franklin Resources|BEN|2020-09-30</v>
      </c>
    </row>
    <row r="827">
      <c r="A827" s="1">
        <v>825.0</v>
      </c>
      <c r="B827" s="3">
        <v>44286.0</v>
      </c>
      <c r="C827" s="1" t="s">
        <v>454</v>
      </c>
      <c r="D827" s="1" t="s">
        <v>455</v>
      </c>
      <c r="F827" s="1">
        <v>1.396E9</v>
      </c>
      <c r="G827" s="1">
        <v>7.18E8</v>
      </c>
      <c r="H827" s="1">
        <v>1.0E8</v>
      </c>
      <c r="I827" s="1">
        <v>2.063E9</v>
      </c>
      <c r="J827" s="1">
        <v>1.532E9</v>
      </c>
      <c r="K827" s="1">
        <v>1.532E9</v>
      </c>
      <c r="L827" s="1">
        <v>-1.45E8</v>
      </c>
      <c r="M827" s="1">
        <v>4.43E8</v>
      </c>
      <c r="N827" s="1">
        <v>4.85E9</v>
      </c>
      <c r="O827" s="1">
        <v>3.318E9</v>
      </c>
      <c r="P827" s="1">
        <v>2.787E9</v>
      </c>
      <c r="Q827" s="1">
        <v>-1.36E8</v>
      </c>
      <c r="R827" s="1">
        <v>9.53E8</v>
      </c>
      <c r="S827" s="1">
        <v>7.18E8</v>
      </c>
      <c r="W827" s="4" t="str">
        <f>Raw_Data!C826&amp;"|"&amp;Raw_Data!D826&amp;"|"&amp;TEXT(Raw_Data!B826,"yyyy-mm-dd")</f>
        <v>Freeport-McMoRan|FCX|2021-06-30</v>
      </c>
    </row>
    <row r="828">
      <c r="A828" s="1">
        <v>826.0</v>
      </c>
      <c r="B828" s="3">
        <v>44196.0</v>
      </c>
      <c r="C828" s="1" t="s">
        <v>454</v>
      </c>
      <c r="D828" s="1" t="s">
        <v>455</v>
      </c>
      <c r="F828" s="1">
        <v>1.469E9</v>
      </c>
      <c r="G828" s="1">
        <v>7.08E8</v>
      </c>
      <c r="H828" s="1">
        <v>1.17E8</v>
      </c>
      <c r="I828" s="1">
        <v>1.864E9</v>
      </c>
      <c r="J828" s="1">
        <v>1.335E9</v>
      </c>
      <c r="K828" s="1">
        <v>1.335E9</v>
      </c>
      <c r="L828" s="1">
        <v>-2.01E8</v>
      </c>
      <c r="M828" s="1">
        <v>6.11E8</v>
      </c>
      <c r="N828" s="1">
        <v>4.495E9</v>
      </c>
      <c r="O828" s="1">
        <v>3.16E9</v>
      </c>
      <c r="P828" s="1">
        <v>2.631E9</v>
      </c>
      <c r="Q828" s="1">
        <v>1.34E8</v>
      </c>
      <c r="R828" s="1">
        <v>8.58E8</v>
      </c>
      <c r="S828" s="1">
        <v>7.08E8</v>
      </c>
      <c r="W828" s="4" t="str">
        <f>Raw_Data!C827&amp;"|"&amp;Raw_Data!D827&amp;"|"&amp;TEXT(Raw_Data!B827,"yyyy-mm-dd")</f>
        <v>Freeport-McMoRan|FCX|2021-03-31</v>
      </c>
    </row>
    <row r="829">
      <c r="A829" s="1">
        <v>827.0</v>
      </c>
      <c r="B829" s="3">
        <v>44104.0</v>
      </c>
      <c r="C829" s="1" t="s">
        <v>454</v>
      </c>
      <c r="D829" s="1" t="s">
        <v>455</v>
      </c>
      <c r="F829" s="1">
        <v>7.29E8</v>
      </c>
      <c r="G829" s="1">
        <v>3.29E8</v>
      </c>
      <c r="H829" s="1">
        <v>7.2E7</v>
      </c>
      <c r="I829" s="1">
        <v>1.407E9</v>
      </c>
      <c r="J829" s="1">
        <v>9.16E8</v>
      </c>
      <c r="K829" s="1">
        <v>9.16E8</v>
      </c>
      <c r="L829" s="1">
        <v>-1.2E8</v>
      </c>
      <c r="M829" s="1">
        <v>2.97E8</v>
      </c>
      <c r="N829" s="1">
        <v>3.851E9</v>
      </c>
      <c r="O829" s="1">
        <v>2.935E9</v>
      </c>
      <c r="P829" s="1">
        <v>2.444E9</v>
      </c>
      <c r="Q829" s="1">
        <v>-1.87E8</v>
      </c>
      <c r="R829" s="1">
        <v>4.32E8</v>
      </c>
      <c r="S829" s="1">
        <v>3.26E8</v>
      </c>
      <c r="W829" s="4" t="str">
        <f>Raw_Data!C828&amp;"|"&amp;Raw_Data!D828&amp;"|"&amp;TEXT(Raw_Data!B828,"yyyy-mm-dd")</f>
        <v>Freeport-McMoRan|FCX|2020-12-31</v>
      </c>
    </row>
    <row r="830">
      <c r="A830" s="1">
        <v>828.0</v>
      </c>
      <c r="B830" s="3">
        <v>44408.0</v>
      </c>
      <c r="C830" s="1" t="s">
        <v>456</v>
      </c>
      <c r="D830" s="1" t="s">
        <v>457</v>
      </c>
      <c r="F830" s="1">
        <v>3.59E8</v>
      </c>
      <c r="G830" s="1">
        <v>2.58E8</v>
      </c>
      <c r="H830" s="1">
        <v>1.398E9</v>
      </c>
      <c r="I830" s="1">
        <v>1.823E9</v>
      </c>
      <c r="J830" s="1">
        <v>4.25E8</v>
      </c>
      <c r="K830" s="1">
        <v>4.25E8</v>
      </c>
      <c r="L830" s="1">
        <v>-5.1E7</v>
      </c>
      <c r="M830" s="1">
        <v>1.01E8</v>
      </c>
      <c r="N830" s="1">
        <v>4.211E9</v>
      </c>
      <c r="O830" s="1">
        <v>3.786E9</v>
      </c>
      <c r="P830" s="1">
        <v>2.388E9</v>
      </c>
      <c r="Q830" s="1">
        <v>-6.6E7</v>
      </c>
      <c r="R830" s="1">
        <v>2.58E8</v>
      </c>
      <c r="S830" s="1">
        <v>2.58E8</v>
      </c>
      <c r="W830" s="4" t="str">
        <f>Raw_Data!C829&amp;"|"&amp;Raw_Data!D829&amp;"|"&amp;TEXT(Raw_Data!B829,"yyyy-mm-dd")</f>
        <v>Freeport-McMoRan|FCX|2020-09-30</v>
      </c>
    </row>
    <row r="831">
      <c r="A831" s="1">
        <v>829.0</v>
      </c>
      <c r="B831" s="3">
        <v>44317.0</v>
      </c>
      <c r="C831" s="1" t="s">
        <v>456</v>
      </c>
      <c r="D831" s="1" t="s">
        <v>457</v>
      </c>
      <c r="F831" s="1">
        <v>1.87E8</v>
      </c>
      <c r="G831" s="1">
        <v>1.66E8</v>
      </c>
      <c r="H831" s="1">
        <v>1.329E9</v>
      </c>
      <c r="I831" s="1">
        <v>1.63E9</v>
      </c>
      <c r="J831" s="1">
        <v>3.01E8</v>
      </c>
      <c r="K831" s="1">
        <v>3.01E8</v>
      </c>
      <c r="L831" s="1">
        <v>-5.4E7</v>
      </c>
      <c r="M831" s="1">
        <v>2.1E7</v>
      </c>
      <c r="N831" s="1">
        <v>3.991E9</v>
      </c>
      <c r="O831" s="1">
        <v>3.69E9</v>
      </c>
      <c r="P831" s="1">
        <v>2.361E9</v>
      </c>
      <c r="Q831" s="1">
        <v>-1.14E8</v>
      </c>
      <c r="R831" s="1">
        <v>1.66E8</v>
      </c>
      <c r="S831" s="1">
        <v>1.66E8</v>
      </c>
      <c r="W831" s="4" t="str">
        <f>Raw_Data!C830&amp;"|"&amp;Raw_Data!D830&amp;"|"&amp;TEXT(Raw_Data!B830,"yyyy-mm-dd")</f>
        <v>Gap|GPS|2021-07-31</v>
      </c>
    </row>
    <row r="832">
      <c r="A832" s="1">
        <v>830.0</v>
      </c>
      <c r="B832" s="3">
        <v>44226.0</v>
      </c>
      <c r="C832" s="1" t="s">
        <v>456</v>
      </c>
      <c r="D832" s="1" t="s">
        <v>457</v>
      </c>
      <c r="E832" s="1">
        <v>4.6E7</v>
      </c>
      <c r="F832" s="1">
        <v>7.7E7</v>
      </c>
      <c r="G832" s="1">
        <v>2.34E8</v>
      </c>
      <c r="H832" s="1">
        <v>2.913E9</v>
      </c>
      <c r="I832" s="1">
        <v>3.043E9</v>
      </c>
      <c r="J832" s="1">
        <v>8.4E7</v>
      </c>
      <c r="K832" s="1">
        <v>8.4E7</v>
      </c>
      <c r="L832" s="1">
        <v>-6.0E7</v>
      </c>
      <c r="M832" s="1">
        <v>-1.57E8</v>
      </c>
      <c r="N832" s="1">
        <v>4.424E9</v>
      </c>
      <c r="O832" s="1">
        <v>4.34E9</v>
      </c>
      <c r="P832" s="1">
        <v>1.381E9</v>
      </c>
      <c r="Q832" s="1">
        <v>-7000000.0</v>
      </c>
      <c r="R832" s="1">
        <v>2.34E8</v>
      </c>
      <c r="S832" s="1">
        <v>2.34E8</v>
      </c>
      <c r="W832" s="4" t="str">
        <f>Raw_Data!C831&amp;"|"&amp;Raw_Data!D831&amp;"|"&amp;TEXT(Raw_Data!B831,"yyyy-mm-dd")</f>
        <v>Gap|GPS|2021-05-01</v>
      </c>
    </row>
    <row r="833">
      <c r="A833" s="1">
        <v>831.0</v>
      </c>
      <c r="B833" s="3">
        <v>44135.0</v>
      </c>
      <c r="C833" s="1" t="s">
        <v>456</v>
      </c>
      <c r="D833" s="1" t="s">
        <v>457</v>
      </c>
      <c r="E833" s="1">
        <v>4.6E7</v>
      </c>
      <c r="F833" s="1">
        <v>1.21E8</v>
      </c>
      <c r="G833" s="1">
        <v>9.5E7</v>
      </c>
      <c r="H833" s="1">
        <v>1.449E9</v>
      </c>
      <c r="I833" s="1">
        <v>1.62E9</v>
      </c>
      <c r="J833" s="1">
        <v>1.71E8</v>
      </c>
      <c r="K833" s="1">
        <v>1.71E8</v>
      </c>
      <c r="L833" s="1">
        <v>-5.5E7</v>
      </c>
      <c r="M833" s="1">
        <v>2.6E7</v>
      </c>
      <c r="N833" s="1">
        <v>3.994E9</v>
      </c>
      <c r="O833" s="1">
        <v>3.823E9</v>
      </c>
      <c r="P833" s="1">
        <v>2.374E9</v>
      </c>
      <c r="Q833" s="1">
        <v>-5.0E7</v>
      </c>
      <c r="R833" s="1">
        <v>9.5E7</v>
      </c>
      <c r="S833" s="1">
        <v>9.5E7</v>
      </c>
      <c r="W833" s="4" t="str">
        <f>Raw_Data!C832&amp;"|"&amp;Raw_Data!D832&amp;"|"&amp;TEXT(Raw_Data!B832,"yyyy-mm-dd")</f>
        <v>Gap|GPS|2021-01-30</v>
      </c>
    </row>
    <row r="834">
      <c r="A834" s="1">
        <v>832.0</v>
      </c>
      <c r="B834" s="3">
        <v>44373.0</v>
      </c>
      <c r="C834" s="1" t="s">
        <v>458</v>
      </c>
      <c r="D834" s="1" t="s">
        <v>459</v>
      </c>
      <c r="E834" s="1">
        <v>2.00981E8</v>
      </c>
      <c r="F834" s="1">
        <v>3.72059E8</v>
      </c>
      <c r="G834" s="1">
        <v>3.16997E8</v>
      </c>
      <c r="H834" s="1">
        <v>2.08698E8</v>
      </c>
      <c r="I834" s="1">
        <v>7.80851E8</v>
      </c>
      <c r="J834" s="1">
        <v>3.71172E8</v>
      </c>
      <c r="K834" s="1">
        <v>3.71172E8</v>
      </c>
      <c r="M834" s="1">
        <v>5.5062E7</v>
      </c>
      <c r="N834" s="1">
        <v>1.326905E9</v>
      </c>
      <c r="O834" s="1">
        <v>9.55733E8</v>
      </c>
      <c r="P834" s="1">
        <v>5.46054E8</v>
      </c>
      <c r="Q834" s="1">
        <v>887000.0</v>
      </c>
      <c r="R834" s="1">
        <v>3.16997E8</v>
      </c>
      <c r="S834" s="1">
        <v>3.16997E8</v>
      </c>
      <c r="W834" s="4" t="str">
        <f>Raw_Data!C833&amp;"|"&amp;Raw_Data!D833&amp;"|"&amp;TEXT(Raw_Data!B833,"yyyy-mm-dd")</f>
        <v>Gap|GPS|2020-10-31</v>
      </c>
    </row>
    <row r="835">
      <c r="A835" s="1">
        <v>833.0</v>
      </c>
      <c r="B835" s="3">
        <v>44282.0</v>
      </c>
      <c r="C835" s="1" t="s">
        <v>458</v>
      </c>
      <c r="D835" s="1" t="s">
        <v>459</v>
      </c>
      <c r="E835" s="1">
        <v>2.03214E8</v>
      </c>
      <c r="F835" s="1">
        <v>2.50514E8</v>
      </c>
      <c r="G835" s="1">
        <v>2.20029E8</v>
      </c>
      <c r="H835" s="1">
        <v>1.88683E8</v>
      </c>
      <c r="I835" s="1">
        <v>6.41556E8</v>
      </c>
      <c r="J835" s="1">
        <v>2.49659E8</v>
      </c>
      <c r="K835" s="1">
        <v>2.49659E8</v>
      </c>
      <c r="M835" s="1">
        <v>3.0485E7</v>
      </c>
      <c r="N835" s="1">
        <v>1.072327E9</v>
      </c>
      <c r="O835" s="1">
        <v>8.22668E8</v>
      </c>
      <c r="P835" s="1">
        <v>4.30771E8</v>
      </c>
      <c r="Q835" s="1">
        <v>855000.0</v>
      </c>
      <c r="R835" s="1">
        <v>2.20029E8</v>
      </c>
      <c r="S835" s="1">
        <v>2.20029E8</v>
      </c>
      <c r="W835" s="4" t="str">
        <f>Raw_Data!C834&amp;"|"&amp;Raw_Data!D834&amp;"|"&amp;TEXT(Raw_Data!B834,"yyyy-mm-dd")</f>
        <v>Garmin|GRMN|2021-06-26</v>
      </c>
    </row>
    <row r="836">
      <c r="A836" s="1">
        <v>834.0</v>
      </c>
      <c r="B836" s="3">
        <v>44191.0</v>
      </c>
      <c r="C836" s="1" t="s">
        <v>458</v>
      </c>
      <c r="D836" s="1" t="s">
        <v>459</v>
      </c>
      <c r="E836" s="1">
        <v>1.99672E8</v>
      </c>
      <c r="F836" s="1">
        <v>3.91466E8</v>
      </c>
      <c r="G836" s="1">
        <v>3.33548E8</v>
      </c>
      <c r="H836" s="1">
        <v>2.20045E8</v>
      </c>
      <c r="I836" s="1">
        <v>7.90984E8</v>
      </c>
      <c r="J836" s="1">
        <v>3.71267E8</v>
      </c>
      <c r="K836" s="1">
        <v>3.71267E8</v>
      </c>
      <c r="M836" s="1">
        <v>5.7918E7</v>
      </c>
      <c r="N836" s="1">
        <v>1.351405E9</v>
      </c>
      <c r="O836" s="1">
        <v>9.80138E8</v>
      </c>
      <c r="P836" s="1">
        <v>5.60421E8</v>
      </c>
      <c r="Q836" s="1">
        <v>2.0199E7</v>
      </c>
      <c r="R836" s="1">
        <v>3.33548E8</v>
      </c>
      <c r="S836" s="1">
        <v>3.33548E8</v>
      </c>
      <c r="W836" s="4" t="str">
        <f>Raw_Data!C835&amp;"|"&amp;Raw_Data!D835&amp;"|"&amp;TEXT(Raw_Data!B835,"yyyy-mm-dd")</f>
        <v>Garmin|GRMN|2021-03-27</v>
      </c>
    </row>
    <row r="837">
      <c r="A837" s="1">
        <v>835.0</v>
      </c>
      <c r="B837" s="3">
        <v>44100.0</v>
      </c>
      <c r="C837" s="1" t="s">
        <v>458</v>
      </c>
      <c r="D837" s="1" t="s">
        <v>459</v>
      </c>
      <c r="E837" s="1">
        <v>1.74882E8</v>
      </c>
      <c r="F837" s="1">
        <v>3.36717E8</v>
      </c>
      <c r="G837" s="1">
        <v>3.13417E8</v>
      </c>
      <c r="H837" s="1">
        <v>1.76E8</v>
      </c>
      <c r="I837" s="1">
        <v>6.67983E8</v>
      </c>
      <c r="J837" s="1">
        <v>3.17101E8</v>
      </c>
      <c r="K837" s="1">
        <v>3.17101E8</v>
      </c>
      <c r="M837" s="1">
        <v>2.33E7</v>
      </c>
      <c r="N837" s="1">
        <v>1.109194E9</v>
      </c>
      <c r="O837" s="1">
        <v>7.92093E8</v>
      </c>
      <c r="P837" s="1">
        <v>4.41211E8</v>
      </c>
      <c r="Q837" s="1">
        <v>1.9616E7</v>
      </c>
      <c r="R837" s="1">
        <v>3.13417E8</v>
      </c>
      <c r="S837" s="1">
        <v>3.13417E8</v>
      </c>
      <c r="W837" s="4" t="str">
        <f>Raw_Data!C836&amp;"|"&amp;Raw_Data!D836&amp;"|"&amp;TEXT(Raw_Data!B836,"yyyy-mm-dd")</f>
        <v>Garmin|GRMN|2020-12-26</v>
      </c>
    </row>
    <row r="838">
      <c r="A838" s="1">
        <v>836.0</v>
      </c>
      <c r="B838" s="3">
        <v>44377.0</v>
      </c>
      <c r="C838" s="1" t="s">
        <v>460</v>
      </c>
      <c r="D838" s="1" t="s">
        <v>461</v>
      </c>
      <c r="F838" s="1">
        <v>3.79187E8</v>
      </c>
      <c r="G838" s="1">
        <v>2.71236E8</v>
      </c>
      <c r="H838" s="1">
        <v>4.88496E8</v>
      </c>
      <c r="I838" s="1">
        <v>8.16517E8</v>
      </c>
      <c r="J838" s="1">
        <v>2.76016E8</v>
      </c>
      <c r="K838" s="1">
        <v>2.76016E8</v>
      </c>
      <c r="L838" s="1">
        <v>-3.139E7</v>
      </c>
      <c r="M838" s="1">
        <v>1.07951E8</v>
      </c>
      <c r="N838" s="1">
        <v>1.167319E9</v>
      </c>
      <c r="O838" s="1">
        <v>8.91303E8</v>
      </c>
      <c r="P838" s="1">
        <v>3.50802E8</v>
      </c>
      <c r="Q838" s="1">
        <v>1.03171E8</v>
      </c>
      <c r="R838" s="1">
        <v>2.71236E8</v>
      </c>
      <c r="S838" s="1">
        <v>2.71236E8</v>
      </c>
      <c r="W838" s="4" t="str">
        <f>Raw_Data!C837&amp;"|"&amp;Raw_Data!D837&amp;"|"&amp;TEXT(Raw_Data!B837,"yyyy-mm-dd")</f>
        <v>Garmin|GRMN|2020-09-26</v>
      </c>
    </row>
    <row r="839">
      <c r="A839" s="1">
        <v>837.0</v>
      </c>
      <c r="B839" s="3">
        <v>44286.0</v>
      </c>
      <c r="C839" s="1" t="s">
        <v>460</v>
      </c>
      <c r="D839" s="1" t="s">
        <v>461</v>
      </c>
      <c r="F839" s="1">
        <v>2.14753E8</v>
      </c>
      <c r="G839" s="1">
        <v>1.641E8</v>
      </c>
      <c r="H839" s="1">
        <v>4.80755E8</v>
      </c>
      <c r="I839" s="1">
        <v>7.69571E8</v>
      </c>
      <c r="J839" s="1">
        <v>2.32552E8</v>
      </c>
      <c r="K839" s="1">
        <v>2.32552E8</v>
      </c>
      <c r="L839" s="1">
        <v>-1.0349E7</v>
      </c>
      <c r="M839" s="1">
        <v>5.0653E7</v>
      </c>
      <c r="N839" s="1">
        <v>1.104038E9</v>
      </c>
      <c r="O839" s="1">
        <v>8.71486E8</v>
      </c>
      <c r="P839" s="1">
        <v>3.34467E8</v>
      </c>
      <c r="Q839" s="1">
        <v>-1.7799E7</v>
      </c>
      <c r="R839" s="1">
        <v>1.641E8</v>
      </c>
      <c r="S839" s="1">
        <v>1.641E8</v>
      </c>
      <c r="W839" s="4" t="str">
        <f>Raw_Data!C838&amp;"|"&amp;Raw_Data!D838&amp;"|"&amp;TEXT(Raw_Data!B838,"yyyy-mm-dd")</f>
        <v>Gartner|IT|2021-06-30</v>
      </c>
    </row>
    <row r="840">
      <c r="A840" s="1">
        <v>838.0</v>
      </c>
      <c r="B840" s="3">
        <v>44196.0</v>
      </c>
      <c r="C840" s="1" t="s">
        <v>460</v>
      </c>
      <c r="D840" s="1" t="s">
        <v>461</v>
      </c>
      <c r="F840" s="1">
        <v>1.56155E8</v>
      </c>
      <c r="G840" s="1">
        <v>1.19607E8</v>
      </c>
      <c r="H840" s="1">
        <v>5.23375E8</v>
      </c>
      <c r="I840" s="1">
        <v>7.61331E8</v>
      </c>
      <c r="J840" s="1">
        <v>1.81575E8</v>
      </c>
      <c r="K840" s="1">
        <v>1.81575E8</v>
      </c>
      <c r="L840" s="1">
        <v>-1.8154E7</v>
      </c>
      <c r="M840" s="1">
        <v>3.6548E7</v>
      </c>
      <c r="N840" s="1">
        <v>1.112759E9</v>
      </c>
      <c r="O840" s="1">
        <v>9.31184E8</v>
      </c>
      <c r="P840" s="1">
        <v>3.51428E8</v>
      </c>
      <c r="Q840" s="1">
        <v>-2.542E7</v>
      </c>
      <c r="R840" s="1">
        <v>1.19607E8</v>
      </c>
      <c r="S840" s="1">
        <v>1.19607E8</v>
      </c>
      <c r="W840" s="4" t="str">
        <f>Raw_Data!C839&amp;"|"&amp;Raw_Data!D839&amp;"|"&amp;TEXT(Raw_Data!B839,"yyyy-mm-dd")</f>
        <v>Gartner|IT|2021-03-31</v>
      </c>
    </row>
    <row r="841">
      <c r="A841" s="1">
        <v>839.0</v>
      </c>
      <c r="B841" s="3">
        <v>44104.0</v>
      </c>
      <c r="C841" s="1" t="s">
        <v>460</v>
      </c>
      <c r="D841" s="1" t="s">
        <v>461</v>
      </c>
      <c r="F841" s="1">
        <v>1.4167E7</v>
      </c>
      <c r="G841" s="1">
        <v>1.6964E7</v>
      </c>
      <c r="H841" s="1">
        <v>5.22708E8</v>
      </c>
      <c r="I841" s="1">
        <v>6.64851E8</v>
      </c>
      <c r="J841" s="1">
        <v>8.8172E7</v>
      </c>
      <c r="K841" s="1">
        <v>8.8172E7</v>
      </c>
      <c r="L841" s="1">
        <v>-3.0538E7</v>
      </c>
      <c r="M841" s="1">
        <v>-2797000.0</v>
      </c>
      <c r="N841" s="1">
        <v>9.94618E8</v>
      </c>
      <c r="O841" s="1">
        <v>9.06446E8</v>
      </c>
      <c r="P841" s="1">
        <v>3.29767E8</v>
      </c>
      <c r="Q841" s="1">
        <v>-7.4005E7</v>
      </c>
      <c r="R841" s="1">
        <v>1.6964E7</v>
      </c>
      <c r="S841" s="1">
        <v>1.6964E7</v>
      </c>
      <c r="W841" s="4" t="str">
        <f>Raw_Data!C840&amp;"|"&amp;Raw_Data!D840&amp;"|"&amp;TEXT(Raw_Data!B840,"yyyy-mm-dd")</f>
        <v>Gartner|IT|2020-12-31</v>
      </c>
    </row>
    <row r="842">
      <c r="A842" s="1">
        <v>840.0</v>
      </c>
      <c r="B842" s="3">
        <v>44286.0</v>
      </c>
      <c r="C842" s="1" t="s">
        <v>462</v>
      </c>
      <c r="D842" s="1" t="s">
        <v>463</v>
      </c>
      <c r="E842" s="1">
        <v>2.2388E7</v>
      </c>
      <c r="F842" s="1">
        <v>1.85313E8</v>
      </c>
      <c r="G842" s="1">
        <v>1.48993E8</v>
      </c>
      <c r="H842" s="1">
        <v>1.01323E8</v>
      </c>
      <c r="I842" s="1">
        <v>3.21814E8</v>
      </c>
      <c r="J842" s="1">
        <v>1.89124E8</v>
      </c>
      <c r="K842" s="1">
        <v>1.89124E8</v>
      </c>
      <c r="L842" s="1">
        <v>-7723000.0</v>
      </c>
      <c r="M842" s="1">
        <v>3.5368E7</v>
      </c>
      <c r="N842" s="1">
        <v>8.07434E8</v>
      </c>
      <c r="O842" s="1">
        <v>6.1831E8</v>
      </c>
      <c r="P842" s="1">
        <v>4.8562E8</v>
      </c>
      <c r="Q842" s="1">
        <v>-3811000.0</v>
      </c>
      <c r="R842" s="1">
        <v>1.49945E8</v>
      </c>
      <c r="S842" s="1">
        <v>1.49116E8</v>
      </c>
      <c r="W842" s="4" t="str">
        <f>Raw_Data!C841&amp;"|"&amp;Raw_Data!D841&amp;"|"&amp;TEXT(Raw_Data!B841,"yyyy-mm-dd")</f>
        <v>Gartner|IT|2020-09-30</v>
      </c>
    </row>
    <row r="843">
      <c r="A843" s="1">
        <v>841.0</v>
      </c>
      <c r="B843" s="3">
        <v>44196.0</v>
      </c>
      <c r="C843" s="1" t="s">
        <v>462</v>
      </c>
      <c r="D843" s="1" t="s">
        <v>463</v>
      </c>
      <c r="E843" s="1">
        <v>2.1489E7</v>
      </c>
      <c r="F843" s="1">
        <v>1.63986E8</v>
      </c>
      <c r="G843" s="1">
        <v>1.25001E8</v>
      </c>
      <c r="H843" s="1">
        <v>9.8719E7</v>
      </c>
      <c r="I843" s="1">
        <v>2.99902E8</v>
      </c>
      <c r="J843" s="1">
        <v>1.70754E8</v>
      </c>
      <c r="K843" s="1">
        <v>1.70754E8</v>
      </c>
      <c r="L843" s="1">
        <v>-7910000.0</v>
      </c>
      <c r="M843" s="1">
        <v>3.9006E7</v>
      </c>
      <c r="N843" s="1">
        <v>7.61082E8</v>
      </c>
      <c r="O843" s="1">
        <v>5.90328E8</v>
      </c>
      <c r="P843" s="1">
        <v>4.6118E8</v>
      </c>
      <c r="Q843" s="1">
        <v>-6768000.0</v>
      </c>
      <c r="R843" s="1">
        <v>1.2498E8</v>
      </c>
      <c r="S843" s="1">
        <v>1.26035E8</v>
      </c>
      <c r="W843" s="4" t="str">
        <f>Raw_Data!C842&amp;"|"&amp;Raw_Data!D842&amp;"|"&amp;TEXT(Raw_Data!B842,"yyyy-mm-dd")</f>
        <v>Generac Holdings|GNRC|2021-03-31</v>
      </c>
    </row>
    <row r="844">
      <c r="A844" s="1">
        <v>842.0</v>
      </c>
      <c r="B844" s="3">
        <v>44104.0</v>
      </c>
      <c r="C844" s="1" t="s">
        <v>462</v>
      </c>
      <c r="D844" s="1" t="s">
        <v>463</v>
      </c>
      <c r="E844" s="1">
        <v>2.0658E7</v>
      </c>
      <c r="F844" s="1">
        <v>1.47285E8</v>
      </c>
      <c r="G844" s="1">
        <v>1.1497E8</v>
      </c>
      <c r="H844" s="1">
        <v>9.1962E7</v>
      </c>
      <c r="I844" s="1">
        <v>2.76149E8</v>
      </c>
      <c r="J844" s="1">
        <v>1.55637E8</v>
      </c>
      <c r="K844" s="1">
        <v>1.55637E8</v>
      </c>
      <c r="L844" s="1">
        <v>-8096000.0</v>
      </c>
      <c r="M844" s="1">
        <v>3.205E7</v>
      </c>
      <c r="N844" s="1">
        <v>7.01355E8</v>
      </c>
      <c r="O844" s="1">
        <v>5.45718E8</v>
      </c>
      <c r="P844" s="1">
        <v>4.25206E8</v>
      </c>
      <c r="Q844" s="1">
        <v>-8352000.0</v>
      </c>
      <c r="R844" s="1">
        <v>1.15235E8</v>
      </c>
      <c r="S844" s="1">
        <v>1.15781E8</v>
      </c>
      <c r="W844" s="4" t="str">
        <f>Raw_Data!C843&amp;"|"&amp;Raw_Data!D843&amp;"|"&amp;TEXT(Raw_Data!B843,"yyyy-mm-dd")</f>
        <v>Generac Holdings|GNRC|2020-12-31</v>
      </c>
    </row>
    <row r="845">
      <c r="A845" s="1">
        <v>843.0</v>
      </c>
      <c r="B845" s="3">
        <v>44012.0</v>
      </c>
      <c r="C845" s="1" t="s">
        <v>462</v>
      </c>
      <c r="D845" s="1" t="s">
        <v>463</v>
      </c>
      <c r="E845" s="1">
        <v>1.9455E7</v>
      </c>
      <c r="F845" s="1">
        <v>8.2065E7</v>
      </c>
      <c r="G845" s="1">
        <v>6.6145E7</v>
      </c>
      <c r="H845" s="1">
        <v>9.2308E7</v>
      </c>
      <c r="I845" s="1">
        <v>2.15301E8</v>
      </c>
      <c r="J845" s="1">
        <v>9.5871E7</v>
      </c>
      <c r="K845" s="1">
        <v>9.5871E7</v>
      </c>
      <c r="L845" s="1">
        <v>-7932000.0</v>
      </c>
      <c r="M845" s="1">
        <v>1.8473E7</v>
      </c>
      <c r="N845" s="1">
        <v>5.46848E8</v>
      </c>
      <c r="O845" s="1">
        <v>4.50977E8</v>
      </c>
      <c r="P845" s="1">
        <v>3.31547E8</v>
      </c>
      <c r="Q845" s="1">
        <v>-1.3806E7</v>
      </c>
      <c r="R845" s="1">
        <v>6.3592E7</v>
      </c>
      <c r="S845" s="1">
        <v>6.4575E7</v>
      </c>
      <c r="W845" s="4" t="str">
        <f>Raw_Data!C844&amp;"|"&amp;Raw_Data!D844&amp;"|"&amp;TEXT(Raw_Data!B844,"yyyy-mm-dd")</f>
        <v>Generac Holdings|GNRC|2020-09-30</v>
      </c>
    </row>
    <row r="846">
      <c r="A846" s="1">
        <v>844.0</v>
      </c>
      <c r="B846" s="3">
        <v>44381.0</v>
      </c>
      <c r="C846" s="1" t="s">
        <v>464</v>
      </c>
      <c r="D846" s="1" t="s">
        <v>465</v>
      </c>
      <c r="F846" s="1">
        <v>8.81E8</v>
      </c>
      <c r="G846" s="1">
        <v>7.37E8</v>
      </c>
      <c r="H846" s="1">
        <v>4.75E8</v>
      </c>
      <c r="I846" s="1">
        <v>1.515E9</v>
      </c>
      <c r="J846" s="1">
        <v>1.04E9</v>
      </c>
      <c r="K846" s="1">
        <v>1.04E9</v>
      </c>
      <c r="L846" s="1">
        <v>-1.09E8</v>
      </c>
      <c r="M846" s="1">
        <v>1.44E8</v>
      </c>
      <c r="N846" s="1">
        <v>9.22E9</v>
      </c>
      <c r="O846" s="1">
        <v>8.18E9</v>
      </c>
      <c r="P846" s="1">
        <v>7.705E9</v>
      </c>
      <c r="Q846" s="1">
        <v>-1.59E8</v>
      </c>
      <c r="R846" s="1">
        <v>7.37E8</v>
      </c>
      <c r="S846" s="1">
        <v>7.37E8</v>
      </c>
      <c r="W846" s="4" t="str">
        <f>Raw_Data!C845&amp;"|"&amp;Raw_Data!D845&amp;"|"&amp;TEXT(Raw_Data!B845,"yyyy-mm-dd")</f>
        <v>Generac Holdings|GNRC|2020-06-30</v>
      </c>
    </row>
    <row r="847">
      <c r="A847" s="1">
        <v>845.0</v>
      </c>
      <c r="B847" s="3">
        <v>44290.0</v>
      </c>
      <c r="C847" s="1" t="s">
        <v>464</v>
      </c>
      <c r="D847" s="1" t="s">
        <v>465</v>
      </c>
      <c r="F847" s="1">
        <v>8.45E8</v>
      </c>
      <c r="G847" s="1">
        <v>7.08E8</v>
      </c>
      <c r="H847" s="1">
        <v>5.02E8</v>
      </c>
      <c r="I847" s="1">
        <v>1.497E9</v>
      </c>
      <c r="J847" s="1">
        <v>9.95E8</v>
      </c>
      <c r="K847" s="1">
        <v>9.95E8</v>
      </c>
      <c r="L847" s="1">
        <v>-1.23E8</v>
      </c>
      <c r="M847" s="1">
        <v>1.37E8</v>
      </c>
      <c r="N847" s="1">
        <v>9.389E9</v>
      </c>
      <c r="O847" s="1">
        <v>8.394E9</v>
      </c>
      <c r="P847" s="1">
        <v>7.892E9</v>
      </c>
      <c r="Q847" s="1">
        <v>-1.5E8</v>
      </c>
      <c r="R847" s="1">
        <v>7.08E8</v>
      </c>
      <c r="S847" s="1">
        <v>7.08E8</v>
      </c>
      <c r="W847" s="4" t="str">
        <f>Raw_Data!C846&amp;"|"&amp;Raw_Data!D846&amp;"|"&amp;TEXT(Raw_Data!B846,"yyyy-mm-dd")</f>
        <v>General Dynamics|GD|2021-07-04</v>
      </c>
    </row>
    <row r="848">
      <c r="A848" s="1">
        <v>846.0</v>
      </c>
      <c r="B848" s="3">
        <v>44196.0</v>
      </c>
      <c r="C848" s="1" t="s">
        <v>464</v>
      </c>
      <c r="D848" s="1" t="s">
        <v>465</v>
      </c>
      <c r="F848" s="1">
        <v>1.185E9</v>
      </c>
      <c r="G848" s="1">
        <v>1.002E9</v>
      </c>
      <c r="H848" s="1">
        <v>6.14E8</v>
      </c>
      <c r="I848" s="1">
        <v>1.85E9</v>
      </c>
      <c r="J848" s="1">
        <v>1.236E9</v>
      </c>
      <c r="K848" s="1">
        <v>1.236E9</v>
      </c>
      <c r="L848" s="1">
        <v>-1.32E8</v>
      </c>
      <c r="M848" s="1">
        <v>1.83E8</v>
      </c>
      <c r="N848" s="1">
        <v>1.0481E10</v>
      </c>
      <c r="O848" s="1">
        <v>9.245E9</v>
      </c>
      <c r="P848" s="1">
        <v>8.631E9</v>
      </c>
      <c r="Q848" s="1">
        <v>-5.1E7</v>
      </c>
      <c r="R848" s="1">
        <v>1.002E9</v>
      </c>
      <c r="S848" s="1">
        <v>1.002E9</v>
      </c>
      <c r="W848" s="4" t="str">
        <f>Raw_Data!C847&amp;"|"&amp;Raw_Data!D847&amp;"|"&amp;TEXT(Raw_Data!B847,"yyyy-mm-dd")</f>
        <v>General Dynamics|GD|2021-04-04</v>
      </c>
    </row>
    <row r="849">
      <c r="A849" s="1">
        <v>847.0</v>
      </c>
      <c r="B849" s="3">
        <v>44101.0</v>
      </c>
      <c r="C849" s="1" t="s">
        <v>464</v>
      </c>
      <c r="D849" s="1" t="s">
        <v>465</v>
      </c>
      <c r="F849" s="1">
        <v>9.78E8</v>
      </c>
      <c r="G849" s="1">
        <v>8.34E8</v>
      </c>
      <c r="H849" s="1">
        <v>4.8E8</v>
      </c>
      <c r="I849" s="1">
        <v>1.595E9</v>
      </c>
      <c r="J849" s="1">
        <v>1.115E9</v>
      </c>
      <c r="K849" s="1">
        <v>1.115E9</v>
      </c>
      <c r="L849" s="1">
        <v>-1.18E8</v>
      </c>
      <c r="M849" s="1">
        <v>1.44E8</v>
      </c>
      <c r="N849" s="1">
        <v>9.431E9</v>
      </c>
      <c r="O849" s="1">
        <v>8.316E9</v>
      </c>
      <c r="P849" s="1">
        <v>7.836E9</v>
      </c>
      <c r="Q849" s="1">
        <v>-1.37E8</v>
      </c>
      <c r="R849" s="1">
        <v>8.34E8</v>
      </c>
      <c r="S849" s="1">
        <v>8.34E8</v>
      </c>
      <c r="W849" s="4" t="str">
        <f>Raw_Data!C848&amp;"|"&amp;Raw_Data!D848&amp;"|"&amp;TEXT(Raw_Data!B848,"yyyy-mm-dd")</f>
        <v>General Dynamics|GD|2020-12-31</v>
      </c>
    </row>
    <row r="850">
      <c r="A850" s="1">
        <v>848.0</v>
      </c>
      <c r="B850" s="3">
        <v>44377.0</v>
      </c>
      <c r="C850" s="1" t="s">
        <v>466</v>
      </c>
      <c r="D850" s="1" t="s">
        <v>467</v>
      </c>
      <c r="E850" s="1">
        <v>6.04E8</v>
      </c>
      <c r="F850" s="1">
        <v>-1.036E9</v>
      </c>
      <c r="G850" s="1">
        <v>-1.131E9</v>
      </c>
      <c r="H850" s="1">
        <v>2.648E9</v>
      </c>
      <c r="I850" s="1">
        <v>3.239E9</v>
      </c>
      <c r="J850" s="1">
        <v>-1.3E7</v>
      </c>
      <c r="K850" s="1">
        <v>-1.3E7</v>
      </c>
      <c r="L850" s="1">
        <v>-2.61E8</v>
      </c>
      <c r="M850" s="1">
        <v>-4.66E8</v>
      </c>
      <c r="N850" s="1">
        <v>1.8279E10</v>
      </c>
      <c r="O850" s="1">
        <v>1.8292E10</v>
      </c>
      <c r="P850" s="1">
        <v>1.504E10</v>
      </c>
      <c r="Q850" s="1">
        <v>-1.023E9</v>
      </c>
      <c r="R850" s="1">
        <v>-5.7E8</v>
      </c>
      <c r="S850" s="1">
        <v>-1.19E9</v>
      </c>
      <c r="W850" s="4" t="str">
        <f>Raw_Data!C849&amp;"|"&amp;Raw_Data!D849&amp;"|"&amp;TEXT(Raw_Data!B849,"yyyy-mm-dd")</f>
        <v>General Dynamics|GD|2020-09-27</v>
      </c>
    </row>
    <row r="851">
      <c r="A851" s="1">
        <v>849.0</v>
      </c>
      <c r="B851" s="3">
        <v>44286.0</v>
      </c>
      <c r="C851" s="1" t="s">
        <v>466</v>
      </c>
      <c r="D851" s="1" t="s">
        <v>467</v>
      </c>
      <c r="E851" s="1">
        <v>5.61E8</v>
      </c>
      <c r="F851" s="1">
        <v>2.36E8</v>
      </c>
      <c r="G851" s="1">
        <v>-2.803E9</v>
      </c>
      <c r="H851" s="1">
        <v>2.659E9</v>
      </c>
      <c r="I851" s="1">
        <v>3.722E9</v>
      </c>
      <c r="J851" s="1">
        <v>5.02E8</v>
      </c>
      <c r="K851" s="1">
        <v>5.02E8</v>
      </c>
      <c r="L851" s="1">
        <v>-2.67E8</v>
      </c>
      <c r="M851" s="1">
        <v>1.41E8</v>
      </c>
      <c r="N851" s="1">
        <v>1.7118E10</v>
      </c>
      <c r="O851" s="1">
        <v>1.6616E10</v>
      </c>
      <c r="P851" s="1">
        <v>1.3396E10</v>
      </c>
      <c r="Q851" s="1">
        <v>-2.66E8</v>
      </c>
      <c r="R851" s="1">
        <v>9.5E7</v>
      </c>
      <c r="S851" s="1">
        <v>-2.873E9</v>
      </c>
      <c r="W851" s="4" t="str">
        <f>Raw_Data!C850&amp;"|"&amp;Raw_Data!D850&amp;"|"&amp;TEXT(Raw_Data!B850,"yyyy-mm-dd")</f>
        <v>General Electric|GE|2021-06-30</v>
      </c>
    </row>
    <row r="852">
      <c r="A852" s="1">
        <v>850.0</v>
      </c>
      <c r="B852" s="3">
        <v>44196.0</v>
      </c>
      <c r="C852" s="1" t="s">
        <v>466</v>
      </c>
      <c r="D852" s="1" t="s">
        <v>467</v>
      </c>
      <c r="E852" s="1">
        <v>2.565E9</v>
      </c>
      <c r="F852" s="1">
        <v>2.721E9</v>
      </c>
      <c r="G852" s="1">
        <v>2.636E9</v>
      </c>
      <c r="H852" s="1">
        <v>2.571E9</v>
      </c>
      <c r="I852" s="1">
        <v>6.37E9</v>
      </c>
      <c r="J852" s="1">
        <v>1.234E9</v>
      </c>
      <c r="K852" s="1">
        <v>1.234E9</v>
      </c>
      <c r="L852" s="1">
        <v>-2.54E8</v>
      </c>
      <c r="M852" s="1">
        <v>1.63E8</v>
      </c>
      <c r="N852" s="1">
        <v>2.1929E10</v>
      </c>
      <c r="O852" s="1">
        <v>2.0695E10</v>
      </c>
      <c r="P852" s="1">
        <v>1.5559E10</v>
      </c>
      <c r="Q852" s="1">
        <v>1.487E9</v>
      </c>
      <c r="R852" s="1">
        <v>2.558E9</v>
      </c>
      <c r="S852" s="1">
        <v>2.419E9</v>
      </c>
      <c r="W852" s="4" t="str">
        <f>Raw_Data!C851&amp;"|"&amp;Raw_Data!D851&amp;"|"&amp;TEXT(Raw_Data!B851,"yyyy-mm-dd")</f>
        <v>General Electric|GE|2021-03-31</v>
      </c>
    </row>
    <row r="853">
      <c r="A853" s="1">
        <v>851.0</v>
      </c>
      <c r="B853" s="3">
        <v>44104.0</v>
      </c>
      <c r="C853" s="1" t="s">
        <v>466</v>
      </c>
      <c r="D853" s="1" t="s">
        <v>467</v>
      </c>
      <c r="E853" s="1">
        <v>2.565E9</v>
      </c>
      <c r="F853" s="1">
        <v>-1.661E9</v>
      </c>
      <c r="G853" s="1">
        <v>-1.144E9</v>
      </c>
      <c r="H853" s="1">
        <v>2.918E9</v>
      </c>
      <c r="I853" s="1">
        <v>2.963E9</v>
      </c>
      <c r="J853" s="1">
        <v>4.5E7</v>
      </c>
      <c r="K853" s="1">
        <v>4.5E7</v>
      </c>
      <c r="L853" s="1">
        <v>-3.13E8</v>
      </c>
      <c r="M853" s="1">
        <v>-5.01E8</v>
      </c>
      <c r="N853" s="1">
        <v>1.9417E10</v>
      </c>
      <c r="O853" s="1">
        <v>1.9372E10</v>
      </c>
      <c r="P853" s="1">
        <v>1.6454E10</v>
      </c>
      <c r="Q853" s="1">
        <v>-1.706E9</v>
      </c>
      <c r="R853" s="1">
        <v>-1.16E9</v>
      </c>
      <c r="S853" s="1">
        <v>-1.196E9</v>
      </c>
      <c r="W853" s="4" t="str">
        <f>Raw_Data!C852&amp;"|"&amp;Raw_Data!D852&amp;"|"&amp;TEXT(Raw_Data!B852,"yyyy-mm-dd")</f>
        <v>General Electric|GE|2020-12-31</v>
      </c>
    </row>
    <row r="854">
      <c r="A854" s="1">
        <v>852.0</v>
      </c>
      <c r="B854" s="3">
        <v>44346.0</v>
      </c>
      <c r="C854" s="1" t="s">
        <v>468</v>
      </c>
      <c r="D854" s="1" t="s">
        <v>469</v>
      </c>
      <c r="F854" s="1">
        <v>5.068E8</v>
      </c>
      <c r="G854" s="1">
        <v>4.168E8</v>
      </c>
      <c r="H854" s="1">
        <v>7.897E8</v>
      </c>
      <c r="I854" s="1">
        <v>1.5835E9</v>
      </c>
      <c r="J854" s="1">
        <v>7.938E8</v>
      </c>
      <c r="K854" s="1">
        <v>7.938E8</v>
      </c>
      <c r="L854" s="1">
        <v>-1.1E8</v>
      </c>
      <c r="M854" s="1">
        <v>1.069E8</v>
      </c>
      <c r="N854" s="1">
        <v>4.5236E9</v>
      </c>
      <c r="O854" s="1">
        <v>3.7298E9</v>
      </c>
      <c r="P854" s="1">
        <v>2.9401E9</v>
      </c>
      <c r="Q854" s="1">
        <v>-2.87E8</v>
      </c>
      <c r="R854" s="1">
        <v>3.999E8</v>
      </c>
      <c r="S854" s="1">
        <v>4.168E8</v>
      </c>
      <c r="W854" s="4" t="str">
        <f>Raw_Data!C853&amp;"|"&amp;Raw_Data!D853&amp;"|"&amp;TEXT(Raw_Data!B853,"yyyy-mm-dd")</f>
        <v>General Electric|GE|2020-09-30</v>
      </c>
    </row>
    <row r="855">
      <c r="A855" s="1">
        <v>853.0</v>
      </c>
      <c r="B855" s="3">
        <v>44255.0</v>
      </c>
      <c r="C855" s="1" t="s">
        <v>468</v>
      </c>
      <c r="D855" s="1" t="s">
        <v>469</v>
      </c>
      <c r="F855" s="1">
        <v>7.658E8</v>
      </c>
      <c r="G855" s="1">
        <v>5.957E8</v>
      </c>
      <c r="H855" s="1">
        <v>6.829E8</v>
      </c>
      <c r="I855" s="1">
        <v>1.5546E9</v>
      </c>
      <c r="J855" s="1">
        <v>8.717E8</v>
      </c>
      <c r="K855" s="1">
        <v>8.717E8</v>
      </c>
      <c r="L855" s="1">
        <v>-1.06E8</v>
      </c>
      <c r="M855" s="1">
        <v>1.62E8</v>
      </c>
      <c r="N855" s="1">
        <v>4.52E9</v>
      </c>
      <c r="O855" s="1">
        <v>3.6483E9</v>
      </c>
      <c r="P855" s="1">
        <v>2.9654E9</v>
      </c>
      <c r="Q855" s="1">
        <v>-1.059E8</v>
      </c>
      <c r="R855" s="1">
        <v>6.038E8</v>
      </c>
      <c r="S855" s="1">
        <v>5.957E8</v>
      </c>
      <c r="W855" s="4" t="str">
        <f>Raw_Data!C854&amp;"|"&amp;Raw_Data!D854&amp;"|"&amp;TEXT(Raw_Data!B854,"yyyy-mm-dd")</f>
        <v>General Mills|GIS|2021-05-30</v>
      </c>
    </row>
    <row r="856">
      <c r="A856" s="1">
        <v>854.0</v>
      </c>
      <c r="B856" s="3">
        <v>44164.0</v>
      </c>
      <c r="C856" s="1" t="s">
        <v>468</v>
      </c>
      <c r="D856" s="1" t="s">
        <v>469</v>
      </c>
      <c r="F856" s="1">
        <v>8.853E8</v>
      </c>
      <c r="G856" s="1">
        <v>6.884E8</v>
      </c>
      <c r="H856" s="1">
        <v>7.712E8</v>
      </c>
      <c r="I856" s="1">
        <v>1.7216E9</v>
      </c>
      <c r="J856" s="1">
        <v>9.504E8</v>
      </c>
      <c r="K856" s="1">
        <v>9.504E8</v>
      </c>
      <c r="L856" s="1">
        <v>-1.006E8</v>
      </c>
      <c r="M856" s="1">
        <v>1.894E8</v>
      </c>
      <c r="N856" s="1">
        <v>4.7194E9</v>
      </c>
      <c r="O856" s="1">
        <v>3.769E9</v>
      </c>
      <c r="P856" s="1">
        <v>2.9978E9</v>
      </c>
      <c r="Q856" s="1">
        <v>-6.51E7</v>
      </c>
      <c r="R856" s="1">
        <v>6.959E8</v>
      </c>
      <c r="S856" s="1">
        <v>6.884E8</v>
      </c>
      <c r="W856" s="4" t="str">
        <f>Raw_Data!C855&amp;"|"&amp;Raw_Data!D855&amp;"|"&amp;TEXT(Raw_Data!B855,"yyyy-mm-dd")</f>
        <v>General Mills|GIS|2021-02-28</v>
      </c>
    </row>
    <row r="857">
      <c r="A857" s="1">
        <v>855.0</v>
      </c>
      <c r="B857" s="3">
        <v>44073.0</v>
      </c>
      <c r="C857" s="1" t="s">
        <v>468</v>
      </c>
      <c r="D857" s="1" t="s">
        <v>469</v>
      </c>
      <c r="F857" s="1">
        <v>8.172E8</v>
      </c>
      <c r="G857" s="1">
        <v>6.389E8</v>
      </c>
      <c r="H857" s="1">
        <v>7.029E8</v>
      </c>
      <c r="I857" s="1">
        <v>1.5909E9</v>
      </c>
      <c r="J857" s="1">
        <v>8.88E8</v>
      </c>
      <c r="K857" s="1">
        <v>8.88E8</v>
      </c>
      <c r="L857" s="1">
        <v>-1.111E8</v>
      </c>
      <c r="M857" s="1">
        <v>1.708E8</v>
      </c>
      <c r="N857" s="1">
        <v>4.364E9</v>
      </c>
      <c r="O857" s="1">
        <v>3.476E9</v>
      </c>
      <c r="P857" s="1">
        <v>2.7731E9</v>
      </c>
      <c r="Q857" s="1">
        <v>-7.08E7</v>
      </c>
      <c r="R857" s="1">
        <v>6.464E8</v>
      </c>
      <c r="S857" s="1">
        <v>6.389E8</v>
      </c>
      <c r="W857" s="4" t="str">
        <f>Raw_Data!C856&amp;"|"&amp;Raw_Data!D856&amp;"|"&amp;TEXT(Raw_Data!B856,"yyyy-mm-dd")</f>
        <v>General Mills|GIS|2020-11-29</v>
      </c>
    </row>
    <row r="858">
      <c r="A858" s="1">
        <v>856.0</v>
      </c>
      <c r="B858" s="3">
        <v>44377.0</v>
      </c>
      <c r="C858" s="1" t="s">
        <v>470</v>
      </c>
      <c r="D858" s="1" t="s">
        <v>471</v>
      </c>
      <c r="F858" s="1">
        <v>3.75E9</v>
      </c>
      <c r="G858" s="1">
        <v>2.836E9</v>
      </c>
      <c r="H858" s="1">
        <v>1.533E9</v>
      </c>
      <c r="I858" s="1">
        <v>5.057E9</v>
      </c>
      <c r="J858" s="1">
        <v>3.524E9</v>
      </c>
      <c r="K858" s="1">
        <v>3.524E9</v>
      </c>
      <c r="L858" s="1">
        <v>-2.43E8</v>
      </c>
      <c r="M858" s="1">
        <v>9.71E8</v>
      </c>
      <c r="N858" s="1">
        <v>3.4167E10</v>
      </c>
      <c r="O858" s="1">
        <v>3.0643E10</v>
      </c>
      <c r="P858" s="1">
        <v>2.911E10</v>
      </c>
      <c r="Q858" s="1">
        <v>2.26E8</v>
      </c>
      <c r="R858" s="1">
        <v>2.779E9</v>
      </c>
      <c r="S858" s="1">
        <v>2.79E9</v>
      </c>
      <c r="W858" s="4" t="str">
        <f>Raw_Data!C857&amp;"|"&amp;Raw_Data!D857&amp;"|"&amp;TEXT(Raw_Data!B857,"yyyy-mm-dd")</f>
        <v>General Mills|GIS|2020-08-30</v>
      </c>
    </row>
    <row r="859">
      <c r="A859" s="1">
        <v>857.0</v>
      </c>
      <c r="B859" s="3">
        <v>44286.0</v>
      </c>
      <c r="C859" s="1" t="s">
        <v>470</v>
      </c>
      <c r="D859" s="1" t="s">
        <v>471</v>
      </c>
      <c r="F859" s="1">
        <v>4.191E9</v>
      </c>
      <c r="G859" s="1">
        <v>3.022E9</v>
      </c>
      <c r="H859" s="1">
        <v>1.32E9</v>
      </c>
      <c r="I859" s="1">
        <v>5.134E9</v>
      </c>
      <c r="J859" s="1">
        <v>3.814E9</v>
      </c>
      <c r="K859" s="1">
        <v>3.814E9</v>
      </c>
      <c r="L859" s="1">
        <v>-2.5E8</v>
      </c>
      <c r="M859" s="1">
        <v>1.177E9</v>
      </c>
      <c r="N859" s="1">
        <v>3.2474E10</v>
      </c>
      <c r="O859" s="1">
        <v>2.866E10</v>
      </c>
      <c r="P859" s="1">
        <v>2.734E10</v>
      </c>
      <c r="Q859" s="1">
        <v>3.77E8</v>
      </c>
      <c r="R859" s="1">
        <v>3.014E9</v>
      </c>
      <c r="S859" s="1">
        <v>2.976E9</v>
      </c>
      <c r="W859" s="4" t="str">
        <f>Raw_Data!C858&amp;"|"&amp;Raw_Data!D858&amp;"|"&amp;TEXT(Raw_Data!B858,"yyyy-mm-dd")</f>
        <v>General Motors|GM|2021-06-30</v>
      </c>
    </row>
    <row r="860">
      <c r="A860" s="1">
        <v>858.0</v>
      </c>
      <c r="B860" s="3">
        <v>44196.0</v>
      </c>
      <c r="C860" s="1" t="s">
        <v>470</v>
      </c>
      <c r="D860" s="1" t="s">
        <v>471</v>
      </c>
      <c r="F860" s="1">
        <v>3.439E9</v>
      </c>
      <c r="G860" s="1">
        <v>2.846E9</v>
      </c>
      <c r="H860" s="1">
        <v>2.088E9</v>
      </c>
      <c r="I860" s="1">
        <v>5.014E9</v>
      </c>
      <c r="J860" s="1">
        <v>2.926E9</v>
      </c>
      <c r="K860" s="1">
        <v>2.926E9</v>
      </c>
      <c r="L860" s="1">
        <v>-2.75E8</v>
      </c>
      <c r="M860" s="1">
        <v>6.42E8</v>
      </c>
      <c r="N860" s="1">
        <v>3.7518E10</v>
      </c>
      <c r="O860" s="1">
        <v>3.4592E10</v>
      </c>
      <c r="P860" s="1">
        <v>3.2504E10</v>
      </c>
      <c r="Q860" s="1">
        <v>5.13E8</v>
      </c>
      <c r="R860" s="1">
        <v>2.797E9</v>
      </c>
      <c r="S860" s="1">
        <v>2.801E9</v>
      </c>
      <c r="W860" s="4" t="str">
        <f>Raw_Data!C859&amp;"|"&amp;Raw_Data!D859&amp;"|"&amp;TEXT(Raw_Data!B859,"yyyy-mm-dd")</f>
        <v>General Motors|GM|2021-03-31</v>
      </c>
    </row>
    <row r="861">
      <c r="A861" s="1">
        <v>859.0</v>
      </c>
      <c r="B861" s="3">
        <v>44104.0</v>
      </c>
      <c r="C861" s="1" t="s">
        <v>470</v>
      </c>
      <c r="D861" s="1" t="s">
        <v>471</v>
      </c>
      <c r="F861" s="1">
        <v>4.905E9</v>
      </c>
      <c r="G861" s="1">
        <v>4.045E9</v>
      </c>
      <c r="H861" s="1">
        <v>1.23E9</v>
      </c>
      <c r="I861" s="1">
        <v>6.098E9</v>
      </c>
      <c r="J861" s="1">
        <v>4.868E9</v>
      </c>
      <c r="K861" s="1">
        <v>4.868E9</v>
      </c>
      <c r="L861" s="1">
        <v>-3.27E8</v>
      </c>
      <c r="M861" s="1">
        <v>8.87E8</v>
      </c>
      <c r="N861" s="1">
        <v>3.548E10</v>
      </c>
      <c r="O861" s="1">
        <v>3.0612E10</v>
      </c>
      <c r="P861" s="1">
        <v>2.9382E10</v>
      </c>
      <c r="Q861" s="1">
        <v>3.7E7</v>
      </c>
      <c r="R861" s="1">
        <v>4.018E9</v>
      </c>
      <c r="S861" s="1">
        <v>4.005E9</v>
      </c>
      <c r="W861" s="4" t="str">
        <f>Raw_Data!C860&amp;"|"&amp;Raw_Data!D860&amp;"|"&amp;TEXT(Raw_Data!B860,"yyyy-mm-dd")</f>
        <v>General Motors|GM|2020-12-31</v>
      </c>
    </row>
    <row r="862">
      <c r="A862" s="1">
        <v>860.0</v>
      </c>
      <c r="B862" s="3">
        <v>44377.0</v>
      </c>
      <c r="C862" s="1" t="s">
        <v>472</v>
      </c>
      <c r="D862" s="1" t="s">
        <v>473</v>
      </c>
      <c r="F862" s="1">
        <v>2.69607E8</v>
      </c>
      <c r="G862" s="1">
        <v>1.96496E8</v>
      </c>
      <c r="H862" s="1">
        <v>1.263673E9</v>
      </c>
      <c r="I862" s="1">
        <v>1.689105E9</v>
      </c>
      <c r="J862" s="1">
        <v>3.46435E8</v>
      </c>
      <c r="K862" s="1">
        <v>3.46435E8</v>
      </c>
      <c r="L862" s="1">
        <v>-1.6107E7</v>
      </c>
      <c r="M862" s="1">
        <v>7.3111E7</v>
      </c>
      <c r="N862" s="1">
        <v>4.783738E9</v>
      </c>
      <c r="O862" s="1">
        <v>4.437303E9</v>
      </c>
      <c r="P862" s="1">
        <v>3.094633E9</v>
      </c>
      <c r="Q862" s="1">
        <v>-7.6828E7</v>
      </c>
      <c r="R862" s="1">
        <v>1.96496E8</v>
      </c>
      <c r="S862" s="1">
        <v>1.96496E8</v>
      </c>
      <c r="W862" s="4" t="str">
        <f>Raw_Data!C861&amp;"|"&amp;Raw_Data!D861&amp;"|"&amp;TEXT(Raw_Data!B861,"yyyy-mm-dd")</f>
        <v>General Motors|GM|2020-09-30</v>
      </c>
    </row>
    <row r="863">
      <c r="A863" s="1">
        <v>861.0</v>
      </c>
      <c r="B863" s="3">
        <v>44286.0</v>
      </c>
      <c r="C863" s="1" t="s">
        <v>472</v>
      </c>
      <c r="D863" s="1" t="s">
        <v>473</v>
      </c>
      <c r="F863" s="1">
        <v>2.85859E8</v>
      </c>
      <c r="G863" s="1">
        <v>2.1771E8</v>
      </c>
      <c r="H863" s="1">
        <v>1.186966E9</v>
      </c>
      <c r="I863" s="1">
        <v>1.540815E9</v>
      </c>
      <c r="J863" s="1">
        <v>2.76644E8</v>
      </c>
      <c r="K863" s="1">
        <v>2.76644E8</v>
      </c>
      <c r="L863" s="1">
        <v>-1.9062E7</v>
      </c>
      <c r="M863" s="1">
        <v>6.8149E7</v>
      </c>
      <c r="N863" s="1">
        <v>4.464714E9</v>
      </c>
      <c r="O863" s="1">
        <v>4.18807E9</v>
      </c>
      <c r="P863" s="1">
        <v>2.923899E9</v>
      </c>
      <c r="Q863" s="1">
        <v>9215000.0</v>
      </c>
      <c r="R863" s="1">
        <v>2.1771E8</v>
      </c>
      <c r="S863" s="1">
        <v>2.1771E8</v>
      </c>
      <c r="W863" s="4" t="str">
        <f>Raw_Data!C862&amp;"|"&amp;Raw_Data!D862&amp;"|"&amp;TEXT(Raw_Data!B862,"yyyy-mm-dd")</f>
        <v>Genuine Parts|GPC|2021-06-30</v>
      </c>
    </row>
    <row r="864">
      <c r="A864" s="1">
        <v>862.0</v>
      </c>
      <c r="B864" s="3">
        <v>44196.0</v>
      </c>
      <c r="C864" s="1" t="s">
        <v>472</v>
      </c>
      <c r="D864" s="1" t="s">
        <v>473</v>
      </c>
      <c r="F864" s="1">
        <v>2.25546E8</v>
      </c>
      <c r="G864" s="1">
        <v>1.71204E8</v>
      </c>
      <c r="H864" s="1">
        <v>1.121115E9</v>
      </c>
      <c r="I864" s="1">
        <v>1.44811E9</v>
      </c>
      <c r="J864" s="1">
        <v>2.57112E8</v>
      </c>
      <c r="K864" s="1">
        <v>2.57112E8</v>
      </c>
      <c r="L864" s="1">
        <v>-2.1495E7</v>
      </c>
      <c r="M864" s="1">
        <v>5.3914E7</v>
      </c>
      <c r="N864" s="1">
        <v>4.251594E9</v>
      </c>
      <c r="O864" s="1">
        <v>3.994482E9</v>
      </c>
      <c r="P864" s="1">
        <v>2.803484E9</v>
      </c>
      <c r="Q864" s="1">
        <v>-3.1566E7</v>
      </c>
      <c r="R864" s="1">
        <v>1.71632E8</v>
      </c>
      <c r="S864" s="1">
        <v>1.71204E8</v>
      </c>
      <c r="W864" s="4" t="str">
        <f>Raw_Data!C863&amp;"|"&amp;Raw_Data!D863&amp;"|"&amp;TEXT(Raw_Data!B863,"yyyy-mm-dd")</f>
        <v>Genuine Parts|GPC|2021-03-31</v>
      </c>
    </row>
    <row r="865">
      <c r="A865" s="1">
        <v>863.0</v>
      </c>
      <c r="B865" s="3">
        <v>44104.0</v>
      </c>
      <c r="C865" s="1" t="s">
        <v>472</v>
      </c>
      <c r="D865" s="1" t="s">
        <v>473</v>
      </c>
      <c r="F865" s="1">
        <v>2.97665E8</v>
      </c>
      <c r="G865" s="1">
        <v>2.27531E8</v>
      </c>
      <c r="H865" s="1">
        <v>1.133851E9</v>
      </c>
      <c r="I865" s="1">
        <v>1.528066E9</v>
      </c>
      <c r="J865" s="1">
        <v>3.19485E8</v>
      </c>
      <c r="K865" s="1">
        <v>3.19485E8</v>
      </c>
      <c r="L865" s="1">
        <v>-2.5788E7</v>
      </c>
      <c r="M865" s="1">
        <v>6.4747E7</v>
      </c>
      <c r="N865" s="1">
        <v>4.370086E9</v>
      </c>
      <c r="O865" s="1">
        <v>4.050601E9</v>
      </c>
      <c r="P865" s="1">
        <v>2.84202E9</v>
      </c>
      <c r="Q865" s="1">
        <v>-2.182E7</v>
      </c>
      <c r="R865" s="1">
        <v>2.32918E8</v>
      </c>
      <c r="S865" s="1">
        <v>2.27531E8</v>
      </c>
      <c r="W865" s="4" t="str">
        <f>Raw_Data!C864&amp;"|"&amp;Raw_Data!D864&amp;"|"&amp;TEXT(Raw_Data!B864,"yyyy-mm-dd")</f>
        <v>Genuine Parts|GPC|2020-12-31</v>
      </c>
    </row>
    <row r="866">
      <c r="A866" s="1">
        <v>864.0</v>
      </c>
      <c r="B866" s="3">
        <v>44377.0</v>
      </c>
      <c r="C866" s="1" t="s">
        <v>474</v>
      </c>
      <c r="D866" s="1" t="s">
        <v>475</v>
      </c>
      <c r="E866" s="1">
        <v>1.134E9</v>
      </c>
      <c r="F866" s="1">
        <v>1.817E9</v>
      </c>
      <c r="G866" s="1">
        <v>1.522E9</v>
      </c>
      <c r="H866" s="1">
        <v>1.351E9</v>
      </c>
      <c r="I866" s="1">
        <v>4.827E9</v>
      </c>
      <c r="J866" s="1">
        <v>2.342E9</v>
      </c>
      <c r="K866" s="1">
        <v>2.342E9</v>
      </c>
      <c r="L866" s="1">
        <v>-2.56E8</v>
      </c>
      <c r="M866" s="1">
        <v>3.0E8</v>
      </c>
      <c r="N866" s="1">
        <v>6.217E9</v>
      </c>
      <c r="O866" s="1">
        <v>3.875E9</v>
      </c>
      <c r="P866" s="1">
        <v>1.39E9</v>
      </c>
      <c r="Q866" s="1">
        <v>-5.25E8</v>
      </c>
      <c r="R866" s="1">
        <v>1.517E9</v>
      </c>
      <c r="S866" s="1">
        <v>1.522E9</v>
      </c>
      <c r="W866" s="4" t="str">
        <f>Raw_Data!C865&amp;"|"&amp;Raw_Data!D865&amp;"|"&amp;TEXT(Raw_Data!B865,"yyyy-mm-dd")</f>
        <v>Genuine Parts|GPC|2020-09-30</v>
      </c>
    </row>
    <row r="867">
      <c r="A867" s="1">
        <v>865.0</v>
      </c>
      <c r="B867" s="3">
        <v>44286.0</v>
      </c>
      <c r="C867" s="1" t="s">
        <v>474</v>
      </c>
      <c r="D867" s="1" t="s">
        <v>475</v>
      </c>
      <c r="E867" s="1">
        <v>1.055E9</v>
      </c>
      <c r="F867" s="1">
        <v>2.264E9</v>
      </c>
      <c r="G867" s="1">
        <v>1.729E9</v>
      </c>
      <c r="H867" s="1">
        <v>1.044E9</v>
      </c>
      <c r="I867" s="1">
        <v>5.062E9</v>
      </c>
      <c r="J867" s="1">
        <v>2.963E9</v>
      </c>
      <c r="K867" s="1">
        <v>2.963E9</v>
      </c>
      <c r="L867" s="1">
        <v>-2.57E8</v>
      </c>
      <c r="M867" s="1">
        <v>5.42E8</v>
      </c>
      <c r="N867" s="1">
        <v>6.423E9</v>
      </c>
      <c r="O867" s="1">
        <v>3.46E9</v>
      </c>
      <c r="P867" s="1">
        <v>1.361E9</v>
      </c>
      <c r="Q867" s="1">
        <v>-6.99E8</v>
      </c>
      <c r="R867" s="1">
        <v>1.722E9</v>
      </c>
      <c r="S867" s="1">
        <v>1.729E9</v>
      </c>
      <c r="W867" s="4" t="str">
        <f>Raw_Data!C866&amp;"|"&amp;Raw_Data!D866&amp;"|"&amp;TEXT(Raw_Data!B866,"yyyy-mm-dd")</f>
        <v>Gilead Sciences|GILD|2021-06-30</v>
      </c>
    </row>
    <row r="868">
      <c r="A868" s="1">
        <v>866.0</v>
      </c>
      <c r="B868" s="3">
        <v>44196.0</v>
      </c>
      <c r="C868" s="1" t="s">
        <v>474</v>
      </c>
      <c r="D868" s="1" t="s">
        <v>475</v>
      </c>
      <c r="E868" s="1">
        <v>1.412E9</v>
      </c>
      <c r="F868" s="1">
        <v>1.814E9</v>
      </c>
      <c r="G868" s="1">
        <v>1.551E9</v>
      </c>
      <c r="H868" s="1">
        <v>1.576E9</v>
      </c>
      <c r="I868" s="1">
        <v>6.904E9</v>
      </c>
      <c r="J868" s="1">
        <v>3.916E9</v>
      </c>
      <c r="K868" s="1">
        <v>3.916E9</v>
      </c>
      <c r="L868" s="1">
        <v>-2.67E8</v>
      </c>
      <c r="M868" s="1">
        <v>2.7E8</v>
      </c>
      <c r="N868" s="1">
        <v>7.421E9</v>
      </c>
      <c r="O868" s="1">
        <v>3.505E9</v>
      </c>
      <c r="P868" s="1">
        <v>5.17E8</v>
      </c>
      <c r="Q868" s="1">
        <v>-2.102E9</v>
      </c>
      <c r="R868" s="1">
        <v>1.544E9</v>
      </c>
      <c r="S868" s="1">
        <v>1.551E9</v>
      </c>
      <c r="W868" s="4" t="str">
        <f>Raw_Data!C867&amp;"|"&amp;Raw_Data!D867&amp;"|"&amp;TEXT(Raw_Data!B867,"yyyy-mm-dd")</f>
        <v>Gilead Sciences|GILD|2021-03-31</v>
      </c>
    </row>
    <row r="869">
      <c r="A869" s="1">
        <v>867.0</v>
      </c>
      <c r="B869" s="3">
        <v>44104.0</v>
      </c>
      <c r="C869" s="1" t="s">
        <v>474</v>
      </c>
      <c r="D869" s="1" t="s">
        <v>475</v>
      </c>
      <c r="E869" s="1">
        <v>1.158E9</v>
      </c>
      <c r="F869" s="1">
        <v>8.25E8</v>
      </c>
      <c r="G869" s="1">
        <v>3.6E8</v>
      </c>
      <c r="H869" s="1">
        <v>1.106E9</v>
      </c>
      <c r="I869" s="1">
        <v>5.436E9</v>
      </c>
      <c r="J869" s="1">
        <v>3.172E9</v>
      </c>
      <c r="K869" s="1">
        <v>3.172E9</v>
      </c>
      <c r="L869" s="1">
        <v>-2.36E8</v>
      </c>
      <c r="M869" s="1">
        <v>4.72E8</v>
      </c>
      <c r="N869" s="1">
        <v>6.577E9</v>
      </c>
      <c r="O869" s="1">
        <v>3.405E9</v>
      </c>
      <c r="P869" s="1">
        <v>1.141E9</v>
      </c>
      <c r="Q869" s="1">
        <v>-2.347E9</v>
      </c>
      <c r="R869" s="1">
        <v>3.53E8</v>
      </c>
      <c r="S869" s="1">
        <v>3.6E8</v>
      </c>
      <c r="W869" s="4" t="str">
        <f>Raw_Data!C868&amp;"|"&amp;Raw_Data!D868&amp;"|"&amp;TEXT(Raw_Data!B868,"yyyy-mm-dd")</f>
        <v>Gilead Sciences|GILD|2020-12-31</v>
      </c>
    </row>
    <row r="870">
      <c r="A870" s="1">
        <v>868.0</v>
      </c>
      <c r="B870" s="3">
        <v>44377.0</v>
      </c>
      <c r="C870" s="1" t="s">
        <v>476</v>
      </c>
      <c r="D870" s="1" t="s">
        <v>477</v>
      </c>
      <c r="F870" s="1">
        <v>3.27621E8</v>
      </c>
      <c r="G870" s="1">
        <v>2.6359E8</v>
      </c>
      <c r="H870" s="1">
        <v>7.60269E8</v>
      </c>
      <c r="I870" s="1">
        <v>1.201127E9</v>
      </c>
      <c r="J870" s="1">
        <v>4.40858E8</v>
      </c>
      <c r="K870" s="1">
        <v>4.40858E8</v>
      </c>
      <c r="L870" s="1">
        <v>-7.9E7</v>
      </c>
      <c r="M870" s="1">
        <v>6.0808E7</v>
      </c>
      <c r="N870" s="1">
        <v>2.137437E9</v>
      </c>
      <c r="O870" s="1">
        <v>1.696579E9</v>
      </c>
      <c r="P870" s="1">
        <v>9.3631E8</v>
      </c>
      <c r="Q870" s="1">
        <v>-1.13237E8</v>
      </c>
      <c r="R870" s="1">
        <v>2.66813E8</v>
      </c>
      <c r="S870" s="1">
        <v>2.6359E8</v>
      </c>
      <c r="W870" s="4" t="str">
        <f>Raw_Data!C869&amp;"|"&amp;Raw_Data!D869&amp;"|"&amp;TEXT(Raw_Data!B869,"yyyy-mm-dd")</f>
        <v>Gilead Sciences|GILD|2020-09-30</v>
      </c>
    </row>
    <row r="871">
      <c r="A871" s="1">
        <v>869.0</v>
      </c>
      <c r="B871" s="3">
        <v>44286.0</v>
      </c>
      <c r="C871" s="1" t="s">
        <v>476</v>
      </c>
      <c r="D871" s="1" t="s">
        <v>477</v>
      </c>
      <c r="F871" s="1">
        <v>2.19085E8</v>
      </c>
      <c r="G871" s="1">
        <v>1.96681E8</v>
      </c>
      <c r="H871" s="1">
        <v>6.97702E8</v>
      </c>
      <c r="I871" s="1">
        <v>1.064761E9</v>
      </c>
      <c r="J871" s="1">
        <v>3.67059E8</v>
      </c>
      <c r="K871" s="1">
        <v>3.67059E8</v>
      </c>
      <c r="L871" s="1">
        <v>-8.12E7</v>
      </c>
      <c r="M871" s="1">
        <v>2.0675E7</v>
      </c>
      <c r="N871" s="1">
        <v>1.990007E9</v>
      </c>
      <c r="O871" s="1">
        <v>1.622948E9</v>
      </c>
      <c r="P871" s="1">
        <v>9.25246E8</v>
      </c>
      <c r="Q871" s="1">
        <v>-1.47974E8</v>
      </c>
      <c r="R871" s="1">
        <v>1.9841E8</v>
      </c>
      <c r="S871" s="1">
        <v>1.96681E8</v>
      </c>
      <c r="W871" s="4" t="str">
        <f>Raw_Data!C870&amp;"|"&amp;Raw_Data!D870&amp;"|"&amp;TEXT(Raw_Data!B870,"yyyy-mm-dd")</f>
        <v>Global Payments|GPN|2021-06-30</v>
      </c>
    </row>
    <row r="872">
      <c r="A872" s="1">
        <v>870.0</v>
      </c>
      <c r="B872" s="3">
        <v>44196.0</v>
      </c>
      <c r="C872" s="1" t="s">
        <v>476</v>
      </c>
      <c r="D872" s="1" t="s">
        <v>477</v>
      </c>
      <c r="F872" s="1">
        <v>2.02798E8</v>
      </c>
      <c r="G872" s="1">
        <v>1.82644E8</v>
      </c>
      <c r="H872" s="1">
        <v>7.38516E8</v>
      </c>
      <c r="I872" s="1">
        <v>1.046598E9</v>
      </c>
      <c r="J872" s="1">
        <v>3.08082E8</v>
      </c>
      <c r="K872" s="1">
        <v>3.08082E8</v>
      </c>
      <c r="L872" s="1">
        <v>-8.25E7</v>
      </c>
      <c r="M872" s="1">
        <v>1.798E7</v>
      </c>
      <c r="N872" s="1">
        <v>1.930193E9</v>
      </c>
      <c r="O872" s="1">
        <v>1.622111E9</v>
      </c>
      <c r="P872" s="1">
        <v>8.83595E8</v>
      </c>
      <c r="Q872" s="1">
        <v>-1.05284E8</v>
      </c>
      <c r="R872" s="1">
        <v>1.84818E8</v>
      </c>
      <c r="S872" s="1">
        <v>1.82644E8</v>
      </c>
      <c r="W872" s="4" t="str">
        <f>Raw_Data!C871&amp;"|"&amp;Raw_Data!D871&amp;"|"&amp;TEXT(Raw_Data!B871,"yyyy-mm-dd")</f>
        <v>Global Payments|GPN|2021-03-31</v>
      </c>
    </row>
    <row r="873">
      <c r="A873" s="1">
        <v>871.0</v>
      </c>
      <c r="B873" s="3">
        <v>44104.0</v>
      </c>
      <c r="C873" s="1" t="s">
        <v>476</v>
      </c>
      <c r="D873" s="1" t="s">
        <v>477</v>
      </c>
      <c r="F873" s="1">
        <v>2.73064E8</v>
      </c>
      <c r="G873" s="1">
        <v>2.20971E8</v>
      </c>
      <c r="H873" s="1">
        <v>6.60775E8</v>
      </c>
      <c r="I873" s="1">
        <v>1.016894E9</v>
      </c>
      <c r="J873" s="1">
        <v>3.56119E8</v>
      </c>
      <c r="K873" s="1">
        <v>3.56119E8</v>
      </c>
      <c r="L873" s="1">
        <v>-8.21E7</v>
      </c>
      <c r="M873" s="1">
        <v>4.2834E7</v>
      </c>
      <c r="N873" s="1">
        <v>1.917815E9</v>
      </c>
      <c r="O873" s="1">
        <v>1.561696E9</v>
      </c>
      <c r="P873" s="1">
        <v>9.00921E8</v>
      </c>
      <c r="Q873" s="1">
        <v>-8.3055E7</v>
      </c>
      <c r="R873" s="1">
        <v>2.3023E8</v>
      </c>
      <c r="S873" s="1">
        <v>2.20971E8</v>
      </c>
      <c r="W873" s="4" t="str">
        <f>Raw_Data!C872&amp;"|"&amp;Raw_Data!D872&amp;"|"&amp;TEXT(Raw_Data!B872,"yyyy-mm-dd")</f>
        <v>Global Payments|GPN|2020-12-31</v>
      </c>
    </row>
    <row r="874">
      <c r="A874" s="1">
        <v>872.0</v>
      </c>
      <c r="B874" s="3">
        <v>44377.0</v>
      </c>
      <c r="C874" s="1" t="s">
        <v>478</v>
      </c>
      <c r="D874" s="1" t="s">
        <v>479</v>
      </c>
      <c r="F874" s="1">
        <v>2.45243E8</v>
      </c>
      <c r="G874" s="1">
        <v>1.99618E8</v>
      </c>
      <c r="I874" s="1">
        <v>3.46167E8</v>
      </c>
      <c r="J874" s="1">
        <v>2.67012E8</v>
      </c>
      <c r="K874" s="1">
        <v>2.67012E8</v>
      </c>
      <c r="L874" s="1">
        <v>-2.1769E7</v>
      </c>
      <c r="M874" s="1">
        <v>4.5625E7</v>
      </c>
      <c r="N874" s="1">
        <v>1.271111E9</v>
      </c>
      <c r="O874" s="1">
        <v>1.004099E9</v>
      </c>
      <c r="P874" s="1">
        <v>9.24944E8</v>
      </c>
      <c r="Q874" s="1">
        <v>-2.1769E7</v>
      </c>
      <c r="R874" s="1">
        <v>1.99618E8</v>
      </c>
      <c r="S874" s="1">
        <v>1.99618E8</v>
      </c>
      <c r="W874" s="4" t="str">
        <f>Raw_Data!C873&amp;"|"&amp;Raw_Data!D873&amp;"|"&amp;TEXT(Raw_Data!B873,"yyyy-mm-dd")</f>
        <v>Global Payments|GPN|2020-09-30</v>
      </c>
    </row>
    <row r="875">
      <c r="A875" s="1">
        <v>873.0</v>
      </c>
      <c r="B875" s="3">
        <v>44286.0</v>
      </c>
      <c r="C875" s="1" t="s">
        <v>478</v>
      </c>
      <c r="D875" s="1" t="s">
        <v>479</v>
      </c>
      <c r="F875" s="1">
        <v>2.18794E8</v>
      </c>
      <c r="G875" s="1">
        <v>1.78517E8</v>
      </c>
      <c r="I875" s="1">
        <v>3.21182E8</v>
      </c>
      <c r="J875" s="1">
        <v>2.448E8</v>
      </c>
      <c r="K875" s="1">
        <v>2.448E8</v>
      </c>
      <c r="L875" s="1">
        <v>-2.1178E7</v>
      </c>
      <c r="M875" s="1">
        <v>4.0277E7</v>
      </c>
      <c r="N875" s="1">
        <v>1.26656E9</v>
      </c>
      <c r="O875" s="1">
        <v>1.02176E9</v>
      </c>
      <c r="P875" s="1">
        <v>9.45378E8</v>
      </c>
      <c r="Q875" s="1">
        <v>-2.6006E7</v>
      </c>
      <c r="R875" s="1">
        <v>1.78517E8</v>
      </c>
      <c r="S875" s="1">
        <v>1.78517E8</v>
      </c>
      <c r="W875" s="4" t="str">
        <f>Raw_Data!C874&amp;"|"&amp;Raw_Data!D874&amp;"|"&amp;TEXT(Raw_Data!B874,"yyyy-mm-dd")</f>
        <v>Globe Life|GL|2021-06-30</v>
      </c>
    </row>
    <row r="876">
      <c r="A876" s="1">
        <v>874.0</v>
      </c>
      <c r="B876" s="3">
        <v>44196.0</v>
      </c>
      <c r="C876" s="1" t="s">
        <v>478</v>
      </c>
      <c r="D876" s="1" t="s">
        <v>479</v>
      </c>
      <c r="F876" s="1">
        <v>2.49984E8</v>
      </c>
      <c r="G876" s="1">
        <v>2.0424E8</v>
      </c>
      <c r="H876" s="1">
        <v>9800000.0</v>
      </c>
      <c r="I876" s="1">
        <v>3.45738E8</v>
      </c>
      <c r="J876" s="1">
        <v>2.71393E8</v>
      </c>
      <c r="K876" s="1">
        <v>2.71393E8</v>
      </c>
      <c r="L876" s="1">
        <v>-2.1409E7</v>
      </c>
      <c r="M876" s="1">
        <v>4.5744E7</v>
      </c>
      <c r="N876" s="1">
        <v>1.228941E9</v>
      </c>
      <c r="O876" s="1">
        <v>9.57548E8</v>
      </c>
      <c r="P876" s="1">
        <v>8.83203E8</v>
      </c>
      <c r="Q876" s="1">
        <v>-2.1409E7</v>
      </c>
      <c r="R876" s="1">
        <v>2.0424E8</v>
      </c>
      <c r="S876" s="1">
        <v>2.0424E8</v>
      </c>
      <c r="W876" s="4" t="str">
        <f>Raw_Data!C875&amp;"|"&amp;Raw_Data!D875&amp;"|"&amp;TEXT(Raw_Data!B875,"yyyy-mm-dd")</f>
        <v>Globe Life|GL|2021-03-31</v>
      </c>
    </row>
    <row r="877">
      <c r="A877" s="1">
        <v>875.0</v>
      </c>
      <c r="B877" s="3">
        <v>44104.0</v>
      </c>
      <c r="C877" s="1" t="s">
        <v>478</v>
      </c>
      <c r="D877" s="1" t="s">
        <v>479</v>
      </c>
      <c r="F877" s="1">
        <v>2.31538E8</v>
      </c>
      <c r="G877" s="1">
        <v>1.88945E8</v>
      </c>
      <c r="H877" s="1">
        <v>9800000.0</v>
      </c>
      <c r="I877" s="1">
        <v>3.28609E8</v>
      </c>
      <c r="J877" s="1">
        <v>2.53212E8</v>
      </c>
      <c r="K877" s="1">
        <v>2.53212E8</v>
      </c>
      <c r="L877" s="1">
        <v>-2.1674E7</v>
      </c>
      <c r="M877" s="1">
        <v>4.2593E7</v>
      </c>
      <c r="N877" s="1">
        <v>1.195042E9</v>
      </c>
      <c r="O877" s="1">
        <v>9.4183E8</v>
      </c>
      <c r="P877" s="1">
        <v>8.66433E8</v>
      </c>
      <c r="Q877" s="1">
        <v>-2.1674E7</v>
      </c>
      <c r="R877" s="1">
        <v>1.88945E8</v>
      </c>
      <c r="S877" s="1">
        <v>1.88945E8</v>
      </c>
      <c r="W877" s="4" t="str">
        <f>Raw_Data!C876&amp;"|"&amp;Raw_Data!D876&amp;"|"&amp;TEXT(Raw_Data!B876,"yyyy-mm-dd")</f>
        <v>Globe Life|GL|2020-12-31</v>
      </c>
    </row>
    <row r="878">
      <c r="A878" s="1">
        <v>876.0</v>
      </c>
      <c r="B878" s="3">
        <v>44377.0</v>
      </c>
      <c r="C878" s="1" t="s">
        <v>480</v>
      </c>
      <c r="D878" s="1" t="s">
        <v>481</v>
      </c>
      <c r="F878" s="1">
        <v>6.84E9</v>
      </c>
      <c r="G878" s="1">
        <v>5.486E9</v>
      </c>
      <c r="H878" s="1">
        <v>5.963E9</v>
      </c>
      <c r="I878" s="1">
        <v>1.3984E10</v>
      </c>
      <c r="J878" s="1">
        <v>0.0</v>
      </c>
      <c r="K878" s="1">
        <v>7.066E9</v>
      </c>
      <c r="M878" s="1">
        <v>1.354E9</v>
      </c>
      <c r="N878" s="1">
        <v>1.548E10</v>
      </c>
      <c r="O878" s="1">
        <v>8.414E9</v>
      </c>
      <c r="P878" s="1">
        <v>1.496E9</v>
      </c>
      <c r="Q878" s="1">
        <v>-2.26E8</v>
      </c>
      <c r="R878" s="1">
        <v>5.486E9</v>
      </c>
      <c r="S878" s="1">
        <v>5.34E9</v>
      </c>
      <c r="W878" s="4" t="str">
        <f>Raw_Data!C877&amp;"|"&amp;Raw_Data!D877&amp;"|"&amp;TEXT(Raw_Data!B877,"yyyy-mm-dd")</f>
        <v>Globe Life|GL|2020-09-30</v>
      </c>
    </row>
    <row r="879">
      <c r="A879" s="1">
        <v>877.0</v>
      </c>
      <c r="B879" s="3">
        <v>44286.0</v>
      </c>
      <c r="C879" s="1" t="s">
        <v>480</v>
      </c>
      <c r="D879" s="1" t="s">
        <v>481</v>
      </c>
      <c r="F879" s="1">
        <v>8.337E9</v>
      </c>
      <c r="G879" s="1">
        <v>6.836E9</v>
      </c>
      <c r="H879" s="1">
        <v>6.73E9</v>
      </c>
      <c r="I879" s="1">
        <v>1.6143E10</v>
      </c>
      <c r="J879" s="1">
        <v>0.0</v>
      </c>
      <c r="K879" s="1">
        <v>8.411E9</v>
      </c>
      <c r="M879" s="1">
        <v>1.501E9</v>
      </c>
      <c r="N879" s="1">
        <v>1.7774E10</v>
      </c>
      <c r="O879" s="1">
        <v>9.363E9</v>
      </c>
      <c r="P879" s="1">
        <v>1.631E9</v>
      </c>
      <c r="Q879" s="1">
        <v>-7.4E7</v>
      </c>
      <c r="R879" s="1">
        <v>6.836E9</v>
      </c>
      <c r="S879" s="1">
        <v>6.704E9</v>
      </c>
      <c r="W879" s="4" t="str">
        <f>Raw_Data!C878&amp;"|"&amp;Raw_Data!D878&amp;"|"&amp;TEXT(Raw_Data!B878,"yyyy-mm-dd")</f>
        <v>Goldman Sachs|GS|2021-06-30</v>
      </c>
    </row>
    <row r="880">
      <c r="A880" s="1">
        <v>878.0</v>
      </c>
      <c r="B880" s="3">
        <v>44196.0</v>
      </c>
      <c r="C880" s="1" t="s">
        <v>480</v>
      </c>
      <c r="D880" s="1" t="s">
        <v>481</v>
      </c>
      <c r="F880" s="1">
        <v>5.541E9</v>
      </c>
      <c r="G880" s="1">
        <v>4.506E9</v>
      </c>
      <c r="H880" s="1">
        <v>3.172E9</v>
      </c>
      <c r="I880" s="1">
        <v>9.797E9</v>
      </c>
      <c r="J880" s="1">
        <v>0.0</v>
      </c>
      <c r="K880" s="1">
        <v>5.561E9</v>
      </c>
      <c r="M880" s="1">
        <v>1.035E9</v>
      </c>
      <c r="N880" s="1">
        <v>1.1448E10</v>
      </c>
      <c r="O880" s="1">
        <v>5.887E9</v>
      </c>
      <c r="P880" s="1">
        <v>1.651E9</v>
      </c>
      <c r="Q880" s="1">
        <v>-2.0E7</v>
      </c>
      <c r="R880" s="1">
        <v>4.506E9</v>
      </c>
      <c r="S880" s="1">
        <v>4.358E9</v>
      </c>
      <c r="W880" s="4" t="str">
        <f>Raw_Data!C879&amp;"|"&amp;Raw_Data!D879&amp;"|"&amp;TEXT(Raw_Data!B879,"yyyy-mm-dd")</f>
        <v>Goldman Sachs|GS|2021-03-31</v>
      </c>
    </row>
    <row r="881">
      <c r="A881" s="1">
        <v>879.0</v>
      </c>
      <c r="B881" s="3">
        <v>44104.0</v>
      </c>
      <c r="C881" s="1" t="s">
        <v>480</v>
      </c>
      <c r="D881" s="1" t="s">
        <v>481</v>
      </c>
      <c r="F881" s="1">
        <v>4.299E9</v>
      </c>
      <c r="G881" s="1">
        <v>3.367E9</v>
      </c>
      <c r="H881" s="1">
        <v>3.72E9</v>
      </c>
      <c r="I881" s="1">
        <v>9.252E9</v>
      </c>
      <c r="J881" s="1">
        <v>0.0</v>
      </c>
      <c r="K881" s="1">
        <v>4.555E9</v>
      </c>
      <c r="M881" s="1">
        <v>9.32E8</v>
      </c>
      <c r="N881" s="1">
        <v>1.0503E10</v>
      </c>
      <c r="O881" s="1">
        <v>5.948E9</v>
      </c>
      <c r="P881" s="1">
        <v>1.251E9</v>
      </c>
      <c r="Q881" s="1">
        <v>-2.56E8</v>
      </c>
      <c r="R881" s="1">
        <v>3.367E9</v>
      </c>
      <c r="S881" s="1">
        <v>3.229E9</v>
      </c>
      <c r="W881" s="4" t="str">
        <f>Raw_Data!C880&amp;"|"&amp;Raw_Data!D880&amp;"|"&amp;TEXT(Raw_Data!B880,"yyyy-mm-dd")</f>
        <v>Goldman Sachs|GS|2020-12-31</v>
      </c>
    </row>
    <row r="882">
      <c r="A882" s="1">
        <v>880.0</v>
      </c>
      <c r="B882" s="3">
        <v>44377.0</v>
      </c>
      <c r="C882" s="1" t="s">
        <v>482</v>
      </c>
      <c r="D882" s="1" t="s">
        <v>483</v>
      </c>
      <c r="F882" s="1">
        <v>2.95E8</v>
      </c>
      <c r="G882" s="1">
        <v>2.27E8</v>
      </c>
      <c r="H882" s="1">
        <v>5.1E7</v>
      </c>
      <c r="I882" s="1">
        <v>4.85E8</v>
      </c>
      <c r="J882" s="1">
        <v>4.34E8</v>
      </c>
      <c r="K882" s="1">
        <v>4.34E8</v>
      </c>
      <c r="L882" s="1">
        <v>-1.34E8</v>
      </c>
      <c r="M882" s="1">
        <v>6.5E7</v>
      </c>
      <c r="N882" s="1">
        <v>3.707E9</v>
      </c>
      <c r="O882" s="1">
        <v>3.273E9</v>
      </c>
      <c r="P882" s="1">
        <v>3.222E9</v>
      </c>
      <c r="Q882" s="1">
        <v>-1.39E8</v>
      </c>
      <c r="R882" s="1">
        <v>2.3E8</v>
      </c>
      <c r="S882" s="1">
        <v>2.27E8</v>
      </c>
      <c r="W882" s="4" t="str">
        <f>Raw_Data!C881&amp;"|"&amp;Raw_Data!D881&amp;"|"&amp;TEXT(Raw_Data!B881,"yyyy-mm-dd")</f>
        <v>Goldman Sachs|GS|2020-09-30</v>
      </c>
    </row>
    <row r="883">
      <c r="A883" s="1">
        <v>881.0</v>
      </c>
      <c r="B883" s="3">
        <v>44286.0</v>
      </c>
      <c r="C883" s="1" t="s">
        <v>482</v>
      </c>
      <c r="D883" s="1" t="s">
        <v>483</v>
      </c>
      <c r="F883" s="1">
        <v>2.23E8</v>
      </c>
      <c r="G883" s="1">
        <v>1.7E8</v>
      </c>
      <c r="H883" s="1">
        <v>4.8E7</v>
      </c>
      <c r="I883" s="1">
        <v>4.18E8</v>
      </c>
      <c r="J883" s="1">
        <v>3.7E8</v>
      </c>
      <c r="K883" s="1">
        <v>3.7E8</v>
      </c>
      <c r="L883" s="1">
        <v>-1.35E8</v>
      </c>
      <c r="M883" s="1">
        <v>5.2E7</v>
      </c>
      <c r="N883" s="1">
        <v>3.451E9</v>
      </c>
      <c r="O883" s="1">
        <v>3.081E9</v>
      </c>
      <c r="P883" s="1">
        <v>3.033E9</v>
      </c>
      <c r="Q883" s="1">
        <v>-1.47E8</v>
      </c>
      <c r="R883" s="1">
        <v>1.71E8</v>
      </c>
      <c r="S883" s="1">
        <v>1.7E8</v>
      </c>
      <c r="W883" s="4" t="str">
        <f>Raw_Data!C882&amp;"|"&amp;Raw_Data!D882&amp;"|"&amp;TEXT(Raw_Data!B882,"yyyy-mm-dd")</f>
        <v>Halliburton|HAL|2021-06-30</v>
      </c>
    </row>
    <row r="884">
      <c r="A884" s="1">
        <v>882.0</v>
      </c>
      <c r="B884" s="3">
        <v>44196.0</v>
      </c>
      <c r="C884" s="1" t="s">
        <v>482</v>
      </c>
      <c r="D884" s="1" t="s">
        <v>483</v>
      </c>
      <c r="F884" s="1">
        <v>-2.4E8</v>
      </c>
      <c r="G884" s="1">
        <v>-2.35E8</v>
      </c>
      <c r="H884" s="1">
        <v>4.4E7</v>
      </c>
      <c r="I884" s="1">
        <v>3.94E8</v>
      </c>
      <c r="J884" s="1">
        <v>2.62E8</v>
      </c>
      <c r="K884" s="1">
        <v>2.62E8</v>
      </c>
      <c r="L884" s="1">
        <v>-1.35E8</v>
      </c>
      <c r="M884" s="1">
        <v>-1.3E7</v>
      </c>
      <c r="N884" s="1">
        <v>3.237E9</v>
      </c>
      <c r="O884" s="1">
        <v>2.975E9</v>
      </c>
      <c r="P884" s="1">
        <v>2.843E9</v>
      </c>
      <c r="Q884" s="1">
        <v>-5.02E8</v>
      </c>
      <c r="R884" s="1">
        <v>-2.27E8</v>
      </c>
      <c r="S884" s="1">
        <v>-2.35E8</v>
      </c>
      <c r="W884" s="4" t="str">
        <f>Raw_Data!C883&amp;"|"&amp;Raw_Data!D883&amp;"|"&amp;TEXT(Raw_Data!B883,"yyyy-mm-dd")</f>
        <v>Halliburton|HAL|2021-03-31</v>
      </c>
    </row>
    <row r="885">
      <c r="A885" s="1">
        <v>883.0</v>
      </c>
      <c r="B885" s="3">
        <v>44104.0</v>
      </c>
      <c r="C885" s="1" t="s">
        <v>482</v>
      </c>
      <c r="D885" s="1" t="s">
        <v>483</v>
      </c>
      <c r="F885" s="1">
        <v>-1000000.0</v>
      </c>
      <c r="G885" s="1">
        <v>-1.7E7</v>
      </c>
      <c r="H885" s="1">
        <v>4.1E7</v>
      </c>
      <c r="I885" s="1">
        <v>3.05E8</v>
      </c>
      <c r="J885" s="1">
        <v>2.56E8</v>
      </c>
      <c r="K885" s="1">
        <v>2.56E8</v>
      </c>
      <c r="L885" s="1">
        <v>-1.33E8</v>
      </c>
      <c r="M885" s="1">
        <v>1.8E7</v>
      </c>
      <c r="N885" s="1">
        <v>2.975E9</v>
      </c>
      <c r="O885" s="1">
        <v>2.719E9</v>
      </c>
      <c r="P885" s="1">
        <v>2.67E9</v>
      </c>
      <c r="Q885" s="1">
        <v>-2.57E8</v>
      </c>
      <c r="R885" s="1">
        <v>-1.9E7</v>
      </c>
      <c r="S885" s="1">
        <v>-1.7E7</v>
      </c>
      <c r="W885" s="4" t="str">
        <f>Raw_Data!C884&amp;"|"&amp;Raw_Data!D884&amp;"|"&amp;TEXT(Raw_Data!B884,"yyyy-mm-dd")</f>
        <v>Halliburton|HAL|2020-12-31</v>
      </c>
    </row>
    <row r="886">
      <c r="A886" s="1">
        <v>884.0</v>
      </c>
      <c r="B886" s="3">
        <v>44380.0</v>
      </c>
      <c r="C886" s="1" t="s">
        <v>484</v>
      </c>
      <c r="D886" s="1" t="s">
        <v>485</v>
      </c>
      <c r="F886" s="1">
        <v>1.73099E8</v>
      </c>
      <c r="G886" s="1">
        <v>1.28676E8</v>
      </c>
      <c r="H886" s="1">
        <v>4.576E8</v>
      </c>
      <c r="I886" s="1">
        <v>6.83529E8</v>
      </c>
      <c r="J886" s="1">
        <v>2.25929E8</v>
      </c>
      <c r="K886" s="1">
        <v>2.25929E8</v>
      </c>
      <c r="L886" s="1">
        <v>-4.244E7</v>
      </c>
      <c r="M886" s="1">
        <v>2.5236E7</v>
      </c>
      <c r="N886" s="1">
        <v>1.751311E9</v>
      </c>
      <c r="O886" s="1">
        <v>1.525382E9</v>
      </c>
      <c r="P886" s="1">
        <v>1.067782E9</v>
      </c>
      <c r="Q886" s="1">
        <v>-5.283E7</v>
      </c>
      <c r="R886" s="1">
        <v>1.47863E8</v>
      </c>
      <c r="S886" s="1">
        <v>1.28676E8</v>
      </c>
      <c r="W886" s="4" t="str">
        <f>Raw_Data!C885&amp;"|"&amp;Raw_Data!D885&amp;"|"&amp;TEXT(Raw_Data!B885,"yyyy-mm-dd")</f>
        <v>Halliburton|HAL|2020-09-30</v>
      </c>
    </row>
    <row r="887">
      <c r="A887" s="1">
        <v>885.0</v>
      </c>
      <c r="B887" s="3">
        <v>44289.0</v>
      </c>
      <c r="C887" s="1" t="s">
        <v>484</v>
      </c>
      <c r="D887" s="1" t="s">
        <v>485</v>
      </c>
      <c r="F887" s="1">
        <v>1.43101E8</v>
      </c>
      <c r="G887" s="1">
        <v>-2.63262E8</v>
      </c>
      <c r="H887" s="1">
        <v>4.05334E8</v>
      </c>
      <c r="I887" s="1">
        <v>6.05488E8</v>
      </c>
      <c r="J887" s="1">
        <v>2.00154E8</v>
      </c>
      <c r="K887" s="1">
        <v>2.00154E8</v>
      </c>
      <c r="L887" s="1">
        <v>-4.446E7</v>
      </c>
      <c r="M887" s="1">
        <v>1.4697E7</v>
      </c>
      <c r="N887" s="1">
        <v>1.508029E9</v>
      </c>
      <c r="O887" s="1">
        <v>1.307875E9</v>
      </c>
      <c r="P887" s="1">
        <v>9.02541E8</v>
      </c>
      <c r="Q887" s="1">
        <v>-5.7053E7</v>
      </c>
      <c r="R887" s="1">
        <v>1.28404E8</v>
      </c>
      <c r="S887" s="1">
        <v>-2.63262E8</v>
      </c>
      <c r="W887" s="4" t="str">
        <f>Raw_Data!C886&amp;"|"&amp;Raw_Data!D886&amp;"|"&amp;TEXT(Raw_Data!B886,"yyyy-mm-dd")</f>
        <v>Hanesbrands|HBI|2021-07-03</v>
      </c>
    </row>
    <row r="888">
      <c r="A888" s="1">
        <v>886.0</v>
      </c>
      <c r="B888" s="3">
        <v>44198.0</v>
      </c>
      <c r="C888" s="1" t="s">
        <v>484</v>
      </c>
      <c r="D888" s="1" t="s">
        <v>485</v>
      </c>
      <c r="E888" s="1">
        <v>4.471E7</v>
      </c>
      <c r="F888" s="1">
        <v>-4.94134E8</v>
      </c>
      <c r="G888" s="1">
        <v>-3.32164E8</v>
      </c>
      <c r="H888" s="1">
        <v>4.49694E8</v>
      </c>
      <c r="I888" s="1">
        <v>7.35275E8</v>
      </c>
      <c r="J888" s="1">
        <v>2.0695E8</v>
      </c>
      <c r="K888" s="1">
        <v>2.0695E8</v>
      </c>
      <c r="L888" s="1">
        <v>-4.4115E7</v>
      </c>
      <c r="M888" s="1">
        <v>-1.6197E8</v>
      </c>
      <c r="N888" s="1">
        <v>1.800843E9</v>
      </c>
      <c r="O888" s="1">
        <v>1.593893E9</v>
      </c>
      <c r="P888" s="1">
        <v>1.065568E9</v>
      </c>
      <c r="Q888" s="1">
        <v>-7.01084E8</v>
      </c>
      <c r="R888" s="1">
        <v>-3.32164E8</v>
      </c>
      <c r="S888" s="1">
        <v>-3.32164E8</v>
      </c>
      <c r="W888" s="4" t="str">
        <f>Raw_Data!C887&amp;"|"&amp;Raw_Data!D887&amp;"|"&amp;TEXT(Raw_Data!B887,"yyyy-mm-dd")</f>
        <v>Hanesbrands|HBI|2021-04-03</v>
      </c>
    </row>
    <row r="889">
      <c r="A889" s="1">
        <v>887.0</v>
      </c>
      <c r="B889" s="3">
        <v>44100.0</v>
      </c>
      <c r="C889" s="1" t="s">
        <v>484</v>
      </c>
      <c r="D889" s="1" t="s">
        <v>485</v>
      </c>
      <c r="E889" s="1">
        <v>4.471E7</v>
      </c>
      <c r="F889" s="1">
        <v>1.25394E8</v>
      </c>
      <c r="G889" s="1">
        <v>1.03278E8</v>
      </c>
      <c r="H889" s="1">
        <v>4.46355E8</v>
      </c>
      <c r="I889" s="1">
        <v>6.64349E8</v>
      </c>
      <c r="J889" s="1">
        <v>2.17994E8</v>
      </c>
      <c r="K889" s="1">
        <v>2.17994E8</v>
      </c>
      <c r="L889" s="1">
        <v>-4.3868E7</v>
      </c>
      <c r="M889" s="1">
        <v>2.2116E7</v>
      </c>
      <c r="N889" s="1">
        <v>1.808266E9</v>
      </c>
      <c r="O889" s="1">
        <v>1.590272E9</v>
      </c>
      <c r="P889" s="1">
        <v>1.143917E9</v>
      </c>
      <c r="Q889" s="1">
        <v>-9.26E7</v>
      </c>
      <c r="R889" s="1">
        <v>1.03278E8</v>
      </c>
      <c r="S889" s="1">
        <v>1.03278E8</v>
      </c>
      <c r="W889" s="4" t="str">
        <f>Raw_Data!C888&amp;"|"&amp;Raw_Data!D888&amp;"|"&amp;TEXT(Raw_Data!B888,"yyyy-mm-dd")</f>
        <v>Hanesbrands|HBI|2021-01-02</v>
      </c>
    </row>
    <row r="890">
      <c r="A890" s="1">
        <v>888.0</v>
      </c>
      <c r="B890" s="3">
        <v>44374.0</v>
      </c>
      <c r="C890" s="1" t="s">
        <v>486</v>
      </c>
      <c r="D890" s="1" t="s">
        <v>487</v>
      </c>
      <c r="E890" s="1">
        <v>8.72E7</v>
      </c>
      <c r="F890" s="1">
        <v>4.11E7</v>
      </c>
      <c r="G890" s="1">
        <v>-2.29E7</v>
      </c>
      <c r="H890" s="1">
        <v>4.597E8</v>
      </c>
      <c r="I890" s="1">
        <v>7.55E8</v>
      </c>
      <c r="J890" s="1">
        <v>1.784E8</v>
      </c>
      <c r="K890" s="1">
        <v>1.784E8</v>
      </c>
      <c r="L890" s="1">
        <v>-4.61E7</v>
      </c>
      <c r="M890" s="1">
        <v>6.3E7</v>
      </c>
      <c r="N890" s="1">
        <v>1.3222E9</v>
      </c>
      <c r="O890" s="1">
        <v>1.1438E9</v>
      </c>
      <c r="P890" s="1">
        <v>5.672E8</v>
      </c>
      <c r="Q890" s="1">
        <v>-1.373E8</v>
      </c>
      <c r="R890" s="1">
        <v>-2.19E7</v>
      </c>
      <c r="S890" s="1">
        <v>-2.29E7</v>
      </c>
      <c r="W890" s="4" t="str">
        <f>Raw_Data!C889&amp;"|"&amp;Raw_Data!D889&amp;"|"&amp;TEXT(Raw_Data!B889,"yyyy-mm-dd")</f>
        <v>Hanesbrands|HBI|2020-09-26</v>
      </c>
    </row>
    <row r="891">
      <c r="A891" s="1">
        <v>889.0</v>
      </c>
      <c r="B891" s="3">
        <v>44283.0</v>
      </c>
      <c r="C891" s="1" t="s">
        <v>486</v>
      </c>
      <c r="D891" s="1" t="s">
        <v>487</v>
      </c>
      <c r="E891" s="1">
        <v>6.18E7</v>
      </c>
      <c r="F891" s="1">
        <v>1.295E8</v>
      </c>
      <c r="G891" s="1">
        <v>1.162E8</v>
      </c>
      <c r="H891" s="1">
        <v>3.765E8</v>
      </c>
      <c r="I891" s="1">
        <v>6.185E8</v>
      </c>
      <c r="J891" s="1">
        <v>1.473E8</v>
      </c>
      <c r="K891" s="1">
        <v>1.473E8</v>
      </c>
      <c r="L891" s="1">
        <v>-4.79E7</v>
      </c>
      <c r="M891" s="1">
        <v>1.2E7</v>
      </c>
      <c r="N891" s="1">
        <v>1.1148E9</v>
      </c>
      <c r="O891" s="1">
        <v>9.675E8</v>
      </c>
      <c r="P891" s="1">
        <v>4.963E8</v>
      </c>
      <c r="Q891" s="1">
        <v>-1.78E7</v>
      </c>
      <c r="R891" s="1">
        <v>1.175E8</v>
      </c>
      <c r="S891" s="1">
        <v>1.162E8</v>
      </c>
      <c r="W891" s="4" t="str">
        <f>Raw_Data!C890&amp;"|"&amp;Raw_Data!D890&amp;"|"&amp;TEXT(Raw_Data!B890,"yyyy-mm-dd")</f>
        <v>Hasbro|HAS|2021-06-27</v>
      </c>
    </row>
    <row r="892">
      <c r="A892" s="1">
        <v>890.0</v>
      </c>
      <c r="B892" s="3">
        <v>44192.0</v>
      </c>
      <c r="C892" s="1" t="s">
        <v>486</v>
      </c>
      <c r="D892" s="1" t="s">
        <v>487</v>
      </c>
      <c r="E892" s="1">
        <v>8.4659E7</v>
      </c>
      <c r="F892" s="1">
        <v>1.38474E8</v>
      </c>
      <c r="G892" s="1">
        <v>1.05173E8</v>
      </c>
      <c r="H892" s="1">
        <v>4.72029E8</v>
      </c>
      <c r="I892" s="1">
        <v>8.28432E8</v>
      </c>
      <c r="J892" s="1">
        <v>2.34683E8</v>
      </c>
      <c r="K892" s="1">
        <v>2.34683E8</v>
      </c>
      <c r="L892" s="1">
        <v>-4.8428E7</v>
      </c>
      <c r="M892" s="1">
        <v>3.2308E7</v>
      </c>
      <c r="N892" s="1">
        <v>1.722971E9</v>
      </c>
      <c r="O892" s="1">
        <v>1.488288E9</v>
      </c>
      <c r="P892" s="1">
        <v>8.94539E8</v>
      </c>
      <c r="Q892" s="1">
        <v>-9.6209E7</v>
      </c>
      <c r="R892" s="1">
        <v>1.06166E8</v>
      </c>
      <c r="S892" s="1">
        <v>1.05173E8</v>
      </c>
      <c r="W892" s="4" t="str">
        <f>Raw_Data!C891&amp;"|"&amp;Raw_Data!D891&amp;"|"&amp;TEXT(Raw_Data!B891,"yyyy-mm-dd")</f>
        <v>Hasbro|HAS|2021-03-28</v>
      </c>
    </row>
    <row r="893">
      <c r="A893" s="1">
        <v>891.0</v>
      </c>
      <c r="B893" s="3">
        <v>44101.0</v>
      </c>
      <c r="C893" s="1" t="s">
        <v>486</v>
      </c>
      <c r="D893" s="1" t="s">
        <v>487</v>
      </c>
      <c r="E893" s="1">
        <v>6.2709E7</v>
      </c>
      <c r="F893" s="1">
        <v>2.99198E8</v>
      </c>
      <c r="G893" s="1">
        <v>2.20898E8</v>
      </c>
      <c r="H893" s="1">
        <v>4.62768E8</v>
      </c>
      <c r="I893" s="1">
        <v>9.04156E8</v>
      </c>
      <c r="J893" s="1">
        <v>3.42507E8</v>
      </c>
      <c r="K893" s="1">
        <v>3.42507E8</v>
      </c>
      <c r="L893" s="1">
        <v>-4.94E7</v>
      </c>
      <c r="M893" s="1">
        <v>7.9215E7</v>
      </c>
      <c r="N893" s="1">
        <v>1.776623E9</v>
      </c>
      <c r="O893" s="1">
        <v>1.434116E9</v>
      </c>
      <c r="P893" s="1">
        <v>8.72467E8</v>
      </c>
      <c r="Q893" s="1">
        <v>-4.3309E7</v>
      </c>
      <c r="R893" s="1">
        <v>2.19983E8</v>
      </c>
      <c r="S893" s="1">
        <v>2.20898E8</v>
      </c>
      <c r="W893" s="4" t="str">
        <f>Raw_Data!C892&amp;"|"&amp;Raw_Data!D892&amp;"|"&amp;TEXT(Raw_Data!B892,"yyyy-mm-dd")</f>
        <v>Hasbro|HAS|2020-12-27</v>
      </c>
    </row>
    <row r="894">
      <c r="A894" s="1">
        <v>892.0</v>
      </c>
      <c r="B894" s="3">
        <v>44377.0</v>
      </c>
      <c r="C894" s="1" t="s">
        <v>488</v>
      </c>
      <c r="D894" s="1" t="s">
        <v>489</v>
      </c>
      <c r="F894" s="1">
        <v>2.117E9</v>
      </c>
      <c r="G894" s="1">
        <v>1.45E9</v>
      </c>
      <c r="I894" s="1">
        <v>5.67E9</v>
      </c>
      <c r="J894" s="1">
        <v>2.485E9</v>
      </c>
      <c r="K894" s="1">
        <v>2.485E9</v>
      </c>
      <c r="L894" s="1">
        <v>-3.86E8</v>
      </c>
      <c r="M894" s="1">
        <v>4.53E8</v>
      </c>
      <c r="N894" s="1">
        <v>1.4435E10</v>
      </c>
      <c r="O894" s="1">
        <v>1.195E10</v>
      </c>
      <c r="P894" s="1">
        <v>8.765E9</v>
      </c>
      <c r="Q894" s="1">
        <v>-3.68E8</v>
      </c>
      <c r="R894" s="1">
        <v>1.664E9</v>
      </c>
      <c r="S894" s="1">
        <v>1.45E9</v>
      </c>
      <c r="W894" s="4" t="str">
        <f>Raw_Data!C893&amp;"|"&amp;Raw_Data!D893&amp;"|"&amp;TEXT(Raw_Data!B893,"yyyy-mm-dd")</f>
        <v>Hasbro|HAS|2020-09-27</v>
      </c>
    </row>
    <row r="895">
      <c r="A895" s="1">
        <v>893.0</v>
      </c>
      <c r="B895" s="3">
        <v>44286.0</v>
      </c>
      <c r="C895" s="1" t="s">
        <v>488</v>
      </c>
      <c r="D895" s="1" t="s">
        <v>489</v>
      </c>
      <c r="F895" s="1">
        <v>1.973E9</v>
      </c>
      <c r="G895" s="1">
        <v>1.423E9</v>
      </c>
      <c r="I895" s="1">
        <v>5.452E9</v>
      </c>
      <c r="J895" s="1">
        <v>2.334E9</v>
      </c>
      <c r="K895" s="1">
        <v>2.334E9</v>
      </c>
      <c r="L895" s="1">
        <v>-3.84E8</v>
      </c>
      <c r="M895" s="1">
        <v>3.93E8</v>
      </c>
      <c r="N895" s="1">
        <v>1.3977E10</v>
      </c>
      <c r="O895" s="1">
        <v>1.1643E10</v>
      </c>
      <c r="P895" s="1">
        <v>8.525E9</v>
      </c>
      <c r="Q895" s="1">
        <v>-3.61E8</v>
      </c>
      <c r="R895" s="1">
        <v>1.58E9</v>
      </c>
      <c r="S895" s="1">
        <v>1.423E9</v>
      </c>
      <c r="W895" s="4" t="str">
        <f>Raw_Data!C894&amp;"|"&amp;Raw_Data!D894&amp;"|"&amp;TEXT(Raw_Data!B894,"yyyy-mm-dd")</f>
        <v>HCA Healthcare|HCA|2021-06-30</v>
      </c>
    </row>
    <row r="896">
      <c r="A896" s="1">
        <v>894.0</v>
      </c>
      <c r="B896" s="3">
        <v>44196.0</v>
      </c>
      <c r="C896" s="1" t="s">
        <v>488</v>
      </c>
      <c r="D896" s="1" t="s">
        <v>489</v>
      </c>
      <c r="F896" s="1">
        <v>2.072E9</v>
      </c>
      <c r="G896" s="1">
        <v>1.426E9</v>
      </c>
      <c r="H896" s="1">
        <v>9.23E8</v>
      </c>
      <c r="I896" s="1">
        <v>5.534E9</v>
      </c>
      <c r="J896" s="1">
        <v>2.39E9</v>
      </c>
      <c r="K896" s="1">
        <v>2.39E9</v>
      </c>
      <c r="L896" s="1">
        <v>-3.83E8</v>
      </c>
      <c r="M896" s="1">
        <v>3.78E8</v>
      </c>
      <c r="N896" s="1">
        <v>1.4293E10</v>
      </c>
      <c r="O896" s="1">
        <v>1.1903E10</v>
      </c>
      <c r="P896" s="1">
        <v>8.759E9</v>
      </c>
      <c r="Q896" s="1">
        <v>-3.18E8</v>
      </c>
      <c r="R896" s="1">
        <v>1.694E9</v>
      </c>
      <c r="S896" s="1">
        <v>1.426E9</v>
      </c>
      <c r="W896" s="4" t="str">
        <f>Raw_Data!C895&amp;"|"&amp;Raw_Data!D895&amp;"|"&amp;TEXT(Raw_Data!B895,"yyyy-mm-dd")</f>
        <v>HCA Healthcare|HCA|2021-03-31</v>
      </c>
    </row>
    <row r="897">
      <c r="A897" s="1">
        <v>895.0</v>
      </c>
      <c r="B897" s="3">
        <v>44104.0</v>
      </c>
      <c r="C897" s="1" t="s">
        <v>488</v>
      </c>
      <c r="D897" s="1" t="s">
        <v>489</v>
      </c>
      <c r="F897" s="1">
        <v>9.88E8</v>
      </c>
      <c r="G897" s="1">
        <v>6.68E8</v>
      </c>
      <c r="H897" s="1">
        <v>9.23E8</v>
      </c>
      <c r="I897" s="1">
        <v>5.086E9</v>
      </c>
      <c r="J897" s="1">
        <v>2.141E9</v>
      </c>
      <c r="K897" s="1">
        <v>2.141E9</v>
      </c>
      <c r="L897" s="1">
        <v>-3.85E8</v>
      </c>
      <c r="M897" s="1">
        <v>2.09E8</v>
      </c>
      <c r="N897" s="1">
        <v>1.3311E10</v>
      </c>
      <c r="O897" s="1">
        <v>1.117E10</v>
      </c>
      <c r="P897" s="1">
        <v>8.225E9</v>
      </c>
      <c r="Q897" s="1">
        <v>-1.153E9</v>
      </c>
      <c r="R897" s="1">
        <v>7.79E8</v>
      </c>
      <c r="S897" s="1">
        <v>6.68E8</v>
      </c>
      <c r="W897" s="4" t="str">
        <f>Raw_Data!C896&amp;"|"&amp;Raw_Data!D896&amp;"|"&amp;TEXT(Raw_Data!B896,"yyyy-mm-dd")</f>
        <v>HCA Healthcare|HCA|2020-12-31</v>
      </c>
    </row>
    <row r="898">
      <c r="A898" s="1">
        <v>896.0</v>
      </c>
      <c r="B898" s="3">
        <v>44377.0</v>
      </c>
      <c r="C898" s="1" t="s">
        <v>490</v>
      </c>
      <c r="D898" s="1" t="s">
        <v>491</v>
      </c>
      <c r="F898" s="1">
        <v>1.67302E8</v>
      </c>
      <c r="G898" s="1">
        <v>2.7628E8</v>
      </c>
      <c r="H898" s="1">
        <v>2.4088E7</v>
      </c>
      <c r="I898" s="1">
        <v>2.84487E8</v>
      </c>
      <c r="J898" s="1">
        <v>8.894E7</v>
      </c>
      <c r="K898" s="1">
        <v>8.894E7</v>
      </c>
      <c r="L898" s="1">
        <v>-3.8681E7</v>
      </c>
      <c r="M898" s="1">
        <v>-763000.0</v>
      </c>
      <c r="N898" s="1">
        <v>4.76238E8</v>
      </c>
      <c r="O898" s="1">
        <v>3.87298E8</v>
      </c>
      <c r="P898" s="1">
        <v>1.91751E8</v>
      </c>
      <c r="Q898" s="1">
        <v>7.8362E7</v>
      </c>
      <c r="R898" s="1">
        <v>1.68065E8</v>
      </c>
      <c r="S898" s="1">
        <v>2.75993E8</v>
      </c>
      <c r="W898" s="4" t="str">
        <f>Raw_Data!C897&amp;"|"&amp;Raw_Data!D897&amp;"|"&amp;TEXT(Raw_Data!B897,"yyyy-mm-dd")</f>
        <v>HCA Healthcare|HCA|2020-09-30</v>
      </c>
    </row>
    <row r="899">
      <c r="A899" s="1">
        <v>897.0</v>
      </c>
      <c r="B899" s="3">
        <v>44286.0</v>
      </c>
      <c r="C899" s="1" t="s">
        <v>490</v>
      </c>
      <c r="D899" s="1" t="s">
        <v>491</v>
      </c>
      <c r="F899" s="1">
        <v>-1.20577E8</v>
      </c>
      <c r="G899" s="1">
        <v>1.45788E8</v>
      </c>
      <c r="H899" s="1">
        <v>2.2439E7</v>
      </c>
      <c r="I899" s="1">
        <v>2.68863E8</v>
      </c>
      <c r="J899" s="1">
        <v>8.8886E7</v>
      </c>
      <c r="K899" s="1">
        <v>8.8886E7</v>
      </c>
      <c r="L899" s="1">
        <v>-4.6843E7</v>
      </c>
      <c r="M899" s="1">
        <v>8000.0</v>
      </c>
      <c r="N899" s="1">
        <v>4.55276E8</v>
      </c>
      <c r="O899" s="1">
        <v>3.6639E8</v>
      </c>
      <c r="P899" s="1">
        <v>1.86413E8</v>
      </c>
      <c r="Q899" s="1">
        <v>-2.09463E8</v>
      </c>
      <c r="R899" s="1">
        <v>-1.20585E8</v>
      </c>
      <c r="S899" s="1">
        <v>1.43337E8</v>
      </c>
      <c r="W899" s="4" t="str">
        <f>Raw_Data!C898&amp;"|"&amp;Raw_Data!D898&amp;"|"&amp;TEXT(Raw_Data!B898,"yyyy-mm-dd")</f>
        <v>Healthpeak Properties|PEAK|2021-06-30</v>
      </c>
    </row>
    <row r="900">
      <c r="A900" s="1">
        <v>898.0</v>
      </c>
      <c r="B900" s="3">
        <v>44196.0</v>
      </c>
      <c r="C900" s="1" t="s">
        <v>490</v>
      </c>
      <c r="D900" s="1" t="s">
        <v>491</v>
      </c>
      <c r="F900" s="1">
        <v>-2.1835E7</v>
      </c>
      <c r="G900" s="1">
        <v>1.46394E8</v>
      </c>
      <c r="H900" s="1">
        <v>2.5507E7</v>
      </c>
      <c r="I900" s="1">
        <v>2.4606E8</v>
      </c>
      <c r="J900" s="1">
        <v>7.3378E7</v>
      </c>
      <c r="K900" s="1">
        <v>7.3378E7</v>
      </c>
      <c r="L900" s="1">
        <v>-5.4088E7</v>
      </c>
      <c r="M900" s="1">
        <v>-2631000.0</v>
      </c>
      <c r="N900" s="1">
        <v>4.31697E8</v>
      </c>
      <c r="O900" s="1">
        <v>3.58319E8</v>
      </c>
      <c r="P900" s="1">
        <v>1.85637E8</v>
      </c>
      <c r="Q900" s="1">
        <v>-9.5213E7</v>
      </c>
      <c r="R900" s="1">
        <v>-1.9204E7</v>
      </c>
      <c r="S900" s="1">
        <v>1.46129E8</v>
      </c>
      <c r="W900" s="4" t="str">
        <f>Raw_Data!C899&amp;"|"&amp;Raw_Data!D899&amp;"|"&amp;TEXT(Raw_Data!B899,"yyyy-mm-dd")</f>
        <v>Healthpeak Properties|PEAK|2021-03-31</v>
      </c>
    </row>
    <row r="901">
      <c r="A901" s="1">
        <v>899.0</v>
      </c>
      <c r="B901" s="3">
        <v>44104.0</v>
      </c>
      <c r="C901" s="1" t="s">
        <v>490</v>
      </c>
      <c r="D901" s="1" t="s">
        <v>491</v>
      </c>
      <c r="F901" s="1">
        <v>-3.5407E7</v>
      </c>
      <c r="G901" s="1">
        <v>-6.3417E7</v>
      </c>
      <c r="H901" s="1">
        <v>2.1661E7</v>
      </c>
      <c r="I901" s="1">
        <v>2.77861E8</v>
      </c>
      <c r="J901" s="1">
        <v>8.257E7</v>
      </c>
      <c r="K901" s="1">
        <v>8.257E7</v>
      </c>
      <c r="L901" s="1">
        <v>-5.6235E7</v>
      </c>
      <c r="M901" s="1">
        <v>2.4174E7</v>
      </c>
      <c r="N901" s="1">
        <v>5.97739E8</v>
      </c>
      <c r="O901" s="1">
        <v>5.15169E8</v>
      </c>
      <c r="P901" s="1">
        <v>3.19878E8</v>
      </c>
      <c r="Q901" s="1">
        <v>-1.17977E8</v>
      </c>
      <c r="R901" s="1">
        <v>-5.9581E7</v>
      </c>
      <c r="S901" s="1">
        <v>-6.3768E7</v>
      </c>
      <c r="W901" s="4" t="str">
        <f>Raw_Data!C900&amp;"|"&amp;Raw_Data!D900&amp;"|"&amp;TEXT(Raw_Data!B900,"yyyy-mm-dd")</f>
        <v>Healthpeak Properties|PEAK|2020-12-31</v>
      </c>
    </row>
    <row r="902">
      <c r="A902" s="1">
        <v>900.0</v>
      </c>
      <c r="B902" s="3">
        <v>44282.0</v>
      </c>
      <c r="C902" s="1" t="s">
        <v>492</v>
      </c>
      <c r="D902" s="1" t="s">
        <v>493</v>
      </c>
      <c r="F902" s="1">
        <v>2.31613E8</v>
      </c>
      <c r="G902" s="1">
        <v>1.65997E8</v>
      </c>
      <c r="H902" s="1">
        <v>6.57992E8</v>
      </c>
      <c r="I902" s="1">
        <v>8.90851E8</v>
      </c>
      <c r="J902" s="1">
        <v>2.32859E8</v>
      </c>
      <c r="K902" s="1">
        <v>2.32859E8</v>
      </c>
      <c r="L902" s="1">
        <v>-6485000.0</v>
      </c>
      <c r="M902" s="1">
        <v>5.6685E7</v>
      </c>
      <c r="N902" s="1">
        <v>2.924961E9</v>
      </c>
      <c r="O902" s="1">
        <v>2.692102E9</v>
      </c>
      <c r="P902" s="1">
        <v>2.03411E9</v>
      </c>
      <c r="Q902" s="1">
        <v>-1246000.0</v>
      </c>
      <c r="R902" s="1">
        <v>1.74928E8</v>
      </c>
      <c r="S902" s="1">
        <v>1.65997E8</v>
      </c>
      <c r="W902" s="4" t="str">
        <f>Raw_Data!C901&amp;"|"&amp;Raw_Data!D901&amp;"|"&amp;TEXT(Raw_Data!B901,"yyyy-mm-dd")</f>
        <v>Healthpeak Properties|PEAK|2020-09-30</v>
      </c>
    </row>
    <row r="903">
      <c r="A903" s="1">
        <v>901.0</v>
      </c>
      <c r="B903" s="3">
        <v>44191.0</v>
      </c>
      <c r="C903" s="1" t="s">
        <v>492</v>
      </c>
      <c r="D903" s="1" t="s">
        <v>493</v>
      </c>
      <c r="F903" s="1">
        <v>1.76038E8</v>
      </c>
      <c r="G903" s="1">
        <v>1.42633E8</v>
      </c>
      <c r="H903" s="1">
        <v>6.95331E8</v>
      </c>
      <c r="I903" s="1">
        <v>8.59711E8</v>
      </c>
      <c r="J903" s="1">
        <v>1.6438E8</v>
      </c>
      <c r="K903" s="1">
        <v>1.6438E8</v>
      </c>
      <c r="L903" s="1">
        <v>-1.1968E7</v>
      </c>
      <c r="M903" s="1">
        <v>2.9409E7</v>
      </c>
      <c r="N903" s="1">
        <v>3.165725E9</v>
      </c>
      <c r="O903" s="1">
        <v>3.001345E9</v>
      </c>
      <c r="P903" s="1">
        <v>2.306014E9</v>
      </c>
      <c r="Q903" s="1">
        <v>1.1658E7</v>
      </c>
      <c r="R903" s="1">
        <v>1.46629E8</v>
      </c>
      <c r="S903" s="1">
        <v>1.42633E8</v>
      </c>
      <c r="W903" s="4" t="str">
        <f>Raw_Data!C902&amp;"|"&amp;Raw_Data!D902&amp;"|"&amp;TEXT(Raw_Data!B902,"yyyy-mm-dd")</f>
        <v>Henry Schein|HSIC|2021-03-27</v>
      </c>
    </row>
    <row r="904">
      <c r="A904" s="1">
        <v>902.0</v>
      </c>
      <c r="B904" s="3">
        <v>44100.0</v>
      </c>
      <c r="C904" s="1" t="s">
        <v>492</v>
      </c>
      <c r="D904" s="1" t="s">
        <v>493</v>
      </c>
      <c r="F904" s="1">
        <v>1.80818E8</v>
      </c>
      <c r="G904" s="1">
        <v>1.41697E8</v>
      </c>
      <c r="H904" s="1">
        <v>5.59636E8</v>
      </c>
      <c r="I904" s="1">
        <v>7.54299E8</v>
      </c>
      <c r="J904" s="1">
        <v>1.94663E8</v>
      </c>
      <c r="K904" s="1">
        <v>1.94663E8</v>
      </c>
      <c r="L904" s="1">
        <v>-1.1111E7</v>
      </c>
      <c r="M904" s="1">
        <v>2.9005E7</v>
      </c>
      <c r="N904" s="1">
        <v>2.840146E9</v>
      </c>
      <c r="O904" s="1">
        <v>2.645483E9</v>
      </c>
      <c r="P904" s="1">
        <v>2.085847E9</v>
      </c>
      <c r="Q904" s="1">
        <v>-1.3845E7</v>
      </c>
      <c r="R904" s="1">
        <v>1.51813E8</v>
      </c>
      <c r="S904" s="1">
        <v>1.41697E8</v>
      </c>
      <c r="W904" s="4" t="str">
        <f>Raw_Data!C903&amp;"|"&amp;Raw_Data!D903&amp;"|"&amp;TEXT(Raw_Data!B903,"yyyy-mm-dd")</f>
        <v>Henry Schein|HSIC|2020-12-26</v>
      </c>
    </row>
    <row r="905">
      <c r="A905" s="1">
        <v>903.0</v>
      </c>
      <c r="B905" s="3">
        <v>44009.0</v>
      </c>
      <c r="C905" s="1" t="s">
        <v>492</v>
      </c>
      <c r="D905" s="1" t="s">
        <v>493</v>
      </c>
      <c r="F905" s="1">
        <v>-1.4802E7</v>
      </c>
      <c r="G905" s="1">
        <v>-1.0797E7</v>
      </c>
      <c r="H905" s="1">
        <v>4.45793E8</v>
      </c>
      <c r="I905" s="1">
        <v>4.54294E8</v>
      </c>
      <c r="J905" s="1">
        <v>8501000.0</v>
      </c>
      <c r="K905" s="1">
        <v>8501000.0</v>
      </c>
      <c r="L905" s="1">
        <v>-1.0486E7</v>
      </c>
      <c r="M905" s="1">
        <v>-950000.0</v>
      </c>
      <c r="N905" s="1">
        <v>1.684399E9</v>
      </c>
      <c r="O905" s="1">
        <v>1.675898E9</v>
      </c>
      <c r="P905" s="1">
        <v>1.230105E9</v>
      </c>
      <c r="Q905" s="1">
        <v>-2.3303E7</v>
      </c>
      <c r="R905" s="1">
        <v>-1.3852E7</v>
      </c>
      <c r="S905" s="1">
        <v>-1.0797E7</v>
      </c>
      <c r="W905" s="4" t="str">
        <f>Raw_Data!C904&amp;"|"&amp;Raw_Data!D904&amp;"|"&amp;TEXT(Raw_Data!B904,"yyyy-mm-dd")</f>
        <v>Henry Schein|HSIC|2020-09-26</v>
      </c>
    </row>
    <row r="906">
      <c r="A906" s="1">
        <v>904.0</v>
      </c>
      <c r="B906" s="3">
        <v>44377.0</v>
      </c>
      <c r="C906" s="1" t="s">
        <v>494</v>
      </c>
      <c r="D906" s="1" t="s">
        <v>495</v>
      </c>
      <c r="F906" s="1">
        <v>1.35E8</v>
      </c>
      <c r="G906" s="1">
        <v>-7.3E7</v>
      </c>
      <c r="H906" s="1">
        <v>3.99E8</v>
      </c>
      <c r="I906" s="1">
        <v>1.213E9</v>
      </c>
      <c r="J906" s="1">
        <v>2.54E8</v>
      </c>
      <c r="K906" s="1">
        <v>2.54E8</v>
      </c>
      <c r="L906" s="1">
        <v>-1.18E8</v>
      </c>
      <c r="M906" s="1">
        <v>1.22E8</v>
      </c>
      <c r="N906" s="1">
        <v>1.535E9</v>
      </c>
      <c r="O906" s="1">
        <v>1.281E9</v>
      </c>
      <c r="P906" s="1">
        <v>3.22E8</v>
      </c>
      <c r="Q906" s="1">
        <v>-1.19E8</v>
      </c>
      <c r="R906" s="1">
        <v>1.3E7</v>
      </c>
      <c r="S906" s="1">
        <v>-7.3E7</v>
      </c>
      <c r="W906" s="4" t="str">
        <f>Raw_Data!C905&amp;"|"&amp;Raw_Data!D905&amp;"|"&amp;TEXT(Raw_Data!B905,"yyyy-mm-dd")</f>
        <v>Henry Schein|HSIC|2020-06-27</v>
      </c>
    </row>
    <row r="907">
      <c r="A907" s="1">
        <v>905.0</v>
      </c>
      <c r="B907" s="3">
        <v>44286.0</v>
      </c>
      <c r="C907" s="1" t="s">
        <v>494</v>
      </c>
      <c r="D907" s="1" t="s">
        <v>495</v>
      </c>
      <c r="F907" s="1">
        <v>4.59E8</v>
      </c>
      <c r="G907" s="1">
        <v>2.52E8</v>
      </c>
      <c r="H907" s="1">
        <v>3.59E8</v>
      </c>
      <c r="I907" s="1">
        <v>1.343E9</v>
      </c>
      <c r="J907" s="1">
        <v>5.77E8</v>
      </c>
      <c r="K907" s="1">
        <v>5.77E8</v>
      </c>
      <c r="L907" s="1">
        <v>-1.17E8</v>
      </c>
      <c r="M907" s="1">
        <v>1.23E8</v>
      </c>
      <c r="N907" s="1">
        <v>1.861E9</v>
      </c>
      <c r="O907" s="1">
        <v>1.284E9</v>
      </c>
      <c r="P907" s="1">
        <v>5.18E8</v>
      </c>
      <c r="Q907" s="1">
        <v>-1.18E8</v>
      </c>
      <c r="R907" s="1">
        <v>3.36E8</v>
      </c>
      <c r="S907" s="1">
        <v>2.52E8</v>
      </c>
      <c r="W907" s="4" t="str">
        <f>Raw_Data!C906&amp;"|"&amp;Raw_Data!D906&amp;"|"&amp;TEXT(Raw_Data!B906,"yyyy-mm-dd")</f>
        <v>Hess Corporation|HES|2021-06-30</v>
      </c>
    </row>
    <row r="908">
      <c r="A908" s="1">
        <v>906.0</v>
      </c>
      <c r="B908" s="3">
        <v>44196.0</v>
      </c>
      <c r="C908" s="1" t="s">
        <v>494</v>
      </c>
      <c r="D908" s="1" t="s">
        <v>495</v>
      </c>
      <c r="F908" s="1">
        <v>4.5E7</v>
      </c>
      <c r="G908" s="1">
        <v>-9.7E7</v>
      </c>
      <c r="H908" s="1">
        <v>3.28E8</v>
      </c>
      <c r="I908" s="1">
        <v>1.061E9</v>
      </c>
      <c r="J908" s="1">
        <v>1.38E8</v>
      </c>
      <c r="K908" s="1">
        <v>1.38E8</v>
      </c>
      <c r="L908" s="1">
        <v>-1.18E8</v>
      </c>
      <c r="M908" s="1">
        <v>7.2E7</v>
      </c>
      <c r="N908" s="1">
        <v>1.289E9</v>
      </c>
      <c r="O908" s="1">
        <v>1.151E9</v>
      </c>
      <c r="P908" s="1">
        <v>2.28E8</v>
      </c>
      <c r="Q908" s="1">
        <v>-9.3E7</v>
      </c>
      <c r="R908" s="1">
        <v>-2.7E7</v>
      </c>
      <c r="S908" s="1">
        <v>-9.7E7</v>
      </c>
      <c r="W908" s="4" t="str">
        <f>Raw_Data!C907&amp;"|"&amp;Raw_Data!D907&amp;"|"&amp;TEXT(Raw_Data!B907,"yyyy-mm-dd")</f>
        <v>Hess Corporation|HES|2021-03-31</v>
      </c>
    </row>
    <row r="909">
      <c r="A909" s="1">
        <v>907.0</v>
      </c>
      <c r="B909" s="3">
        <v>44104.0</v>
      </c>
      <c r="C909" s="1" t="s">
        <v>494</v>
      </c>
      <c r="D909" s="1" t="s">
        <v>495</v>
      </c>
      <c r="F909" s="1">
        <v>-1.78E8</v>
      </c>
      <c r="G909" s="1">
        <v>-2.43E8</v>
      </c>
      <c r="H909" s="1">
        <v>3.66E8</v>
      </c>
      <c r="I909" s="1">
        <v>9.04E8</v>
      </c>
      <c r="J909" s="1">
        <v>-3.2E7</v>
      </c>
      <c r="K909" s="1">
        <v>-3.2E7</v>
      </c>
      <c r="L909" s="1">
        <v>-1.18E8</v>
      </c>
      <c r="M909" s="1">
        <v>5000000.0</v>
      </c>
      <c r="N909" s="1">
        <v>1.125E9</v>
      </c>
      <c r="O909" s="1">
        <v>1.157E9</v>
      </c>
      <c r="P909" s="1">
        <v>2.21E8</v>
      </c>
      <c r="Q909" s="1">
        <v>-1.46E8</v>
      </c>
      <c r="R909" s="1">
        <v>-1.83E8</v>
      </c>
      <c r="S909" s="1">
        <v>-2.43E8</v>
      </c>
      <c r="W909" s="4" t="str">
        <f>Raw_Data!C908&amp;"|"&amp;Raw_Data!D908&amp;"|"&amp;TEXT(Raw_Data!B908,"yyyy-mm-dd")</f>
        <v>Hess Corporation|HES|2020-12-31</v>
      </c>
    </row>
    <row r="910">
      <c r="A910" s="1">
        <v>908.0</v>
      </c>
      <c r="B910" s="3">
        <v>44408.0</v>
      </c>
      <c r="C910" s="1" t="s">
        <v>496</v>
      </c>
      <c r="D910" s="1" t="s">
        <v>497</v>
      </c>
      <c r="E910" s="1">
        <v>5.06E8</v>
      </c>
      <c r="F910" s="1">
        <v>4.06E8</v>
      </c>
      <c r="G910" s="1">
        <v>3.92E8</v>
      </c>
      <c r="H910" s="1">
        <v>1.271E9</v>
      </c>
      <c r="I910" s="1">
        <v>2.382E9</v>
      </c>
      <c r="J910" s="1">
        <v>5.99E8</v>
      </c>
      <c r="K910" s="1">
        <v>5.99E8</v>
      </c>
      <c r="L910" s="1">
        <v>-6.6E7</v>
      </c>
      <c r="M910" s="1">
        <v>1.4E7</v>
      </c>
      <c r="N910" s="1">
        <v>6.897E9</v>
      </c>
      <c r="O910" s="1">
        <v>6.298E9</v>
      </c>
      <c r="P910" s="1">
        <v>4.515E9</v>
      </c>
      <c r="Q910" s="1">
        <v>-1.93E8</v>
      </c>
      <c r="R910" s="1">
        <v>3.92E8</v>
      </c>
      <c r="S910" s="1">
        <v>3.92E8</v>
      </c>
      <c r="W910" s="4" t="str">
        <f>Raw_Data!C909&amp;"|"&amp;Raw_Data!D909&amp;"|"&amp;TEXT(Raw_Data!B909,"yyyy-mm-dd")</f>
        <v>Hess Corporation|HES|2020-09-30</v>
      </c>
    </row>
    <row r="911">
      <c r="A911" s="1">
        <v>909.0</v>
      </c>
      <c r="B911" s="3">
        <v>44316.0</v>
      </c>
      <c r="C911" s="1" t="s">
        <v>496</v>
      </c>
      <c r="D911" s="1" t="s">
        <v>497</v>
      </c>
      <c r="E911" s="1">
        <v>5.03E8</v>
      </c>
      <c r="F911" s="1">
        <v>2.88E8</v>
      </c>
      <c r="G911" s="1">
        <v>2.59E8</v>
      </c>
      <c r="H911" s="1">
        <v>1.18E9</v>
      </c>
      <c r="I911" s="1">
        <v>2.287E9</v>
      </c>
      <c r="J911" s="1">
        <v>5.13E8</v>
      </c>
      <c r="K911" s="1">
        <v>5.13E8</v>
      </c>
      <c r="L911" s="1">
        <v>-1.01E8</v>
      </c>
      <c r="M911" s="1">
        <v>2.9E7</v>
      </c>
      <c r="N911" s="1">
        <v>6.7E9</v>
      </c>
      <c r="O911" s="1">
        <v>6.187E9</v>
      </c>
      <c r="P911" s="1">
        <v>4.413E9</v>
      </c>
      <c r="Q911" s="1">
        <v>-2.25E8</v>
      </c>
      <c r="R911" s="1">
        <v>2.59E8</v>
      </c>
      <c r="S911" s="1">
        <v>2.59E8</v>
      </c>
      <c r="W911" s="4" t="str">
        <f>Raw_Data!C910&amp;"|"&amp;Raw_Data!D910&amp;"|"&amp;TEXT(Raw_Data!B910,"yyyy-mm-dd")</f>
        <v>Hewlett Packard Enterprise|HPE|2021-07-31</v>
      </c>
    </row>
    <row r="912">
      <c r="A912" s="1">
        <v>910.0</v>
      </c>
      <c r="B912" s="3">
        <v>44227.0</v>
      </c>
      <c r="C912" s="1" t="s">
        <v>496</v>
      </c>
      <c r="D912" s="1" t="s">
        <v>497</v>
      </c>
      <c r="E912" s="1">
        <v>4.68E8</v>
      </c>
      <c r="F912" s="1">
        <v>2.05E8</v>
      </c>
      <c r="G912" s="1">
        <v>2.23E8</v>
      </c>
      <c r="H912" s="1">
        <v>1.142E9</v>
      </c>
      <c r="I912" s="1">
        <v>2.288E9</v>
      </c>
      <c r="J912" s="1">
        <v>5.52E8</v>
      </c>
      <c r="K912" s="1">
        <v>5.52E8</v>
      </c>
      <c r="L912" s="1">
        <v>-1.01E8</v>
      </c>
      <c r="M912" s="1">
        <v>-1.8E7</v>
      </c>
      <c r="N912" s="1">
        <v>6.833E9</v>
      </c>
      <c r="O912" s="1">
        <v>6.281E9</v>
      </c>
      <c r="P912" s="1">
        <v>4.545E9</v>
      </c>
      <c r="Q912" s="1">
        <v>-3.47E8</v>
      </c>
      <c r="R912" s="1">
        <v>2.23E8</v>
      </c>
      <c r="S912" s="1">
        <v>2.23E8</v>
      </c>
      <c r="W912" s="4" t="str">
        <f>Raw_Data!C911&amp;"|"&amp;Raw_Data!D911&amp;"|"&amp;TEXT(Raw_Data!B911,"yyyy-mm-dd")</f>
        <v>Hewlett Packard Enterprise|HPE|2021-04-30</v>
      </c>
    </row>
    <row r="913">
      <c r="A913" s="1">
        <v>911.0</v>
      </c>
      <c r="B913" s="3">
        <v>44135.0</v>
      </c>
      <c r="C913" s="1" t="s">
        <v>496</v>
      </c>
      <c r="D913" s="1" t="s">
        <v>497</v>
      </c>
      <c r="E913" s="1">
        <v>4.84E8</v>
      </c>
      <c r="F913" s="1">
        <v>1.25E8</v>
      </c>
      <c r="G913" s="1">
        <v>1.57E8</v>
      </c>
      <c r="H913" s="1">
        <v>1.126E9</v>
      </c>
      <c r="I913" s="1">
        <v>2.206E9</v>
      </c>
      <c r="J913" s="1">
        <v>5.02E8</v>
      </c>
      <c r="K913" s="1">
        <v>5.02E8</v>
      </c>
      <c r="L913" s="1">
        <v>-1.78E8</v>
      </c>
      <c r="M913" s="1">
        <v>-3.2E7</v>
      </c>
      <c r="N913" s="1">
        <v>7.208E9</v>
      </c>
      <c r="O913" s="1">
        <v>6.706E9</v>
      </c>
      <c r="P913" s="1">
        <v>5.002E9</v>
      </c>
      <c r="Q913" s="1">
        <v>-3.77E8</v>
      </c>
      <c r="R913" s="1">
        <v>1.57E8</v>
      </c>
      <c r="S913" s="1">
        <v>1.57E8</v>
      </c>
      <c r="W913" s="4" t="str">
        <f>Raw_Data!C912&amp;"|"&amp;Raw_Data!D912&amp;"|"&amp;TEXT(Raw_Data!B912,"yyyy-mm-dd")</f>
        <v>Hewlett Packard Enterprise|HPE|2021-01-31</v>
      </c>
    </row>
    <row r="914">
      <c r="A914" s="1">
        <v>912.0</v>
      </c>
      <c r="B914" s="3">
        <v>44286.0</v>
      </c>
      <c r="C914" s="1" t="s">
        <v>498</v>
      </c>
      <c r="D914" s="1" t="s">
        <v>499</v>
      </c>
      <c r="F914" s="1">
        <v>-1.44E8</v>
      </c>
      <c r="G914" s="1">
        <v>-1.08E8</v>
      </c>
      <c r="H914" s="1">
        <v>9.8E7</v>
      </c>
      <c r="I914" s="1">
        <v>2.43E8</v>
      </c>
      <c r="J914" s="1">
        <v>2.0E7</v>
      </c>
      <c r="K914" s="1">
        <v>2.0E7</v>
      </c>
      <c r="L914" s="1">
        <v>-1.03E8</v>
      </c>
      <c r="M914" s="1">
        <v>-3.5E7</v>
      </c>
      <c r="N914" s="1">
        <v>3.53E8</v>
      </c>
      <c r="O914" s="1">
        <v>3.33E8</v>
      </c>
      <c r="P914" s="1">
        <v>1.1E8</v>
      </c>
      <c r="Q914" s="1">
        <v>-1.64E8</v>
      </c>
      <c r="R914" s="1">
        <v>-1.09E8</v>
      </c>
      <c r="S914" s="1">
        <v>-1.08E8</v>
      </c>
      <c r="W914" s="4" t="str">
        <f>Raw_Data!C913&amp;"|"&amp;Raw_Data!D913&amp;"|"&amp;TEXT(Raw_Data!B913,"yyyy-mm-dd")</f>
        <v>Hewlett Packard Enterprise|HPE|2020-10-31</v>
      </c>
    </row>
    <row r="915">
      <c r="A915" s="1">
        <v>913.0</v>
      </c>
      <c r="B915" s="3">
        <v>44196.0</v>
      </c>
      <c r="C915" s="1" t="s">
        <v>498</v>
      </c>
      <c r="D915" s="1" t="s">
        <v>499</v>
      </c>
      <c r="F915" s="1">
        <v>-3.49E8</v>
      </c>
      <c r="G915" s="1">
        <v>-2.24E8</v>
      </c>
      <c r="H915" s="1">
        <v>1.27E8</v>
      </c>
      <c r="I915" s="1">
        <v>2.42E8</v>
      </c>
      <c r="J915" s="1">
        <v>1.02E8</v>
      </c>
      <c r="K915" s="1">
        <v>1.02E8</v>
      </c>
      <c r="L915" s="1">
        <v>-1.13E8</v>
      </c>
      <c r="M915" s="1">
        <v>-1.24E8</v>
      </c>
      <c r="N915" s="1">
        <v>3.84E8</v>
      </c>
      <c r="O915" s="1">
        <v>2.82E8</v>
      </c>
      <c r="P915" s="1">
        <v>1.42E8</v>
      </c>
      <c r="Q915" s="1">
        <v>-4.51E8</v>
      </c>
      <c r="R915" s="1">
        <v>-2.25E8</v>
      </c>
      <c r="S915" s="1">
        <v>-2.24E8</v>
      </c>
      <c r="W915" s="4" t="str">
        <f>Raw_Data!C914&amp;"|"&amp;Raw_Data!D914&amp;"|"&amp;TEXT(Raw_Data!B914,"yyyy-mm-dd")</f>
        <v>Hilton Worldwide|HLT|2021-03-31</v>
      </c>
    </row>
    <row r="916">
      <c r="A916" s="1">
        <v>914.0</v>
      </c>
      <c r="B916" s="3">
        <v>44104.0</v>
      </c>
      <c r="C916" s="1" t="s">
        <v>498</v>
      </c>
      <c r="D916" s="1" t="s">
        <v>499</v>
      </c>
      <c r="F916" s="1">
        <v>-1.14E8</v>
      </c>
      <c r="G916" s="1">
        <v>-7.9E7</v>
      </c>
      <c r="H916" s="1">
        <v>6.9E7</v>
      </c>
      <c r="I916" s="1">
        <v>2.41E8</v>
      </c>
      <c r="J916" s="1">
        <v>1.7E7</v>
      </c>
      <c r="K916" s="1">
        <v>1.7E7</v>
      </c>
      <c r="L916" s="1">
        <v>-1.16E8</v>
      </c>
      <c r="M916" s="1">
        <v>-3.3E7</v>
      </c>
      <c r="N916" s="1">
        <v>3.85E8</v>
      </c>
      <c r="O916" s="1">
        <v>3.68E8</v>
      </c>
      <c r="P916" s="1">
        <v>1.44E8</v>
      </c>
      <c r="Q916" s="1">
        <v>-1.31E8</v>
      </c>
      <c r="R916" s="1">
        <v>-8.1E7</v>
      </c>
      <c r="S916" s="1">
        <v>-7.9E7</v>
      </c>
      <c r="W916" s="4" t="str">
        <f>Raw_Data!C915&amp;"|"&amp;Raw_Data!D915&amp;"|"&amp;TEXT(Raw_Data!B915,"yyyy-mm-dd")</f>
        <v>Hilton Worldwide|HLT|2020-12-31</v>
      </c>
    </row>
    <row r="917">
      <c r="A917" s="1">
        <v>915.0</v>
      </c>
      <c r="B917" s="3">
        <v>44012.0</v>
      </c>
      <c r="C917" s="1" t="s">
        <v>498</v>
      </c>
      <c r="D917" s="1" t="s">
        <v>499</v>
      </c>
      <c r="F917" s="1">
        <v>-4.44E8</v>
      </c>
      <c r="G917" s="1">
        <v>-4.3E8</v>
      </c>
      <c r="H917" s="1">
        <v>6.6E7</v>
      </c>
      <c r="I917" s="1">
        <v>8.1E7</v>
      </c>
      <c r="J917" s="1">
        <v>-2.52E8</v>
      </c>
      <c r="K917" s="1">
        <v>-2.52E8</v>
      </c>
      <c r="L917" s="1">
        <v>-1.06E8</v>
      </c>
      <c r="M917" s="1">
        <v>-1.2E7</v>
      </c>
      <c r="N917" s="1">
        <v>1.76E8</v>
      </c>
      <c r="O917" s="1">
        <v>4.28E8</v>
      </c>
      <c r="P917" s="1">
        <v>9.5E7</v>
      </c>
      <c r="Q917" s="1">
        <v>-1.92E8</v>
      </c>
      <c r="R917" s="1">
        <v>-4.32E8</v>
      </c>
      <c r="S917" s="1">
        <v>-4.3E8</v>
      </c>
      <c r="W917" s="4" t="str">
        <f>Raw_Data!C916&amp;"|"&amp;Raw_Data!D916&amp;"|"&amp;TEXT(Raw_Data!B916,"yyyy-mm-dd")</f>
        <v>Hilton Worldwide|HLT|2020-09-30</v>
      </c>
    </row>
    <row r="918">
      <c r="A918" s="1">
        <v>916.0</v>
      </c>
      <c r="B918" s="3">
        <v>44373.0</v>
      </c>
      <c r="C918" s="1" t="s">
        <v>500</v>
      </c>
      <c r="D918" s="1" t="s">
        <v>501</v>
      </c>
      <c r="E918" s="1">
        <v>6.9E7</v>
      </c>
      <c r="F918" s="1">
        <v>3.375E8</v>
      </c>
      <c r="G918" s="1">
        <v>2.684E8</v>
      </c>
      <c r="H918" s="1">
        <v>2.6E8</v>
      </c>
      <c r="I918" s="1">
        <v>7.697E8</v>
      </c>
      <c r="J918" s="1">
        <v>3.622E8</v>
      </c>
      <c r="K918" s="1">
        <v>3.622E8</v>
      </c>
      <c r="L918" s="1">
        <v>-2.16E7</v>
      </c>
      <c r="M918" s="1">
        <v>6.94E7</v>
      </c>
      <c r="N918" s="1">
        <v>1.1683E9</v>
      </c>
      <c r="O918" s="1">
        <v>8.061E8</v>
      </c>
      <c r="P918" s="1">
        <v>3.986E8</v>
      </c>
      <c r="Q918" s="1">
        <v>-2.47E7</v>
      </c>
      <c r="R918" s="1">
        <v>2.681E8</v>
      </c>
      <c r="S918" s="1">
        <v>2.684E8</v>
      </c>
      <c r="W918" s="4" t="str">
        <f>Raw_Data!C917&amp;"|"&amp;Raw_Data!D917&amp;"|"&amp;TEXT(Raw_Data!B917,"yyyy-mm-dd")</f>
        <v>Hilton Worldwide|HLT|2020-06-30</v>
      </c>
    </row>
    <row r="919">
      <c r="A919" s="1">
        <v>917.0</v>
      </c>
      <c r="B919" s="3">
        <v>44282.0</v>
      </c>
      <c r="C919" s="1" t="s">
        <v>500</v>
      </c>
      <c r="D919" s="1" t="s">
        <v>501</v>
      </c>
      <c r="E919" s="1">
        <v>7.15E7</v>
      </c>
      <c r="F919" s="1">
        <v>7.805E8</v>
      </c>
      <c r="G919" s="1">
        <v>6.199E8</v>
      </c>
      <c r="H919" s="1">
        <v>2.204E8</v>
      </c>
      <c r="I919" s="1">
        <v>1.1526E9</v>
      </c>
      <c r="J919" s="1">
        <v>7.86E8</v>
      </c>
      <c r="K919" s="1">
        <v>7.86E8</v>
      </c>
      <c r="L919" s="1">
        <v>-2.13E7</v>
      </c>
      <c r="M919" s="1">
        <v>1.611E8</v>
      </c>
      <c r="N919" s="1">
        <v>1.5376E9</v>
      </c>
      <c r="O919" s="1">
        <v>7.516E8</v>
      </c>
      <c r="P919" s="1">
        <v>3.85E8</v>
      </c>
      <c r="Q919" s="1">
        <v>-5500000.0</v>
      </c>
      <c r="R919" s="1">
        <v>6.194E8</v>
      </c>
      <c r="S919" s="1">
        <v>6.199E8</v>
      </c>
      <c r="W919" s="4" t="str">
        <f>Raw_Data!C918&amp;"|"&amp;Raw_Data!D918&amp;"|"&amp;TEXT(Raw_Data!B918,"yyyy-mm-dd")</f>
        <v>Hologic|HOLX|2021-06-26</v>
      </c>
    </row>
    <row r="920">
      <c r="A920" s="1">
        <v>918.0</v>
      </c>
      <c r="B920" s="3">
        <v>44191.0</v>
      </c>
      <c r="C920" s="1" t="s">
        <v>500</v>
      </c>
      <c r="D920" s="1" t="s">
        <v>501</v>
      </c>
      <c r="E920" s="1">
        <v>5.93E7</v>
      </c>
      <c r="F920" s="1">
        <v>8.324E8</v>
      </c>
      <c r="G920" s="1">
        <v>6.544E8</v>
      </c>
      <c r="H920" s="1">
        <v>2.195E8</v>
      </c>
      <c r="I920" s="1">
        <v>1.243E9</v>
      </c>
      <c r="J920" s="1">
        <v>8.925E8</v>
      </c>
      <c r="K920" s="1">
        <v>8.925E8</v>
      </c>
      <c r="L920" s="1">
        <v>-2.81E7</v>
      </c>
      <c r="M920" s="1">
        <v>1.79E8</v>
      </c>
      <c r="N920" s="1">
        <v>1.6098E9</v>
      </c>
      <c r="O920" s="1">
        <v>7.173E8</v>
      </c>
      <c r="P920" s="1">
        <v>3.668E8</v>
      </c>
      <c r="Q920" s="1">
        <v>-6.01E7</v>
      </c>
      <c r="R920" s="1">
        <v>6.534E8</v>
      </c>
      <c r="S920" s="1">
        <v>6.544E8</v>
      </c>
      <c r="W920" s="4" t="str">
        <f>Raw_Data!C919&amp;"|"&amp;Raw_Data!D919&amp;"|"&amp;TEXT(Raw_Data!B919,"yyyy-mm-dd")</f>
        <v>Hologic|HOLX|2021-03-27</v>
      </c>
    </row>
    <row r="921">
      <c r="A921" s="1">
        <v>919.0</v>
      </c>
      <c r="B921" s="3">
        <v>44100.0</v>
      </c>
      <c r="C921" s="1" t="s">
        <v>500</v>
      </c>
      <c r="D921" s="1" t="s">
        <v>501</v>
      </c>
      <c r="E921" s="1">
        <v>5.7E7</v>
      </c>
      <c r="F921" s="1">
        <v>6.171E8</v>
      </c>
      <c r="G921" s="1">
        <v>4.949E8</v>
      </c>
      <c r="H921" s="1">
        <v>2.242E8</v>
      </c>
      <c r="I921" s="1">
        <v>1.0024E9</v>
      </c>
      <c r="J921" s="1">
        <v>6.501E8</v>
      </c>
      <c r="K921" s="1">
        <v>6.501E8</v>
      </c>
      <c r="L921" s="1">
        <v>-2.5E7</v>
      </c>
      <c r="M921" s="1">
        <v>1.235E8</v>
      </c>
      <c r="N921" s="1">
        <v>1.3469E9</v>
      </c>
      <c r="O921" s="1">
        <v>6.968E8</v>
      </c>
      <c r="P921" s="1">
        <v>3.445E8</v>
      </c>
      <c r="Q921" s="1">
        <v>-3.3E7</v>
      </c>
      <c r="R921" s="1">
        <v>4.936E8</v>
      </c>
      <c r="S921" s="1">
        <v>4.949E8</v>
      </c>
      <c r="W921" s="4" t="str">
        <f>Raw_Data!C920&amp;"|"&amp;Raw_Data!D920&amp;"|"&amp;TEXT(Raw_Data!B920,"yyyy-mm-dd")</f>
        <v>Hologic|HOLX|2020-12-26</v>
      </c>
    </row>
    <row r="922">
      <c r="A922" s="1">
        <v>920.0</v>
      </c>
      <c r="B922" s="3">
        <v>44409.0</v>
      </c>
      <c r="C922" s="1" t="s">
        <v>502</v>
      </c>
      <c r="D922" s="1" t="s">
        <v>503</v>
      </c>
      <c r="F922" s="1">
        <v>6.318E9</v>
      </c>
      <c r="G922" s="1">
        <v>4.807E9</v>
      </c>
      <c r="H922" s="1">
        <v>6.409E9</v>
      </c>
      <c r="I922" s="1">
        <v>1.3665E10</v>
      </c>
      <c r="J922" s="1">
        <v>6.663E9</v>
      </c>
      <c r="K922" s="1">
        <v>6.663E9</v>
      </c>
      <c r="L922" s="1">
        <v>-3.26E8</v>
      </c>
      <c r="M922" s="1">
        <v>1.511E9</v>
      </c>
      <c r="N922" s="1">
        <v>4.1118E10</v>
      </c>
      <c r="O922" s="1">
        <v>3.4455E10</v>
      </c>
      <c r="P922" s="1">
        <v>2.7453E10</v>
      </c>
      <c r="Q922" s="1">
        <v>-3.45E8</v>
      </c>
      <c r="R922" s="1">
        <v>4.807E9</v>
      </c>
      <c r="S922" s="1">
        <v>4.807E9</v>
      </c>
      <c r="W922" s="4" t="str">
        <f>Raw_Data!C921&amp;"|"&amp;Raw_Data!D921&amp;"|"&amp;TEXT(Raw_Data!B921,"yyyy-mm-dd")</f>
        <v>Hologic|HOLX|2020-09-26</v>
      </c>
    </row>
    <row r="923">
      <c r="A923" s="1">
        <v>921.0</v>
      </c>
      <c r="B923" s="3">
        <v>44318.0</v>
      </c>
      <c r="C923" s="1" t="s">
        <v>502</v>
      </c>
      <c r="D923" s="1" t="s">
        <v>503</v>
      </c>
      <c r="F923" s="1">
        <v>5.448E9</v>
      </c>
      <c r="G923" s="1">
        <v>4.145E9</v>
      </c>
      <c r="H923" s="1">
        <v>6.296E9</v>
      </c>
      <c r="I923" s="1">
        <v>1.2742E10</v>
      </c>
      <c r="J923" s="1">
        <v>5.859E9</v>
      </c>
      <c r="K923" s="1">
        <v>5.859E9</v>
      </c>
      <c r="L923" s="1">
        <v>-3.39E8</v>
      </c>
      <c r="M923" s="1">
        <v>1.303E9</v>
      </c>
      <c r="N923" s="1">
        <v>3.75E10</v>
      </c>
      <c r="O923" s="1">
        <v>3.1641E10</v>
      </c>
      <c r="P923" s="1">
        <v>2.4758E10</v>
      </c>
      <c r="Q923" s="1">
        <v>-4.11E8</v>
      </c>
      <c r="R923" s="1">
        <v>4.145E9</v>
      </c>
      <c r="S923" s="1">
        <v>4.145E9</v>
      </c>
      <c r="W923" s="4" t="str">
        <f>Raw_Data!C922&amp;"|"&amp;Raw_Data!D922&amp;"|"&amp;TEXT(Raw_Data!B922,"yyyy-mm-dd")</f>
        <v>Home Depot|HD|2021-08-01</v>
      </c>
    </row>
    <row r="924">
      <c r="A924" s="1">
        <v>922.0</v>
      </c>
      <c r="B924" s="3">
        <v>44227.0</v>
      </c>
      <c r="C924" s="1" t="s">
        <v>502</v>
      </c>
      <c r="D924" s="1" t="s">
        <v>503</v>
      </c>
      <c r="F924" s="1">
        <v>3.756E9</v>
      </c>
      <c r="G924" s="1">
        <v>2.857E9</v>
      </c>
      <c r="H924" s="1">
        <v>5.722E9</v>
      </c>
      <c r="I924" s="1">
        <v>1.0831E10</v>
      </c>
      <c r="J924" s="1">
        <v>4.548E9</v>
      </c>
      <c r="K924" s="1">
        <v>4.548E9</v>
      </c>
      <c r="L924" s="1">
        <v>-3.37E8</v>
      </c>
      <c r="M924" s="1">
        <v>8.99E8</v>
      </c>
      <c r="N924" s="1">
        <v>3.2261E10</v>
      </c>
      <c r="O924" s="1">
        <v>2.7713E10</v>
      </c>
      <c r="P924" s="1">
        <v>2.143E10</v>
      </c>
      <c r="Q924" s="1">
        <v>-7.92E8</v>
      </c>
      <c r="R924" s="1">
        <v>2.857E9</v>
      </c>
      <c r="S924" s="1">
        <v>2.857E9</v>
      </c>
      <c r="W924" s="4" t="str">
        <f>Raw_Data!C923&amp;"|"&amp;Raw_Data!D923&amp;"|"&amp;TEXT(Raw_Data!B923,"yyyy-mm-dd")</f>
        <v>Home Depot|HD|2021-05-02</v>
      </c>
    </row>
    <row r="925">
      <c r="A925" s="1">
        <v>923.0</v>
      </c>
      <c r="B925" s="3">
        <v>44136.0</v>
      </c>
      <c r="C925" s="1" t="s">
        <v>502</v>
      </c>
      <c r="D925" s="1" t="s">
        <v>503</v>
      </c>
      <c r="F925" s="1">
        <v>4.523E9</v>
      </c>
      <c r="G925" s="1">
        <v>3.432E9</v>
      </c>
      <c r="H925" s="1">
        <v>5.663E9</v>
      </c>
      <c r="I925" s="1">
        <v>1.1456E10</v>
      </c>
      <c r="J925" s="1">
        <v>5.265E9</v>
      </c>
      <c r="K925" s="1">
        <v>5.265E9</v>
      </c>
      <c r="L925" s="1">
        <v>-3.4E8</v>
      </c>
      <c r="M925" s="1">
        <v>1.091E9</v>
      </c>
      <c r="N925" s="1">
        <v>3.3536E10</v>
      </c>
      <c r="O925" s="1">
        <v>2.8271E10</v>
      </c>
      <c r="P925" s="1">
        <v>2.208E10</v>
      </c>
      <c r="Q925" s="1">
        <v>-7.42E8</v>
      </c>
      <c r="R925" s="1">
        <v>3.432E9</v>
      </c>
      <c r="S925" s="1">
        <v>3.432E9</v>
      </c>
      <c r="W925" s="4" t="str">
        <f>Raw_Data!C924&amp;"|"&amp;Raw_Data!D924&amp;"|"&amp;TEXT(Raw_Data!B924,"yyyy-mm-dd")</f>
        <v>Home Depot|HD|2021-01-31</v>
      </c>
    </row>
    <row r="926">
      <c r="A926" s="1">
        <v>924.0</v>
      </c>
      <c r="B926" s="3">
        <v>44377.0</v>
      </c>
      <c r="C926" s="1" t="s">
        <v>504</v>
      </c>
      <c r="D926" s="1" t="s">
        <v>505</v>
      </c>
      <c r="F926" s="1">
        <v>1.881E9</v>
      </c>
      <c r="G926" s="1">
        <v>1.43E9</v>
      </c>
      <c r="H926" s="1">
        <v>8.8E8</v>
      </c>
      <c r="I926" s="1">
        <v>2.805E9</v>
      </c>
      <c r="J926" s="1">
        <v>1.925E9</v>
      </c>
      <c r="K926" s="1">
        <v>1.925E9</v>
      </c>
      <c r="L926" s="1">
        <v>-7.9E7</v>
      </c>
      <c r="M926" s="1">
        <v>4.34E8</v>
      </c>
      <c r="N926" s="1">
        <v>8.808E9</v>
      </c>
      <c r="O926" s="1">
        <v>6.883E9</v>
      </c>
      <c r="P926" s="1">
        <v>6.003E9</v>
      </c>
      <c r="Q926" s="1">
        <v>-4.4E7</v>
      </c>
      <c r="R926" s="1">
        <v>1.447E9</v>
      </c>
      <c r="S926" s="1">
        <v>1.43E9</v>
      </c>
      <c r="W926" s="4" t="str">
        <f>Raw_Data!C925&amp;"|"&amp;Raw_Data!D925&amp;"|"&amp;TEXT(Raw_Data!B925,"yyyy-mm-dd")</f>
        <v>Home Depot|HD|2020-11-01</v>
      </c>
    </row>
    <row r="927">
      <c r="A927" s="1">
        <v>925.0</v>
      </c>
      <c r="B927" s="3">
        <v>44286.0</v>
      </c>
      <c r="C927" s="1" t="s">
        <v>504</v>
      </c>
      <c r="D927" s="1" t="s">
        <v>505</v>
      </c>
      <c r="F927" s="1">
        <v>1.861E9</v>
      </c>
      <c r="G927" s="1">
        <v>1.427E9</v>
      </c>
      <c r="H927" s="1">
        <v>9.09E8</v>
      </c>
      <c r="I927" s="1">
        <v>2.745E9</v>
      </c>
      <c r="J927" s="1">
        <v>1.836E9</v>
      </c>
      <c r="K927" s="1">
        <v>1.836E9</v>
      </c>
      <c r="L927" s="1">
        <v>-9.0E7</v>
      </c>
      <c r="M927" s="1">
        <v>4.13E8</v>
      </c>
      <c r="N927" s="1">
        <v>8.454E9</v>
      </c>
      <c r="O927" s="1">
        <v>6.618E9</v>
      </c>
      <c r="P927" s="1">
        <v>5.709E9</v>
      </c>
      <c r="Q927" s="1">
        <v>2.5E7</v>
      </c>
      <c r="R927" s="1">
        <v>1.448E9</v>
      </c>
      <c r="S927" s="1">
        <v>1.427E9</v>
      </c>
      <c r="W927" s="4" t="str">
        <f>Raw_Data!C926&amp;"|"&amp;Raw_Data!D926&amp;"|"&amp;TEXT(Raw_Data!B926,"yyyy-mm-dd")</f>
        <v>Honeywell|HON|2021-06-30</v>
      </c>
    </row>
    <row r="928">
      <c r="A928" s="1">
        <v>926.0</v>
      </c>
      <c r="B928" s="3">
        <v>44196.0</v>
      </c>
      <c r="C928" s="1" t="s">
        <v>504</v>
      </c>
      <c r="D928" s="1" t="s">
        <v>505</v>
      </c>
      <c r="F928" s="1">
        <v>1.71E9</v>
      </c>
      <c r="G928" s="1">
        <v>1.359E9</v>
      </c>
      <c r="H928" s="1">
        <v>1.041E9</v>
      </c>
      <c r="I928" s="1">
        <v>2.924E9</v>
      </c>
      <c r="J928" s="1">
        <v>1.883E9</v>
      </c>
      <c r="K928" s="1">
        <v>1.883E9</v>
      </c>
      <c r="L928" s="1">
        <v>-9.5E7</v>
      </c>
      <c r="M928" s="1">
        <v>3.31E8</v>
      </c>
      <c r="N928" s="1">
        <v>8.9E9</v>
      </c>
      <c r="O928" s="1">
        <v>7.017E9</v>
      </c>
      <c r="P928" s="1">
        <v>5.976E9</v>
      </c>
      <c r="Q928" s="1">
        <v>-1.73E8</v>
      </c>
      <c r="R928" s="1">
        <v>1.379E9</v>
      </c>
      <c r="S928" s="1">
        <v>1.359E9</v>
      </c>
      <c r="W928" s="4" t="str">
        <f>Raw_Data!C927&amp;"|"&amp;Raw_Data!D927&amp;"|"&amp;TEXT(Raw_Data!B927,"yyyy-mm-dd")</f>
        <v>Honeywell|HON|2021-03-31</v>
      </c>
    </row>
    <row r="929">
      <c r="A929" s="1">
        <v>927.0</v>
      </c>
      <c r="B929" s="3">
        <v>44104.0</v>
      </c>
      <c r="C929" s="1" t="s">
        <v>504</v>
      </c>
      <c r="D929" s="1" t="s">
        <v>505</v>
      </c>
      <c r="F929" s="1">
        <v>1.148E9</v>
      </c>
      <c r="G929" s="1">
        <v>7.58E8</v>
      </c>
      <c r="H929" s="1">
        <v>8.52E8</v>
      </c>
      <c r="I929" s="1">
        <v>2.414E9</v>
      </c>
      <c r="J929" s="1">
        <v>1.562E9</v>
      </c>
      <c r="K929" s="1">
        <v>1.562E9</v>
      </c>
      <c r="L929" s="1">
        <v>-1.01E8</v>
      </c>
      <c r="M929" s="1">
        <v>3.67E8</v>
      </c>
      <c r="N929" s="1">
        <v>7.797E9</v>
      </c>
      <c r="O929" s="1">
        <v>6.235E9</v>
      </c>
      <c r="P929" s="1">
        <v>5.383E9</v>
      </c>
      <c r="Q929" s="1">
        <v>-4.14E8</v>
      </c>
      <c r="R929" s="1">
        <v>7.81E8</v>
      </c>
      <c r="S929" s="1">
        <v>7.58E8</v>
      </c>
      <c r="W929" s="4" t="str">
        <f>Raw_Data!C928&amp;"|"&amp;Raw_Data!D928&amp;"|"&amp;TEXT(Raw_Data!B928,"yyyy-mm-dd")</f>
        <v>Honeywell|HON|2020-12-31</v>
      </c>
    </row>
    <row r="930">
      <c r="A930" s="1">
        <v>928.0</v>
      </c>
      <c r="B930" s="3">
        <v>44402.0</v>
      </c>
      <c r="C930" s="1" t="s">
        <v>506</v>
      </c>
      <c r="D930" s="1" t="s">
        <v>507</v>
      </c>
      <c r="F930" s="1">
        <v>2.04238E8</v>
      </c>
      <c r="G930" s="1">
        <v>1.76917E8</v>
      </c>
      <c r="H930" s="1">
        <v>1.98822E8</v>
      </c>
      <c r="I930" s="1">
        <v>4.38248E8</v>
      </c>
      <c r="J930" s="1">
        <v>2.39426E8</v>
      </c>
      <c r="K930" s="1">
        <v>2.39426E8</v>
      </c>
      <c r="L930" s="1">
        <v>-1.1703E7</v>
      </c>
      <c r="M930" s="1">
        <v>2.7164E7</v>
      </c>
      <c r="N930" s="1">
        <v>2.86367E9</v>
      </c>
      <c r="O930" s="1">
        <v>2.624244E9</v>
      </c>
      <c r="P930" s="1">
        <v>2.425422E9</v>
      </c>
      <c r="Q930" s="1">
        <v>-3.5188E7</v>
      </c>
      <c r="R930" s="1">
        <v>1.77074E8</v>
      </c>
      <c r="S930" s="1">
        <v>1.76917E8</v>
      </c>
      <c r="W930" s="4" t="str">
        <f>Raw_Data!C929&amp;"|"&amp;Raw_Data!D929&amp;"|"&amp;TEXT(Raw_Data!B929,"yyyy-mm-dd")</f>
        <v>Honeywell|HON|2020-09-30</v>
      </c>
    </row>
    <row r="931">
      <c r="A931" s="1">
        <v>929.0</v>
      </c>
      <c r="B931" s="3">
        <v>44311.0</v>
      </c>
      <c r="C931" s="1" t="s">
        <v>506</v>
      </c>
      <c r="D931" s="1" t="s">
        <v>507</v>
      </c>
      <c r="F931" s="1">
        <v>2.92621E8</v>
      </c>
      <c r="G931" s="1">
        <v>2.27901E8</v>
      </c>
      <c r="H931" s="1">
        <v>1.99966E8</v>
      </c>
      <c r="I931" s="1">
        <v>4.82307E8</v>
      </c>
      <c r="J931" s="1">
        <v>2.82341E8</v>
      </c>
      <c r="K931" s="1">
        <v>2.82341E8</v>
      </c>
      <c r="L931" s="1">
        <v>-7788000.0</v>
      </c>
      <c r="M931" s="1">
        <v>6.4699E7</v>
      </c>
      <c r="N931" s="1">
        <v>2.606621E9</v>
      </c>
      <c r="O931" s="1">
        <v>2.32428E9</v>
      </c>
      <c r="P931" s="1">
        <v>2.124314E9</v>
      </c>
      <c r="Q931" s="1">
        <v>1.028E7</v>
      </c>
      <c r="R931" s="1">
        <v>2.27922E8</v>
      </c>
      <c r="S931" s="1">
        <v>2.27901E8</v>
      </c>
      <c r="W931" s="4" t="str">
        <f>Raw_Data!C930&amp;"|"&amp;Raw_Data!D930&amp;"|"&amp;TEXT(Raw_Data!B930,"yyyy-mm-dd")</f>
        <v>Hormel|HRL|2021-07-25</v>
      </c>
    </row>
    <row r="932">
      <c r="A932" s="1">
        <v>930.0</v>
      </c>
      <c r="B932" s="3">
        <v>44220.0</v>
      </c>
      <c r="C932" s="1" t="s">
        <v>506</v>
      </c>
      <c r="D932" s="1" t="s">
        <v>507</v>
      </c>
      <c r="F932" s="1">
        <v>2.77082E8</v>
      </c>
      <c r="G932" s="1">
        <v>2.22283E8</v>
      </c>
      <c r="H932" s="1">
        <v>1.9638E8</v>
      </c>
      <c r="I932" s="1">
        <v>4.6517E8</v>
      </c>
      <c r="J932" s="1">
        <v>2.6879E8</v>
      </c>
      <c r="K932" s="1">
        <v>2.6879E8</v>
      </c>
      <c r="L932" s="1">
        <v>-8227000.0</v>
      </c>
      <c r="M932" s="1">
        <v>5.4687E7</v>
      </c>
      <c r="N932" s="1">
        <v>2.461147E9</v>
      </c>
      <c r="O932" s="1">
        <v>2.192357E9</v>
      </c>
      <c r="P932" s="1">
        <v>1.995977E9</v>
      </c>
      <c r="Q932" s="1">
        <v>8292000.0</v>
      </c>
      <c r="R932" s="1">
        <v>2.22395E8</v>
      </c>
      <c r="S932" s="1">
        <v>2.22283E8</v>
      </c>
      <c r="W932" s="4" t="str">
        <f>Raw_Data!C931&amp;"|"&amp;Raw_Data!D931&amp;"|"&amp;TEXT(Raw_Data!B931,"yyyy-mm-dd")</f>
        <v>Hormel|HRL|2021-04-25</v>
      </c>
    </row>
    <row r="933">
      <c r="A933" s="1">
        <v>931.0</v>
      </c>
      <c r="B933" s="3">
        <v>44129.0</v>
      </c>
      <c r="C933" s="1" t="s">
        <v>506</v>
      </c>
      <c r="D933" s="1" t="s">
        <v>507</v>
      </c>
      <c r="E933" s="1">
        <v>3.19E7</v>
      </c>
      <c r="F933" s="1">
        <v>2.78732E8</v>
      </c>
      <c r="G933" s="1">
        <v>2.34356E8</v>
      </c>
      <c r="H933" s="1">
        <v>1.58897E8</v>
      </c>
      <c r="I933" s="1">
        <v>5.37765E8</v>
      </c>
      <c r="J933" s="1">
        <v>3.46968E8</v>
      </c>
      <c r="K933" s="1">
        <v>3.46968E8</v>
      </c>
      <c r="L933" s="1">
        <v>-8271000.0</v>
      </c>
      <c r="M933" s="1">
        <v>4.4207E7</v>
      </c>
      <c r="N933" s="1">
        <v>2.420105E9</v>
      </c>
      <c r="O933" s="1">
        <v>2.073137E9</v>
      </c>
      <c r="P933" s="1">
        <v>1.88234E9</v>
      </c>
      <c r="Q933" s="1">
        <v>-6.8236E7</v>
      </c>
      <c r="R933" s="1">
        <v>2.34525E8</v>
      </c>
      <c r="S933" s="1">
        <v>2.34356E8</v>
      </c>
      <c r="W933" s="4" t="str">
        <f>Raw_Data!C932&amp;"|"&amp;Raw_Data!D932&amp;"|"&amp;TEXT(Raw_Data!B932,"yyyy-mm-dd")</f>
        <v>Hormel|HRL|2021-01-24</v>
      </c>
    </row>
    <row r="934">
      <c r="A934" s="1">
        <v>932.0</v>
      </c>
      <c r="B934" s="3">
        <v>44286.0</v>
      </c>
      <c r="C934" s="1" t="s">
        <v>508</v>
      </c>
      <c r="D934" s="1" t="s">
        <v>509</v>
      </c>
      <c r="F934" s="1">
        <v>-1.99E8</v>
      </c>
      <c r="G934" s="1">
        <v>-1.52E8</v>
      </c>
      <c r="H934" s="1">
        <v>2.4E7</v>
      </c>
      <c r="I934" s="1">
        <v>3.0E7</v>
      </c>
      <c r="J934" s="1">
        <v>-1.59E8</v>
      </c>
      <c r="K934" s="1">
        <v>-1.59E8</v>
      </c>
      <c r="L934" s="1">
        <v>-4.2E7</v>
      </c>
      <c r="M934" s="1">
        <v>-4.6E7</v>
      </c>
      <c r="N934" s="1">
        <v>4.08E8</v>
      </c>
      <c r="O934" s="1">
        <v>5.67E8</v>
      </c>
      <c r="P934" s="1">
        <v>3.78E8</v>
      </c>
      <c r="Q934" s="1">
        <v>-4.0E7</v>
      </c>
      <c r="R934" s="1">
        <v>-1.53E8</v>
      </c>
      <c r="S934" s="1">
        <v>-1.52E8</v>
      </c>
      <c r="W934" s="4" t="str">
        <f>Raw_Data!C933&amp;"|"&amp;Raw_Data!D933&amp;"|"&amp;TEXT(Raw_Data!B933,"yyyy-mm-dd")</f>
        <v>Hormel|HRL|2020-10-25</v>
      </c>
    </row>
    <row r="935">
      <c r="A935" s="1">
        <v>933.0</v>
      </c>
      <c r="B935" s="3">
        <v>44196.0</v>
      </c>
      <c r="C935" s="1" t="s">
        <v>508</v>
      </c>
      <c r="D935" s="1" t="s">
        <v>509</v>
      </c>
      <c r="F935" s="1">
        <v>-1.3E8</v>
      </c>
      <c r="G935" s="1">
        <v>-6.4E7</v>
      </c>
      <c r="H935" s="1">
        <v>2.1E7</v>
      </c>
      <c r="I935" s="1">
        <v>-6.6E7</v>
      </c>
      <c r="J935" s="1">
        <v>-2.54E8</v>
      </c>
      <c r="K935" s="1">
        <v>-2.54E8</v>
      </c>
      <c r="L935" s="1">
        <v>-5.1E7</v>
      </c>
      <c r="M935" s="1">
        <v>-6.4E7</v>
      </c>
      <c r="N935" s="1">
        <v>2.63E8</v>
      </c>
      <c r="O935" s="1">
        <v>5.17E8</v>
      </c>
      <c r="P935" s="1">
        <v>3.29E8</v>
      </c>
      <c r="Q935" s="1">
        <v>1.24E8</v>
      </c>
      <c r="R935" s="1">
        <v>-6.6E7</v>
      </c>
      <c r="S935" s="1">
        <v>-6.4E7</v>
      </c>
      <c r="W935" s="4" t="str">
        <f>Raw_Data!C934&amp;"|"&amp;Raw_Data!D934&amp;"|"&amp;TEXT(Raw_Data!B934,"yyyy-mm-dd")</f>
        <v>Host Hotels &amp; Resorts|HST|2021-03-31</v>
      </c>
    </row>
    <row r="936">
      <c r="A936" s="1">
        <v>934.0</v>
      </c>
      <c r="B936" s="3">
        <v>44104.0</v>
      </c>
      <c r="C936" s="1" t="s">
        <v>508</v>
      </c>
      <c r="D936" s="1" t="s">
        <v>509</v>
      </c>
      <c r="F936" s="1">
        <v>-3.89E8</v>
      </c>
      <c r="G936" s="1">
        <v>-3.13E8</v>
      </c>
      <c r="H936" s="1">
        <v>1.8E7</v>
      </c>
      <c r="I936" s="1">
        <v>-9.6E7</v>
      </c>
      <c r="J936" s="1">
        <v>-2.8E8</v>
      </c>
      <c r="K936" s="1">
        <v>-2.8E8</v>
      </c>
      <c r="L936" s="1">
        <v>-6.6E7</v>
      </c>
      <c r="M936" s="1">
        <v>-7.3E7</v>
      </c>
      <c r="N936" s="1">
        <v>1.93E8</v>
      </c>
      <c r="O936" s="1">
        <v>4.73E8</v>
      </c>
      <c r="P936" s="1">
        <v>2.89E8</v>
      </c>
      <c r="Q936" s="1">
        <v>-1.09E8</v>
      </c>
      <c r="R936" s="1">
        <v>-3.16E8</v>
      </c>
      <c r="S936" s="1">
        <v>-3.13E8</v>
      </c>
      <c r="W936" s="4" t="str">
        <f>Raw_Data!C935&amp;"|"&amp;Raw_Data!D935&amp;"|"&amp;TEXT(Raw_Data!B935,"yyyy-mm-dd")</f>
        <v>Host Hotels &amp; Resorts|HST|2020-12-31</v>
      </c>
    </row>
    <row r="937">
      <c r="A937" s="1">
        <v>935.0</v>
      </c>
      <c r="B937" s="3">
        <v>44012.0</v>
      </c>
      <c r="C937" s="1" t="s">
        <v>508</v>
      </c>
      <c r="D937" s="1" t="s">
        <v>509</v>
      </c>
      <c r="F937" s="1">
        <v>-4.02E8</v>
      </c>
      <c r="G937" s="1">
        <v>-3.52E8</v>
      </c>
      <c r="H937" s="1">
        <v>2.5E7</v>
      </c>
      <c r="I937" s="1">
        <v>-1.85E8</v>
      </c>
      <c r="J937" s="1">
        <v>-3.78E8</v>
      </c>
      <c r="K937" s="1">
        <v>-3.78E8</v>
      </c>
      <c r="L937" s="1">
        <v>-4.0E7</v>
      </c>
      <c r="M937" s="1">
        <v>-4.6E7</v>
      </c>
      <c r="N937" s="1">
        <v>7.8E7</v>
      </c>
      <c r="O937" s="1">
        <v>4.56E8</v>
      </c>
      <c r="P937" s="1">
        <v>2.63E8</v>
      </c>
      <c r="Q937" s="1">
        <v>-2.4E7</v>
      </c>
      <c r="R937" s="1">
        <v>-3.56E8</v>
      </c>
      <c r="S937" s="1">
        <v>-3.52E8</v>
      </c>
      <c r="W937" s="4" t="str">
        <f>Raw_Data!C936&amp;"|"&amp;Raw_Data!D936&amp;"|"&amp;TEXT(Raw_Data!B936,"yyyy-mm-dd")</f>
        <v>Host Hotels &amp; Resorts|HST|2020-09-30</v>
      </c>
    </row>
    <row r="938">
      <c r="A938" s="1">
        <v>936.0</v>
      </c>
      <c r="B938" s="3">
        <v>44286.0</v>
      </c>
      <c r="C938" s="1" t="s">
        <v>510</v>
      </c>
      <c r="D938" s="1" t="s">
        <v>511</v>
      </c>
      <c r="G938" s="1">
        <v>0.0</v>
      </c>
      <c r="I938" s="1">
        <v>0.0</v>
      </c>
      <c r="J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W938" s="4" t="str">
        <f>Raw_Data!C937&amp;"|"&amp;Raw_Data!D937&amp;"|"&amp;TEXT(Raw_Data!B937,"yyyy-mm-dd")</f>
        <v>Host Hotels &amp; Resorts|HST|2020-06-30</v>
      </c>
    </row>
    <row r="939">
      <c r="A939" s="1">
        <v>937.0</v>
      </c>
      <c r="B939" s="3">
        <v>44196.0</v>
      </c>
      <c r="C939" s="1" t="s">
        <v>510</v>
      </c>
      <c r="D939" s="1" t="s">
        <v>511</v>
      </c>
      <c r="E939" s="1">
        <v>4000000.0</v>
      </c>
      <c r="F939" s="1">
        <v>7.1E7</v>
      </c>
      <c r="G939" s="1">
        <v>1.06E8</v>
      </c>
      <c r="H939" s="1">
        <v>5.8E7</v>
      </c>
      <c r="I939" s="1">
        <v>4.07E8</v>
      </c>
      <c r="J939" s="1">
        <v>2.78E8</v>
      </c>
      <c r="K939" s="1">
        <v>2.78E8</v>
      </c>
      <c r="L939" s="1">
        <v>-1.56E8</v>
      </c>
      <c r="M939" s="1">
        <v>-3.5E7</v>
      </c>
      <c r="N939" s="1">
        <v>1.238E9</v>
      </c>
      <c r="O939" s="1">
        <v>9.6E8</v>
      </c>
      <c r="P939" s="1">
        <v>8.31E8</v>
      </c>
      <c r="Q939" s="1">
        <v>-2.07E8</v>
      </c>
      <c r="R939" s="1">
        <v>1.06E8</v>
      </c>
      <c r="S939" s="1">
        <v>1.06E8</v>
      </c>
      <c r="W939" s="4" t="str">
        <f>Raw_Data!C938&amp;"|"&amp;Raw_Data!D938&amp;"|"&amp;TEXT(Raw_Data!B938,"yyyy-mm-dd")</f>
        <v>Howmet Aerospace|HWM|2021-03-31</v>
      </c>
    </row>
    <row r="940">
      <c r="A940" s="1">
        <v>938.0</v>
      </c>
      <c r="B940" s="3">
        <v>44104.0</v>
      </c>
      <c r="C940" s="1" t="s">
        <v>510</v>
      </c>
      <c r="D940" s="1" t="s">
        <v>511</v>
      </c>
      <c r="E940" s="1">
        <v>5000000.0</v>
      </c>
      <c r="F940" s="1">
        <v>-1.2E7</v>
      </c>
      <c r="G940" s="1">
        <v>3.6E7</v>
      </c>
      <c r="H940" s="1">
        <v>7.4E7</v>
      </c>
      <c r="I940" s="1">
        <v>2.41E8</v>
      </c>
      <c r="J940" s="1">
        <v>9.4E7</v>
      </c>
      <c r="K940" s="1">
        <v>9.4E7</v>
      </c>
      <c r="L940" s="1">
        <v>-7.7E7</v>
      </c>
      <c r="M940" s="1">
        <v>-4.8E7</v>
      </c>
      <c r="N940" s="1">
        <v>1.134E9</v>
      </c>
      <c r="O940" s="1">
        <v>1.04E9</v>
      </c>
      <c r="P940" s="1">
        <v>8.93E8</v>
      </c>
      <c r="Q940" s="1">
        <v>-1.06E8</v>
      </c>
      <c r="R940" s="1">
        <v>3.6E7</v>
      </c>
      <c r="S940" s="1">
        <v>3.5E7</v>
      </c>
      <c r="W940" s="4" t="str">
        <f>Raw_Data!C939&amp;"|"&amp;Raw_Data!D939&amp;"|"&amp;TEXT(Raw_Data!B939,"yyyy-mm-dd")</f>
        <v>Howmet Aerospace|HWM|2020-12-31</v>
      </c>
    </row>
    <row r="941">
      <c r="A941" s="1">
        <v>939.0</v>
      </c>
      <c r="B941" s="3">
        <v>44012.0</v>
      </c>
      <c r="C941" s="1" t="s">
        <v>510</v>
      </c>
      <c r="D941" s="1" t="s">
        <v>511</v>
      </c>
      <c r="E941" s="1">
        <v>4000000.0</v>
      </c>
      <c r="F941" s="1">
        <v>-8.6E7</v>
      </c>
      <c r="G941" s="1">
        <v>-9.6E7</v>
      </c>
      <c r="H941" s="1">
        <v>7.9E7</v>
      </c>
      <c r="I941" s="1">
        <v>3.34E8</v>
      </c>
      <c r="J941" s="1">
        <v>1.78E8</v>
      </c>
      <c r="K941" s="1">
        <v>1.78E8</v>
      </c>
      <c r="L941" s="1">
        <v>-1.44E8</v>
      </c>
      <c r="M941" s="1">
        <v>-2000000.0</v>
      </c>
      <c r="N941" s="1">
        <v>1.253E9</v>
      </c>
      <c r="O941" s="1">
        <v>1.075E9</v>
      </c>
      <c r="P941" s="1">
        <v>9.19E8</v>
      </c>
      <c r="Q941" s="1">
        <v>-2.64E8</v>
      </c>
      <c r="R941" s="1">
        <v>-8.4E7</v>
      </c>
      <c r="S941" s="1">
        <v>-9.6E7</v>
      </c>
      <c r="W941" s="4" t="str">
        <f>Raw_Data!C940&amp;"|"&amp;Raw_Data!D940&amp;"|"&amp;TEXT(Raw_Data!B940,"yyyy-mm-dd")</f>
        <v>Howmet Aerospace|HWM|2020-09-30</v>
      </c>
    </row>
    <row r="942">
      <c r="A942" s="1">
        <v>940.0</v>
      </c>
      <c r="B942" s="3">
        <v>44408.0</v>
      </c>
      <c r="C942" s="1" t="s">
        <v>512</v>
      </c>
      <c r="D942" s="1" t="s">
        <v>513</v>
      </c>
      <c r="E942" s="1">
        <v>4.77E8</v>
      </c>
      <c r="F942" s="1">
        <v>1.326E9</v>
      </c>
      <c r="G942" s="1">
        <v>1.108E9</v>
      </c>
      <c r="H942" s="1">
        <v>1.408E9</v>
      </c>
      <c r="I942" s="1">
        <v>3.388E9</v>
      </c>
      <c r="J942" s="1">
        <v>1.461E9</v>
      </c>
      <c r="K942" s="1">
        <v>1.461E9</v>
      </c>
      <c r="L942" s="1">
        <v>-5.5E7</v>
      </c>
      <c r="M942" s="1">
        <v>2.18E8</v>
      </c>
      <c r="N942" s="1">
        <v>1.5289E10</v>
      </c>
      <c r="O942" s="1">
        <v>1.3828E10</v>
      </c>
      <c r="P942" s="1">
        <v>1.1901E10</v>
      </c>
      <c r="Q942" s="1">
        <v>-1.35E8</v>
      </c>
      <c r="R942" s="1">
        <v>1.108E9</v>
      </c>
      <c r="S942" s="1">
        <v>1.108E9</v>
      </c>
      <c r="W942" s="4" t="str">
        <f>Raw_Data!C941&amp;"|"&amp;Raw_Data!D941&amp;"|"&amp;TEXT(Raw_Data!B941,"yyyy-mm-dd")</f>
        <v>Howmet Aerospace|HWM|2020-06-30</v>
      </c>
    </row>
    <row r="943">
      <c r="A943" s="1">
        <v>941.0</v>
      </c>
      <c r="B943" s="3">
        <v>44316.0</v>
      </c>
      <c r="C943" s="1" t="s">
        <v>512</v>
      </c>
      <c r="D943" s="1" t="s">
        <v>513</v>
      </c>
      <c r="E943" s="1">
        <v>5.14E8</v>
      </c>
      <c r="F943" s="1">
        <v>1.336E9</v>
      </c>
      <c r="G943" s="1">
        <v>1.228E9</v>
      </c>
      <c r="H943" s="1">
        <v>1.441E9</v>
      </c>
      <c r="I943" s="1">
        <v>3.44E9</v>
      </c>
      <c r="J943" s="1">
        <v>1.453E9</v>
      </c>
      <c r="K943" s="1">
        <v>1.453E9</v>
      </c>
      <c r="L943" s="1">
        <v>-6.4E7</v>
      </c>
      <c r="M943" s="1">
        <v>1.08E8</v>
      </c>
      <c r="N943" s="1">
        <v>1.5877E10</v>
      </c>
      <c r="O943" s="1">
        <v>1.4424E10</v>
      </c>
      <c r="P943" s="1">
        <v>1.2437E10</v>
      </c>
      <c r="Q943" s="1">
        <v>-1.17E8</v>
      </c>
      <c r="R943" s="1">
        <v>1.228E9</v>
      </c>
      <c r="S943" s="1">
        <v>1.228E9</v>
      </c>
      <c r="W943" s="4" t="str">
        <f>Raw_Data!C942&amp;"|"&amp;Raw_Data!D942&amp;"|"&amp;TEXT(Raw_Data!B942,"yyyy-mm-dd")</f>
        <v>HP|HPQ|2021-07-31</v>
      </c>
    </row>
    <row r="944">
      <c r="A944" s="1">
        <v>942.0</v>
      </c>
      <c r="B944" s="3">
        <v>44227.0</v>
      </c>
      <c r="C944" s="1" t="s">
        <v>512</v>
      </c>
      <c r="D944" s="1" t="s">
        <v>513</v>
      </c>
      <c r="E944" s="1">
        <v>4.71E8</v>
      </c>
      <c r="F944" s="1">
        <v>1.296E9</v>
      </c>
      <c r="G944" s="1">
        <v>1.068E9</v>
      </c>
      <c r="H944" s="1">
        <v>1.336E9</v>
      </c>
      <c r="I944" s="1">
        <v>3.324E9</v>
      </c>
      <c r="J944" s="1">
        <v>1.488E9</v>
      </c>
      <c r="K944" s="1">
        <v>1.488E9</v>
      </c>
      <c r="L944" s="1">
        <v>-6.3E7</v>
      </c>
      <c r="M944" s="1">
        <v>2.28E8</v>
      </c>
      <c r="N944" s="1">
        <v>1.5646E10</v>
      </c>
      <c r="O944" s="1">
        <v>1.4158E10</v>
      </c>
      <c r="P944" s="1">
        <v>1.2322E10</v>
      </c>
      <c r="Q944" s="1">
        <v>-1.92E8</v>
      </c>
      <c r="R944" s="1">
        <v>1.068E9</v>
      </c>
      <c r="S944" s="1">
        <v>1.068E9</v>
      </c>
      <c r="W944" s="4" t="str">
        <f>Raw_Data!C943&amp;"|"&amp;Raw_Data!D943&amp;"|"&amp;TEXT(Raw_Data!B943,"yyyy-mm-dd")</f>
        <v>HP|HPQ|2021-04-30</v>
      </c>
    </row>
    <row r="945">
      <c r="A945" s="1">
        <v>943.0</v>
      </c>
      <c r="B945" s="3">
        <v>44135.0</v>
      </c>
      <c r="C945" s="1" t="s">
        <v>512</v>
      </c>
      <c r="D945" s="1" t="s">
        <v>513</v>
      </c>
      <c r="E945" s="1">
        <v>3.81E8</v>
      </c>
      <c r="F945" s="1">
        <v>7.76E8</v>
      </c>
      <c r="G945" s="1">
        <v>6.68E8</v>
      </c>
      <c r="H945" s="1">
        <v>1.263E9</v>
      </c>
      <c r="I945" s="1">
        <v>2.679E9</v>
      </c>
      <c r="J945" s="1">
        <v>1.006E9</v>
      </c>
      <c r="K945" s="1">
        <v>1.006E9</v>
      </c>
      <c r="L945" s="1">
        <v>-1.45E8</v>
      </c>
      <c r="M945" s="1">
        <v>1.08E8</v>
      </c>
      <c r="N945" s="1">
        <v>1.5258E10</v>
      </c>
      <c r="O945" s="1">
        <v>1.4252E10</v>
      </c>
      <c r="P945" s="1">
        <v>1.2579E10</v>
      </c>
      <c r="Q945" s="1">
        <v>-2.3E8</v>
      </c>
      <c r="R945" s="1">
        <v>6.68E8</v>
      </c>
      <c r="S945" s="1">
        <v>6.68E8</v>
      </c>
      <c r="W945" s="4" t="str">
        <f>Raw_Data!C944&amp;"|"&amp;Raw_Data!D944&amp;"|"&amp;TEXT(Raw_Data!B944,"yyyy-mm-dd")</f>
        <v>HP|HPQ|2021-01-31</v>
      </c>
    </row>
    <row r="946">
      <c r="A946" s="1">
        <v>944.0</v>
      </c>
      <c r="B946" s="3">
        <v>44286.0</v>
      </c>
      <c r="C946" s="1" t="s">
        <v>514</v>
      </c>
      <c r="D946" s="1" t="s">
        <v>515</v>
      </c>
      <c r="F946" s="1">
        <v>1.061E9</v>
      </c>
      <c r="G946" s="1">
        <v>8.28E8</v>
      </c>
      <c r="H946" s="1">
        <v>2.007E9</v>
      </c>
      <c r="I946" s="1">
        <v>3.372E9</v>
      </c>
      <c r="J946" s="1">
        <v>1.223E9</v>
      </c>
      <c r="K946" s="1">
        <v>1.223E9</v>
      </c>
      <c r="L946" s="1">
        <v>-6.8E7</v>
      </c>
      <c r="M946" s="1">
        <v>2.33E8</v>
      </c>
      <c r="N946" s="1">
        <v>2.0668E10</v>
      </c>
      <c r="O946" s="1">
        <v>1.9445E10</v>
      </c>
      <c r="P946" s="1">
        <v>1.7296E10</v>
      </c>
      <c r="Q946" s="1">
        <v>-1.62E8</v>
      </c>
      <c r="R946" s="1">
        <v>8.28E8</v>
      </c>
      <c r="S946" s="1">
        <v>8.28E8</v>
      </c>
      <c r="W946" s="4" t="str">
        <f>Raw_Data!C945&amp;"|"&amp;Raw_Data!D945&amp;"|"&amp;TEXT(Raw_Data!B945,"yyyy-mm-dd")</f>
        <v>HP|HPQ|2020-10-31</v>
      </c>
    </row>
    <row r="947">
      <c r="A947" s="1">
        <v>945.0</v>
      </c>
      <c r="B947" s="3">
        <v>44196.0</v>
      </c>
      <c r="C947" s="1" t="s">
        <v>514</v>
      </c>
      <c r="D947" s="1" t="s">
        <v>515</v>
      </c>
      <c r="F947" s="1">
        <v>-4.52E8</v>
      </c>
      <c r="G947" s="1">
        <v>-2.74E8</v>
      </c>
      <c r="H947" s="1">
        <v>3.037E9</v>
      </c>
      <c r="I947" s="1">
        <v>2.849E9</v>
      </c>
      <c r="J947" s="1">
        <v>-3.15E8</v>
      </c>
      <c r="K947" s="1">
        <v>-3.15E8</v>
      </c>
      <c r="L947" s="1">
        <v>-7.2E7</v>
      </c>
      <c r="M947" s="1">
        <v>-1.78E8</v>
      </c>
      <c r="N947" s="1">
        <v>1.9062E10</v>
      </c>
      <c r="O947" s="1">
        <v>1.9377E10</v>
      </c>
      <c r="P947" s="1">
        <v>1.6213E10</v>
      </c>
      <c r="Q947" s="1">
        <v>-1.37E8</v>
      </c>
      <c r="R947" s="1">
        <v>-2.74E8</v>
      </c>
      <c r="S947" s="1">
        <v>-2.74E8</v>
      </c>
      <c r="W947" s="4" t="str">
        <f>Raw_Data!C946&amp;"|"&amp;Raw_Data!D946&amp;"|"&amp;TEXT(Raw_Data!B946,"yyyy-mm-dd")</f>
        <v>Humana|HUM|2021-03-31</v>
      </c>
    </row>
    <row r="948">
      <c r="A948" s="1">
        <v>946.0</v>
      </c>
      <c r="B948" s="3">
        <v>44104.0</v>
      </c>
      <c r="C948" s="1" t="s">
        <v>514</v>
      </c>
      <c r="D948" s="1" t="s">
        <v>515</v>
      </c>
      <c r="F948" s="1">
        <v>1.79E9</v>
      </c>
      <c r="G948" s="1">
        <v>1.34E9</v>
      </c>
      <c r="H948" s="1">
        <v>2.544E9</v>
      </c>
      <c r="I948" s="1">
        <v>4.464E9</v>
      </c>
      <c r="J948" s="1">
        <v>1.792E9</v>
      </c>
      <c r="K948" s="1">
        <v>1.792E9</v>
      </c>
      <c r="L948" s="1">
        <v>-7.5E7</v>
      </c>
      <c r="M948" s="1">
        <v>4.5E8</v>
      </c>
      <c r="N948" s="1">
        <v>2.0075E10</v>
      </c>
      <c r="O948" s="1">
        <v>1.8283E10</v>
      </c>
      <c r="P948" s="1">
        <v>1.5611E10</v>
      </c>
      <c r="Q948" s="1">
        <v>-2000000.0</v>
      </c>
      <c r="R948" s="1">
        <v>1.34E9</v>
      </c>
      <c r="S948" s="1">
        <v>1.34E9</v>
      </c>
      <c r="W948" s="4" t="str">
        <f>Raw_Data!C947&amp;"|"&amp;Raw_Data!D947&amp;"|"&amp;TEXT(Raw_Data!B947,"yyyy-mm-dd")</f>
        <v>Humana|HUM|2020-12-31</v>
      </c>
    </row>
    <row r="949">
      <c r="A949" s="1">
        <v>947.0</v>
      </c>
      <c r="B949" s="3">
        <v>44012.0</v>
      </c>
      <c r="C949" s="1" t="s">
        <v>514</v>
      </c>
      <c r="D949" s="1" t="s">
        <v>515</v>
      </c>
      <c r="F949" s="1">
        <v>2.611E9</v>
      </c>
      <c r="G949" s="1">
        <v>1.828E9</v>
      </c>
      <c r="H949" s="1">
        <v>2.354E9</v>
      </c>
      <c r="I949" s="1">
        <v>4.908E9</v>
      </c>
      <c r="J949" s="1">
        <v>2.435E9</v>
      </c>
      <c r="K949" s="1">
        <v>2.435E9</v>
      </c>
      <c r="L949" s="1">
        <v>-7.6E7</v>
      </c>
      <c r="M949" s="1">
        <v>7.83E8</v>
      </c>
      <c r="N949" s="1">
        <v>1.9083E10</v>
      </c>
      <c r="O949" s="1">
        <v>1.6648E10</v>
      </c>
      <c r="P949" s="1">
        <v>1.4175E10</v>
      </c>
      <c r="Q949" s="1">
        <v>1.76E8</v>
      </c>
      <c r="R949" s="1">
        <v>1.828E9</v>
      </c>
      <c r="S949" s="1">
        <v>1.828E9</v>
      </c>
      <c r="W949" s="4" t="str">
        <f>Raw_Data!C948&amp;"|"&amp;Raw_Data!D948&amp;"|"&amp;TEXT(Raw_Data!B948,"yyyy-mm-dd")</f>
        <v>Humana|HUM|2020-09-30</v>
      </c>
    </row>
    <row r="950">
      <c r="A950" s="1">
        <v>948.0</v>
      </c>
      <c r="B950" s="3">
        <v>44377.0</v>
      </c>
      <c r="C950" s="1" t="s">
        <v>516</v>
      </c>
      <c r="D950" s="1" t="s">
        <v>517</v>
      </c>
      <c r="F950" s="1">
        <v>-1000000.0</v>
      </c>
      <c r="G950" s="1">
        <v>-1.5E7</v>
      </c>
      <c r="H950" s="1">
        <v>7.32E8</v>
      </c>
      <c r="I950" s="1">
        <v>1.074E9</v>
      </c>
      <c r="J950" s="1">
        <v>0.0</v>
      </c>
      <c r="K950" s="1">
        <v>2.87E8</v>
      </c>
      <c r="M950" s="1">
        <v>1.4E7</v>
      </c>
      <c r="N950" s="1">
        <v>1.074E9</v>
      </c>
      <c r="O950" s="1">
        <v>7.87E8</v>
      </c>
      <c r="P950" s="1">
        <v>0.0</v>
      </c>
      <c r="Q950" s="1">
        <v>-2.88E8</v>
      </c>
      <c r="R950" s="1">
        <v>-1.5E7</v>
      </c>
      <c r="S950" s="1">
        <v>-5.8E7</v>
      </c>
      <c r="W950" s="4" t="str">
        <f>Raw_Data!C949&amp;"|"&amp;Raw_Data!D949&amp;"|"&amp;TEXT(Raw_Data!B949,"yyyy-mm-dd")</f>
        <v>Humana|HUM|2020-06-30</v>
      </c>
    </row>
    <row r="951">
      <c r="A951" s="1">
        <v>949.0</v>
      </c>
      <c r="B951" s="3">
        <v>44286.0</v>
      </c>
      <c r="C951" s="1" t="s">
        <v>516</v>
      </c>
      <c r="D951" s="1" t="s">
        <v>517</v>
      </c>
      <c r="F951" s="1">
        <v>6.34E8</v>
      </c>
      <c r="G951" s="1">
        <v>5.32E8</v>
      </c>
      <c r="H951" s="1">
        <v>6.82E8</v>
      </c>
      <c r="I951" s="1">
        <v>1.42E9</v>
      </c>
      <c r="J951" s="1">
        <v>0.0</v>
      </c>
      <c r="K951" s="1">
        <v>6.73E8</v>
      </c>
      <c r="M951" s="1">
        <v>1.02E8</v>
      </c>
      <c r="N951" s="1">
        <v>1.42E9</v>
      </c>
      <c r="O951" s="1">
        <v>7.47E8</v>
      </c>
      <c r="P951" s="1">
        <v>0.0</v>
      </c>
      <c r="Q951" s="1">
        <v>-3.9E7</v>
      </c>
      <c r="R951" s="1">
        <v>5.32E8</v>
      </c>
      <c r="S951" s="1">
        <v>5.01E8</v>
      </c>
      <c r="W951" s="4" t="str">
        <f>Raw_Data!C950&amp;"|"&amp;Raw_Data!D950&amp;"|"&amp;TEXT(Raw_Data!B950,"yyyy-mm-dd")</f>
        <v>Huntington Bancshares|HBAN|2021-06-30</v>
      </c>
    </row>
    <row r="952">
      <c r="A952" s="1">
        <v>950.0</v>
      </c>
      <c r="B952" s="3">
        <v>44196.0</v>
      </c>
      <c r="C952" s="1" t="s">
        <v>516</v>
      </c>
      <c r="D952" s="1" t="s">
        <v>517</v>
      </c>
      <c r="F952" s="1">
        <v>3.75E8</v>
      </c>
      <c r="G952" s="1">
        <v>3.16E8</v>
      </c>
      <c r="H952" s="1">
        <v>6.59E8</v>
      </c>
      <c r="I952" s="1">
        <v>1.13E9</v>
      </c>
      <c r="J952" s="1">
        <v>0.0</v>
      </c>
      <c r="K952" s="1">
        <v>3.86E8</v>
      </c>
      <c r="M952" s="1">
        <v>5.9E7</v>
      </c>
      <c r="N952" s="1">
        <v>1.13E9</v>
      </c>
      <c r="O952" s="1">
        <v>7.44E8</v>
      </c>
      <c r="P952" s="1">
        <v>0.0</v>
      </c>
      <c r="Q952" s="1">
        <v>-1.1E7</v>
      </c>
      <c r="R952" s="1">
        <v>3.16E8</v>
      </c>
      <c r="S952" s="1">
        <v>2.81E8</v>
      </c>
      <c r="W952" s="4" t="str">
        <f>Raw_Data!C951&amp;"|"&amp;Raw_Data!D951&amp;"|"&amp;TEXT(Raw_Data!B951,"yyyy-mm-dd")</f>
        <v>Huntington Bancshares|HBAN|2021-03-31</v>
      </c>
    </row>
    <row r="953">
      <c r="A953" s="1">
        <v>951.0</v>
      </c>
      <c r="B953" s="3">
        <v>44104.0</v>
      </c>
      <c r="C953" s="1" t="s">
        <v>516</v>
      </c>
      <c r="D953" s="1" t="s">
        <v>517</v>
      </c>
      <c r="F953" s="1">
        <v>3.58E8</v>
      </c>
      <c r="G953" s="1">
        <v>3.03E8</v>
      </c>
      <c r="H953" s="1">
        <v>6.56E8</v>
      </c>
      <c r="I953" s="1">
        <v>1.069E9</v>
      </c>
      <c r="J953" s="1">
        <v>0.0</v>
      </c>
      <c r="K953" s="1">
        <v>3.74E8</v>
      </c>
      <c r="M953" s="1">
        <v>5.5E7</v>
      </c>
      <c r="N953" s="1">
        <v>1.069E9</v>
      </c>
      <c r="O953" s="1">
        <v>6.95E8</v>
      </c>
      <c r="P953" s="1">
        <v>0.0</v>
      </c>
      <c r="Q953" s="1">
        <v>-1.6E7</v>
      </c>
      <c r="R953" s="1">
        <v>3.03E8</v>
      </c>
      <c r="S953" s="1">
        <v>2.75E8</v>
      </c>
      <c r="W953" s="4" t="str">
        <f>Raw_Data!C952&amp;"|"&amp;Raw_Data!D952&amp;"|"&amp;TEXT(Raw_Data!B952,"yyyy-mm-dd")</f>
        <v>Huntington Bancshares|HBAN|2020-12-31</v>
      </c>
    </row>
    <row r="954">
      <c r="A954" s="1">
        <v>952.0</v>
      </c>
      <c r="B954" s="3">
        <v>44377.0</v>
      </c>
      <c r="C954" s="1" t="s">
        <v>518</v>
      </c>
      <c r="D954" s="1" t="s">
        <v>519</v>
      </c>
      <c r="F954" s="1">
        <v>1.61E8</v>
      </c>
      <c r="G954" s="1">
        <v>1.29E8</v>
      </c>
      <c r="H954" s="1">
        <v>1.6E8</v>
      </c>
      <c r="I954" s="1">
        <v>3.22E8</v>
      </c>
      <c r="J954" s="1">
        <v>1.62E8</v>
      </c>
      <c r="K954" s="1">
        <v>1.62E8</v>
      </c>
      <c r="L954" s="1">
        <v>-1.8E7</v>
      </c>
      <c r="M954" s="1">
        <v>3.2E7</v>
      </c>
      <c r="N954" s="1">
        <v>2.231E9</v>
      </c>
      <c r="O954" s="1">
        <v>2.069E9</v>
      </c>
      <c r="P954" s="1">
        <v>1.909E9</v>
      </c>
      <c r="Q954" s="1">
        <v>-1000000.0</v>
      </c>
      <c r="R954" s="1">
        <v>1.29E8</v>
      </c>
      <c r="S954" s="1">
        <v>1.29E8</v>
      </c>
      <c r="W954" s="4" t="str">
        <f>Raw_Data!C953&amp;"|"&amp;Raw_Data!D953&amp;"|"&amp;TEXT(Raw_Data!B953,"yyyy-mm-dd")</f>
        <v>Huntington Bancshares|HBAN|2020-09-30</v>
      </c>
    </row>
    <row r="955">
      <c r="A955" s="1">
        <v>953.0</v>
      </c>
      <c r="B955" s="3">
        <v>44286.0</v>
      </c>
      <c r="C955" s="1" t="s">
        <v>518</v>
      </c>
      <c r="D955" s="1" t="s">
        <v>519</v>
      </c>
      <c r="F955" s="1">
        <v>1.73E8</v>
      </c>
      <c r="G955" s="1">
        <v>1.48E8</v>
      </c>
      <c r="H955" s="1">
        <v>1.6E8</v>
      </c>
      <c r="I955" s="1">
        <v>3.42E8</v>
      </c>
      <c r="J955" s="1">
        <v>1.82E8</v>
      </c>
      <c r="K955" s="1">
        <v>1.82E8</v>
      </c>
      <c r="L955" s="1">
        <v>-2.1E7</v>
      </c>
      <c r="M955" s="1">
        <v>2.5E7</v>
      </c>
      <c r="N955" s="1">
        <v>2.278E9</v>
      </c>
      <c r="O955" s="1">
        <v>2.096E9</v>
      </c>
      <c r="P955" s="1">
        <v>1.936E9</v>
      </c>
      <c r="Q955" s="1">
        <v>-9000000.0</v>
      </c>
      <c r="R955" s="1">
        <v>1.48E8</v>
      </c>
      <c r="S955" s="1">
        <v>1.48E8</v>
      </c>
      <c r="W955" s="4" t="str">
        <f>Raw_Data!C954&amp;"|"&amp;Raw_Data!D954&amp;"|"&amp;TEXT(Raw_Data!B954,"yyyy-mm-dd")</f>
        <v>Huntington Ingalls Industries|HII|2021-06-30</v>
      </c>
    </row>
    <row r="956">
      <c r="A956" s="1">
        <v>954.0</v>
      </c>
      <c r="B956" s="3">
        <v>44196.0</v>
      </c>
      <c r="C956" s="1" t="s">
        <v>518</v>
      </c>
      <c r="D956" s="1" t="s">
        <v>519</v>
      </c>
      <c r="F956" s="1">
        <v>3.03E8</v>
      </c>
      <c r="G956" s="1">
        <v>2.49E8</v>
      </c>
      <c r="H956" s="1">
        <v>2.26E8</v>
      </c>
      <c r="I956" s="1">
        <v>5.47E8</v>
      </c>
      <c r="J956" s="1">
        <v>3.22E8</v>
      </c>
      <c r="K956" s="1">
        <v>3.22E8</v>
      </c>
      <c r="L956" s="1">
        <v>-4.6E7</v>
      </c>
      <c r="M956" s="1">
        <v>5.4E7</v>
      </c>
      <c r="N956" s="1">
        <v>2.757E9</v>
      </c>
      <c r="O956" s="1">
        <v>2.435E9</v>
      </c>
      <c r="P956" s="1">
        <v>2.21E9</v>
      </c>
      <c r="Q956" s="1">
        <v>-1.9E7</v>
      </c>
      <c r="R956" s="1">
        <v>2.49E8</v>
      </c>
      <c r="S956" s="1">
        <v>2.49E8</v>
      </c>
      <c r="W956" s="4" t="str">
        <f>Raw_Data!C955&amp;"|"&amp;Raw_Data!D955&amp;"|"&amp;TEXT(Raw_Data!B955,"yyyy-mm-dd")</f>
        <v>Huntington Ingalls Industries|HII|2021-03-31</v>
      </c>
    </row>
    <row r="957">
      <c r="A957" s="1">
        <v>955.0</v>
      </c>
      <c r="B957" s="3">
        <v>44104.0</v>
      </c>
      <c r="C957" s="1" t="s">
        <v>518</v>
      </c>
      <c r="D957" s="1" t="s">
        <v>519</v>
      </c>
      <c r="F957" s="1">
        <v>2.26E8</v>
      </c>
      <c r="G957" s="1">
        <v>2.22E8</v>
      </c>
      <c r="H957" s="1">
        <v>1.91E8</v>
      </c>
      <c r="I957" s="1">
        <v>4.36E8</v>
      </c>
      <c r="J957" s="1">
        <v>2.45E8</v>
      </c>
      <c r="K957" s="1">
        <v>2.45E8</v>
      </c>
      <c r="L957" s="1">
        <v>-2.7E7</v>
      </c>
      <c r="M957" s="1">
        <v>4000000.0</v>
      </c>
      <c r="N957" s="1">
        <v>2.314E9</v>
      </c>
      <c r="O957" s="1">
        <v>2.069E9</v>
      </c>
      <c r="P957" s="1">
        <v>1.878E9</v>
      </c>
      <c r="Q957" s="1">
        <v>-1.9E7</v>
      </c>
      <c r="R957" s="1">
        <v>2.22E8</v>
      </c>
      <c r="S957" s="1">
        <v>2.22E8</v>
      </c>
      <c r="W957" s="4" t="str">
        <f>Raw_Data!C956&amp;"|"&amp;Raw_Data!D956&amp;"|"&amp;TEXT(Raw_Data!B956,"yyyy-mm-dd")</f>
        <v>Huntington Ingalls Industries|HII|2020-12-31</v>
      </c>
    </row>
    <row r="958">
      <c r="A958" s="1">
        <v>956.0</v>
      </c>
      <c r="B958" s="3">
        <v>44377.0</v>
      </c>
      <c r="C958" s="1" t="s">
        <v>520</v>
      </c>
      <c r="D958" s="1" t="s">
        <v>520</v>
      </c>
      <c r="E958" s="1">
        <v>1.657E9</v>
      </c>
      <c r="F958" s="1">
        <v>1.552E9</v>
      </c>
      <c r="G958" s="1">
        <v>1.325E9</v>
      </c>
      <c r="H958" s="1">
        <v>5.433E9</v>
      </c>
      <c r="I958" s="1">
        <v>9.062E9</v>
      </c>
      <c r="J958" s="1">
        <v>2.103E9</v>
      </c>
      <c r="K958" s="1">
        <v>2.103E9</v>
      </c>
      <c r="L958" s="1">
        <v>-2.81E8</v>
      </c>
      <c r="M958" s="1">
        <v>2.27E8</v>
      </c>
      <c r="N958" s="1">
        <v>1.8745E10</v>
      </c>
      <c r="O958" s="1">
        <v>1.6642E10</v>
      </c>
      <c r="P958" s="1">
        <v>9.683E9</v>
      </c>
      <c r="Q958" s="1">
        <v>-5.51E8</v>
      </c>
      <c r="R958" s="1">
        <v>1.325E9</v>
      </c>
      <c r="S958" s="1">
        <v>1.325E9</v>
      </c>
      <c r="W958" s="4" t="str">
        <f>Raw_Data!C957&amp;"|"&amp;Raw_Data!D957&amp;"|"&amp;TEXT(Raw_Data!B957,"yyyy-mm-dd")</f>
        <v>Huntington Ingalls Industries|HII|2020-09-30</v>
      </c>
    </row>
    <row r="959">
      <c r="A959" s="1">
        <v>957.0</v>
      </c>
      <c r="B959" s="3">
        <v>44286.0</v>
      </c>
      <c r="C959" s="1" t="s">
        <v>520</v>
      </c>
      <c r="D959" s="1" t="s">
        <v>520</v>
      </c>
      <c r="E959" s="1">
        <v>1.63E9</v>
      </c>
      <c r="F959" s="1">
        <v>9.05E8</v>
      </c>
      <c r="G959" s="1">
        <v>9.55E8</v>
      </c>
      <c r="H959" s="1">
        <v>5.297E9</v>
      </c>
      <c r="I959" s="1">
        <v>8.207E9</v>
      </c>
      <c r="J959" s="1">
        <v>1.421E9</v>
      </c>
      <c r="K959" s="1">
        <v>1.421E9</v>
      </c>
      <c r="L959" s="1">
        <v>-2.8E8</v>
      </c>
      <c r="M959" s="1">
        <v>-5.1E7</v>
      </c>
      <c r="N959" s="1">
        <v>1.7729E10</v>
      </c>
      <c r="O959" s="1">
        <v>1.6308E10</v>
      </c>
      <c r="P959" s="1">
        <v>9.522E9</v>
      </c>
      <c r="Q959" s="1">
        <v>-5.16E8</v>
      </c>
      <c r="R959" s="1">
        <v>9.56E8</v>
      </c>
      <c r="S959" s="1">
        <v>9.55E8</v>
      </c>
      <c r="W959" s="4" t="str">
        <f>Raw_Data!C958&amp;"|"&amp;Raw_Data!D958&amp;"|"&amp;TEXT(Raw_Data!B958,"yyyy-mm-dd")</f>
        <v>IBM|IBM|2021-06-30</v>
      </c>
    </row>
    <row r="960">
      <c r="A960" s="1">
        <v>958.0</v>
      </c>
      <c r="B960" s="3">
        <v>44196.0</v>
      </c>
      <c r="C960" s="1" t="s">
        <v>520</v>
      </c>
      <c r="D960" s="1" t="s">
        <v>520</v>
      </c>
      <c r="E960" s="1">
        <v>1.611E9</v>
      </c>
      <c r="F960" s="1">
        <v>1.289E9</v>
      </c>
      <c r="G960" s="1">
        <v>1.356E9</v>
      </c>
      <c r="H960" s="1">
        <v>5.45E9</v>
      </c>
      <c r="I960" s="1">
        <v>1.0523E10</v>
      </c>
      <c r="J960" s="1">
        <v>3.612E9</v>
      </c>
      <c r="K960" s="1">
        <v>3.612E9</v>
      </c>
      <c r="L960" s="1">
        <v>-3.17E8</v>
      </c>
      <c r="M960" s="1">
        <v>2.4E7</v>
      </c>
      <c r="N960" s="1">
        <v>2.0368E10</v>
      </c>
      <c r="O960" s="1">
        <v>1.6756E10</v>
      </c>
      <c r="P960" s="1">
        <v>9.845E9</v>
      </c>
      <c r="Q960" s="1">
        <v>-2.323E9</v>
      </c>
      <c r="R960" s="1">
        <v>1.265E9</v>
      </c>
      <c r="S960" s="1">
        <v>1.356E9</v>
      </c>
      <c r="W960" s="4" t="str">
        <f>Raw_Data!C959&amp;"|"&amp;Raw_Data!D959&amp;"|"&amp;TEXT(Raw_Data!B959,"yyyy-mm-dd")</f>
        <v>IBM|IBM|2021-03-31</v>
      </c>
    </row>
    <row r="961">
      <c r="A961" s="1">
        <v>959.0</v>
      </c>
      <c r="B961" s="3">
        <v>44104.0</v>
      </c>
      <c r="C961" s="1" t="s">
        <v>520</v>
      </c>
      <c r="D961" s="1" t="s">
        <v>520</v>
      </c>
      <c r="E961" s="1">
        <v>1.515E9</v>
      </c>
      <c r="F961" s="1">
        <v>1.827E9</v>
      </c>
      <c r="G961" s="1">
        <v>1.698E9</v>
      </c>
      <c r="H961" s="1">
        <v>4.919E9</v>
      </c>
      <c r="I961" s="1">
        <v>8.431E9</v>
      </c>
      <c r="J961" s="1">
        <v>2.12E9</v>
      </c>
      <c r="K961" s="1">
        <v>2.12E9</v>
      </c>
      <c r="L961" s="1">
        <v>-3.23E8</v>
      </c>
      <c r="M961" s="1">
        <v>1.28E8</v>
      </c>
      <c r="N961" s="1">
        <v>1.7561E10</v>
      </c>
      <c r="O961" s="1">
        <v>1.5441E10</v>
      </c>
      <c r="P961" s="1">
        <v>9.13E9</v>
      </c>
      <c r="Q961" s="1">
        <v>-2.93E8</v>
      </c>
      <c r="R961" s="1">
        <v>1.699E9</v>
      </c>
      <c r="S961" s="1">
        <v>1.698E9</v>
      </c>
      <c r="W961" s="4" t="str">
        <f>Raw_Data!C960&amp;"|"&amp;Raw_Data!D960&amp;"|"&amp;TEXT(Raw_Data!B960,"yyyy-mm-dd")</f>
        <v>IBM|IBM|2020-12-31</v>
      </c>
    </row>
    <row r="962">
      <c r="A962" s="1">
        <v>960.0</v>
      </c>
      <c r="B962" s="3">
        <v>44377.0</v>
      </c>
      <c r="C962" s="1" t="s">
        <v>521</v>
      </c>
      <c r="D962" s="1" t="s">
        <v>522</v>
      </c>
      <c r="F962" s="1">
        <v>1.29876E8</v>
      </c>
      <c r="G962" s="1">
        <v>1.02195E8</v>
      </c>
      <c r="H962" s="1">
        <v>1.4468E8</v>
      </c>
      <c r="I962" s="1">
        <v>3.06072E8</v>
      </c>
      <c r="J962" s="1">
        <v>1.61392E8</v>
      </c>
      <c r="K962" s="1">
        <v>1.61392E8</v>
      </c>
      <c r="L962" s="1">
        <v>-1.1205E7</v>
      </c>
      <c r="M962" s="1">
        <v>2.7697E7</v>
      </c>
      <c r="N962" s="1">
        <v>6.85947E8</v>
      </c>
      <c r="O962" s="1">
        <v>5.24555E8</v>
      </c>
      <c r="P962" s="1">
        <v>3.79875E8</v>
      </c>
      <c r="Q962" s="1">
        <v>-3.1516E7</v>
      </c>
      <c r="R962" s="1">
        <v>1.02179E8</v>
      </c>
      <c r="S962" s="1">
        <v>1.02195E8</v>
      </c>
      <c r="W962" s="4" t="str">
        <f>Raw_Data!C961&amp;"|"&amp;Raw_Data!D961&amp;"|"&amp;TEXT(Raw_Data!B961,"yyyy-mm-dd")</f>
        <v>IBM|IBM|2020-09-30</v>
      </c>
    </row>
    <row r="963">
      <c r="A963" s="1">
        <v>961.0</v>
      </c>
      <c r="B963" s="3">
        <v>44286.0</v>
      </c>
      <c r="C963" s="1" t="s">
        <v>521</v>
      </c>
      <c r="D963" s="1" t="s">
        <v>522</v>
      </c>
      <c r="F963" s="1">
        <v>1.45619E8</v>
      </c>
      <c r="G963" s="1">
        <v>1.12708E8</v>
      </c>
      <c r="H963" s="1">
        <v>1.33796E8</v>
      </c>
      <c r="I963" s="1">
        <v>2.93287E8</v>
      </c>
      <c r="J963" s="1">
        <v>1.59491E8</v>
      </c>
      <c r="K963" s="1">
        <v>1.59491E8</v>
      </c>
      <c r="L963" s="1">
        <v>-1.0776E7</v>
      </c>
      <c r="M963" s="1">
        <v>3.2947E7</v>
      </c>
      <c r="N963" s="1">
        <v>6.52036E8</v>
      </c>
      <c r="O963" s="1">
        <v>4.92545E8</v>
      </c>
      <c r="P963" s="1">
        <v>3.58749E8</v>
      </c>
      <c r="Q963" s="1">
        <v>-1.3872E7</v>
      </c>
      <c r="R963" s="1">
        <v>1.12672E8</v>
      </c>
      <c r="S963" s="1">
        <v>1.12708E8</v>
      </c>
      <c r="W963" s="4" t="str">
        <f>Raw_Data!C962&amp;"|"&amp;Raw_Data!D962&amp;"|"&amp;TEXT(Raw_Data!B962,"yyyy-mm-dd")</f>
        <v>IDEX Corporation|IEX|2021-06-30</v>
      </c>
    </row>
    <row r="964">
      <c r="A964" s="1">
        <v>962.0</v>
      </c>
      <c r="B964" s="3">
        <v>44196.0</v>
      </c>
      <c r="C964" s="1" t="s">
        <v>521</v>
      </c>
      <c r="D964" s="1" t="s">
        <v>522</v>
      </c>
      <c r="F964" s="1">
        <v>1.29871E8</v>
      </c>
      <c r="G964" s="1">
        <v>1.01068E8</v>
      </c>
      <c r="H964" s="1">
        <v>1.23935E8</v>
      </c>
      <c r="I964" s="1">
        <v>2.69168E8</v>
      </c>
      <c r="J964" s="1">
        <v>1.45233E8</v>
      </c>
      <c r="K964" s="1">
        <v>1.45233E8</v>
      </c>
      <c r="L964" s="1">
        <v>-1.0788E7</v>
      </c>
      <c r="M964" s="1">
        <v>2.8803E7</v>
      </c>
      <c r="N964" s="1">
        <v>6.14822E8</v>
      </c>
      <c r="O964" s="1">
        <v>4.69589E8</v>
      </c>
      <c r="P964" s="1">
        <v>3.45654E8</v>
      </c>
      <c r="Q964" s="1">
        <v>-1.5362E7</v>
      </c>
      <c r="R964" s="1">
        <v>1.01068E8</v>
      </c>
      <c r="S964" s="1">
        <v>1.01068E8</v>
      </c>
      <c r="W964" s="4" t="str">
        <f>Raw_Data!C963&amp;"|"&amp;Raw_Data!D963&amp;"|"&amp;TEXT(Raw_Data!B963,"yyyy-mm-dd")</f>
        <v>IDEX Corporation|IEX|2021-03-31</v>
      </c>
    </row>
    <row r="965">
      <c r="A965" s="1">
        <v>963.0</v>
      </c>
      <c r="B965" s="3">
        <v>44104.0</v>
      </c>
      <c r="C965" s="1" t="s">
        <v>521</v>
      </c>
      <c r="D965" s="1" t="s">
        <v>522</v>
      </c>
      <c r="F965" s="1">
        <v>1.21275E8</v>
      </c>
      <c r="G965" s="1">
        <v>1.03848E8</v>
      </c>
      <c r="H965" s="1">
        <v>1.16858E8</v>
      </c>
      <c r="I965" s="1">
        <v>2.515E8</v>
      </c>
      <c r="J965" s="1">
        <v>1.34642E8</v>
      </c>
      <c r="K965" s="1">
        <v>1.34642E8</v>
      </c>
      <c r="L965" s="1">
        <v>-1.0642E7</v>
      </c>
      <c r="M965" s="1">
        <v>1.7427E7</v>
      </c>
      <c r="N965" s="1">
        <v>5.81113E8</v>
      </c>
      <c r="O965" s="1">
        <v>4.46471E8</v>
      </c>
      <c r="P965" s="1">
        <v>3.29613E8</v>
      </c>
      <c r="Q965" s="1">
        <v>-1.3367E7</v>
      </c>
      <c r="R965" s="1">
        <v>1.03848E8</v>
      </c>
      <c r="S965" s="1">
        <v>1.03848E8</v>
      </c>
      <c r="W965" s="4" t="str">
        <f>Raw_Data!C964&amp;"|"&amp;Raw_Data!D964&amp;"|"&amp;TEXT(Raw_Data!B964,"yyyy-mm-dd")</f>
        <v>IDEX Corporation|IEX|2020-12-31</v>
      </c>
    </row>
    <row r="966">
      <c r="A966" s="1">
        <v>964.0</v>
      </c>
      <c r="B966" s="3">
        <v>44377.0</v>
      </c>
      <c r="C966" s="1" t="s">
        <v>523</v>
      </c>
      <c r="D966" s="1" t="s">
        <v>524</v>
      </c>
      <c r="E966" s="1">
        <v>3.7697E7</v>
      </c>
      <c r="F966" s="1">
        <v>2.51731E8</v>
      </c>
      <c r="G966" s="1">
        <v>2.02582E8</v>
      </c>
      <c r="H966" s="1">
        <v>1.92358E8</v>
      </c>
      <c r="I966" s="1">
        <v>4.89308E8</v>
      </c>
      <c r="J966" s="1">
        <v>2.59253E8</v>
      </c>
      <c r="K966" s="1">
        <v>2.59253E8</v>
      </c>
      <c r="L966" s="1">
        <v>-7613000.0</v>
      </c>
      <c r="M966" s="1">
        <v>4.9125E7</v>
      </c>
      <c r="N966" s="1">
        <v>8.26142E8</v>
      </c>
      <c r="O966" s="1">
        <v>5.66889E8</v>
      </c>
      <c r="P966" s="1">
        <v>3.36834E8</v>
      </c>
      <c r="Q966" s="1">
        <v>-7522000.0</v>
      </c>
      <c r="R966" s="1">
        <v>2.02606E8</v>
      </c>
      <c r="S966" s="1">
        <v>2.02582E8</v>
      </c>
      <c r="W966" s="4" t="str">
        <f>Raw_Data!C965&amp;"|"&amp;Raw_Data!D965&amp;"|"&amp;TEXT(Raw_Data!B965,"yyyy-mm-dd")</f>
        <v>IDEX Corporation|IEX|2020-09-30</v>
      </c>
    </row>
    <row r="967">
      <c r="A967" s="1">
        <v>965.0</v>
      </c>
      <c r="B967" s="3">
        <v>44286.0</v>
      </c>
      <c r="C967" s="1" t="s">
        <v>523</v>
      </c>
      <c r="D967" s="1" t="s">
        <v>524</v>
      </c>
      <c r="E967" s="1">
        <v>3.7579E7</v>
      </c>
      <c r="F967" s="1">
        <v>2.4009E8</v>
      </c>
      <c r="G967" s="1">
        <v>2.04257E8</v>
      </c>
      <c r="H967" s="1">
        <v>1.85581E8</v>
      </c>
      <c r="I967" s="1">
        <v>4.70782E8</v>
      </c>
      <c r="J967" s="1">
        <v>2.47622E8</v>
      </c>
      <c r="K967" s="1">
        <v>2.47622E8</v>
      </c>
      <c r="L967" s="1">
        <v>-7584000.0</v>
      </c>
      <c r="M967" s="1">
        <v>3.5801E7</v>
      </c>
      <c r="N967" s="1">
        <v>7.77707E8</v>
      </c>
      <c r="O967" s="1">
        <v>5.30085E8</v>
      </c>
      <c r="P967" s="1">
        <v>3.06925E8</v>
      </c>
      <c r="Q967" s="1">
        <v>-7532000.0</v>
      </c>
      <c r="R967" s="1">
        <v>2.04289E8</v>
      </c>
      <c r="S967" s="1">
        <v>2.04257E8</v>
      </c>
      <c r="W967" s="4" t="str">
        <f>Raw_Data!C966&amp;"|"&amp;Raw_Data!D966&amp;"|"&amp;TEXT(Raw_Data!B966,"yyyy-mm-dd")</f>
        <v>Idexx Laboratories|IDXX|2021-06-30</v>
      </c>
    </row>
    <row r="968">
      <c r="A968" s="1">
        <v>966.0</v>
      </c>
      <c r="B968" s="3">
        <v>44196.0</v>
      </c>
      <c r="C968" s="1" t="s">
        <v>523</v>
      </c>
      <c r="D968" s="1" t="s">
        <v>524</v>
      </c>
      <c r="E968" s="1">
        <v>3.8777E7</v>
      </c>
      <c r="F968" s="1">
        <v>1.77436E8</v>
      </c>
      <c r="G968" s="1">
        <v>1.7479E8</v>
      </c>
      <c r="H968" s="1">
        <v>1.8563E8</v>
      </c>
      <c r="I968" s="1">
        <v>4.09502E8</v>
      </c>
      <c r="J968" s="1">
        <v>1.85095E8</v>
      </c>
      <c r="K968" s="1">
        <v>1.85095E8</v>
      </c>
      <c r="L968" s="1">
        <v>-7828000.0</v>
      </c>
      <c r="M968" s="1">
        <v>2478000.0</v>
      </c>
      <c r="N968" s="1">
        <v>7.20938E8</v>
      </c>
      <c r="O968" s="1">
        <v>5.35843E8</v>
      </c>
      <c r="P968" s="1">
        <v>3.11436E8</v>
      </c>
      <c r="Q968" s="1">
        <v>-7659000.0</v>
      </c>
      <c r="R968" s="1">
        <v>1.74958E8</v>
      </c>
      <c r="S968" s="1">
        <v>1.7479E8</v>
      </c>
      <c r="W968" s="4" t="str">
        <f>Raw_Data!C967&amp;"|"&amp;Raw_Data!D967&amp;"|"&amp;TEXT(Raw_Data!B967,"yyyy-mm-dd")</f>
        <v>Idexx Laboratories|IDXX|2021-03-31</v>
      </c>
    </row>
    <row r="969">
      <c r="A969" s="1">
        <v>967.0</v>
      </c>
      <c r="B969" s="3">
        <v>44104.0</v>
      </c>
      <c r="C969" s="1" t="s">
        <v>523</v>
      </c>
      <c r="D969" s="1" t="s">
        <v>524</v>
      </c>
      <c r="E969" s="1">
        <v>3.7517E7</v>
      </c>
      <c r="F969" s="1">
        <v>1.63954E8</v>
      </c>
      <c r="G969" s="1">
        <v>1.46219E8</v>
      </c>
      <c r="H969" s="1">
        <v>2.13233E8</v>
      </c>
      <c r="I969" s="1">
        <v>4.22606E8</v>
      </c>
      <c r="J969" s="1">
        <v>1.71856E8</v>
      </c>
      <c r="K969" s="1">
        <v>1.71856E8</v>
      </c>
      <c r="L969" s="1">
        <v>-8110000.0</v>
      </c>
      <c r="M969" s="1">
        <v>1.7633E7</v>
      </c>
      <c r="N969" s="1">
        <v>7.21789E8</v>
      </c>
      <c r="O969" s="1">
        <v>5.49933E8</v>
      </c>
      <c r="P969" s="1">
        <v>2.99183E8</v>
      </c>
      <c r="Q969" s="1">
        <v>-7902000.0</v>
      </c>
      <c r="R969" s="1">
        <v>1.46321E8</v>
      </c>
      <c r="S969" s="1">
        <v>1.46219E8</v>
      </c>
      <c r="W969" s="4" t="str">
        <f>Raw_Data!C968&amp;"|"&amp;Raw_Data!D968&amp;"|"&amp;TEXT(Raw_Data!B968,"yyyy-mm-dd")</f>
        <v>Idexx Laboratories|IDXX|2020-12-31</v>
      </c>
    </row>
    <row r="970">
      <c r="A970" s="1">
        <v>968.0</v>
      </c>
      <c r="B970" s="3">
        <v>44347.0</v>
      </c>
      <c r="C970" s="1" t="s">
        <v>525</v>
      </c>
      <c r="D970" s="1" t="s">
        <v>526</v>
      </c>
      <c r="F970" s="1">
        <v>2.165E8</v>
      </c>
      <c r="G970" s="1">
        <v>1.59E8</v>
      </c>
      <c r="H970" s="1">
        <v>2.833E8</v>
      </c>
      <c r="I970" s="1">
        <v>7.556E8</v>
      </c>
      <c r="J970" s="1">
        <v>3.166E8</v>
      </c>
      <c r="K970" s="1">
        <v>3.166E8</v>
      </c>
      <c r="L970" s="1">
        <v>-5.54E7</v>
      </c>
      <c r="M970" s="1">
        <v>5.76E7</v>
      </c>
      <c r="N970" s="1">
        <v>1.1814E9</v>
      </c>
      <c r="O970" s="1">
        <v>8.648E8</v>
      </c>
      <c r="P970" s="1">
        <v>4.258E8</v>
      </c>
      <c r="Q970" s="1">
        <v>-1.001E8</v>
      </c>
      <c r="R970" s="1">
        <v>1.589E8</v>
      </c>
      <c r="S970" s="1">
        <v>1.59E8</v>
      </c>
      <c r="W970" s="4" t="str">
        <f>Raw_Data!C969&amp;"|"&amp;Raw_Data!D969&amp;"|"&amp;TEXT(Raw_Data!B969,"yyyy-mm-dd")</f>
        <v>Idexx Laboratories|IDXX|2020-09-30</v>
      </c>
    </row>
    <row r="971">
      <c r="A971" s="1">
        <v>969.0</v>
      </c>
      <c r="B971" s="3">
        <v>44255.0</v>
      </c>
      <c r="C971" s="1" t="s">
        <v>525</v>
      </c>
      <c r="D971" s="1" t="s">
        <v>526</v>
      </c>
      <c r="F971" s="1">
        <v>1.79E8</v>
      </c>
      <c r="G971" s="1">
        <v>1.493E8</v>
      </c>
      <c r="H971" s="1">
        <v>3.022E8</v>
      </c>
      <c r="I971" s="1">
        <v>7.047E8</v>
      </c>
      <c r="J971" s="1">
        <v>2.475E8</v>
      </c>
      <c r="K971" s="1">
        <v>2.475E8</v>
      </c>
      <c r="L971" s="1">
        <v>-5.55E7</v>
      </c>
      <c r="M971" s="1">
        <v>3.03E7</v>
      </c>
      <c r="N971" s="1">
        <v>1.1199E9</v>
      </c>
      <c r="O971" s="1">
        <v>8.724E8</v>
      </c>
      <c r="P971" s="1">
        <v>4.152E8</v>
      </c>
      <c r="Q971" s="1">
        <v>-6.85E7</v>
      </c>
      <c r="R971" s="1">
        <v>1.487E8</v>
      </c>
      <c r="S971" s="1">
        <v>1.493E8</v>
      </c>
      <c r="W971" s="4" t="str">
        <f>Raw_Data!C970&amp;"|"&amp;Raw_Data!D970&amp;"|"&amp;TEXT(Raw_Data!B970,"yyyy-mm-dd")</f>
        <v>IHS Markit|INFO|2021-05-31</v>
      </c>
    </row>
    <row r="972">
      <c r="A972" s="1">
        <v>970.0</v>
      </c>
      <c r="B972" s="3">
        <v>44165.0</v>
      </c>
      <c r="C972" s="1" t="s">
        <v>525</v>
      </c>
      <c r="D972" s="1" t="s">
        <v>526</v>
      </c>
      <c r="F972" s="1">
        <v>1.153E8</v>
      </c>
      <c r="G972" s="1">
        <v>1.511E8</v>
      </c>
      <c r="H972" s="1">
        <v>2.962E8</v>
      </c>
      <c r="I972" s="1">
        <v>7.069E8</v>
      </c>
      <c r="J972" s="1">
        <v>2.604E8</v>
      </c>
      <c r="K972" s="1">
        <v>2.604E8</v>
      </c>
      <c r="L972" s="1">
        <v>-5.77E7</v>
      </c>
      <c r="M972" s="1">
        <v>-3.56E7</v>
      </c>
      <c r="N972" s="1">
        <v>1.1072E9</v>
      </c>
      <c r="O972" s="1">
        <v>8.468E8</v>
      </c>
      <c r="P972" s="1">
        <v>4.003E8</v>
      </c>
      <c r="Q972" s="1">
        <v>-1.451E8</v>
      </c>
      <c r="R972" s="1">
        <v>1.509E8</v>
      </c>
      <c r="S972" s="1">
        <v>1.511E8</v>
      </c>
      <c r="W972" s="4" t="str">
        <f>Raw_Data!C971&amp;"|"&amp;Raw_Data!D971&amp;"|"&amp;TEXT(Raw_Data!B971,"yyyy-mm-dd")</f>
        <v>IHS Markit|INFO|2021-02-28</v>
      </c>
    </row>
    <row r="973">
      <c r="A973" s="1">
        <v>971.0</v>
      </c>
      <c r="B973" s="3">
        <v>44074.0</v>
      </c>
      <c r="C973" s="1" t="s">
        <v>525</v>
      </c>
      <c r="D973" s="1" t="s">
        <v>526</v>
      </c>
      <c r="F973" s="1">
        <v>2.036E8</v>
      </c>
      <c r="G973" s="1">
        <v>1.629E8</v>
      </c>
      <c r="H973" s="1">
        <v>2.587E8</v>
      </c>
      <c r="I973" s="1">
        <v>6.876E8</v>
      </c>
      <c r="J973" s="1">
        <v>2.82E8</v>
      </c>
      <c r="K973" s="1">
        <v>2.82E8</v>
      </c>
      <c r="L973" s="1">
        <v>-5.77E7</v>
      </c>
      <c r="M973" s="1">
        <v>3.99E7</v>
      </c>
      <c r="N973" s="1">
        <v>1.0732E9</v>
      </c>
      <c r="O973" s="1">
        <v>7.912E8</v>
      </c>
      <c r="P973" s="1">
        <v>3.856E8</v>
      </c>
      <c r="Q973" s="1">
        <v>-7.84E7</v>
      </c>
      <c r="R973" s="1">
        <v>1.637E8</v>
      </c>
      <c r="S973" s="1">
        <v>1.629E8</v>
      </c>
      <c r="W973" s="4" t="str">
        <f>Raw_Data!C972&amp;"|"&amp;Raw_Data!D972&amp;"|"&amp;TEXT(Raw_Data!B972,"yyyy-mm-dd")</f>
        <v>IHS Markit|INFO|2020-11-30</v>
      </c>
    </row>
    <row r="974">
      <c r="A974" s="1">
        <v>972.0</v>
      </c>
      <c r="B974" s="3">
        <v>44286.0</v>
      </c>
      <c r="C974" s="1" t="s">
        <v>527</v>
      </c>
      <c r="D974" s="1" t="s">
        <v>528</v>
      </c>
      <c r="F974" s="1">
        <v>8.65E8</v>
      </c>
      <c r="G974" s="1">
        <v>6.71E8</v>
      </c>
      <c r="H974" s="1">
        <v>5.6E8</v>
      </c>
      <c r="I974" s="1">
        <v>1.505E9</v>
      </c>
      <c r="J974" s="1">
        <v>9.11E8</v>
      </c>
      <c r="K974" s="1">
        <v>9.11E8</v>
      </c>
      <c r="L974" s="1">
        <v>-5.2E7</v>
      </c>
      <c r="M974" s="1">
        <v>1.94E8</v>
      </c>
      <c r="N974" s="1">
        <v>3.544E9</v>
      </c>
      <c r="O974" s="1">
        <v>2.633E9</v>
      </c>
      <c r="P974" s="1">
        <v>2.039E9</v>
      </c>
      <c r="Q974" s="1">
        <v>-4.6E7</v>
      </c>
      <c r="R974" s="1">
        <v>6.71E8</v>
      </c>
      <c r="S974" s="1">
        <v>6.71E8</v>
      </c>
      <c r="W974" s="4" t="str">
        <f>Raw_Data!C973&amp;"|"&amp;Raw_Data!D973&amp;"|"&amp;TEXT(Raw_Data!B973,"yyyy-mm-dd")</f>
        <v>IHS Markit|INFO|2020-08-31</v>
      </c>
    </row>
    <row r="975">
      <c r="A975" s="1">
        <v>973.0</v>
      </c>
      <c r="B975" s="3">
        <v>44196.0</v>
      </c>
      <c r="C975" s="1" t="s">
        <v>527</v>
      </c>
      <c r="D975" s="1" t="s">
        <v>528</v>
      </c>
      <c r="F975" s="1">
        <v>8.24E8</v>
      </c>
      <c r="G975" s="1">
        <v>6.42E8</v>
      </c>
      <c r="H975" s="1">
        <v>5.53E8</v>
      </c>
      <c r="I975" s="1">
        <v>1.475E9</v>
      </c>
      <c r="J975" s="1">
        <v>8.87E8</v>
      </c>
      <c r="K975" s="1">
        <v>8.87E8</v>
      </c>
      <c r="L975" s="1">
        <v>-5.2E7</v>
      </c>
      <c r="M975" s="1">
        <v>1.82E8</v>
      </c>
      <c r="N975" s="1">
        <v>3.475E9</v>
      </c>
      <c r="O975" s="1">
        <v>2.588E9</v>
      </c>
      <c r="P975" s="1">
        <v>2.0E9</v>
      </c>
      <c r="Q975" s="1">
        <v>-6.3E7</v>
      </c>
      <c r="R975" s="1">
        <v>6.42E8</v>
      </c>
      <c r="S975" s="1">
        <v>6.42E8</v>
      </c>
      <c r="W975" s="4" t="str">
        <f>Raw_Data!C974&amp;"|"&amp;Raw_Data!D974&amp;"|"&amp;TEXT(Raw_Data!B974,"yyyy-mm-dd")</f>
        <v>Illinois Tool Works|ITW|2021-03-31</v>
      </c>
    </row>
    <row r="976">
      <c r="A976" s="1">
        <v>974.0</v>
      </c>
      <c r="B976" s="3">
        <v>44104.0</v>
      </c>
      <c r="C976" s="1" t="s">
        <v>527</v>
      </c>
      <c r="D976" s="1" t="s">
        <v>528</v>
      </c>
      <c r="F976" s="1">
        <v>7.39E8</v>
      </c>
      <c r="G976" s="1">
        <v>5.82E8</v>
      </c>
      <c r="H976" s="1">
        <v>5.57E8</v>
      </c>
      <c r="I976" s="1">
        <v>1.397E9</v>
      </c>
      <c r="J976" s="1">
        <v>7.92E8</v>
      </c>
      <c r="K976" s="1">
        <v>7.92E8</v>
      </c>
      <c r="L976" s="1">
        <v>-5.2E7</v>
      </c>
      <c r="M976" s="1">
        <v>1.57E8</v>
      </c>
      <c r="N976" s="1">
        <v>3.307E9</v>
      </c>
      <c r="O976" s="1">
        <v>2.515E9</v>
      </c>
      <c r="P976" s="1">
        <v>1.91E9</v>
      </c>
      <c r="Q976" s="1">
        <v>-5.3E7</v>
      </c>
      <c r="R976" s="1">
        <v>5.82E8</v>
      </c>
      <c r="S976" s="1">
        <v>5.82E8</v>
      </c>
      <c r="W976" s="4" t="str">
        <f>Raw_Data!C975&amp;"|"&amp;Raw_Data!D975&amp;"|"&amp;TEXT(Raw_Data!B975,"yyyy-mm-dd")</f>
        <v>Illinois Tool Works|ITW|2020-12-31</v>
      </c>
    </row>
    <row r="977">
      <c r="A977" s="1">
        <v>975.0</v>
      </c>
      <c r="B977" s="3">
        <v>44012.0</v>
      </c>
      <c r="C977" s="1" t="s">
        <v>527</v>
      </c>
      <c r="D977" s="1" t="s">
        <v>528</v>
      </c>
      <c r="F977" s="1">
        <v>4.06E8</v>
      </c>
      <c r="G977" s="1">
        <v>3.19E8</v>
      </c>
      <c r="H977" s="1">
        <v>4.83E8</v>
      </c>
      <c r="I977" s="1">
        <v>9.7E8</v>
      </c>
      <c r="J977" s="1">
        <v>4.52E8</v>
      </c>
      <c r="K977" s="1">
        <v>4.52E8</v>
      </c>
      <c r="L977" s="1">
        <v>-5.1E7</v>
      </c>
      <c r="M977" s="1">
        <v>8.7E7</v>
      </c>
      <c r="N977" s="1">
        <v>2.564E9</v>
      </c>
      <c r="O977" s="1">
        <v>2.112E9</v>
      </c>
      <c r="P977" s="1">
        <v>1.594E9</v>
      </c>
      <c r="Q977" s="1">
        <v>-4.6E7</v>
      </c>
      <c r="R977" s="1">
        <v>3.19E8</v>
      </c>
      <c r="S977" s="1">
        <v>3.19E8</v>
      </c>
      <c r="W977" s="4" t="str">
        <f>Raw_Data!C976&amp;"|"&amp;Raw_Data!D976&amp;"|"&amp;TEXT(Raw_Data!B976,"yyyy-mm-dd")</f>
        <v>Illinois Tool Works|ITW|2020-09-30</v>
      </c>
    </row>
    <row r="978">
      <c r="A978" s="1">
        <v>976.0</v>
      </c>
      <c r="B978" s="3">
        <v>44290.0</v>
      </c>
      <c r="C978" s="1" t="s">
        <v>529</v>
      </c>
      <c r="D978" s="1" t="s">
        <v>530</v>
      </c>
      <c r="E978" s="1">
        <v>1.97E8</v>
      </c>
      <c r="F978" s="1">
        <v>1.69E8</v>
      </c>
      <c r="G978" s="1">
        <v>1.47E8</v>
      </c>
      <c r="H978" s="1">
        <v>3.74E8</v>
      </c>
      <c r="I978" s="1">
        <v>7.7E8</v>
      </c>
      <c r="J978" s="1">
        <v>1.93E8</v>
      </c>
      <c r="K978" s="1">
        <v>1.93E8</v>
      </c>
      <c r="L978" s="1">
        <v>-1.9E7</v>
      </c>
      <c r="M978" s="1">
        <v>2.2E7</v>
      </c>
      <c r="N978" s="1">
        <v>1.093E9</v>
      </c>
      <c r="O978" s="1">
        <v>9.0E8</v>
      </c>
      <c r="P978" s="1">
        <v>3.23E8</v>
      </c>
      <c r="Q978" s="1">
        <v>-2.4E7</v>
      </c>
      <c r="R978" s="1">
        <v>1.47E8</v>
      </c>
      <c r="S978" s="1">
        <v>1.47E8</v>
      </c>
      <c r="W978" s="4" t="str">
        <f>Raw_Data!C977&amp;"|"&amp;Raw_Data!D977&amp;"|"&amp;TEXT(Raw_Data!B977,"yyyy-mm-dd")</f>
        <v>Illinois Tool Works|ITW|2020-06-30</v>
      </c>
    </row>
    <row r="979">
      <c r="A979" s="1">
        <v>977.0</v>
      </c>
      <c r="B979" s="3">
        <v>44199.0</v>
      </c>
      <c r="C979" s="1" t="s">
        <v>529</v>
      </c>
      <c r="D979" s="1" t="s">
        <v>530</v>
      </c>
      <c r="E979" s="1">
        <v>1.26E8</v>
      </c>
      <c r="F979" s="1">
        <v>2.99E8</v>
      </c>
      <c r="G979" s="1">
        <v>2.57E8</v>
      </c>
      <c r="H979" s="1">
        <v>3.73E8</v>
      </c>
      <c r="I979" s="1">
        <v>6.37E8</v>
      </c>
      <c r="J979" s="1">
        <v>1.31E8</v>
      </c>
      <c r="K979" s="1">
        <v>1.31E8</v>
      </c>
      <c r="L979" s="1">
        <v>-1.6E7</v>
      </c>
      <c r="M979" s="1">
        <v>4.2E7</v>
      </c>
      <c r="N979" s="1">
        <v>9.53E8</v>
      </c>
      <c r="O979" s="1">
        <v>8.22E8</v>
      </c>
      <c r="P979" s="1">
        <v>3.16E8</v>
      </c>
      <c r="Q979" s="1">
        <v>1.68E8</v>
      </c>
      <c r="R979" s="1">
        <v>2.57E8</v>
      </c>
      <c r="S979" s="1">
        <v>2.57E8</v>
      </c>
      <c r="W979" s="4" t="str">
        <f>Raw_Data!C978&amp;"|"&amp;Raw_Data!D978&amp;"|"&amp;TEXT(Raw_Data!B978,"yyyy-mm-dd")</f>
        <v>Illumina|ILMN|2021-04-04</v>
      </c>
    </row>
    <row r="980">
      <c r="A980" s="1">
        <v>978.0</v>
      </c>
      <c r="B980" s="3">
        <v>44101.0</v>
      </c>
      <c r="C980" s="1" t="s">
        <v>529</v>
      </c>
      <c r="D980" s="1" t="s">
        <v>530</v>
      </c>
      <c r="E980" s="1">
        <v>1.72E8</v>
      </c>
      <c r="F980" s="1">
        <v>2.15E8</v>
      </c>
      <c r="G980" s="1">
        <v>1.79E8</v>
      </c>
      <c r="H980" s="1">
        <v>2.17E8</v>
      </c>
      <c r="I980" s="1">
        <v>5.33E8</v>
      </c>
      <c r="J980" s="1">
        <v>1.37E8</v>
      </c>
      <c r="K980" s="1">
        <v>1.37E8</v>
      </c>
      <c r="L980" s="1">
        <v>-1.1E7</v>
      </c>
      <c r="M980" s="1">
        <v>3.6E7</v>
      </c>
      <c r="N980" s="1">
        <v>7.94E8</v>
      </c>
      <c r="O980" s="1">
        <v>6.57E8</v>
      </c>
      <c r="P980" s="1">
        <v>2.61E8</v>
      </c>
      <c r="Q980" s="1">
        <v>7.8E7</v>
      </c>
      <c r="R980" s="1">
        <v>1.79E8</v>
      </c>
      <c r="S980" s="1">
        <v>1.79E8</v>
      </c>
      <c r="W980" s="4" t="str">
        <f>Raw_Data!C979&amp;"|"&amp;Raw_Data!D979&amp;"|"&amp;TEXT(Raw_Data!B979,"yyyy-mm-dd")</f>
        <v>Illumina|ILMN|2021-01-03</v>
      </c>
    </row>
    <row r="981">
      <c r="A981" s="1">
        <v>979.0</v>
      </c>
      <c r="B981" s="3">
        <v>44010.0</v>
      </c>
      <c r="C981" s="1" t="s">
        <v>529</v>
      </c>
      <c r="D981" s="1" t="s">
        <v>530</v>
      </c>
      <c r="E981" s="1">
        <v>1.55E8</v>
      </c>
      <c r="F981" s="1">
        <v>1.65E8</v>
      </c>
      <c r="G981" s="1">
        <v>4.7E7</v>
      </c>
      <c r="H981" s="1">
        <v>1.77E8</v>
      </c>
      <c r="I981" s="1">
        <v>4.35E8</v>
      </c>
      <c r="J981" s="1">
        <v>9.6E7</v>
      </c>
      <c r="K981" s="1">
        <v>9.6E7</v>
      </c>
      <c r="L981" s="1">
        <v>-1.1E7</v>
      </c>
      <c r="M981" s="1">
        <v>1.18E8</v>
      </c>
      <c r="N981" s="1">
        <v>6.33E8</v>
      </c>
      <c r="O981" s="1">
        <v>5.37E8</v>
      </c>
      <c r="P981" s="1">
        <v>1.98E8</v>
      </c>
      <c r="Q981" s="1">
        <v>6.9E7</v>
      </c>
      <c r="R981" s="1">
        <v>4.7E7</v>
      </c>
      <c r="S981" s="1">
        <v>4.7E7</v>
      </c>
      <c r="W981" s="4" t="str">
        <f>Raw_Data!C980&amp;"|"&amp;Raw_Data!D980&amp;"|"&amp;TEXT(Raw_Data!B980,"yyyy-mm-dd")</f>
        <v>Illumina|ILMN|2020-09-27</v>
      </c>
    </row>
    <row r="982">
      <c r="A982" s="1">
        <v>980.0</v>
      </c>
      <c r="B982" s="3">
        <v>44377.0</v>
      </c>
      <c r="C982" s="1" t="s">
        <v>531</v>
      </c>
      <c r="D982" s="1" t="s">
        <v>532</v>
      </c>
      <c r="F982" s="1">
        <v>1.71633E8</v>
      </c>
      <c r="G982" s="1">
        <v>1.49456E8</v>
      </c>
      <c r="H982" s="1">
        <v>1.68859E8</v>
      </c>
      <c r="I982" s="1">
        <v>3.14327E8</v>
      </c>
      <c r="J982" s="1">
        <v>1.45468E8</v>
      </c>
      <c r="K982" s="1">
        <v>1.45468E8</v>
      </c>
      <c r="L982" s="1">
        <v>-358000.0</v>
      </c>
      <c r="M982" s="1">
        <v>2.2177E7</v>
      </c>
      <c r="N982" s="1">
        <v>7.05709E8</v>
      </c>
      <c r="O982" s="1">
        <v>5.60241E8</v>
      </c>
      <c r="P982" s="1">
        <v>3.91382E8</v>
      </c>
      <c r="Q982" s="1">
        <v>2.6165E7</v>
      </c>
      <c r="R982" s="1">
        <v>1.49456E8</v>
      </c>
      <c r="S982" s="1">
        <v>1.49456E8</v>
      </c>
      <c r="W982" s="4" t="str">
        <f>Raw_Data!C981&amp;"|"&amp;Raw_Data!D981&amp;"|"&amp;TEXT(Raw_Data!B981,"yyyy-mm-dd")</f>
        <v>Illumina|ILMN|2020-06-28</v>
      </c>
    </row>
    <row r="983">
      <c r="A983" s="1">
        <v>981.0</v>
      </c>
      <c r="B983" s="3">
        <v>44286.0</v>
      </c>
      <c r="C983" s="1" t="s">
        <v>531</v>
      </c>
      <c r="D983" s="1" t="s">
        <v>532</v>
      </c>
      <c r="F983" s="1">
        <v>6.9322E7</v>
      </c>
      <c r="G983" s="1">
        <v>5.3535E7</v>
      </c>
      <c r="H983" s="1">
        <v>1.54144E8</v>
      </c>
      <c r="I983" s="1">
        <v>2.58118E8</v>
      </c>
      <c r="J983" s="1">
        <v>1.03974E8</v>
      </c>
      <c r="K983" s="1">
        <v>1.03974E8</v>
      </c>
      <c r="L983" s="1">
        <v>-359000.0</v>
      </c>
      <c r="M983" s="1">
        <v>1.5787E7</v>
      </c>
      <c r="N983" s="1">
        <v>6.04718E8</v>
      </c>
      <c r="O983" s="1">
        <v>5.00744E8</v>
      </c>
      <c r="P983" s="1">
        <v>3.466E8</v>
      </c>
      <c r="Q983" s="1">
        <v>-3.4652E7</v>
      </c>
      <c r="R983" s="1">
        <v>5.3535E7</v>
      </c>
      <c r="S983" s="1">
        <v>5.3535E7</v>
      </c>
      <c r="W983" s="4" t="str">
        <f>Raw_Data!C982&amp;"|"&amp;Raw_Data!D982&amp;"|"&amp;TEXT(Raw_Data!B982,"yyyy-mm-dd")</f>
        <v>Incyte|INCY|2021-06-30</v>
      </c>
    </row>
    <row r="984">
      <c r="A984" s="1">
        <v>982.0</v>
      </c>
      <c r="B984" s="3">
        <v>44196.0</v>
      </c>
      <c r="C984" s="1" t="s">
        <v>531</v>
      </c>
      <c r="D984" s="1" t="s">
        <v>532</v>
      </c>
      <c r="F984" s="1">
        <v>1.68102E8</v>
      </c>
      <c r="G984" s="1">
        <v>1.4985E8</v>
      </c>
      <c r="H984" s="1">
        <v>1.67228E8</v>
      </c>
      <c r="I984" s="1">
        <v>3.34812E8</v>
      </c>
      <c r="J984" s="1">
        <v>1.67584E8</v>
      </c>
      <c r="K984" s="1">
        <v>1.67584E8</v>
      </c>
      <c r="L984" s="1">
        <v>-428000.0</v>
      </c>
      <c r="M984" s="1">
        <v>1.8252E7</v>
      </c>
      <c r="N984" s="1">
        <v>7.89509E8</v>
      </c>
      <c r="O984" s="1">
        <v>6.21925E8</v>
      </c>
      <c r="P984" s="1">
        <v>4.54697E8</v>
      </c>
      <c r="Q984" s="1">
        <v>518000.0</v>
      </c>
      <c r="R984" s="1">
        <v>1.4985E8</v>
      </c>
      <c r="S984" s="1">
        <v>1.4985E8</v>
      </c>
      <c r="W984" s="4" t="str">
        <f>Raw_Data!C983&amp;"|"&amp;Raw_Data!D983&amp;"|"&amp;TEXT(Raw_Data!B983,"yyyy-mm-dd")</f>
        <v>Incyte|INCY|2021-03-31</v>
      </c>
    </row>
    <row r="985">
      <c r="A985" s="1">
        <v>983.0</v>
      </c>
      <c r="B985" s="3">
        <v>44104.0</v>
      </c>
      <c r="C985" s="1" t="s">
        <v>531</v>
      </c>
      <c r="D985" s="1" t="s">
        <v>532</v>
      </c>
      <c r="F985" s="1">
        <v>-3508000.0</v>
      </c>
      <c r="G985" s="1">
        <v>-1.5203E7</v>
      </c>
      <c r="H985" s="1">
        <v>1.21025E8</v>
      </c>
      <c r="I985" s="1">
        <v>1.33223E8</v>
      </c>
      <c r="J985" s="1">
        <v>1.2198E7</v>
      </c>
      <c r="K985" s="1">
        <v>1.2198E7</v>
      </c>
      <c r="L985" s="1">
        <v>-544000.0</v>
      </c>
      <c r="M985" s="1">
        <v>1.1695E7</v>
      </c>
      <c r="N985" s="1">
        <v>6.20643E8</v>
      </c>
      <c r="O985" s="1">
        <v>6.08445E8</v>
      </c>
      <c r="P985" s="1">
        <v>4.8742E8</v>
      </c>
      <c r="Q985" s="1">
        <v>-1.5706E7</v>
      </c>
      <c r="R985" s="1">
        <v>-1.5203E7</v>
      </c>
      <c r="S985" s="1">
        <v>-1.5203E7</v>
      </c>
      <c r="W985" s="4" t="str">
        <f>Raw_Data!C984&amp;"|"&amp;Raw_Data!D984&amp;"|"&amp;TEXT(Raw_Data!B984,"yyyy-mm-dd")</f>
        <v>Incyte|INCY|2020-12-31</v>
      </c>
    </row>
    <row r="986">
      <c r="A986" s="1">
        <v>984.0</v>
      </c>
      <c r="B986" s="3">
        <v>44377.0</v>
      </c>
      <c r="C986" s="1" t="s">
        <v>533</v>
      </c>
      <c r="D986" s="1" t="s">
        <v>534</v>
      </c>
      <c r="F986" s="1">
        <v>1.508E8</v>
      </c>
      <c r="G986" s="1">
        <v>2.339E8</v>
      </c>
      <c r="H986" s="1">
        <v>2.663E8</v>
      </c>
      <c r="I986" s="1">
        <v>5.127E8</v>
      </c>
      <c r="J986" s="1">
        <v>1.665E8</v>
      </c>
      <c r="K986" s="1">
        <v>1.665E8</v>
      </c>
      <c r="L986" s="1">
        <v>-2.27E7</v>
      </c>
      <c r="M986" s="1">
        <v>1.25E7</v>
      </c>
      <c r="N986" s="1">
        <v>1.2791E9</v>
      </c>
      <c r="O986" s="1">
        <v>1.1126E9</v>
      </c>
      <c r="P986" s="1">
        <v>7.664E8</v>
      </c>
      <c r="Q986" s="1">
        <v>-1.57E7</v>
      </c>
      <c r="R986" s="1">
        <v>1.383E8</v>
      </c>
      <c r="S986" s="1">
        <v>2.339E8</v>
      </c>
      <c r="W986" s="4" t="str">
        <f>Raw_Data!C985&amp;"|"&amp;Raw_Data!D985&amp;"|"&amp;TEXT(Raw_Data!B985,"yyyy-mm-dd")</f>
        <v>Incyte|INCY|2020-09-30</v>
      </c>
    </row>
    <row r="987">
      <c r="A987" s="1">
        <v>985.0</v>
      </c>
      <c r="B987" s="3">
        <v>44286.0</v>
      </c>
      <c r="C987" s="1" t="s">
        <v>533</v>
      </c>
      <c r="D987" s="1" t="s">
        <v>534</v>
      </c>
      <c r="F987" s="1">
        <v>1.007E8</v>
      </c>
      <c r="G987" s="1">
        <v>-9.04E7</v>
      </c>
      <c r="H987" s="1">
        <v>2.515E8</v>
      </c>
      <c r="I987" s="1">
        <v>4.521E8</v>
      </c>
      <c r="J987" s="1">
        <v>1.147E8</v>
      </c>
      <c r="K987" s="1">
        <v>1.147E8</v>
      </c>
      <c r="L987" s="1">
        <v>-2.31E7</v>
      </c>
      <c r="M987" s="1">
        <v>1.06E7</v>
      </c>
      <c r="N987" s="1">
        <v>1.1295E9</v>
      </c>
      <c r="O987" s="1">
        <v>1.0148E9</v>
      </c>
      <c r="P987" s="1">
        <v>6.774E8</v>
      </c>
      <c r="Q987" s="1">
        <v>-1.4E7</v>
      </c>
      <c r="R987" s="1">
        <v>9.01E7</v>
      </c>
      <c r="S987" s="1">
        <v>-9.04E7</v>
      </c>
      <c r="W987" s="4" t="str">
        <f>Raw_Data!C986&amp;"|"&amp;Raw_Data!D986&amp;"|"&amp;TEXT(Raw_Data!B986,"yyyy-mm-dd")</f>
        <v>Ingersoll Rand|IR|2021-06-30</v>
      </c>
    </row>
    <row r="988">
      <c r="A988" s="1">
        <v>986.0</v>
      </c>
      <c r="B988" s="3">
        <v>44196.0</v>
      </c>
      <c r="C988" s="1" t="s">
        <v>533</v>
      </c>
      <c r="D988" s="1" t="s">
        <v>534</v>
      </c>
      <c r="F988" s="1">
        <v>1.089E8</v>
      </c>
      <c r="G988" s="1">
        <v>1.516E8</v>
      </c>
      <c r="H988" s="1">
        <v>2.452E8</v>
      </c>
      <c r="I988" s="1">
        <v>5.269E8</v>
      </c>
      <c r="J988" s="1">
        <v>1.67E8</v>
      </c>
      <c r="K988" s="1">
        <v>1.67E8</v>
      </c>
      <c r="L988" s="1">
        <v>-2.44E7</v>
      </c>
      <c r="M988" s="1">
        <v>-4.22E7</v>
      </c>
      <c r="N988" s="1">
        <v>1.5107E9</v>
      </c>
      <c r="O988" s="1">
        <v>1.3437E9</v>
      </c>
      <c r="P988" s="1">
        <v>9.838E8</v>
      </c>
      <c r="Q988" s="1">
        <v>-5.81E7</v>
      </c>
      <c r="R988" s="1">
        <v>1.511E8</v>
      </c>
      <c r="S988" s="1">
        <v>1.516E8</v>
      </c>
      <c r="W988" s="4" t="str">
        <f>Raw_Data!C987&amp;"|"&amp;Raw_Data!D987&amp;"|"&amp;TEXT(Raw_Data!B987,"yyyy-mm-dd")</f>
        <v>Ingersoll Rand|IR|2021-03-31</v>
      </c>
    </row>
    <row r="989">
      <c r="A989" s="1">
        <v>987.0</v>
      </c>
      <c r="B989" s="3">
        <v>44104.0</v>
      </c>
      <c r="C989" s="1" t="s">
        <v>533</v>
      </c>
      <c r="D989" s="1" t="s">
        <v>534</v>
      </c>
      <c r="F989" s="1">
        <v>4.81E7</v>
      </c>
      <c r="G989" s="1">
        <v>2.95E7</v>
      </c>
      <c r="H989" s="1">
        <v>2.442E8</v>
      </c>
      <c r="I989" s="1">
        <v>4.82E8</v>
      </c>
      <c r="J989" s="1">
        <v>1.23E8</v>
      </c>
      <c r="K989" s="1">
        <v>1.23E8</v>
      </c>
      <c r="L989" s="1">
        <v>-2.88E7</v>
      </c>
      <c r="M989" s="1">
        <v>1.82E7</v>
      </c>
      <c r="N989" s="1">
        <v>1.3352E9</v>
      </c>
      <c r="O989" s="1">
        <v>1.2122E9</v>
      </c>
      <c r="P989" s="1">
        <v>8.532E8</v>
      </c>
      <c r="Q989" s="1">
        <v>-7.49E7</v>
      </c>
      <c r="R989" s="1">
        <v>2.99E7</v>
      </c>
      <c r="S989" s="1">
        <v>2.95E7</v>
      </c>
      <c r="W989" s="4" t="str">
        <f>Raw_Data!C988&amp;"|"&amp;Raw_Data!D988&amp;"|"&amp;TEXT(Raw_Data!B988,"yyyy-mm-dd")</f>
        <v>Ingersoll Rand|IR|2020-12-31</v>
      </c>
    </row>
    <row r="990">
      <c r="A990" s="1">
        <v>988.0</v>
      </c>
      <c r="B990" s="3">
        <v>44373.0</v>
      </c>
      <c r="C990" s="1" t="s">
        <v>535</v>
      </c>
      <c r="D990" s="1" t="s">
        <v>536</v>
      </c>
      <c r="E990" s="1">
        <v>3.715E9</v>
      </c>
      <c r="F990" s="1">
        <v>5.745E9</v>
      </c>
      <c r="G990" s="1">
        <v>5.061E9</v>
      </c>
      <c r="H990" s="1">
        <v>1.599E9</v>
      </c>
      <c r="I990" s="1">
        <v>1.1206E10</v>
      </c>
      <c r="J990" s="1">
        <v>5.892E9</v>
      </c>
      <c r="K990" s="1">
        <v>5.892E9</v>
      </c>
      <c r="L990" s="1">
        <v>-1.29E8</v>
      </c>
      <c r="M990" s="1">
        <v>6.84E8</v>
      </c>
      <c r="N990" s="1">
        <v>1.9631E10</v>
      </c>
      <c r="O990" s="1">
        <v>1.3739E10</v>
      </c>
      <c r="P990" s="1">
        <v>8.425E9</v>
      </c>
      <c r="Q990" s="1">
        <v>-1.47E8</v>
      </c>
      <c r="R990" s="1">
        <v>5.061E9</v>
      </c>
      <c r="S990" s="1">
        <v>5.061E9</v>
      </c>
      <c r="W990" s="4" t="str">
        <f>Raw_Data!C989&amp;"|"&amp;Raw_Data!D989&amp;"|"&amp;TEXT(Raw_Data!B989,"yyyy-mm-dd")</f>
        <v>Ingersoll Rand|IR|2020-09-30</v>
      </c>
    </row>
    <row r="991">
      <c r="A991" s="1">
        <v>989.0</v>
      </c>
      <c r="B991" s="3">
        <v>44282.0</v>
      </c>
      <c r="C991" s="1" t="s">
        <v>535</v>
      </c>
      <c r="D991" s="1" t="s">
        <v>536</v>
      </c>
      <c r="E991" s="1">
        <v>3.623E9</v>
      </c>
      <c r="F991" s="1">
        <v>3.906E9</v>
      </c>
      <c r="G991" s="1">
        <v>3.361E9</v>
      </c>
      <c r="H991" s="1">
        <v>1.328E9</v>
      </c>
      <c r="I991" s="1">
        <v>1.0854E10</v>
      </c>
      <c r="J991" s="1">
        <v>5.903E9</v>
      </c>
      <c r="K991" s="1">
        <v>5.903E9</v>
      </c>
      <c r="L991" s="1">
        <v>-1.9E8</v>
      </c>
      <c r="M991" s="1">
        <v>5.45E8</v>
      </c>
      <c r="N991" s="1">
        <v>1.9673E10</v>
      </c>
      <c r="O991" s="1">
        <v>1.377E10</v>
      </c>
      <c r="P991" s="1">
        <v>8.819E9</v>
      </c>
      <c r="Q991" s="1">
        <v>-1.997E9</v>
      </c>
      <c r="R991" s="1">
        <v>3.361E9</v>
      </c>
      <c r="S991" s="1">
        <v>3.361E9</v>
      </c>
      <c r="W991" s="4" t="str">
        <f>Raw_Data!C990&amp;"|"&amp;Raw_Data!D990&amp;"|"&amp;TEXT(Raw_Data!B990,"yyyy-mm-dd")</f>
        <v>Intel|INTC|2021-06-26</v>
      </c>
    </row>
    <row r="992">
      <c r="A992" s="1">
        <v>990.0</v>
      </c>
      <c r="B992" s="3">
        <v>44191.0</v>
      </c>
      <c r="C992" s="1" t="s">
        <v>535</v>
      </c>
      <c r="D992" s="1" t="s">
        <v>536</v>
      </c>
      <c r="E992" s="1">
        <v>3.655E9</v>
      </c>
      <c r="F992" s="1">
        <v>7.488E9</v>
      </c>
      <c r="G992" s="1">
        <v>5.857E9</v>
      </c>
      <c r="H992" s="1">
        <v>1.757E9</v>
      </c>
      <c r="I992" s="1">
        <v>1.1348E10</v>
      </c>
      <c r="J992" s="1">
        <v>5.936E9</v>
      </c>
      <c r="K992" s="1">
        <v>5.936E9</v>
      </c>
      <c r="L992" s="1">
        <v>-1.48E8</v>
      </c>
      <c r="M992" s="1">
        <v>1.631E9</v>
      </c>
      <c r="N992" s="1">
        <v>1.9978E10</v>
      </c>
      <c r="O992" s="1">
        <v>1.4042E10</v>
      </c>
      <c r="P992" s="1">
        <v>8.63E9</v>
      </c>
      <c r="Q992" s="1">
        <v>1.552E9</v>
      </c>
      <c r="R992" s="1">
        <v>5.857E9</v>
      </c>
      <c r="S992" s="1">
        <v>5.857E9</v>
      </c>
      <c r="W992" s="4" t="str">
        <f>Raw_Data!C991&amp;"|"&amp;Raw_Data!D991&amp;"|"&amp;TEXT(Raw_Data!B991,"yyyy-mm-dd")</f>
        <v>Intel|INTC|2021-03-27</v>
      </c>
    </row>
    <row r="993">
      <c r="A993" s="1">
        <v>991.0</v>
      </c>
      <c r="B993" s="3">
        <v>44100.0</v>
      </c>
      <c r="C993" s="1" t="s">
        <v>535</v>
      </c>
      <c r="D993" s="1" t="s">
        <v>536</v>
      </c>
      <c r="E993" s="1">
        <v>3.272E9</v>
      </c>
      <c r="F993" s="1">
        <v>5.041E9</v>
      </c>
      <c r="G993" s="1">
        <v>4.276E9</v>
      </c>
      <c r="H993" s="1">
        <v>1.435E9</v>
      </c>
      <c r="I993" s="1">
        <v>9.741E9</v>
      </c>
      <c r="J993" s="1">
        <v>5.034E9</v>
      </c>
      <c r="K993" s="1">
        <v>5.034E9</v>
      </c>
      <c r="L993" s="1">
        <v>-1.6E8</v>
      </c>
      <c r="M993" s="1">
        <v>7.65E8</v>
      </c>
      <c r="N993" s="1">
        <v>1.8333E10</v>
      </c>
      <c r="O993" s="1">
        <v>1.3299E10</v>
      </c>
      <c r="P993" s="1">
        <v>8.592E9</v>
      </c>
      <c r="Q993" s="1">
        <v>7000000.0</v>
      </c>
      <c r="R993" s="1">
        <v>4.276E9</v>
      </c>
      <c r="S993" s="1">
        <v>4.276E9</v>
      </c>
      <c r="W993" s="4" t="str">
        <f>Raw_Data!C992&amp;"|"&amp;Raw_Data!D992&amp;"|"&amp;TEXT(Raw_Data!B992,"yyyy-mm-dd")</f>
        <v>Intel|INTC|2020-12-26</v>
      </c>
    </row>
    <row r="994">
      <c r="A994" s="1">
        <v>992.0</v>
      </c>
      <c r="B994" s="3">
        <v>44377.0</v>
      </c>
      <c r="C994" s="1" t="s">
        <v>537</v>
      </c>
      <c r="D994" s="1" t="s">
        <v>538</v>
      </c>
      <c r="F994" s="1">
        <v>1.932E9</v>
      </c>
      <c r="G994" s="1">
        <v>1.252E9</v>
      </c>
      <c r="H994" s="1">
        <v>6.47E8</v>
      </c>
      <c r="I994" s="1">
        <v>1.707E9</v>
      </c>
      <c r="J994" s="1">
        <v>8.09E8</v>
      </c>
      <c r="K994" s="1">
        <v>8.09E8</v>
      </c>
      <c r="L994" s="1">
        <v>-1.06E8</v>
      </c>
      <c r="M994" s="1">
        <v>6.79E8</v>
      </c>
      <c r="N994" s="1">
        <v>1.707E9</v>
      </c>
      <c r="O994" s="1">
        <v>8.98E8</v>
      </c>
      <c r="P994" s="1">
        <v>0.0</v>
      </c>
      <c r="Q994" s="1">
        <v>1.123E9</v>
      </c>
      <c r="R994" s="1">
        <v>1.253E9</v>
      </c>
      <c r="S994" s="1">
        <v>1.252E9</v>
      </c>
      <c r="W994" s="4" t="str">
        <f>Raw_Data!C993&amp;"|"&amp;Raw_Data!D993&amp;"|"&amp;TEXT(Raw_Data!B993,"yyyy-mm-dd")</f>
        <v>Intel|INTC|2020-09-26</v>
      </c>
    </row>
    <row r="995">
      <c r="A995" s="1">
        <v>993.0</v>
      </c>
      <c r="B995" s="3">
        <v>44286.0</v>
      </c>
      <c r="C995" s="1" t="s">
        <v>537</v>
      </c>
      <c r="D995" s="1" t="s">
        <v>538</v>
      </c>
      <c r="F995" s="1">
        <v>8.33E8</v>
      </c>
      <c r="G995" s="1">
        <v>6.46E8</v>
      </c>
      <c r="H995" s="1">
        <v>6.32E8</v>
      </c>
      <c r="I995" s="1">
        <v>1.797E9</v>
      </c>
      <c r="J995" s="1">
        <v>9.1E8</v>
      </c>
      <c r="K995" s="1">
        <v>9.1E8</v>
      </c>
      <c r="L995" s="1">
        <v>-1.07E8</v>
      </c>
      <c r="M995" s="1">
        <v>1.83E8</v>
      </c>
      <c r="N995" s="1">
        <v>1.797E9</v>
      </c>
      <c r="O995" s="1">
        <v>8.87E8</v>
      </c>
      <c r="P995" s="1">
        <v>0.0</v>
      </c>
      <c r="Q995" s="1">
        <v>-7.7E7</v>
      </c>
      <c r="R995" s="1">
        <v>6.5E8</v>
      </c>
      <c r="S995" s="1">
        <v>6.46E8</v>
      </c>
      <c r="W995" s="4" t="str">
        <f>Raw_Data!C994&amp;"|"&amp;Raw_Data!D994&amp;"|"&amp;TEXT(Raw_Data!B994,"yyyy-mm-dd")</f>
        <v>Intercontinental Exchange|ICE|2021-06-30</v>
      </c>
    </row>
    <row r="996">
      <c r="A996" s="1">
        <v>994.0</v>
      </c>
      <c r="B996" s="3">
        <v>44196.0</v>
      </c>
      <c r="C996" s="1" t="s">
        <v>537</v>
      </c>
      <c r="D996" s="1" t="s">
        <v>538</v>
      </c>
      <c r="F996" s="1">
        <v>6.74E8</v>
      </c>
      <c r="G996" s="1">
        <v>5.26E8</v>
      </c>
      <c r="H996" s="1">
        <v>6.25E8</v>
      </c>
      <c r="I996" s="1">
        <v>1.671E9</v>
      </c>
      <c r="J996" s="1">
        <v>8.0E8</v>
      </c>
      <c r="K996" s="1">
        <v>8.0E8</v>
      </c>
      <c r="L996" s="1">
        <v>-1.12E8</v>
      </c>
      <c r="M996" s="1">
        <v>1.46E8</v>
      </c>
      <c r="N996" s="1">
        <v>1.671E9</v>
      </c>
      <c r="O996" s="1">
        <v>8.71E8</v>
      </c>
      <c r="P996" s="1">
        <v>0.0</v>
      </c>
      <c r="Q996" s="1">
        <v>-1.26E8</v>
      </c>
      <c r="R996" s="1">
        <v>5.28E8</v>
      </c>
      <c r="S996" s="1">
        <v>5.26E8</v>
      </c>
      <c r="W996" s="4" t="str">
        <f>Raw_Data!C995&amp;"|"&amp;Raw_Data!D995&amp;"|"&amp;TEXT(Raw_Data!B995,"yyyy-mm-dd")</f>
        <v>Intercontinental Exchange|ICE|2021-03-31</v>
      </c>
    </row>
    <row r="997">
      <c r="A997" s="1">
        <v>995.0</v>
      </c>
      <c r="B997" s="3">
        <v>44104.0</v>
      </c>
      <c r="C997" s="1" t="s">
        <v>537</v>
      </c>
      <c r="D997" s="1" t="s">
        <v>538</v>
      </c>
      <c r="F997" s="1">
        <v>5.83E8</v>
      </c>
      <c r="G997" s="1">
        <v>3.9E8</v>
      </c>
      <c r="H997" s="1">
        <v>5.28E8</v>
      </c>
      <c r="I997" s="1">
        <v>1.411E9</v>
      </c>
      <c r="J997" s="1">
        <v>7.03E8</v>
      </c>
      <c r="K997" s="1">
        <v>7.03E8</v>
      </c>
      <c r="L997" s="1">
        <v>-8.9E7</v>
      </c>
      <c r="M997" s="1">
        <v>1.89E8</v>
      </c>
      <c r="N997" s="1">
        <v>1.411E9</v>
      </c>
      <c r="O997" s="1">
        <v>7.08E8</v>
      </c>
      <c r="P997" s="1">
        <v>0.0</v>
      </c>
      <c r="Q997" s="1">
        <v>-1.2E8</v>
      </c>
      <c r="R997" s="1">
        <v>3.94E8</v>
      </c>
      <c r="S997" s="1">
        <v>3.9E8</v>
      </c>
      <c r="W997" s="4" t="str">
        <f>Raw_Data!C996&amp;"|"&amp;Raw_Data!D996&amp;"|"&amp;TEXT(Raw_Data!B996,"yyyy-mm-dd")</f>
        <v>Intercontinental Exchange|ICE|2020-12-31</v>
      </c>
    </row>
    <row r="998">
      <c r="A998" s="1">
        <v>996.0</v>
      </c>
      <c r="B998" s="3">
        <v>44377.0</v>
      </c>
      <c r="C998" s="1" t="s">
        <v>539</v>
      </c>
      <c r="D998" s="1" t="s">
        <v>540</v>
      </c>
      <c r="E998" s="1">
        <v>1.64E8</v>
      </c>
      <c r="F998" s="1">
        <v>4.4E7</v>
      </c>
      <c r="G998" s="1">
        <v>2.8E7</v>
      </c>
      <c r="H998" s="1">
        <v>3.85E8</v>
      </c>
      <c r="I998" s="1">
        <v>1.105E9</v>
      </c>
      <c r="J998" s="1">
        <v>3.56E8</v>
      </c>
      <c r="K998" s="1">
        <v>3.56E8</v>
      </c>
      <c r="L998" s="1">
        <v>-7.7E7</v>
      </c>
      <c r="M998" s="1">
        <v>1.4E7</v>
      </c>
      <c r="N998" s="1">
        <v>3.089E9</v>
      </c>
      <c r="O998" s="1">
        <v>2.733E9</v>
      </c>
      <c r="P998" s="1">
        <v>1.984E9</v>
      </c>
      <c r="Q998" s="1">
        <v>-3.12E8</v>
      </c>
      <c r="R998" s="1">
        <v>3.0E7</v>
      </c>
      <c r="S998" s="1">
        <v>2.9E7</v>
      </c>
      <c r="W998" s="4" t="str">
        <f>Raw_Data!C997&amp;"|"&amp;Raw_Data!D997&amp;"|"&amp;TEXT(Raw_Data!B997,"yyyy-mm-dd")</f>
        <v>Intercontinental Exchange|ICE|2020-09-30</v>
      </c>
    </row>
    <row r="999">
      <c r="A999" s="1">
        <v>997.0</v>
      </c>
      <c r="B999" s="3">
        <v>44286.0</v>
      </c>
      <c r="C999" s="1" t="s">
        <v>539</v>
      </c>
      <c r="D999" s="1" t="s">
        <v>540</v>
      </c>
      <c r="E999" s="1">
        <v>1.43E8</v>
      </c>
      <c r="F999" s="1">
        <v>-5.4E7</v>
      </c>
      <c r="G999" s="1">
        <v>-4.2E7</v>
      </c>
      <c r="H999" s="1">
        <v>3.09E8</v>
      </c>
      <c r="I999" s="1">
        <v>9.36E8</v>
      </c>
      <c r="J999" s="1">
        <v>3.32E8</v>
      </c>
      <c r="K999" s="1">
        <v>3.32E8</v>
      </c>
      <c r="L999" s="1">
        <v>-6.5E7</v>
      </c>
      <c r="M999" s="1">
        <v>-1.4E7</v>
      </c>
      <c r="N999" s="1">
        <v>2.465E9</v>
      </c>
      <c r="O999" s="1">
        <v>2.133E9</v>
      </c>
      <c r="P999" s="1">
        <v>1.529E9</v>
      </c>
      <c r="Q999" s="1">
        <v>-3.86E8</v>
      </c>
      <c r="R999" s="1">
        <v>-4.0E7</v>
      </c>
      <c r="S999" s="1">
        <v>-4.3E7</v>
      </c>
      <c r="W999" s="4" t="str">
        <f>Raw_Data!C998&amp;"|"&amp;Raw_Data!D998&amp;"|"&amp;TEXT(Raw_Data!B998,"yyyy-mm-dd")</f>
        <v>International Flavors &amp; Fragrances|IFF|2021-06-30</v>
      </c>
    </row>
    <row r="1000">
      <c r="A1000" s="1">
        <v>998.0</v>
      </c>
      <c r="B1000" s="3">
        <v>44196.0</v>
      </c>
      <c r="C1000" s="1" t="s">
        <v>539</v>
      </c>
      <c r="D1000" s="1" t="s">
        <v>540</v>
      </c>
      <c r="E1000" s="1">
        <v>1.00038E8</v>
      </c>
      <c r="F1000" s="1">
        <v>7.9298E7</v>
      </c>
      <c r="G1000" s="1">
        <v>6.7589E7</v>
      </c>
      <c r="H1000" s="1">
        <v>2.14333E8</v>
      </c>
      <c r="I1000" s="1">
        <v>5.13819E8</v>
      </c>
      <c r="J1000" s="1">
        <v>1.49063E8</v>
      </c>
      <c r="K1000" s="1">
        <v>1.49063E8</v>
      </c>
      <c r="L1000" s="1">
        <v>-3.2756E7</v>
      </c>
      <c r="M1000" s="1">
        <v>1.2734E7</v>
      </c>
      <c r="N1000" s="1">
        <v>1.270073E9</v>
      </c>
      <c r="O1000" s="1">
        <v>1.12101E9</v>
      </c>
      <c r="P1000" s="1">
        <v>7.56254E8</v>
      </c>
      <c r="Q1000" s="1">
        <v>-6.9765E7</v>
      </c>
      <c r="R1000" s="1">
        <v>6.6564E7</v>
      </c>
      <c r="S1000" s="1">
        <v>6.3928E7</v>
      </c>
      <c r="W1000" s="4" t="str">
        <f>Raw_Data!C999&amp;"|"&amp;Raw_Data!D999&amp;"|"&amp;TEXT(Raw_Data!B999,"yyyy-mm-dd")</f>
        <v>International Flavors &amp; Fragrances|IFF|2021-03-31</v>
      </c>
    </row>
    <row r="1001">
      <c r="A1001" s="1">
        <v>999.0</v>
      </c>
      <c r="B1001" s="3">
        <v>44104.0</v>
      </c>
      <c r="C1001" s="1" t="s">
        <v>539</v>
      </c>
      <c r="D1001" s="1" t="s">
        <v>540</v>
      </c>
      <c r="E1001" s="1">
        <v>8.9968E7</v>
      </c>
      <c r="F1001" s="1">
        <v>1.055E8</v>
      </c>
      <c r="G1001" s="1">
        <v>8.4828E7</v>
      </c>
      <c r="H1001" s="1">
        <v>1.8813E8</v>
      </c>
      <c r="I1001" s="1">
        <v>5.2453E8</v>
      </c>
      <c r="J1001" s="1">
        <v>1.98694E8</v>
      </c>
      <c r="K1001" s="1">
        <v>1.98694E8</v>
      </c>
      <c r="L1001" s="1">
        <v>-3.4844E7</v>
      </c>
      <c r="M1001" s="1">
        <v>1.9269E7</v>
      </c>
      <c r="N1001" s="1">
        <v>1.268076E9</v>
      </c>
      <c r="O1001" s="1">
        <v>1.069382E9</v>
      </c>
      <c r="P1001" s="1">
        <v>7.43546E8</v>
      </c>
      <c r="Q1001" s="1">
        <v>-9.3194E7</v>
      </c>
      <c r="R1001" s="1">
        <v>8.6231E7</v>
      </c>
      <c r="S1001" s="1">
        <v>8.5592E7</v>
      </c>
      <c r="W1001" s="4" t="str">
        <f>Raw_Data!C1000&amp;"|"&amp;Raw_Data!D1000&amp;"|"&amp;TEXT(Raw_Data!B1000,"yyyy-mm-dd")</f>
        <v>International Flavors &amp; Fragrances|IFF|2020-12-31</v>
      </c>
    </row>
    <row r="1002">
      <c r="A1002" s="1">
        <v>1000.0</v>
      </c>
      <c r="B1002" s="3">
        <v>44377.0</v>
      </c>
      <c r="C1002" s="1" t="s">
        <v>541</v>
      </c>
      <c r="D1002" s="1" t="s">
        <v>542</v>
      </c>
      <c r="F1002" s="1">
        <v>5.36E8</v>
      </c>
      <c r="G1002" s="1">
        <v>4.32E8</v>
      </c>
      <c r="H1002" s="1">
        <v>8.28E8</v>
      </c>
      <c r="I1002" s="1">
        <v>1.703E9</v>
      </c>
      <c r="J1002" s="1">
        <v>5.24E8</v>
      </c>
      <c r="K1002" s="1">
        <v>5.24E8</v>
      </c>
      <c r="L1002" s="1">
        <v>-1.17E8</v>
      </c>
      <c r="M1002" s="1">
        <v>1.02E8</v>
      </c>
      <c r="N1002" s="1">
        <v>5.616E9</v>
      </c>
      <c r="O1002" s="1">
        <v>5.092E9</v>
      </c>
      <c r="P1002" s="1">
        <v>3.913E9</v>
      </c>
      <c r="Q1002" s="1">
        <v>1.2E7</v>
      </c>
      <c r="R1002" s="1">
        <v>4.34E8</v>
      </c>
      <c r="S1002" s="1">
        <v>4.32E8</v>
      </c>
      <c r="W1002" s="4" t="str">
        <f>Raw_Data!C1001&amp;"|"&amp;Raw_Data!D1001&amp;"|"&amp;TEXT(Raw_Data!B1001,"yyyy-mm-dd")</f>
        <v>International Flavors &amp; Fragrances|IFF|2020-09-30</v>
      </c>
    </row>
    <row r="1003">
      <c r="A1003" s="1">
        <v>1001.0</v>
      </c>
      <c r="B1003" s="3">
        <v>44286.0</v>
      </c>
      <c r="C1003" s="1" t="s">
        <v>541</v>
      </c>
      <c r="D1003" s="1" t="s">
        <v>542</v>
      </c>
      <c r="F1003" s="1">
        <v>4.48E8</v>
      </c>
      <c r="G1003" s="1">
        <v>3.49E8</v>
      </c>
      <c r="H1003" s="1">
        <v>7.14E8</v>
      </c>
      <c r="I1003" s="1">
        <v>1.516E9</v>
      </c>
      <c r="J1003" s="1">
        <v>4.49E8</v>
      </c>
      <c r="K1003" s="1">
        <v>4.49E8</v>
      </c>
      <c r="L1003" s="1">
        <v>-1.24E8</v>
      </c>
      <c r="M1003" s="1">
        <v>9.9E7</v>
      </c>
      <c r="N1003" s="1">
        <v>5.363E9</v>
      </c>
      <c r="O1003" s="1">
        <v>4.914E9</v>
      </c>
      <c r="P1003" s="1">
        <v>3.847E9</v>
      </c>
      <c r="Q1003" s="1">
        <v>-1000000.0</v>
      </c>
      <c r="R1003" s="1">
        <v>3.49E8</v>
      </c>
      <c r="S1003" s="1">
        <v>3.49E8</v>
      </c>
      <c r="W1003" s="4" t="str">
        <f>Raw_Data!C1002&amp;"|"&amp;Raw_Data!D1002&amp;"|"&amp;TEXT(Raw_Data!B1002,"yyyy-mm-dd")</f>
        <v>International Paper|IP|2021-06-30</v>
      </c>
    </row>
    <row r="1004">
      <c r="A1004" s="1">
        <v>1002.0</v>
      </c>
      <c r="B1004" s="3">
        <v>44196.0</v>
      </c>
      <c r="C1004" s="1" t="s">
        <v>541</v>
      </c>
      <c r="D1004" s="1" t="s">
        <v>542</v>
      </c>
      <c r="F1004" s="1">
        <v>1.87E8</v>
      </c>
      <c r="G1004" s="1">
        <v>1.53E8</v>
      </c>
      <c r="H1004" s="1">
        <v>8.02E8</v>
      </c>
      <c r="I1004" s="1">
        <v>1.58E9</v>
      </c>
      <c r="J1004" s="1">
        <v>4.04E8</v>
      </c>
      <c r="K1004" s="1">
        <v>4.04E8</v>
      </c>
      <c r="L1004" s="1">
        <v>-1.33E8</v>
      </c>
      <c r="M1004" s="1">
        <v>3.4E7</v>
      </c>
      <c r="N1004" s="1">
        <v>5.239E9</v>
      </c>
      <c r="O1004" s="1">
        <v>4.835E9</v>
      </c>
      <c r="P1004" s="1">
        <v>3.659E9</v>
      </c>
      <c r="Q1004" s="1">
        <v>-2.17E8</v>
      </c>
      <c r="R1004" s="1">
        <v>1.53E8</v>
      </c>
      <c r="S1004" s="1">
        <v>1.53E8</v>
      </c>
      <c r="W1004" s="4" t="str">
        <f>Raw_Data!C1003&amp;"|"&amp;Raw_Data!D1003&amp;"|"&amp;TEXT(Raw_Data!B1003,"yyyy-mm-dd")</f>
        <v>International Paper|IP|2021-03-31</v>
      </c>
    </row>
    <row r="1005">
      <c r="A1005" s="1">
        <v>1003.0</v>
      </c>
      <c r="B1005" s="3">
        <v>44104.0</v>
      </c>
      <c r="C1005" s="1" t="s">
        <v>541</v>
      </c>
      <c r="D1005" s="1" t="s">
        <v>542</v>
      </c>
      <c r="F1005" s="1">
        <v>2.54E8</v>
      </c>
      <c r="G1005" s="1">
        <v>2.04E8</v>
      </c>
      <c r="H1005" s="1">
        <v>7.26E8</v>
      </c>
      <c r="I1005" s="1">
        <v>1.582E9</v>
      </c>
      <c r="J1005" s="1">
        <v>4.92E8</v>
      </c>
      <c r="K1005" s="1">
        <v>4.92E8</v>
      </c>
      <c r="L1005" s="1">
        <v>-1.48E8</v>
      </c>
      <c r="M1005" s="1">
        <v>5.0E7</v>
      </c>
      <c r="N1005" s="1">
        <v>5.123E9</v>
      </c>
      <c r="O1005" s="1">
        <v>4.631E9</v>
      </c>
      <c r="P1005" s="1">
        <v>3.541E9</v>
      </c>
      <c r="Q1005" s="1">
        <v>-2.38E8</v>
      </c>
      <c r="R1005" s="1">
        <v>2.04E8</v>
      </c>
      <c r="S1005" s="1">
        <v>2.04E8</v>
      </c>
      <c r="W1005" s="4" t="str">
        <f>Raw_Data!C1004&amp;"|"&amp;Raw_Data!D1004&amp;"|"&amp;TEXT(Raw_Data!B1004,"yyyy-mm-dd")</f>
        <v>International Paper|IP|2020-12-31</v>
      </c>
    </row>
    <row r="1006">
      <c r="A1006" s="1">
        <v>1004.0</v>
      </c>
      <c r="B1006" s="3">
        <v>44377.0</v>
      </c>
      <c r="C1006" s="1" t="s">
        <v>543</v>
      </c>
      <c r="D1006" s="1" t="s">
        <v>544</v>
      </c>
      <c r="F1006" s="1">
        <v>3.545E8</v>
      </c>
      <c r="G1006" s="1">
        <v>2.633E8</v>
      </c>
      <c r="H1006" s="1">
        <v>2.94E7</v>
      </c>
      <c r="I1006" s="1">
        <v>4.85E8</v>
      </c>
      <c r="J1006" s="1">
        <v>3.855E8</v>
      </c>
      <c r="K1006" s="1">
        <v>3.855E8</v>
      </c>
      <c r="L1006" s="1">
        <v>-4.26E7</v>
      </c>
      <c r="M1006" s="1">
        <v>8.67E7</v>
      </c>
      <c r="N1006" s="1">
        <v>2.2696E9</v>
      </c>
      <c r="O1006" s="1">
        <v>1.8841E9</v>
      </c>
      <c r="P1006" s="1">
        <v>1.7846E9</v>
      </c>
      <c r="Q1006" s="1">
        <v>-3.1E7</v>
      </c>
      <c r="R1006" s="1">
        <v>2.678E8</v>
      </c>
      <c r="S1006" s="1">
        <v>2.633E8</v>
      </c>
      <c r="W1006" s="4" t="str">
        <f>Raw_Data!C1005&amp;"|"&amp;Raw_Data!D1005&amp;"|"&amp;TEXT(Raw_Data!B1005,"yyyy-mm-dd")</f>
        <v>International Paper|IP|2020-09-30</v>
      </c>
    </row>
    <row r="1007">
      <c r="A1007" s="1">
        <v>1005.0</v>
      </c>
      <c r="B1007" s="3">
        <v>44286.0</v>
      </c>
      <c r="C1007" s="1" t="s">
        <v>543</v>
      </c>
      <c r="D1007" s="1" t="s">
        <v>544</v>
      </c>
      <c r="F1007" s="1">
        <v>1.162E8</v>
      </c>
      <c r="G1007" s="1">
        <v>9.17E7</v>
      </c>
      <c r="H1007" s="1">
        <v>2.82E7</v>
      </c>
      <c r="I1007" s="1">
        <v>3.431E8</v>
      </c>
      <c r="J1007" s="1">
        <v>2.457E8</v>
      </c>
      <c r="K1007" s="1">
        <v>2.457E8</v>
      </c>
      <c r="L1007" s="1">
        <v>-4.96E7</v>
      </c>
      <c r="M1007" s="1">
        <v>2.38E7</v>
      </c>
      <c r="N1007" s="1">
        <v>2.0277E9</v>
      </c>
      <c r="O1007" s="1">
        <v>1.782E9</v>
      </c>
      <c r="P1007" s="1">
        <v>1.6846E9</v>
      </c>
      <c r="Q1007" s="1">
        <v>-1.295E8</v>
      </c>
      <c r="R1007" s="1">
        <v>9.24E7</v>
      </c>
      <c r="S1007" s="1">
        <v>9.17E7</v>
      </c>
      <c r="W1007" s="4" t="str">
        <f>Raw_Data!C1006&amp;"|"&amp;Raw_Data!D1006&amp;"|"&amp;TEXT(Raw_Data!B1006,"yyyy-mm-dd")</f>
        <v>Interpublic Group|IPG|2021-06-30</v>
      </c>
    </row>
    <row r="1008">
      <c r="A1008" s="1">
        <v>1006.0</v>
      </c>
      <c r="B1008" s="3">
        <v>44196.0</v>
      </c>
      <c r="C1008" s="1" t="s">
        <v>543</v>
      </c>
      <c r="D1008" s="1" t="s">
        <v>544</v>
      </c>
      <c r="F1008" s="1">
        <v>1.751E8</v>
      </c>
      <c r="G1008" s="1">
        <v>1.123E8</v>
      </c>
      <c r="H1008" s="1">
        <v>3.357E8</v>
      </c>
      <c r="I1008" s="1">
        <v>8.877E8</v>
      </c>
      <c r="J1008" s="1">
        <v>4.783E8</v>
      </c>
      <c r="K1008" s="1">
        <v>4.783E8</v>
      </c>
      <c r="L1008" s="1">
        <v>-4.68E7</v>
      </c>
      <c r="M1008" s="1">
        <v>5.81E7</v>
      </c>
      <c r="N1008" s="1">
        <v>2.2844E9</v>
      </c>
      <c r="O1008" s="1">
        <v>1.8061E9</v>
      </c>
      <c r="P1008" s="1">
        <v>1.3967E9</v>
      </c>
      <c r="Q1008" s="1">
        <v>-3.032E8</v>
      </c>
      <c r="R1008" s="1">
        <v>1.17E8</v>
      </c>
      <c r="S1008" s="1">
        <v>1.123E8</v>
      </c>
      <c r="W1008" s="4" t="str">
        <f>Raw_Data!C1007&amp;"|"&amp;Raw_Data!D1007&amp;"|"&amp;TEXT(Raw_Data!B1007,"yyyy-mm-dd")</f>
        <v>Interpublic Group|IPG|2021-03-31</v>
      </c>
    </row>
    <row r="1009">
      <c r="A1009" s="1">
        <v>1007.0</v>
      </c>
      <c r="B1009" s="3">
        <v>44104.0</v>
      </c>
      <c r="C1009" s="1" t="s">
        <v>543</v>
      </c>
      <c r="D1009" s="1" t="s">
        <v>544</v>
      </c>
      <c r="F1009" s="1">
        <v>1.922E8</v>
      </c>
      <c r="G1009" s="1">
        <v>2.797E8</v>
      </c>
      <c r="H1009" s="1">
        <v>9900000.0</v>
      </c>
      <c r="I1009" s="1">
        <v>3.776E8</v>
      </c>
      <c r="J1009" s="1">
        <v>2.967E8</v>
      </c>
      <c r="K1009" s="1">
        <v>2.967E8</v>
      </c>
      <c r="L1009" s="1">
        <v>-5.08E7</v>
      </c>
      <c r="M1009" s="1">
        <v>-8.63E7</v>
      </c>
      <c r="N1009" s="1">
        <v>1.9546E9</v>
      </c>
      <c r="O1009" s="1">
        <v>1.6579E9</v>
      </c>
      <c r="P1009" s="1">
        <v>1.577E9</v>
      </c>
      <c r="Q1009" s="1">
        <v>-1.045E8</v>
      </c>
      <c r="R1009" s="1">
        <v>2.785E8</v>
      </c>
      <c r="S1009" s="1">
        <v>2.797E8</v>
      </c>
      <c r="W1009" s="4" t="str">
        <f>Raw_Data!C1008&amp;"|"&amp;Raw_Data!D1008&amp;"|"&amp;TEXT(Raw_Data!B1008,"yyyy-mm-dd")</f>
        <v>Interpublic Group|IPG|2020-12-31</v>
      </c>
    </row>
    <row r="1010">
      <c r="A1010" s="1">
        <v>1008.0</v>
      </c>
      <c r="B1010" s="3">
        <v>44316.0</v>
      </c>
      <c r="C1010" s="1" t="s">
        <v>545</v>
      </c>
      <c r="D1010" s="1" t="s">
        <v>546</v>
      </c>
      <c r="E1010" s="1">
        <v>4.64E8</v>
      </c>
      <c r="F1010" s="1">
        <v>1.921E9</v>
      </c>
      <c r="G1010" s="1">
        <v>1.464E9</v>
      </c>
      <c r="H1010" s="1">
        <v>1.146E9</v>
      </c>
      <c r="I1010" s="1">
        <v>3.592E9</v>
      </c>
      <c r="J1010" s="1">
        <v>1.914E9</v>
      </c>
      <c r="K1010" s="1">
        <v>1.914E9</v>
      </c>
      <c r="L1010" s="1">
        <v>-7000000.0</v>
      </c>
      <c r="M1010" s="1">
        <v>4.57E8</v>
      </c>
      <c r="N1010" s="1">
        <v>4.173E9</v>
      </c>
      <c r="O1010" s="1">
        <v>2.259E9</v>
      </c>
      <c r="P1010" s="1">
        <v>5.81E8</v>
      </c>
      <c r="Q1010" s="1">
        <v>7000000.0</v>
      </c>
      <c r="R1010" s="1">
        <v>1.464E9</v>
      </c>
      <c r="S1010" s="1">
        <v>1.464E9</v>
      </c>
      <c r="W1010" s="4" t="str">
        <f>Raw_Data!C1009&amp;"|"&amp;Raw_Data!D1009&amp;"|"&amp;TEXT(Raw_Data!B1009,"yyyy-mm-dd")</f>
        <v>Interpublic Group|IPG|2020-09-30</v>
      </c>
    </row>
    <row r="1011">
      <c r="A1011" s="1">
        <v>1009.0</v>
      </c>
      <c r="B1011" s="3">
        <v>44227.0</v>
      </c>
      <c r="C1011" s="1" t="s">
        <v>545</v>
      </c>
      <c r="D1011" s="1" t="s">
        <v>546</v>
      </c>
      <c r="E1011" s="1">
        <v>3.68E8</v>
      </c>
      <c r="F1011" s="1">
        <v>2.2E7</v>
      </c>
      <c r="G1011" s="1">
        <v>2.0E7</v>
      </c>
      <c r="H1011" s="1">
        <v>8.04E8</v>
      </c>
      <c r="I1011" s="1">
        <v>1.223E9</v>
      </c>
      <c r="J1011" s="1">
        <v>1000000.0</v>
      </c>
      <c r="K1011" s="1">
        <v>1000000.0</v>
      </c>
      <c r="L1011" s="1">
        <v>-7000000.0</v>
      </c>
      <c r="M1011" s="1">
        <v>2000000.0</v>
      </c>
      <c r="N1011" s="1">
        <v>1.576E9</v>
      </c>
      <c r="O1011" s="1">
        <v>1.575E9</v>
      </c>
      <c r="P1011" s="1">
        <v>3.53E8</v>
      </c>
      <c r="Q1011" s="1">
        <v>2.1E7</v>
      </c>
      <c r="R1011" s="1">
        <v>2.0E7</v>
      </c>
      <c r="S1011" s="1">
        <v>2.0E7</v>
      </c>
      <c r="W1011" s="4" t="str">
        <f>Raw_Data!C1010&amp;"|"&amp;Raw_Data!D1010&amp;"|"&amp;TEXT(Raw_Data!B1010,"yyyy-mm-dd")</f>
        <v>Intuit|INTU|2021-04-30</v>
      </c>
    </row>
    <row r="1012">
      <c r="A1012" s="1">
        <v>1010.0</v>
      </c>
      <c r="B1012" s="3">
        <v>44135.0</v>
      </c>
      <c r="C1012" s="1" t="s">
        <v>545</v>
      </c>
      <c r="D1012" s="1" t="s">
        <v>546</v>
      </c>
      <c r="E1012" s="1">
        <v>3.25E8</v>
      </c>
      <c r="F1012" s="1">
        <v>2.1E8</v>
      </c>
      <c r="G1012" s="1">
        <v>1.98E8</v>
      </c>
      <c r="H1012" s="1">
        <v>5.31E8</v>
      </c>
      <c r="I1012" s="1">
        <v>1.074E9</v>
      </c>
      <c r="J1012" s="1">
        <v>2.09E8</v>
      </c>
      <c r="K1012" s="1">
        <v>2.09E8</v>
      </c>
      <c r="L1012" s="1">
        <v>-8000000.0</v>
      </c>
      <c r="M1012" s="1">
        <v>1.2E7</v>
      </c>
      <c r="N1012" s="1">
        <v>1.323E9</v>
      </c>
      <c r="O1012" s="1">
        <v>1.114E9</v>
      </c>
      <c r="P1012" s="1">
        <v>2.49E8</v>
      </c>
      <c r="Q1012" s="1">
        <v>1000000.0</v>
      </c>
      <c r="R1012" s="1">
        <v>1.98E8</v>
      </c>
      <c r="S1012" s="1">
        <v>1.98E8</v>
      </c>
      <c r="W1012" s="4" t="str">
        <f>Raw_Data!C1011&amp;"|"&amp;Raw_Data!D1011&amp;"|"&amp;TEXT(Raw_Data!B1011,"yyyy-mm-dd")</f>
        <v>Intuit|INTU|2021-01-31</v>
      </c>
    </row>
    <row r="1013">
      <c r="A1013" s="1">
        <v>1011.0</v>
      </c>
      <c r="B1013" s="3">
        <v>44043.0</v>
      </c>
      <c r="C1013" s="1" t="s">
        <v>545</v>
      </c>
      <c r="D1013" s="1" t="s">
        <v>546</v>
      </c>
      <c r="E1013" s="1">
        <v>3.93E8</v>
      </c>
      <c r="F1013" s="1">
        <v>4.86E8</v>
      </c>
      <c r="G1013" s="1">
        <v>4.45E8</v>
      </c>
      <c r="H1013" s="1">
        <v>6.17E8</v>
      </c>
      <c r="I1013" s="1">
        <v>1.499E9</v>
      </c>
      <c r="J1013" s="1">
        <v>4.83E8</v>
      </c>
      <c r="K1013" s="1">
        <v>4.83E8</v>
      </c>
      <c r="L1013" s="1">
        <v>-7000000.0</v>
      </c>
      <c r="M1013" s="1">
        <v>4.1E7</v>
      </c>
      <c r="N1013" s="1">
        <v>1.816E9</v>
      </c>
      <c r="O1013" s="1">
        <v>1.333E9</v>
      </c>
      <c r="P1013" s="1">
        <v>3.17E8</v>
      </c>
      <c r="Q1013" s="1">
        <v>3000000.0</v>
      </c>
      <c r="R1013" s="1">
        <v>4.45E8</v>
      </c>
      <c r="S1013" s="1">
        <v>4.45E8</v>
      </c>
      <c r="W1013" s="4" t="str">
        <f>Raw_Data!C1012&amp;"|"&amp;Raw_Data!D1012&amp;"|"&amp;TEXT(Raw_Data!B1012,"yyyy-mm-dd")</f>
        <v>Intuit|INTU|2020-10-31</v>
      </c>
    </row>
    <row r="1014">
      <c r="A1014" s="1">
        <v>1012.0</v>
      </c>
      <c r="B1014" s="3">
        <v>44286.0</v>
      </c>
      <c r="C1014" s="1" t="s">
        <v>547</v>
      </c>
      <c r="D1014" s="1" t="s">
        <v>548</v>
      </c>
      <c r="E1014" s="1">
        <v>1.598E8</v>
      </c>
      <c r="F1014" s="1">
        <v>4.488E8</v>
      </c>
      <c r="G1014" s="1">
        <v>4.263E8</v>
      </c>
      <c r="H1014" s="1">
        <v>3.26E8</v>
      </c>
      <c r="I1014" s="1">
        <v>9.026E8</v>
      </c>
      <c r="J1014" s="1">
        <v>4.168E8</v>
      </c>
      <c r="K1014" s="1">
        <v>4.168E8</v>
      </c>
      <c r="M1014" s="1">
        <v>1.36E7</v>
      </c>
      <c r="N1014" s="1">
        <v>1.2921E9</v>
      </c>
      <c r="O1014" s="1">
        <v>8.753E8</v>
      </c>
      <c r="P1014" s="1">
        <v>3.895E8</v>
      </c>
      <c r="Q1014" s="1">
        <v>3.2E7</v>
      </c>
      <c r="R1014" s="1">
        <v>4.352E8</v>
      </c>
      <c r="S1014" s="1">
        <v>4.263E8</v>
      </c>
      <c r="W1014" s="4" t="str">
        <f>Raw_Data!C1013&amp;"|"&amp;Raw_Data!D1013&amp;"|"&amp;TEXT(Raw_Data!B1013,"yyyy-mm-dd")</f>
        <v>Intuit|INTU|2020-07-31</v>
      </c>
    </row>
    <row r="1015">
      <c r="A1015" s="1">
        <v>1013.0</v>
      </c>
      <c r="B1015" s="3">
        <v>44196.0</v>
      </c>
      <c r="C1015" s="1" t="s">
        <v>547</v>
      </c>
      <c r="D1015" s="1" t="s">
        <v>548</v>
      </c>
      <c r="E1015" s="1">
        <v>1.498E8</v>
      </c>
      <c r="F1015" s="1">
        <v>4.365E8</v>
      </c>
      <c r="G1015" s="1">
        <v>3.652E8</v>
      </c>
      <c r="H1015" s="1">
        <v>3.314E8</v>
      </c>
      <c r="I1015" s="1">
        <v>8.958E8</v>
      </c>
      <c r="J1015" s="1">
        <v>4.146E8</v>
      </c>
      <c r="K1015" s="1">
        <v>4.146E8</v>
      </c>
      <c r="M1015" s="1">
        <v>7.29E7</v>
      </c>
      <c r="N1015" s="1">
        <v>1.3291E9</v>
      </c>
      <c r="O1015" s="1">
        <v>9.145E8</v>
      </c>
      <c r="P1015" s="1">
        <v>4.333E8</v>
      </c>
      <c r="Q1015" s="1">
        <v>2.19E7</v>
      </c>
      <c r="R1015" s="1">
        <v>3.636E8</v>
      </c>
      <c r="S1015" s="1">
        <v>3.652E8</v>
      </c>
      <c r="W1015" s="4" t="str">
        <f>Raw_Data!C1014&amp;"|"&amp;Raw_Data!D1014&amp;"|"&amp;TEXT(Raw_Data!B1014,"yyyy-mm-dd")</f>
        <v>Intuitive Surgical|ISRG|2021-03-31</v>
      </c>
    </row>
    <row r="1016">
      <c r="A1016" s="1">
        <v>1014.0</v>
      </c>
      <c r="B1016" s="3">
        <v>44104.0</v>
      </c>
      <c r="C1016" s="1" t="s">
        <v>547</v>
      </c>
      <c r="D1016" s="1" t="s">
        <v>548</v>
      </c>
      <c r="E1016" s="1">
        <v>1.55E8</v>
      </c>
      <c r="F1016" s="1">
        <v>3.552E8</v>
      </c>
      <c r="G1016" s="1">
        <v>3.139E8</v>
      </c>
      <c r="H1016" s="1">
        <v>2.989E8</v>
      </c>
      <c r="I1016" s="1">
        <v>7.243E8</v>
      </c>
      <c r="J1016" s="1">
        <v>2.704E8</v>
      </c>
      <c r="K1016" s="1">
        <v>2.704E8</v>
      </c>
      <c r="M1016" s="1">
        <v>3.84E7</v>
      </c>
      <c r="N1016" s="1">
        <v>1.0777E9</v>
      </c>
      <c r="O1016" s="1">
        <v>8.073E8</v>
      </c>
      <c r="P1016" s="1">
        <v>3.534E8</v>
      </c>
      <c r="Q1016" s="1">
        <v>8.48E7</v>
      </c>
      <c r="R1016" s="1">
        <v>3.168E8</v>
      </c>
      <c r="S1016" s="1">
        <v>3.139E8</v>
      </c>
      <c r="W1016" s="4" t="str">
        <f>Raw_Data!C1015&amp;"|"&amp;Raw_Data!D1015&amp;"|"&amp;TEXT(Raw_Data!B1015,"yyyy-mm-dd")</f>
        <v>Intuitive Surgical|ISRG|2020-12-31</v>
      </c>
    </row>
    <row r="1017">
      <c r="A1017" s="1">
        <v>1015.0</v>
      </c>
      <c r="B1017" s="3">
        <v>44012.0</v>
      </c>
      <c r="C1017" s="1" t="s">
        <v>547</v>
      </c>
      <c r="D1017" s="1" t="s">
        <v>548</v>
      </c>
      <c r="E1017" s="1">
        <v>1.432E8</v>
      </c>
      <c r="F1017" s="1">
        <v>1.072E8</v>
      </c>
      <c r="G1017" s="1">
        <v>6.8E7</v>
      </c>
      <c r="H1017" s="1">
        <v>2.791E8</v>
      </c>
      <c r="I1017" s="1">
        <v>5.029E8</v>
      </c>
      <c r="J1017" s="1">
        <v>8.06E7</v>
      </c>
      <c r="K1017" s="1">
        <v>8.06E7</v>
      </c>
      <c r="M1017" s="1">
        <v>3.7E7</v>
      </c>
      <c r="N1017" s="1">
        <v>8.521E8</v>
      </c>
      <c r="O1017" s="1">
        <v>7.715E8</v>
      </c>
      <c r="P1017" s="1">
        <v>3.492E8</v>
      </c>
      <c r="Q1017" s="1">
        <v>2.66E7</v>
      </c>
      <c r="R1017" s="1">
        <v>7.02E7</v>
      </c>
      <c r="S1017" s="1">
        <v>6.8E7</v>
      </c>
      <c r="W1017" s="4" t="str">
        <f>Raw_Data!C1016&amp;"|"&amp;Raw_Data!D1016&amp;"|"&amp;TEXT(Raw_Data!B1016,"yyyy-mm-dd")</f>
        <v>Intuitive Surgical|ISRG|2020-09-30</v>
      </c>
    </row>
    <row r="1018">
      <c r="A1018" s="1">
        <v>1016.0</v>
      </c>
      <c r="B1018" s="3">
        <v>44377.0</v>
      </c>
      <c r="C1018" s="1" t="s">
        <v>549</v>
      </c>
      <c r="D1018" s="1" t="s">
        <v>550</v>
      </c>
      <c r="F1018" s="1">
        <v>6.493E8</v>
      </c>
      <c r="G1018" s="1">
        <v>4.275E8</v>
      </c>
      <c r="H1018" s="1">
        <v>1.278E8</v>
      </c>
      <c r="I1018" s="1">
        <v>5.632E8</v>
      </c>
      <c r="J1018" s="1">
        <v>4.194E8</v>
      </c>
      <c r="K1018" s="1">
        <v>4.194E8</v>
      </c>
      <c r="L1018" s="1">
        <v>-6.3E7</v>
      </c>
      <c r="M1018" s="1">
        <v>1.542E8</v>
      </c>
      <c r="N1018" s="1">
        <v>1.7214E9</v>
      </c>
      <c r="O1018" s="1">
        <v>1.302E9</v>
      </c>
      <c r="P1018" s="1">
        <v>1.1582E9</v>
      </c>
      <c r="Q1018" s="1">
        <v>2.299E8</v>
      </c>
      <c r="R1018" s="1">
        <v>4.951E8</v>
      </c>
      <c r="S1018" s="1">
        <v>3.683E8</v>
      </c>
      <c r="W1018" s="4" t="str">
        <f>Raw_Data!C1017&amp;"|"&amp;Raw_Data!D1017&amp;"|"&amp;TEXT(Raw_Data!B1017,"yyyy-mm-dd")</f>
        <v>Intuitive Surgical|ISRG|2020-06-30</v>
      </c>
    </row>
    <row r="1019">
      <c r="A1019" s="1">
        <v>1017.0</v>
      </c>
      <c r="B1019" s="3">
        <v>44286.0</v>
      </c>
      <c r="C1019" s="1" t="s">
        <v>549</v>
      </c>
      <c r="D1019" s="1" t="s">
        <v>550</v>
      </c>
      <c r="F1019" s="1">
        <v>4.781E8</v>
      </c>
      <c r="G1019" s="1">
        <v>3.27E8</v>
      </c>
      <c r="H1019" s="1">
        <v>1.124E8</v>
      </c>
      <c r="I1019" s="1">
        <v>5.206E8</v>
      </c>
      <c r="J1019" s="1">
        <v>3.923E8</v>
      </c>
      <c r="K1019" s="1">
        <v>3.923E8</v>
      </c>
      <c r="L1019" s="1">
        <v>-6.47E7</v>
      </c>
      <c r="M1019" s="1">
        <v>1.065E8</v>
      </c>
      <c r="N1019" s="1">
        <v>1.6597E9</v>
      </c>
      <c r="O1019" s="1">
        <v>1.2674E9</v>
      </c>
      <c r="P1019" s="1">
        <v>1.1391E9</v>
      </c>
      <c r="Q1019" s="1">
        <v>8.58E7</v>
      </c>
      <c r="R1019" s="1">
        <v>3.716E8</v>
      </c>
      <c r="S1019" s="1">
        <v>2.678E8</v>
      </c>
      <c r="W1019" s="4" t="str">
        <f>Raw_Data!C1018&amp;"|"&amp;Raw_Data!D1018&amp;"|"&amp;TEXT(Raw_Data!B1018,"yyyy-mm-dd")</f>
        <v>Invesco|IVZ|2021-06-30</v>
      </c>
    </row>
    <row r="1020">
      <c r="A1020" s="1">
        <v>1018.0</v>
      </c>
      <c r="B1020" s="3">
        <v>44196.0</v>
      </c>
      <c r="C1020" s="1" t="s">
        <v>549</v>
      </c>
      <c r="D1020" s="1" t="s">
        <v>550</v>
      </c>
      <c r="F1020" s="1">
        <v>3.997E8</v>
      </c>
      <c r="G1020" s="1">
        <v>2.703E8</v>
      </c>
      <c r="H1020" s="1">
        <v>1.165E8</v>
      </c>
      <c r="I1020" s="1">
        <v>5.073E8</v>
      </c>
      <c r="J1020" s="1">
        <v>3.908E8</v>
      </c>
      <c r="K1020" s="1">
        <v>3.908E8</v>
      </c>
      <c r="L1020" s="1">
        <v>-6.77E7</v>
      </c>
      <c r="M1020" s="1">
        <v>6.89E7</v>
      </c>
      <c r="N1020" s="1">
        <v>1.6301E9</v>
      </c>
      <c r="O1020" s="1">
        <v>1.2393E9</v>
      </c>
      <c r="P1020" s="1">
        <v>1.1228E9</v>
      </c>
      <c r="Q1020" s="1">
        <v>8900000.0</v>
      </c>
      <c r="R1020" s="1">
        <v>3.308E8</v>
      </c>
      <c r="S1020" s="1">
        <v>2.111E8</v>
      </c>
      <c r="W1020" s="4" t="str">
        <f>Raw_Data!C1019&amp;"|"&amp;Raw_Data!D1019&amp;"|"&amp;TEXT(Raw_Data!B1019,"yyyy-mm-dd")</f>
        <v>Invesco|IVZ|2021-03-31</v>
      </c>
    </row>
    <row r="1021">
      <c r="A1021" s="1">
        <v>1019.0</v>
      </c>
      <c r="B1021" s="3">
        <v>44104.0</v>
      </c>
      <c r="C1021" s="1" t="s">
        <v>549</v>
      </c>
      <c r="D1021" s="1" t="s">
        <v>550</v>
      </c>
      <c r="F1021" s="1">
        <v>3.866E8</v>
      </c>
      <c r="G1021" s="1">
        <v>2.509E8</v>
      </c>
      <c r="H1021" s="1">
        <v>1.053E8</v>
      </c>
      <c r="I1021" s="1">
        <v>4.473E8</v>
      </c>
      <c r="J1021" s="1">
        <v>3.42E8</v>
      </c>
      <c r="K1021" s="1">
        <v>3.42E8</v>
      </c>
      <c r="L1021" s="1">
        <v>-7.56E7</v>
      </c>
      <c r="M1021" s="1">
        <v>9.19E7</v>
      </c>
      <c r="N1021" s="1">
        <v>1.4976E9</v>
      </c>
      <c r="O1021" s="1">
        <v>1.1556E9</v>
      </c>
      <c r="P1021" s="1">
        <v>1.0503E9</v>
      </c>
      <c r="Q1021" s="1">
        <v>4.46E7</v>
      </c>
      <c r="R1021" s="1">
        <v>2.947E8</v>
      </c>
      <c r="S1021" s="1">
        <v>1.917E8</v>
      </c>
      <c r="W1021" s="4" t="str">
        <f>Raw_Data!C1020&amp;"|"&amp;Raw_Data!D1020&amp;"|"&amp;TEXT(Raw_Data!B1020,"yyyy-mm-dd")</f>
        <v>Invesco|IVZ|2020-12-31</v>
      </c>
    </row>
    <row r="1022">
      <c r="A1022" s="1">
        <v>1020.0</v>
      </c>
      <c r="B1022" s="3">
        <v>44196.0</v>
      </c>
      <c r="C1022" s="1" t="s">
        <v>551</v>
      </c>
      <c r="D1022" s="1" t="s">
        <v>552</v>
      </c>
      <c r="E1022" s="1">
        <v>3.1766E7</v>
      </c>
      <c r="F1022" s="1">
        <v>6.5596E7</v>
      </c>
      <c r="G1022" s="1">
        <v>4.9339E7</v>
      </c>
      <c r="H1022" s="1">
        <v>4.4686E7</v>
      </c>
      <c r="I1022" s="1">
        <v>1.46879E8</v>
      </c>
      <c r="J1022" s="1">
        <v>7.0427E7</v>
      </c>
      <c r="K1022" s="1">
        <v>7.0427E7</v>
      </c>
      <c r="M1022" s="1">
        <v>1.592E7</v>
      </c>
      <c r="N1022" s="1">
        <v>3.3663E8</v>
      </c>
      <c r="O1022" s="1">
        <v>2.66203E8</v>
      </c>
      <c r="P1022" s="1">
        <v>1.89751E8</v>
      </c>
      <c r="Q1022" s="1">
        <v>-4831000.0</v>
      </c>
      <c r="R1022" s="1">
        <v>4.9676E7</v>
      </c>
      <c r="S1022" s="1">
        <v>4.9339E7</v>
      </c>
      <c r="W1022" s="4" t="str">
        <f>Raw_Data!C1021&amp;"|"&amp;Raw_Data!D1021&amp;"|"&amp;TEXT(Raw_Data!B1021,"yyyy-mm-dd")</f>
        <v>Invesco|IVZ|2020-09-30</v>
      </c>
    </row>
    <row r="1023">
      <c r="A1023" s="1">
        <v>1021.0</v>
      </c>
      <c r="B1023" s="3">
        <v>44104.0</v>
      </c>
      <c r="C1023" s="1" t="s">
        <v>551</v>
      </c>
      <c r="D1023" s="1" t="s">
        <v>552</v>
      </c>
      <c r="E1023" s="1">
        <v>3.171E7</v>
      </c>
      <c r="F1023" s="1">
        <v>4.2522E7</v>
      </c>
      <c r="G1023" s="1">
        <v>3.5604E7</v>
      </c>
      <c r="H1023" s="1">
        <v>4.637E7</v>
      </c>
      <c r="I1023" s="1">
        <v>1.52792E8</v>
      </c>
      <c r="J1023" s="1">
        <v>7.4712E7</v>
      </c>
      <c r="K1023" s="1">
        <v>7.4712E7</v>
      </c>
      <c r="M1023" s="1">
        <v>6992000.0</v>
      </c>
      <c r="N1023" s="1">
        <v>3.18441E8</v>
      </c>
      <c r="O1023" s="1">
        <v>2.43729E8</v>
      </c>
      <c r="P1023" s="1">
        <v>1.65649E8</v>
      </c>
      <c r="Q1023" s="1">
        <v>-3.219E7</v>
      </c>
      <c r="R1023" s="1">
        <v>3.553E7</v>
      </c>
      <c r="S1023" s="1">
        <v>3.5604E7</v>
      </c>
      <c r="W1023" s="4" t="str">
        <f>Raw_Data!C1022&amp;"|"&amp;Raw_Data!D1022&amp;"|"&amp;TEXT(Raw_Data!B1022,"yyyy-mm-dd")</f>
        <v>IPG Photonics|IPGP|2020-12-31</v>
      </c>
    </row>
    <row r="1024">
      <c r="A1024" s="1">
        <v>1022.0</v>
      </c>
      <c r="B1024" s="3">
        <v>44012.0</v>
      </c>
      <c r="C1024" s="1" t="s">
        <v>551</v>
      </c>
      <c r="D1024" s="1" t="s">
        <v>552</v>
      </c>
      <c r="E1024" s="1">
        <v>3.1584E7</v>
      </c>
      <c r="F1024" s="1">
        <v>4.9514E7</v>
      </c>
      <c r="G1024" s="1">
        <v>3.8226E7</v>
      </c>
      <c r="H1024" s="1">
        <v>4.3725E7</v>
      </c>
      <c r="I1024" s="1">
        <v>1.36449E8</v>
      </c>
      <c r="J1024" s="1">
        <v>6.114E7</v>
      </c>
      <c r="K1024" s="1">
        <v>6.114E7</v>
      </c>
      <c r="M1024" s="1">
        <v>1.1148E7</v>
      </c>
      <c r="N1024" s="1">
        <v>2.96411E8</v>
      </c>
      <c r="O1024" s="1">
        <v>2.35271E8</v>
      </c>
      <c r="P1024" s="1">
        <v>1.59962E8</v>
      </c>
      <c r="Q1024" s="1">
        <v>-1.1626E7</v>
      </c>
      <c r="R1024" s="1">
        <v>3.8366E7</v>
      </c>
      <c r="S1024" s="1">
        <v>3.8226E7</v>
      </c>
      <c r="W1024" s="4" t="str">
        <f>Raw_Data!C1023&amp;"|"&amp;Raw_Data!D1023&amp;"|"&amp;TEXT(Raw_Data!B1023,"yyyy-mm-dd")</f>
        <v>IPG Photonics|IPGP|2020-09-30</v>
      </c>
    </row>
    <row r="1025">
      <c r="A1025" s="1">
        <v>1023.0</v>
      </c>
      <c r="B1025" s="3">
        <v>43921.0</v>
      </c>
      <c r="C1025" s="1" t="s">
        <v>551</v>
      </c>
      <c r="D1025" s="1" t="s">
        <v>552</v>
      </c>
      <c r="E1025" s="1">
        <v>3.1838E7</v>
      </c>
      <c r="F1025" s="1">
        <v>4.806E7</v>
      </c>
      <c r="G1025" s="1">
        <v>3.6403E7</v>
      </c>
      <c r="H1025" s="1">
        <v>4.5807E7</v>
      </c>
      <c r="I1025" s="1">
        <v>1.02876E8</v>
      </c>
      <c r="J1025" s="1">
        <v>2.5231E7</v>
      </c>
      <c r="K1025" s="1">
        <v>2.5231E7</v>
      </c>
      <c r="M1025" s="1">
        <v>1.1294E7</v>
      </c>
      <c r="N1025" s="1">
        <v>2.49242E8</v>
      </c>
      <c r="O1025" s="1">
        <v>2.24011E8</v>
      </c>
      <c r="P1025" s="1">
        <v>1.46366E8</v>
      </c>
      <c r="Q1025" s="1">
        <v>2.2829E7</v>
      </c>
      <c r="R1025" s="1">
        <v>3.6766E7</v>
      </c>
      <c r="S1025" s="1">
        <v>3.6403E7</v>
      </c>
      <c r="W1025" s="4" t="str">
        <f>Raw_Data!C1024&amp;"|"&amp;Raw_Data!D1024&amp;"|"&amp;TEXT(Raw_Data!B1024,"yyyy-mm-dd")</f>
        <v>IPG Photonics|IPGP|2020-06-30</v>
      </c>
    </row>
    <row r="1026">
      <c r="A1026" s="1">
        <v>1024.0</v>
      </c>
      <c r="B1026" s="3">
        <v>44377.0</v>
      </c>
      <c r="C1026" s="1" t="s">
        <v>553</v>
      </c>
      <c r="D1026" s="1" t="s">
        <v>554</v>
      </c>
      <c r="F1026" s="1">
        <v>2.23E8</v>
      </c>
      <c r="G1026" s="1">
        <v>1.75E8</v>
      </c>
      <c r="H1026" s="1">
        <v>4.82E8</v>
      </c>
      <c r="I1026" s="1">
        <v>1.115E9</v>
      </c>
      <c r="J1026" s="1">
        <v>2.9E8</v>
      </c>
      <c r="K1026" s="1">
        <v>2.9E8</v>
      </c>
      <c r="L1026" s="1">
        <v>-9.4E7</v>
      </c>
      <c r="M1026" s="1">
        <v>4.8E7</v>
      </c>
      <c r="N1026" s="1">
        <v>3.438E9</v>
      </c>
      <c r="O1026" s="1">
        <v>3.148E9</v>
      </c>
      <c r="P1026" s="1">
        <v>2.323E9</v>
      </c>
      <c r="Q1026" s="1">
        <v>-6.7E7</v>
      </c>
      <c r="R1026" s="1">
        <v>1.75E8</v>
      </c>
      <c r="S1026" s="1">
        <v>1.75E8</v>
      </c>
      <c r="W1026" s="4" t="str">
        <f>Raw_Data!C1025&amp;"|"&amp;Raw_Data!D1025&amp;"|"&amp;TEXT(Raw_Data!B1025,"yyyy-mm-dd")</f>
        <v>IPG Photonics|IPGP|2020-03-31</v>
      </c>
    </row>
    <row r="1027">
      <c r="A1027" s="1">
        <v>1025.0</v>
      </c>
      <c r="B1027" s="3">
        <v>44286.0</v>
      </c>
      <c r="C1027" s="1" t="s">
        <v>553</v>
      </c>
      <c r="D1027" s="1" t="s">
        <v>554</v>
      </c>
      <c r="F1027" s="1">
        <v>2.61E8</v>
      </c>
      <c r="G1027" s="1">
        <v>2.12E8</v>
      </c>
      <c r="H1027" s="1">
        <v>4.42E8</v>
      </c>
      <c r="I1027" s="1">
        <v>1.116E9</v>
      </c>
      <c r="J1027" s="1">
        <v>3.51E8</v>
      </c>
      <c r="K1027" s="1">
        <v>3.51E8</v>
      </c>
      <c r="L1027" s="1">
        <v>-9.9E7</v>
      </c>
      <c r="M1027" s="1">
        <v>4.4E7</v>
      </c>
      <c r="N1027" s="1">
        <v>3.409E9</v>
      </c>
      <c r="O1027" s="1">
        <v>3.058E9</v>
      </c>
      <c r="P1027" s="1">
        <v>2.293E9</v>
      </c>
      <c r="Q1027" s="1">
        <v>-9.0E7</v>
      </c>
      <c r="R1027" s="1">
        <v>2.17E8</v>
      </c>
      <c r="S1027" s="1">
        <v>2.12E8</v>
      </c>
      <c r="W1027" s="4" t="str">
        <f>Raw_Data!C1026&amp;"|"&amp;Raw_Data!D1026&amp;"|"&amp;TEXT(Raw_Data!B1026,"yyyy-mm-dd")</f>
        <v>IQVIA|IQV|2021-06-30</v>
      </c>
    </row>
    <row r="1028">
      <c r="A1028" s="1">
        <v>1026.0</v>
      </c>
      <c r="B1028" s="3">
        <v>44196.0</v>
      </c>
      <c r="C1028" s="1" t="s">
        <v>553</v>
      </c>
      <c r="D1028" s="1" t="s">
        <v>554</v>
      </c>
      <c r="F1028" s="1">
        <v>1.93E8</v>
      </c>
      <c r="G1028" s="1">
        <v>1.19E8</v>
      </c>
      <c r="H1028" s="1">
        <v>4.64E8</v>
      </c>
      <c r="I1028" s="1">
        <v>1.126E9</v>
      </c>
      <c r="J1028" s="1">
        <v>3.18E8</v>
      </c>
      <c r="K1028" s="1">
        <v>3.18E8</v>
      </c>
      <c r="L1028" s="1">
        <v>-1.02E8</v>
      </c>
      <c r="M1028" s="1">
        <v>6.3E7</v>
      </c>
      <c r="N1028" s="1">
        <v>3.298E9</v>
      </c>
      <c r="O1028" s="1">
        <v>2.98E9</v>
      </c>
      <c r="P1028" s="1">
        <v>2.172E9</v>
      </c>
      <c r="Q1028" s="1">
        <v>-1.25E8</v>
      </c>
      <c r="R1028" s="1">
        <v>1.3E8</v>
      </c>
      <c r="S1028" s="1">
        <v>1.19E8</v>
      </c>
      <c r="W1028" s="4" t="str">
        <f>Raw_Data!C1027&amp;"|"&amp;Raw_Data!D1027&amp;"|"&amp;TEXT(Raw_Data!B1027,"yyyy-mm-dd")</f>
        <v>IQVIA|IQV|2021-03-31</v>
      </c>
    </row>
    <row r="1029">
      <c r="A1029" s="1">
        <v>1027.0</v>
      </c>
      <c r="B1029" s="3">
        <v>44104.0</v>
      </c>
      <c r="C1029" s="1" t="s">
        <v>553</v>
      </c>
      <c r="D1029" s="1" t="s">
        <v>554</v>
      </c>
      <c r="F1029" s="1">
        <v>1.05E8</v>
      </c>
      <c r="G1029" s="1">
        <v>1.01E8</v>
      </c>
      <c r="H1029" s="1">
        <v>4.6E8</v>
      </c>
      <c r="I1029" s="1">
        <v>9.86E8</v>
      </c>
      <c r="J1029" s="1">
        <v>2.07E8</v>
      </c>
      <c r="K1029" s="1">
        <v>2.07E8</v>
      </c>
      <c r="L1029" s="1">
        <v>-1.0E8</v>
      </c>
      <c r="M1029" s="1">
        <v>-3000000.0</v>
      </c>
      <c r="N1029" s="1">
        <v>2.786E9</v>
      </c>
      <c r="O1029" s="1">
        <v>2.579E9</v>
      </c>
      <c r="P1029" s="1">
        <v>1.8E9</v>
      </c>
      <c r="Q1029" s="1">
        <v>-1.02E8</v>
      </c>
      <c r="R1029" s="1">
        <v>1.08E8</v>
      </c>
      <c r="S1029" s="1">
        <v>1.01E8</v>
      </c>
      <c r="W1029" s="4" t="str">
        <f>Raw_Data!C1028&amp;"|"&amp;Raw_Data!D1028&amp;"|"&amp;TEXT(Raw_Data!B1028,"yyyy-mm-dd")</f>
        <v>IQVIA|IQV|2020-12-31</v>
      </c>
    </row>
    <row r="1030">
      <c r="A1030" s="1">
        <v>1028.0</v>
      </c>
      <c r="B1030" s="3">
        <v>44286.0</v>
      </c>
      <c r="C1030" s="1" t="s">
        <v>555</v>
      </c>
      <c r="D1030" s="1" t="s">
        <v>556</v>
      </c>
      <c r="F1030" s="1">
        <v>6.1271E7</v>
      </c>
      <c r="G1030" s="1">
        <v>4.5603E7</v>
      </c>
      <c r="H1030" s="1">
        <v>2.58723E8</v>
      </c>
      <c r="I1030" s="1">
        <v>6.30131E8</v>
      </c>
      <c r="J1030" s="1">
        <v>2.05766E8</v>
      </c>
      <c r="K1030" s="1">
        <v>2.05766E8</v>
      </c>
      <c r="L1030" s="1">
        <v>-1.06993E8</v>
      </c>
      <c r="M1030" s="1">
        <v>1.464E7</v>
      </c>
      <c r="N1030" s="1">
        <v>1.08204E9</v>
      </c>
      <c r="O1030" s="1">
        <v>8.76274E8</v>
      </c>
      <c r="P1030" s="1">
        <v>4.51909E8</v>
      </c>
      <c r="Q1030" s="1">
        <v>-1.44495E8</v>
      </c>
      <c r="R1030" s="1">
        <v>4.6631E7</v>
      </c>
      <c r="S1030" s="1">
        <v>4.5603E7</v>
      </c>
      <c r="W1030" s="4" t="str">
        <f>Raw_Data!C1029&amp;"|"&amp;Raw_Data!D1029&amp;"|"&amp;TEXT(Raw_Data!B1029,"yyyy-mm-dd")</f>
        <v>IQVIA|IQV|2020-09-30</v>
      </c>
    </row>
    <row r="1031">
      <c r="A1031" s="1">
        <v>1029.0</v>
      </c>
      <c r="B1031" s="3">
        <v>44196.0</v>
      </c>
      <c r="C1031" s="1" t="s">
        <v>555</v>
      </c>
      <c r="D1031" s="1" t="s">
        <v>556</v>
      </c>
      <c r="F1031" s="1">
        <v>2.4306E8</v>
      </c>
      <c r="G1031" s="1">
        <v>2.4741E8</v>
      </c>
      <c r="H1031" s="1">
        <v>2.3644E8</v>
      </c>
      <c r="I1031" s="1">
        <v>6.1043E8</v>
      </c>
      <c r="J1031" s="1">
        <v>2.05607E8</v>
      </c>
      <c r="K1031" s="1">
        <v>2.05607E8</v>
      </c>
      <c r="L1031" s="1">
        <v>-1.06948E8</v>
      </c>
      <c r="M1031" s="1">
        <v>-3695000.0</v>
      </c>
      <c r="N1031" s="1">
        <v>1.059653E9</v>
      </c>
      <c r="O1031" s="1">
        <v>8.54046E8</v>
      </c>
      <c r="P1031" s="1">
        <v>4.49223E8</v>
      </c>
      <c r="Q1031" s="1">
        <v>3.7453E7</v>
      </c>
      <c r="R1031" s="1">
        <v>2.46755E8</v>
      </c>
      <c r="S1031" s="1">
        <v>2.4741E8</v>
      </c>
      <c r="W1031" s="4" t="str">
        <f>Raw_Data!C1030&amp;"|"&amp;Raw_Data!D1030&amp;"|"&amp;TEXT(Raw_Data!B1030,"yyyy-mm-dd")</f>
        <v>Iron Mountain|IRM|2021-03-31</v>
      </c>
    </row>
    <row r="1032">
      <c r="A1032" s="1">
        <v>1030.0</v>
      </c>
      <c r="B1032" s="3">
        <v>44104.0</v>
      </c>
      <c r="C1032" s="1" t="s">
        <v>555</v>
      </c>
      <c r="D1032" s="1" t="s">
        <v>556</v>
      </c>
      <c r="F1032" s="1">
        <v>5.2496E7</v>
      </c>
      <c r="G1032" s="1">
        <v>3.8394E7</v>
      </c>
      <c r="H1032" s="1">
        <v>2.32095E8</v>
      </c>
      <c r="I1032" s="1">
        <v>6.02142E8</v>
      </c>
      <c r="J1032" s="1">
        <v>2.12795E8</v>
      </c>
      <c r="K1032" s="1">
        <v>2.12795E8</v>
      </c>
      <c r="L1032" s="1">
        <v>-1.06779E8</v>
      </c>
      <c r="M1032" s="1">
        <v>1.3934E7</v>
      </c>
      <c r="N1032" s="1">
        <v>1.036647E9</v>
      </c>
      <c r="O1032" s="1">
        <v>8.23852E8</v>
      </c>
      <c r="P1032" s="1">
        <v>4.34505E8</v>
      </c>
      <c r="Q1032" s="1">
        <v>-1.60299E8</v>
      </c>
      <c r="R1032" s="1">
        <v>3.8562E7</v>
      </c>
      <c r="S1032" s="1">
        <v>3.8394E7</v>
      </c>
      <c r="W1032" s="4" t="str">
        <f>Raw_Data!C1031&amp;"|"&amp;Raw_Data!D1031&amp;"|"&amp;TEXT(Raw_Data!B1031,"yyyy-mm-dd")</f>
        <v>Iron Mountain|IRM|2020-12-31</v>
      </c>
    </row>
    <row r="1033">
      <c r="A1033" s="1">
        <v>1031.0</v>
      </c>
      <c r="B1033" s="3">
        <v>44012.0</v>
      </c>
      <c r="C1033" s="1" t="s">
        <v>555</v>
      </c>
      <c r="D1033" s="1" t="s">
        <v>556</v>
      </c>
      <c r="F1033" s="1">
        <v>2570000.0</v>
      </c>
      <c r="G1033" s="1">
        <v>-7086000.0</v>
      </c>
      <c r="H1033" s="1">
        <v>2.4031E8</v>
      </c>
      <c r="I1033" s="1">
        <v>5.83194E8</v>
      </c>
      <c r="J1033" s="1">
        <v>1.79034E8</v>
      </c>
      <c r="K1033" s="1">
        <v>1.79034E8</v>
      </c>
      <c r="L1033" s="1">
        <v>-1.06023E8</v>
      </c>
      <c r="M1033" s="1">
        <v>9683000.0</v>
      </c>
      <c r="N1033" s="1">
        <v>9.82239E8</v>
      </c>
      <c r="O1033" s="1">
        <v>8.03205E8</v>
      </c>
      <c r="P1033" s="1">
        <v>3.99045E8</v>
      </c>
      <c r="Q1033" s="1">
        <v>-1.76464E8</v>
      </c>
      <c r="R1033" s="1">
        <v>-7113000.0</v>
      </c>
      <c r="S1033" s="1">
        <v>-7086000.0</v>
      </c>
      <c r="W1033" s="4" t="str">
        <f>Raw_Data!C1032&amp;"|"&amp;Raw_Data!D1032&amp;"|"&amp;TEXT(Raw_Data!B1032,"yyyy-mm-dd")</f>
        <v>Iron Mountain|IRM|2020-09-30</v>
      </c>
    </row>
    <row r="1034">
      <c r="A1034" s="1">
        <v>1032.0</v>
      </c>
      <c r="B1034" s="3">
        <v>44377.0</v>
      </c>
      <c r="C1034" s="1" t="s">
        <v>557</v>
      </c>
      <c r="D1034" s="1" t="s">
        <v>558</v>
      </c>
      <c r="F1034" s="1">
        <v>2.29487E8</v>
      </c>
      <c r="G1034" s="1">
        <v>1.72162E8</v>
      </c>
      <c r="H1034" s="1">
        <v>8.3013E7</v>
      </c>
      <c r="I1034" s="1">
        <v>4.78139E8</v>
      </c>
      <c r="J1034" s="1">
        <v>2.41546E8</v>
      </c>
      <c r="K1034" s="1">
        <v>2.41546E8</v>
      </c>
      <c r="L1034" s="1">
        <v>-1.2059E7</v>
      </c>
      <c r="M1034" s="1">
        <v>5.7325E7</v>
      </c>
      <c r="N1034" s="1">
        <v>2.90837E9</v>
      </c>
      <c r="O1034" s="1">
        <v>2.666824E9</v>
      </c>
      <c r="P1034" s="1">
        <v>2.430231E9</v>
      </c>
      <c r="Q1034" s="1">
        <v>-1.2059E7</v>
      </c>
      <c r="R1034" s="1">
        <v>1.72162E8</v>
      </c>
      <c r="S1034" s="1">
        <v>1.72162E8</v>
      </c>
      <c r="W1034" s="4" t="str">
        <f>Raw_Data!C1033&amp;"|"&amp;Raw_Data!D1033&amp;"|"&amp;TEXT(Raw_Data!B1033,"yyyy-mm-dd")</f>
        <v>Iron Mountain|IRM|2020-06-30</v>
      </c>
    </row>
    <row r="1035">
      <c r="A1035" s="1">
        <v>1033.0</v>
      </c>
      <c r="B1035" s="3">
        <v>44286.0</v>
      </c>
      <c r="C1035" s="1" t="s">
        <v>557</v>
      </c>
      <c r="D1035" s="1" t="s">
        <v>558</v>
      </c>
      <c r="F1035" s="1">
        <v>1.95628E8</v>
      </c>
      <c r="G1035" s="1">
        <v>1.46606E8</v>
      </c>
      <c r="H1035" s="1">
        <v>8.2921E7</v>
      </c>
      <c r="I1035" s="1">
        <v>4.41932E8</v>
      </c>
      <c r="J1035" s="1">
        <v>2.07652E8</v>
      </c>
      <c r="K1035" s="1">
        <v>2.07652E8</v>
      </c>
      <c r="L1035" s="1">
        <v>-1.2024E7</v>
      </c>
      <c r="M1035" s="1">
        <v>4.9022E7</v>
      </c>
      <c r="N1035" s="1">
        <v>2.618149E9</v>
      </c>
      <c r="O1035" s="1">
        <v>2.410497E9</v>
      </c>
      <c r="P1035" s="1">
        <v>2.176217E9</v>
      </c>
      <c r="Q1035" s="1">
        <v>-1.2024E7</v>
      </c>
      <c r="R1035" s="1">
        <v>1.46606E8</v>
      </c>
      <c r="S1035" s="1">
        <v>1.46606E8</v>
      </c>
      <c r="W1035" s="4" t="str">
        <f>Raw_Data!C1034&amp;"|"&amp;Raw_Data!D1034&amp;"|"&amp;TEXT(Raw_Data!B1034,"yyyy-mm-dd")</f>
        <v>J. B. Hunt|JBHT|2021-06-30</v>
      </c>
    </row>
    <row r="1036">
      <c r="A1036" s="1">
        <v>1034.0</v>
      </c>
      <c r="B1036" s="3">
        <v>44196.0</v>
      </c>
      <c r="C1036" s="1" t="s">
        <v>557</v>
      </c>
      <c r="D1036" s="1" t="s">
        <v>558</v>
      </c>
      <c r="F1036" s="1">
        <v>1.97347E8</v>
      </c>
      <c r="G1036" s="1">
        <v>1.54007E8</v>
      </c>
      <c r="H1036" s="1">
        <v>9.2439E7</v>
      </c>
      <c r="I1036" s="1">
        <v>4.40276E8</v>
      </c>
      <c r="J1036" s="1">
        <v>1.99492E8</v>
      </c>
      <c r="K1036" s="1">
        <v>1.99492E8</v>
      </c>
      <c r="L1036" s="1">
        <v>-1.0831E7</v>
      </c>
      <c r="M1036" s="1">
        <v>4.334E7</v>
      </c>
      <c r="N1036" s="1">
        <v>2.737652E9</v>
      </c>
      <c r="O1036" s="1">
        <v>2.53816E9</v>
      </c>
      <c r="P1036" s="1">
        <v>2.297376E9</v>
      </c>
      <c r="Q1036" s="1">
        <v>-2145000.0</v>
      </c>
      <c r="R1036" s="1">
        <v>1.54007E8</v>
      </c>
      <c r="S1036" s="1">
        <v>1.54007E8</v>
      </c>
      <c r="W1036" s="4" t="str">
        <f>Raw_Data!C1035&amp;"|"&amp;Raw_Data!D1035&amp;"|"&amp;TEXT(Raw_Data!B1035,"yyyy-mm-dd")</f>
        <v>J. B. Hunt|JBHT|2021-03-31</v>
      </c>
    </row>
    <row r="1037">
      <c r="A1037" s="1">
        <v>1035.0</v>
      </c>
      <c r="B1037" s="3">
        <v>44104.0</v>
      </c>
      <c r="C1037" s="1" t="s">
        <v>557</v>
      </c>
      <c r="D1037" s="1" t="s">
        <v>558</v>
      </c>
      <c r="F1037" s="1">
        <v>1.63608E8</v>
      </c>
      <c r="G1037" s="1">
        <v>1.25496E8</v>
      </c>
      <c r="H1037" s="1">
        <v>7.7306E7</v>
      </c>
      <c r="I1037" s="1">
        <v>3.98897E8</v>
      </c>
      <c r="J1037" s="1">
        <v>1.75503E8</v>
      </c>
      <c r="K1037" s="1">
        <v>1.75503E8</v>
      </c>
      <c r="L1037" s="1">
        <v>-1.1895E7</v>
      </c>
      <c r="M1037" s="1">
        <v>3.8112E7</v>
      </c>
      <c r="N1037" s="1">
        <v>2.472523E9</v>
      </c>
      <c r="O1037" s="1">
        <v>2.29702E9</v>
      </c>
      <c r="P1037" s="1">
        <v>2.073626E9</v>
      </c>
      <c r="Q1037" s="1">
        <v>-1.1895E7</v>
      </c>
      <c r="R1037" s="1">
        <v>1.25496E8</v>
      </c>
      <c r="S1037" s="1">
        <v>1.25496E8</v>
      </c>
      <c r="W1037" s="4" t="str">
        <f>Raw_Data!C1036&amp;"|"&amp;Raw_Data!D1036&amp;"|"&amp;TEXT(Raw_Data!B1036,"yyyy-mm-dd")</f>
        <v>J. B. Hunt|JBHT|2020-12-31</v>
      </c>
    </row>
    <row r="1038">
      <c r="A1038" s="1">
        <v>1036.0</v>
      </c>
      <c r="B1038" s="3">
        <v>44377.0</v>
      </c>
      <c r="C1038" s="1" t="s">
        <v>559</v>
      </c>
      <c r="D1038" s="1" t="s">
        <v>560</v>
      </c>
      <c r="E1038" s="1">
        <v>2.8814E7</v>
      </c>
      <c r="F1038" s="1">
        <v>9.5683E7</v>
      </c>
      <c r="G1038" s="1">
        <v>7.6862E7</v>
      </c>
      <c r="H1038" s="1">
        <v>5.0259E7</v>
      </c>
      <c r="I1038" s="1">
        <v>1.75369E8</v>
      </c>
      <c r="J1038" s="1">
        <v>9.6296E7</v>
      </c>
      <c r="K1038" s="1">
        <v>9.6296E7</v>
      </c>
      <c r="L1038" s="1">
        <v>-619000.0</v>
      </c>
      <c r="M1038" s="1">
        <v>1.8821E7</v>
      </c>
      <c r="N1038" s="1">
        <v>4.50287E8</v>
      </c>
      <c r="O1038" s="1">
        <v>3.53991E8</v>
      </c>
      <c r="P1038" s="1">
        <v>2.74918E8</v>
      </c>
      <c r="Q1038" s="1">
        <v>-613000.0</v>
      </c>
      <c r="R1038" s="1">
        <v>7.6862E7</v>
      </c>
      <c r="S1038" s="1">
        <v>7.6862E7</v>
      </c>
      <c r="W1038" s="4" t="str">
        <f>Raw_Data!C1037&amp;"|"&amp;Raw_Data!D1037&amp;"|"&amp;TEXT(Raw_Data!B1037,"yyyy-mm-dd")</f>
        <v>J. B. Hunt|JBHT|2020-09-30</v>
      </c>
    </row>
    <row r="1039">
      <c r="A1039" s="1">
        <v>1037.0</v>
      </c>
      <c r="B1039" s="3">
        <v>44286.0</v>
      </c>
      <c r="C1039" s="1" t="s">
        <v>559</v>
      </c>
      <c r="D1039" s="1" t="s">
        <v>560</v>
      </c>
      <c r="E1039" s="1">
        <v>2.7395E7</v>
      </c>
      <c r="F1039" s="1">
        <v>9.0937E7</v>
      </c>
      <c r="G1039" s="1">
        <v>7.1409E7</v>
      </c>
      <c r="H1039" s="1">
        <v>4.7408E7</v>
      </c>
      <c r="I1039" s="1">
        <v>1.66006E8</v>
      </c>
      <c r="J1039" s="1">
        <v>9.1203E7</v>
      </c>
      <c r="K1039" s="1">
        <v>9.1203E7</v>
      </c>
      <c r="L1039" s="1">
        <v>-290000.0</v>
      </c>
      <c r="M1039" s="1">
        <v>1.9528E7</v>
      </c>
      <c r="N1039" s="1">
        <v>4.33776E8</v>
      </c>
      <c r="O1039" s="1">
        <v>3.42573E8</v>
      </c>
      <c r="P1039" s="1">
        <v>2.6777E8</v>
      </c>
      <c r="Q1039" s="1">
        <v>-266000.0</v>
      </c>
      <c r="R1039" s="1">
        <v>7.1409E7</v>
      </c>
      <c r="S1039" s="1">
        <v>7.1409E7</v>
      </c>
      <c r="W1039" s="4" t="str">
        <f>Raw_Data!C1038&amp;"|"&amp;Raw_Data!D1038&amp;"|"&amp;TEXT(Raw_Data!B1038,"yyyy-mm-dd")</f>
        <v>Jack Henry &amp; Associates|JKHY|2021-06-30</v>
      </c>
    </row>
    <row r="1040">
      <c r="A1040" s="1">
        <v>1038.0</v>
      </c>
      <c r="B1040" s="3">
        <v>44196.0</v>
      </c>
      <c r="C1040" s="1" t="s">
        <v>559</v>
      </c>
      <c r="D1040" s="1" t="s">
        <v>560</v>
      </c>
      <c r="E1040" s="1">
        <v>2.678E7</v>
      </c>
      <c r="F1040" s="1">
        <v>9.3567E7</v>
      </c>
      <c r="G1040" s="1">
        <v>7.1982E7</v>
      </c>
      <c r="H1040" s="1">
        <v>4.4167E7</v>
      </c>
      <c r="I1040" s="1">
        <v>1.64579E8</v>
      </c>
      <c r="J1040" s="1">
        <v>9.3632E7</v>
      </c>
      <c r="K1040" s="1">
        <v>9.3632E7</v>
      </c>
      <c r="L1040" s="1">
        <v>-117000.0</v>
      </c>
      <c r="M1040" s="1">
        <v>2.1585E7</v>
      </c>
      <c r="N1040" s="1">
        <v>4.22361E8</v>
      </c>
      <c r="O1040" s="1">
        <v>3.28729E8</v>
      </c>
      <c r="P1040" s="1">
        <v>2.57782E8</v>
      </c>
      <c r="Q1040" s="1">
        <v>-65000.0</v>
      </c>
      <c r="R1040" s="1">
        <v>7.1982E7</v>
      </c>
      <c r="S1040" s="1">
        <v>7.1982E7</v>
      </c>
      <c r="W1040" s="4" t="str">
        <f>Raw_Data!C1039&amp;"|"&amp;Raw_Data!D1039&amp;"|"&amp;TEXT(Raw_Data!B1039,"yyyy-mm-dd")</f>
        <v>Jack Henry &amp; Associates|JKHY|2021-03-31</v>
      </c>
    </row>
    <row r="1041">
      <c r="A1041" s="1">
        <v>1039.0</v>
      </c>
      <c r="B1041" s="3">
        <v>44104.0</v>
      </c>
      <c r="C1041" s="1" t="s">
        <v>559</v>
      </c>
      <c r="D1041" s="1" t="s">
        <v>560</v>
      </c>
      <c r="E1041" s="1">
        <v>2.6057E7</v>
      </c>
      <c r="F1041" s="1">
        <v>1.17539E8</v>
      </c>
      <c r="G1041" s="1">
        <v>9.1216E7</v>
      </c>
      <c r="H1041" s="1">
        <v>4.5226E7</v>
      </c>
      <c r="I1041" s="1">
        <v>1.88871E8</v>
      </c>
      <c r="J1041" s="1">
        <v>1.17588E8</v>
      </c>
      <c r="K1041" s="1">
        <v>1.17588E8</v>
      </c>
      <c r="L1041" s="1">
        <v>-117000.0</v>
      </c>
      <c r="M1041" s="1">
        <v>2.6323E7</v>
      </c>
      <c r="N1041" s="1">
        <v>4.518E8</v>
      </c>
      <c r="O1041" s="1">
        <v>3.34212E8</v>
      </c>
      <c r="P1041" s="1">
        <v>2.62929E8</v>
      </c>
      <c r="Q1041" s="1">
        <v>-49000.0</v>
      </c>
      <c r="R1041" s="1">
        <v>9.1216E7</v>
      </c>
      <c r="S1041" s="1">
        <v>9.1216E7</v>
      </c>
      <c r="W1041" s="4" t="str">
        <f>Raw_Data!C1040&amp;"|"&amp;Raw_Data!D1040&amp;"|"&amp;TEXT(Raw_Data!B1040,"yyyy-mm-dd")</f>
        <v>Jack Henry &amp; Associates|JKHY|2020-12-31</v>
      </c>
    </row>
    <row r="1042">
      <c r="A1042" s="1">
        <v>1040.0</v>
      </c>
      <c r="B1042" s="3">
        <v>44379.0</v>
      </c>
      <c r="C1042" s="1" t="s">
        <v>561</v>
      </c>
      <c r="D1042" s="1" t="s">
        <v>562</v>
      </c>
      <c r="F1042" s="1">
        <v>2.83394E8</v>
      </c>
      <c r="G1042" s="1">
        <v>1.65794E8</v>
      </c>
      <c r="H1042" s="1">
        <v>5.64711E8</v>
      </c>
      <c r="I1042" s="1">
        <v>8.16935E8</v>
      </c>
      <c r="J1042" s="1">
        <v>2.52224E8</v>
      </c>
      <c r="K1042" s="1">
        <v>2.52224E8</v>
      </c>
      <c r="L1042" s="1">
        <v>-2.0011E7</v>
      </c>
      <c r="M1042" s="1">
        <v>1.09186E8</v>
      </c>
      <c r="N1042" s="1">
        <v>3.576436E9</v>
      </c>
      <c r="O1042" s="1">
        <v>3.324212E9</v>
      </c>
      <c r="P1042" s="1">
        <v>2.759501E9</v>
      </c>
      <c r="Q1042" s="1">
        <v>3.117E7</v>
      </c>
      <c r="R1042" s="1">
        <v>1.74208E8</v>
      </c>
      <c r="S1042" s="1">
        <v>1.08487E8</v>
      </c>
      <c r="W1042" s="4" t="str">
        <f>Raw_Data!C1041&amp;"|"&amp;Raw_Data!D1041&amp;"|"&amp;TEXT(Raw_Data!B1041,"yyyy-mm-dd")</f>
        <v>Jack Henry &amp; Associates|JKHY|2020-09-30</v>
      </c>
    </row>
    <row r="1043">
      <c r="A1043" s="1">
        <v>1041.0</v>
      </c>
      <c r="B1043" s="3">
        <v>44288.0</v>
      </c>
      <c r="C1043" s="1" t="s">
        <v>561</v>
      </c>
      <c r="D1043" s="1" t="s">
        <v>562</v>
      </c>
      <c r="F1043" s="1">
        <v>-1.12281E8</v>
      </c>
      <c r="G1043" s="1">
        <v>1.1045E7</v>
      </c>
      <c r="H1043" s="1">
        <v>5.2075E8</v>
      </c>
      <c r="I1043" s="1">
        <v>7.67013E8</v>
      </c>
      <c r="J1043" s="1">
        <v>2.46263E8</v>
      </c>
      <c r="K1043" s="1">
        <v>2.46263E8</v>
      </c>
      <c r="L1043" s="1">
        <v>-1.5464E7</v>
      </c>
      <c r="M1043" s="1">
        <v>-2.0772E7</v>
      </c>
      <c r="N1043" s="1">
        <v>3.547873E9</v>
      </c>
      <c r="O1043" s="1">
        <v>3.30161E9</v>
      </c>
      <c r="P1043" s="1">
        <v>2.78086E9</v>
      </c>
      <c r="Q1043" s="1">
        <v>-3.58544E8</v>
      </c>
      <c r="R1043" s="1">
        <v>-9.1509E7</v>
      </c>
      <c r="S1043" s="1">
        <v>1.1045E7</v>
      </c>
      <c r="W1043" s="4" t="str">
        <f>Raw_Data!C1042&amp;"|"&amp;Raw_Data!D1042&amp;"|"&amp;TEXT(Raw_Data!B1042,"yyyy-mm-dd")</f>
        <v>Jacobs Engineering Group|J|2021-07-02</v>
      </c>
    </row>
    <row r="1044">
      <c r="A1044" s="1">
        <v>1042.0</v>
      </c>
      <c r="B1044" s="3">
        <v>44197.0</v>
      </c>
      <c r="C1044" s="1" t="s">
        <v>561</v>
      </c>
      <c r="D1044" s="1" t="s">
        <v>562</v>
      </c>
      <c r="F1044" s="1">
        <v>3.54111E8</v>
      </c>
      <c r="G1044" s="1">
        <v>2.57048E8</v>
      </c>
      <c r="H1044" s="1">
        <v>3.86419E8</v>
      </c>
      <c r="I1044" s="1">
        <v>6.3206E8</v>
      </c>
      <c r="J1044" s="1">
        <v>2.45641E8</v>
      </c>
      <c r="K1044" s="1">
        <v>2.45641E8</v>
      </c>
      <c r="L1044" s="1">
        <v>-1.7313E7</v>
      </c>
      <c r="M1044" s="1">
        <v>8.7023E7</v>
      </c>
      <c r="N1044" s="1">
        <v>3.381836E9</v>
      </c>
      <c r="O1044" s="1">
        <v>3.136195E9</v>
      </c>
      <c r="P1044" s="1">
        <v>2.749776E9</v>
      </c>
      <c r="Q1044" s="1">
        <v>1.0847E8</v>
      </c>
      <c r="R1044" s="1">
        <v>2.67088E8</v>
      </c>
      <c r="S1044" s="1">
        <v>2.57048E8</v>
      </c>
      <c r="W1044" s="4" t="str">
        <f>Raw_Data!C1043&amp;"|"&amp;Raw_Data!D1043&amp;"|"&amp;TEXT(Raw_Data!B1043,"yyyy-mm-dd")</f>
        <v>Jacobs Engineering Group|J|2021-04-02</v>
      </c>
    </row>
    <row r="1045">
      <c r="A1045" s="1">
        <v>1043.0</v>
      </c>
      <c r="B1045" s="3">
        <v>44106.0</v>
      </c>
      <c r="C1045" s="1" t="s">
        <v>561</v>
      </c>
      <c r="D1045" s="1" t="s">
        <v>562</v>
      </c>
      <c r="F1045" s="1">
        <v>6.0156E7</v>
      </c>
      <c r="G1045" s="1">
        <v>8.199E7</v>
      </c>
      <c r="H1045" s="1">
        <v>3.43176E8</v>
      </c>
      <c r="I1045" s="1">
        <v>6.67249E8</v>
      </c>
      <c r="J1045" s="1">
        <v>3.24073E8</v>
      </c>
      <c r="K1045" s="1">
        <v>3.24073E8</v>
      </c>
      <c r="L1045" s="1">
        <v>-1.4043E7</v>
      </c>
      <c r="M1045" s="1">
        <v>-1.9721E7</v>
      </c>
      <c r="N1045" s="1">
        <v>3.519689E9</v>
      </c>
      <c r="O1045" s="1">
        <v>3.195616E9</v>
      </c>
      <c r="P1045" s="1">
        <v>2.85244E9</v>
      </c>
      <c r="Q1045" s="1">
        <v>-2.63917E8</v>
      </c>
      <c r="R1045" s="1">
        <v>7.9877E7</v>
      </c>
      <c r="S1045" s="1">
        <v>8.2001E7</v>
      </c>
      <c r="W1045" s="4" t="str">
        <f>Raw_Data!C1044&amp;"|"&amp;Raw_Data!D1044&amp;"|"&amp;TEXT(Raw_Data!B1044,"yyyy-mm-dd")</f>
        <v>Jacobs Engineering Group|J|2021-01-01</v>
      </c>
    </row>
    <row r="1046">
      <c r="A1046" s="1">
        <v>1044.0</v>
      </c>
      <c r="B1046" s="3">
        <v>44408.0</v>
      </c>
      <c r="C1046" s="1" t="s">
        <v>563</v>
      </c>
      <c r="D1046" s="1" t="s">
        <v>564</v>
      </c>
      <c r="F1046" s="1">
        <v>2.052E8</v>
      </c>
      <c r="G1046" s="1">
        <v>1.539E8</v>
      </c>
      <c r="H1046" s="1">
        <v>3.293E8</v>
      </c>
      <c r="I1046" s="1">
        <v>6.44E8</v>
      </c>
      <c r="J1046" s="1">
        <v>2.605E8</v>
      </c>
      <c r="K1046" s="1">
        <v>2.605E8</v>
      </c>
      <c r="L1046" s="1">
        <v>-4.31E7</v>
      </c>
      <c r="M1046" s="1">
        <v>5.13E7</v>
      </c>
      <c r="N1046" s="1">
        <v>1.858E9</v>
      </c>
      <c r="O1046" s="1">
        <v>1.5975E9</v>
      </c>
      <c r="P1046" s="1">
        <v>1.214E9</v>
      </c>
      <c r="Q1046" s="1">
        <v>-5.53E7</v>
      </c>
      <c r="R1046" s="1">
        <v>1.539E8</v>
      </c>
      <c r="S1046" s="1">
        <v>1.539E8</v>
      </c>
      <c r="W1046" s="4" t="str">
        <f>Raw_Data!C1045&amp;"|"&amp;Raw_Data!D1045&amp;"|"&amp;TEXT(Raw_Data!B1045,"yyyy-mm-dd")</f>
        <v>Jacobs Engineering Group|J|2020-10-02</v>
      </c>
    </row>
    <row r="1047">
      <c r="A1047" s="1">
        <v>1045.0</v>
      </c>
      <c r="B1047" s="3">
        <v>44316.0</v>
      </c>
      <c r="C1047" s="1" t="s">
        <v>563</v>
      </c>
      <c r="D1047" s="1" t="s">
        <v>564</v>
      </c>
      <c r="F1047" s="1">
        <v>1.933E8</v>
      </c>
      <c r="G1047" s="1">
        <v>1.47E8</v>
      </c>
      <c r="H1047" s="1">
        <v>4.167E8</v>
      </c>
      <c r="I1047" s="1">
        <v>7.391E8</v>
      </c>
      <c r="J1047" s="1">
        <v>2.612E8</v>
      </c>
      <c r="K1047" s="1">
        <v>2.612E8</v>
      </c>
      <c r="L1047" s="1">
        <v>-4.24E7</v>
      </c>
      <c r="M1047" s="1">
        <v>4.63E7</v>
      </c>
      <c r="N1047" s="1">
        <v>1.9202E9</v>
      </c>
      <c r="O1047" s="1">
        <v>1.659E9</v>
      </c>
      <c r="P1047" s="1">
        <v>1.1811E9</v>
      </c>
      <c r="Q1047" s="1">
        <v>-6.79E7</v>
      </c>
      <c r="R1047" s="1">
        <v>1.47E8</v>
      </c>
      <c r="S1047" s="1">
        <v>1.47E8</v>
      </c>
      <c r="W1047" s="4" t="str">
        <f>Raw_Data!C1046&amp;"|"&amp;Raw_Data!D1046&amp;"|"&amp;TEXT(Raw_Data!B1046,"yyyy-mm-dd")</f>
        <v>JM Smucker|SJM|2021-07-31</v>
      </c>
    </row>
    <row r="1048">
      <c r="A1048" s="1">
        <v>1046.0</v>
      </c>
      <c r="B1048" s="3">
        <v>44227.0</v>
      </c>
      <c r="C1048" s="1" t="s">
        <v>563</v>
      </c>
      <c r="D1048" s="1" t="s">
        <v>564</v>
      </c>
      <c r="F1048" s="1">
        <v>3.615E8</v>
      </c>
      <c r="G1048" s="1">
        <v>2.615E8</v>
      </c>
      <c r="H1048" s="1">
        <v>3.744E8</v>
      </c>
      <c r="I1048" s="1">
        <v>8.094E8</v>
      </c>
      <c r="J1048" s="1">
        <v>3.78E8</v>
      </c>
      <c r="K1048" s="1">
        <v>3.78E8</v>
      </c>
      <c r="L1048" s="1">
        <v>-4.35E7</v>
      </c>
      <c r="M1048" s="1">
        <v>1.0E8</v>
      </c>
      <c r="N1048" s="1">
        <v>2.0767E9</v>
      </c>
      <c r="O1048" s="1">
        <v>1.6987E9</v>
      </c>
      <c r="P1048" s="1">
        <v>1.2673E9</v>
      </c>
      <c r="Q1048" s="1">
        <v>-1.65E7</v>
      </c>
      <c r="R1048" s="1">
        <v>2.615E8</v>
      </c>
      <c r="S1048" s="1">
        <v>2.615E8</v>
      </c>
      <c r="W1048" s="4" t="str">
        <f>Raw_Data!C1047&amp;"|"&amp;Raw_Data!D1047&amp;"|"&amp;TEXT(Raw_Data!B1047,"yyyy-mm-dd")</f>
        <v>JM Smucker|SJM|2021-04-30</v>
      </c>
    </row>
    <row r="1049">
      <c r="A1049" s="1">
        <v>1047.0</v>
      </c>
      <c r="B1049" s="3">
        <v>44135.0</v>
      </c>
      <c r="C1049" s="1" t="s">
        <v>563</v>
      </c>
      <c r="D1049" s="1" t="s">
        <v>564</v>
      </c>
      <c r="F1049" s="1">
        <v>3.035E8</v>
      </c>
      <c r="G1049" s="1">
        <v>2.308E8</v>
      </c>
      <c r="H1049" s="1">
        <v>3.88E8</v>
      </c>
      <c r="I1049" s="1">
        <v>8.182E8</v>
      </c>
      <c r="J1049" s="1">
        <v>3.756E8</v>
      </c>
      <c r="K1049" s="1">
        <v>3.756E8</v>
      </c>
      <c r="L1049" s="1">
        <v>-4.51E7</v>
      </c>
      <c r="M1049" s="1">
        <v>7.27E7</v>
      </c>
      <c r="N1049" s="1">
        <v>2.034E9</v>
      </c>
      <c r="O1049" s="1">
        <v>1.6584E9</v>
      </c>
      <c r="P1049" s="1">
        <v>1.2158E9</v>
      </c>
      <c r="Q1049" s="1">
        <v>-7.21E7</v>
      </c>
      <c r="R1049" s="1">
        <v>2.308E8</v>
      </c>
      <c r="S1049" s="1">
        <v>2.308E8</v>
      </c>
      <c r="W1049" s="4" t="str">
        <f>Raw_Data!C1048&amp;"|"&amp;Raw_Data!D1048&amp;"|"&amp;TEXT(Raw_Data!B1048,"yyyy-mm-dd")</f>
        <v>JM Smucker|SJM|2021-01-31</v>
      </c>
    </row>
    <row r="1050">
      <c r="A1050" s="1">
        <v>1048.0</v>
      </c>
      <c r="B1050" s="3">
        <v>44381.0</v>
      </c>
      <c r="C1050" s="1" t="s">
        <v>565</v>
      </c>
      <c r="D1050" s="1" t="s">
        <v>566</v>
      </c>
      <c r="E1050" s="1">
        <v>3.394E9</v>
      </c>
      <c r="F1050" s="1">
        <v>6.662E9</v>
      </c>
      <c r="G1050" s="1">
        <v>6.278E9</v>
      </c>
      <c r="H1050" s="1">
        <v>5.939E9</v>
      </c>
      <c r="I1050" s="1">
        <v>1.5745E10</v>
      </c>
      <c r="J1050" s="1">
        <v>6.412E9</v>
      </c>
      <c r="K1050" s="1">
        <v>6.412E9</v>
      </c>
      <c r="L1050" s="1">
        <v>-4.0E7</v>
      </c>
      <c r="M1050" s="1">
        <v>3.84E8</v>
      </c>
      <c r="N1050" s="1">
        <v>2.3312E10</v>
      </c>
      <c r="O1050" s="1">
        <v>1.69E10</v>
      </c>
      <c r="P1050" s="1">
        <v>7.567E9</v>
      </c>
      <c r="Q1050" s="1">
        <v>2.5E8</v>
      </c>
      <c r="R1050" s="1">
        <v>6.278E9</v>
      </c>
      <c r="S1050" s="1">
        <v>6.278E9</v>
      </c>
      <c r="W1050" s="4" t="str">
        <f>Raw_Data!C1049&amp;"|"&amp;Raw_Data!D1049&amp;"|"&amp;TEXT(Raw_Data!B1049,"yyyy-mm-dd")</f>
        <v>JM Smucker|SJM|2020-10-31</v>
      </c>
    </row>
    <row r="1051">
      <c r="A1051" s="1">
        <v>1049.0</v>
      </c>
      <c r="B1051" s="3">
        <v>44290.0</v>
      </c>
      <c r="C1051" s="1" t="s">
        <v>565</v>
      </c>
      <c r="D1051" s="1" t="s">
        <v>566</v>
      </c>
      <c r="E1051" s="1">
        <v>3.178E9</v>
      </c>
      <c r="F1051" s="1">
        <v>7.429E9</v>
      </c>
      <c r="G1051" s="1">
        <v>6.197E9</v>
      </c>
      <c r="H1051" s="1">
        <v>5.263E9</v>
      </c>
      <c r="I1051" s="1">
        <v>1.5285E10</v>
      </c>
      <c r="J1051" s="1">
        <v>6.844E9</v>
      </c>
      <c r="K1051" s="1">
        <v>6.844E9</v>
      </c>
      <c r="L1051" s="1">
        <v>-6.3E7</v>
      </c>
      <c r="M1051" s="1">
        <v>1.232E9</v>
      </c>
      <c r="N1051" s="1">
        <v>2.2321E10</v>
      </c>
      <c r="O1051" s="1">
        <v>1.5477E10</v>
      </c>
      <c r="P1051" s="1">
        <v>7.036E9</v>
      </c>
      <c r="Q1051" s="1">
        <v>5.85E8</v>
      </c>
      <c r="R1051" s="1">
        <v>6.197E9</v>
      </c>
      <c r="S1051" s="1">
        <v>6.197E9</v>
      </c>
      <c r="W1051" s="4" t="str">
        <f>Raw_Data!C1050&amp;"|"&amp;Raw_Data!D1050&amp;"|"&amp;TEXT(Raw_Data!B1050,"yyyy-mm-dd")</f>
        <v>Johnson &amp; Johnson|JNJ|2021-07-04</v>
      </c>
    </row>
    <row r="1052">
      <c r="A1052" s="1">
        <v>1050.0</v>
      </c>
      <c r="B1052" s="3">
        <v>44199.0</v>
      </c>
      <c r="C1052" s="1" t="s">
        <v>565</v>
      </c>
      <c r="D1052" s="1" t="s">
        <v>566</v>
      </c>
      <c r="E1052" s="1">
        <v>4.032E9</v>
      </c>
      <c r="F1052" s="1">
        <v>1.647E9</v>
      </c>
      <c r="G1052" s="1">
        <v>1.738E9</v>
      </c>
      <c r="H1052" s="1">
        <v>6.714E9</v>
      </c>
      <c r="I1052" s="1">
        <v>1.4692E10</v>
      </c>
      <c r="J1052" s="1">
        <v>3.946E9</v>
      </c>
      <c r="K1052" s="1">
        <v>3.946E9</v>
      </c>
      <c r="L1052" s="1">
        <v>-8.7E7</v>
      </c>
      <c r="M1052" s="1">
        <v>-9.1E7</v>
      </c>
      <c r="N1052" s="1">
        <v>2.2475E10</v>
      </c>
      <c r="O1052" s="1">
        <v>1.8529E10</v>
      </c>
      <c r="P1052" s="1">
        <v>7.783E9</v>
      </c>
      <c r="Q1052" s="1">
        <v>-2.299E9</v>
      </c>
      <c r="R1052" s="1">
        <v>1.738E9</v>
      </c>
      <c r="S1052" s="1">
        <v>1.738E9</v>
      </c>
      <c r="W1052" s="4" t="str">
        <f>Raw_Data!C1051&amp;"|"&amp;Raw_Data!D1051&amp;"|"&amp;TEXT(Raw_Data!B1051,"yyyy-mm-dd")</f>
        <v>Johnson &amp; Johnson|JNJ|2021-04-04</v>
      </c>
    </row>
    <row r="1053">
      <c r="A1053" s="1">
        <v>1051.0</v>
      </c>
      <c r="B1053" s="3">
        <v>44101.0</v>
      </c>
      <c r="C1053" s="1" t="s">
        <v>565</v>
      </c>
      <c r="D1053" s="1" t="s">
        <v>566</v>
      </c>
      <c r="E1053" s="1">
        <v>2.84E9</v>
      </c>
      <c r="F1053" s="1">
        <v>4.401E9</v>
      </c>
      <c r="G1053" s="1">
        <v>3.554E9</v>
      </c>
      <c r="H1053" s="1">
        <v>5.336E9</v>
      </c>
      <c r="I1053" s="1">
        <v>1.4142E10</v>
      </c>
      <c r="J1053" s="1">
        <v>5.966E9</v>
      </c>
      <c r="K1053" s="1">
        <v>5.966E9</v>
      </c>
      <c r="L1053" s="1">
        <v>-4.4E7</v>
      </c>
      <c r="M1053" s="1">
        <v>8.47E8</v>
      </c>
      <c r="N1053" s="1">
        <v>2.1082E10</v>
      </c>
      <c r="O1053" s="1">
        <v>1.5116E10</v>
      </c>
      <c r="P1053" s="1">
        <v>6.94E9</v>
      </c>
      <c r="Q1053" s="1">
        <v>-1.565E9</v>
      </c>
      <c r="R1053" s="1">
        <v>3.554E9</v>
      </c>
      <c r="S1053" s="1">
        <v>3.554E9</v>
      </c>
      <c r="W1053" s="4" t="str">
        <f>Raw_Data!C1052&amp;"|"&amp;Raw_Data!D1052&amp;"|"&amp;TEXT(Raw_Data!B1052,"yyyy-mm-dd")</f>
        <v>Johnson &amp; Johnson|JNJ|2021-01-03</v>
      </c>
    </row>
    <row r="1054">
      <c r="A1054" s="1">
        <v>1052.0</v>
      </c>
      <c r="B1054" s="3">
        <v>44377.0</v>
      </c>
      <c r="C1054" s="1" t="s">
        <v>567</v>
      </c>
      <c r="D1054" s="1" t="s">
        <v>568</v>
      </c>
      <c r="F1054" s="1">
        <v>7.69E8</v>
      </c>
      <c r="G1054" s="1">
        <v>5.74E8</v>
      </c>
      <c r="H1054" s="1">
        <v>1.152E9</v>
      </c>
      <c r="I1054" s="1">
        <v>2.197E9</v>
      </c>
      <c r="J1054" s="1">
        <v>1.045E9</v>
      </c>
      <c r="K1054" s="1">
        <v>1.045E9</v>
      </c>
      <c r="L1054" s="1">
        <v>-5.5E7</v>
      </c>
      <c r="M1054" s="1">
        <v>1.08E8</v>
      </c>
      <c r="N1054" s="1">
        <v>6.341E9</v>
      </c>
      <c r="O1054" s="1">
        <v>5.296E9</v>
      </c>
      <c r="P1054" s="1">
        <v>4.144E9</v>
      </c>
      <c r="Q1054" s="1">
        <v>-2.76E8</v>
      </c>
      <c r="R1054" s="1">
        <v>6.61E8</v>
      </c>
      <c r="S1054" s="1">
        <v>5.74E8</v>
      </c>
      <c r="W1054" s="4" t="str">
        <f>Raw_Data!C1053&amp;"|"&amp;Raw_Data!D1053&amp;"|"&amp;TEXT(Raw_Data!B1053,"yyyy-mm-dd")</f>
        <v>Johnson &amp; Johnson|JNJ|2020-09-27</v>
      </c>
    </row>
    <row r="1055">
      <c r="A1055" s="1">
        <v>1053.0</v>
      </c>
      <c r="B1055" s="3">
        <v>44286.0</v>
      </c>
      <c r="C1055" s="1" t="s">
        <v>567</v>
      </c>
      <c r="D1055" s="1" t="s">
        <v>568</v>
      </c>
      <c r="F1055" s="1">
        <v>6.06E8</v>
      </c>
      <c r="G1055" s="1">
        <v>3.43E8</v>
      </c>
      <c r="H1055" s="1">
        <v>1.274E9</v>
      </c>
      <c r="I1055" s="1">
        <v>1.943E9</v>
      </c>
      <c r="J1055" s="1">
        <v>6.69E8</v>
      </c>
      <c r="K1055" s="1">
        <v>6.69E8</v>
      </c>
      <c r="L1055" s="1">
        <v>-5.3E7</v>
      </c>
      <c r="M1055" s="1">
        <v>2.09E8</v>
      </c>
      <c r="N1055" s="1">
        <v>5.594E9</v>
      </c>
      <c r="O1055" s="1">
        <v>4.925E9</v>
      </c>
      <c r="P1055" s="1">
        <v>3.651E9</v>
      </c>
      <c r="Q1055" s="1">
        <v>-6.3E7</v>
      </c>
      <c r="R1055" s="1">
        <v>3.97E8</v>
      </c>
      <c r="S1055" s="1">
        <v>3.43E8</v>
      </c>
      <c r="W1055" s="4" t="str">
        <f>Raw_Data!C1054&amp;"|"&amp;Raw_Data!D1054&amp;"|"&amp;TEXT(Raw_Data!B1054,"yyyy-mm-dd")</f>
        <v>Johnson Controls|JCI|2021-06-30</v>
      </c>
    </row>
    <row r="1056">
      <c r="A1056" s="1">
        <v>1054.0</v>
      </c>
      <c r="B1056" s="3">
        <v>44196.0</v>
      </c>
      <c r="C1056" s="1" t="s">
        <v>567</v>
      </c>
      <c r="D1056" s="1" t="s">
        <v>568</v>
      </c>
      <c r="F1056" s="1">
        <v>4.33E8</v>
      </c>
      <c r="G1056" s="1">
        <v>4.51E8</v>
      </c>
      <c r="H1056" s="1">
        <v>1.298E9</v>
      </c>
      <c r="I1056" s="1">
        <v>1.728E9</v>
      </c>
      <c r="J1056" s="1">
        <v>4.3E8</v>
      </c>
      <c r="K1056" s="1">
        <v>4.3E8</v>
      </c>
      <c r="L1056" s="1">
        <v>-5.9E7</v>
      </c>
      <c r="M1056" s="1">
        <v>6.1E7</v>
      </c>
      <c r="N1056" s="1">
        <v>5.341E9</v>
      </c>
      <c r="O1056" s="1">
        <v>4.911E9</v>
      </c>
      <c r="P1056" s="1">
        <v>3.613E9</v>
      </c>
      <c r="Q1056" s="1">
        <v>3000000.0</v>
      </c>
      <c r="R1056" s="1">
        <v>3.72E8</v>
      </c>
      <c r="S1056" s="1">
        <v>4.51E8</v>
      </c>
      <c r="W1056" s="4" t="str">
        <f>Raw_Data!C1055&amp;"|"&amp;Raw_Data!D1055&amp;"|"&amp;TEXT(Raw_Data!B1055,"yyyy-mm-dd")</f>
        <v>Johnson Controls|JCI|2021-03-31</v>
      </c>
    </row>
    <row r="1057">
      <c r="A1057" s="1">
        <v>1055.0</v>
      </c>
      <c r="B1057" s="3">
        <v>44104.0</v>
      </c>
      <c r="C1057" s="1" t="s">
        <v>567</v>
      </c>
      <c r="D1057" s="1" t="s">
        <v>568</v>
      </c>
      <c r="E1057" s="1">
        <v>2.74E8</v>
      </c>
      <c r="F1057" s="1">
        <v>5.21E8</v>
      </c>
      <c r="G1057" s="1">
        <v>4.41E8</v>
      </c>
      <c r="H1057" s="1">
        <v>8.19E8</v>
      </c>
      <c r="I1057" s="1">
        <v>1.975E9</v>
      </c>
      <c r="J1057" s="1">
        <v>8.82E8</v>
      </c>
      <c r="K1057" s="1">
        <v>8.82E8</v>
      </c>
      <c r="L1057" s="1">
        <v>-5.8E7</v>
      </c>
      <c r="M1057" s="1">
        <v>3.1E7</v>
      </c>
      <c r="N1057" s="1">
        <v>5.954E9</v>
      </c>
      <c r="O1057" s="1">
        <v>5.072E9</v>
      </c>
      <c r="P1057" s="1">
        <v>3.979E9</v>
      </c>
      <c r="Q1057" s="1">
        <v>-3.61E8</v>
      </c>
      <c r="R1057" s="1">
        <v>4.9E8</v>
      </c>
      <c r="S1057" s="1">
        <v>4.41E8</v>
      </c>
      <c r="W1057" s="4" t="str">
        <f>Raw_Data!C1056&amp;"|"&amp;Raw_Data!D1056&amp;"|"&amp;TEXT(Raw_Data!B1056,"yyyy-mm-dd")</f>
        <v>Johnson Controls|JCI|2020-12-31</v>
      </c>
    </row>
    <row r="1058">
      <c r="A1058" s="1">
        <v>1056.0</v>
      </c>
      <c r="B1058" s="3">
        <v>44377.0</v>
      </c>
      <c r="C1058" s="1" t="s">
        <v>569</v>
      </c>
      <c r="D1058" s="1" t="s">
        <v>570</v>
      </c>
      <c r="F1058" s="1">
        <v>1.5097E10</v>
      </c>
      <c r="G1058" s="1">
        <v>1.1948E10</v>
      </c>
      <c r="H1058" s="1">
        <v>1.6403E10</v>
      </c>
      <c r="I1058" s="1">
        <v>3.2764E10</v>
      </c>
      <c r="J1058" s="1">
        <v>0.0</v>
      </c>
      <c r="K1058" s="1">
        <v>1.5282E10</v>
      </c>
      <c r="M1058" s="1">
        <v>3.149E9</v>
      </c>
      <c r="N1058" s="1">
        <v>3.2764E10</v>
      </c>
      <c r="O1058" s="1">
        <v>1.7482E10</v>
      </c>
      <c r="P1058" s="1">
        <v>0.0</v>
      </c>
      <c r="Q1058" s="1">
        <v>-1.85E8</v>
      </c>
      <c r="R1058" s="1">
        <v>1.1948E10</v>
      </c>
      <c r="S1058" s="1">
        <v>1.1496E10</v>
      </c>
      <c r="W1058" s="4" t="str">
        <f>Raw_Data!C1057&amp;"|"&amp;Raw_Data!D1057&amp;"|"&amp;TEXT(Raw_Data!B1057,"yyyy-mm-dd")</f>
        <v>Johnson Controls|JCI|2020-09-30</v>
      </c>
    </row>
    <row r="1059">
      <c r="A1059" s="1">
        <v>1057.0</v>
      </c>
      <c r="B1059" s="3">
        <v>44286.0</v>
      </c>
      <c r="C1059" s="1" t="s">
        <v>569</v>
      </c>
      <c r="D1059" s="1" t="s">
        <v>570</v>
      </c>
      <c r="F1059" s="1">
        <v>1.7697E10</v>
      </c>
      <c r="G1059" s="1">
        <v>1.43E10</v>
      </c>
      <c r="H1059" s="1">
        <v>1.7189E10</v>
      </c>
      <c r="I1059" s="1">
        <v>3.6422E10</v>
      </c>
      <c r="J1059" s="1">
        <v>0.0</v>
      </c>
      <c r="K1059" s="1">
        <v>1.7725E10</v>
      </c>
      <c r="M1059" s="1">
        <v>3.397E9</v>
      </c>
      <c r="N1059" s="1">
        <v>3.6422E10</v>
      </c>
      <c r="O1059" s="1">
        <v>1.8697E10</v>
      </c>
      <c r="P1059" s="1">
        <v>0.0</v>
      </c>
      <c r="Q1059" s="1">
        <v>-2.8E7</v>
      </c>
      <c r="R1059" s="1">
        <v>1.43E10</v>
      </c>
      <c r="S1059" s="1">
        <v>1.3851E10</v>
      </c>
      <c r="W1059" s="4" t="str">
        <f>Raw_Data!C1058&amp;"|"&amp;Raw_Data!D1058&amp;"|"&amp;TEXT(Raw_Data!B1058,"yyyy-mm-dd")</f>
        <v>JPMorgan Chase|JPM|2021-06-30</v>
      </c>
    </row>
    <row r="1060">
      <c r="A1060" s="1">
        <v>1058.0</v>
      </c>
      <c r="B1060" s="3">
        <v>44196.0</v>
      </c>
      <c r="C1060" s="1" t="s">
        <v>569</v>
      </c>
      <c r="D1060" s="1" t="s">
        <v>570</v>
      </c>
      <c r="F1060" s="1">
        <v>1.5065E10</v>
      </c>
      <c r="G1060" s="1">
        <v>1.2136E10</v>
      </c>
      <c r="H1060" s="1">
        <v>1.4705E10</v>
      </c>
      <c r="I1060" s="1">
        <v>3.1113E10</v>
      </c>
      <c r="J1060" s="1">
        <v>0.0</v>
      </c>
      <c r="K1060" s="1">
        <v>1.5341E10</v>
      </c>
      <c r="M1060" s="1">
        <v>2.929E9</v>
      </c>
      <c r="N1060" s="1">
        <v>3.1113E10</v>
      </c>
      <c r="O1060" s="1">
        <v>1.5772E10</v>
      </c>
      <c r="P1060" s="1">
        <v>0.0</v>
      </c>
      <c r="Q1060" s="1">
        <v>-2.76E8</v>
      </c>
      <c r="R1060" s="1">
        <v>1.2136E10</v>
      </c>
      <c r="S1060" s="1">
        <v>1.1698E10</v>
      </c>
      <c r="W1060" s="4" t="str">
        <f>Raw_Data!C1059&amp;"|"&amp;Raw_Data!D1059&amp;"|"&amp;TEXT(Raw_Data!B1059,"yyyy-mm-dd")</f>
        <v>JPMorgan Chase|JPM|2021-03-31</v>
      </c>
    </row>
    <row r="1061">
      <c r="A1061" s="1">
        <v>1059.0</v>
      </c>
      <c r="B1061" s="3">
        <v>44104.0</v>
      </c>
      <c r="C1061" s="1" t="s">
        <v>569</v>
      </c>
      <c r="D1061" s="1" t="s">
        <v>570</v>
      </c>
      <c r="F1061" s="1">
        <v>1.1661E10</v>
      </c>
      <c r="G1061" s="1">
        <v>9.443E9</v>
      </c>
      <c r="H1061" s="1">
        <v>1.4984E10</v>
      </c>
      <c r="I1061" s="1">
        <v>2.8536E10</v>
      </c>
      <c r="J1061" s="1">
        <v>0.0</v>
      </c>
      <c r="K1061" s="1">
        <v>1.2185E10</v>
      </c>
      <c r="M1061" s="1">
        <v>2.218E9</v>
      </c>
      <c r="N1061" s="1">
        <v>2.8536E10</v>
      </c>
      <c r="O1061" s="1">
        <v>1.6351E10</v>
      </c>
      <c r="P1061" s="1">
        <v>0.0</v>
      </c>
      <c r="Q1061" s="1">
        <v>-5.24E8</v>
      </c>
      <c r="R1061" s="1">
        <v>9.443E9</v>
      </c>
      <c r="S1061" s="1">
        <v>9.015E9</v>
      </c>
      <c r="W1061" s="4" t="str">
        <f>Raw_Data!C1060&amp;"|"&amp;Raw_Data!D1060&amp;"|"&amp;TEXT(Raw_Data!B1060,"yyyy-mm-dd")</f>
        <v>JPMorgan Chase|JPM|2020-12-31</v>
      </c>
    </row>
    <row r="1062">
      <c r="A1062" s="1">
        <v>1060.0</v>
      </c>
      <c r="B1062" s="3">
        <v>44377.0</v>
      </c>
      <c r="C1062" s="1" t="s">
        <v>571</v>
      </c>
      <c r="D1062" s="1" t="s">
        <v>572</v>
      </c>
      <c r="E1062" s="1">
        <v>2.458E8</v>
      </c>
      <c r="F1062" s="1">
        <v>7.48E7</v>
      </c>
      <c r="G1062" s="1">
        <v>6.2E7</v>
      </c>
      <c r="H1062" s="1">
        <v>3.288E8</v>
      </c>
      <c r="I1062" s="1">
        <v>6.819E8</v>
      </c>
      <c r="J1062" s="1">
        <v>1.073E8</v>
      </c>
      <c r="K1062" s="1">
        <v>1.073E8</v>
      </c>
      <c r="L1062" s="1">
        <v>-1.26E7</v>
      </c>
      <c r="M1062" s="1">
        <v>1.28E7</v>
      </c>
      <c r="N1062" s="1">
        <v>1.1723E9</v>
      </c>
      <c r="O1062" s="1">
        <v>1.065E9</v>
      </c>
      <c r="P1062" s="1">
        <v>4.904E8</v>
      </c>
      <c r="Q1062" s="1">
        <v>-3.25E7</v>
      </c>
      <c r="R1062" s="1">
        <v>6.2E7</v>
      </c>
      <c r="S1062" s="1">
        <v>6.2E7</v>
      </c>
      <c r="W1062" s="4" t="str">
        <f>Raw_Data!C1061&amp;"|"&amp;Raw_Data!D1061&amp;"|"&amp;TEXT(Raw_Data!B1061,"yyyy-mm-dd")</f>
        <v>JPMorgan Chase|JPM|2020-09-30</v>
      </c>
    </row>
    <row r="1063">
      <c r="A1063" s="1">
        <v>1061.0</v>
      </c>
      <c r="B1063" s="3">
        <v>44286.0</v>
      </c>
      <c r="C1063" s="1" t="s">
        <v>571</v>
      </c>
      <c r="D1063" s="1" t="s">
        <v>572</v>
      </c>
      <c r="E1063" s="1">
        <v>2.547E8</v>
      </c>
      <c r="F1063" s="1">
        <v>-3.78E7</v>
      </c>
      <c r="G1063" s="1">
        <v>-3.11E7</v>
      </c>
      <c r="H1063" s="1">
        <v>3.138E8</v>
      </c>
      <c r="I1063" s="1">
        <v>6.156E8</v>
      </c>
      <c r="J1063" s="1">
        <v>4.71E7</v>
      </c>
      <c r="K1063" s="1">
        <v>4.71E7</v>
      </c>
      <c r="L1063" s="1">
        <v>-1.37E7</v>
      </c>
      <c r="M1063" s="1">
        <v>-6700000.0</v>
      </c>
      <c r="N1063" s="1">
        <v>1.0744E9</v>
      </c>
      <c r="O1063" s="1">
        <v>1.0273E9</v>
      </c>
      <c r="P1063" s="1">
        <v>4.588E8</v>
      </c>
      <c r="Q1063" s="1">
        <v>-8.49E7</v>
      </c>
      <c r="R1063" s="1">
        <v>-3.11E7</v>
      </c>
      <c r="S1063" s="1">
        <v>-3.11E7</v>
      </c>
      <c r="W1063" s="4" t="str">
        <f>Raw_Data!C1062&amp;"|"&amp;Raw_Data!D1062&amp;"|"&amp;TEXT(Raw_Data!B1062,"yyyy-mm-dd")</f>
        <v>Juniper Networks|JNPR|2021-06-30</v>
      </c>
    </row>
    <row r="1064">
      <c r="A1064" s="1">
        <v>1062.0</v>
      </c>
      <c r="B1064" s="3">
        <v>44196.0</v>
      </c>
      <c r="C1064" s="1" t="s">
        <v>571</v>
      </c>
      <c r="D1064" s="1" t="s">
        <v>572</v>
      </c>
      <c r="E1064" s="1">
        <v>2.425E8</v>
      </c>
      <c r="F1064" s="1">
        <v>3.92E7</v>
      </c>
      <c r="G1064" s="1">
        <v>3.08E7</v>
      </c>
      <c r="H1064" s="1">
        <v>2.987E8</v>
      </c>
      <c r="I1064" s="1">
        <v>7.17E8</v>
      </c>
      <c r="J1064" s="1">
        <v>1.758E8</v>
      </c>
      <c r="K1064" s="1">
        <v>1.758E8</v>
      </c>
      <c r="L1064" s="1">
        <v>-1.85E7</v>
      </c>
      <c r="M1064" s="1">
        <v>8400000.0</v>
      </c>
      <c r="N1064" s="1">
        <v>1.2226E9</v>
      </c>
      <c r="O1064" s="1">
        <v>1.0468E9</v>
      </c>
      <c r="P1064" s="1">
        <v>5.056E8</v>
      </c>
      <c r="Q1064" s="1">
        <v>-1.366E8</v>
      </c>
      <c r="R1064" s="1">
        <v>3.08E7</v>
      </c>
      <c r="S1064" s="1">
        <v>3.08E7</v>
      </c>
      <c r="W1064" s="4" t="str">
        <f>Raw_Data!C1063&amp;"|"&amp;Raw_Data!D1063&amp;"|"&amp;TEXT(Raw_Data!B1063,"yyyy-mm-dd")</f>
        <v>Juniper Networks|JNPR|2021-03-31</v>
      </c>
    </row>
    <row r="1065">
      <c r="A1065" s="1">
        <v>1063.0</v>
      </c>
      <c r="B1065" s="3">
        <v>44104.0</v>
      </c>
      <c r="C1065" s="1" t="s">
        <v>571</v>
      </c>
      <c r="D1065" s="1" t="s">
        <v>572</v>
      </c>
      <c r="E1065" s="1">
        <v>2.424E8</v>
      </c>
      <c r="F1065" s="1">
        <v>1.116E8</v>
      </c>
      <c r="G1065" s="1">
        <v>1.454E8</v>
      </c>
      <c r="H1065" s="1">
        <v>2.891E8</v>
      </c>
      <c r="I1065" s="1">
        <v>6.578E8</v>
      </c>
      <c r="J1065" s="1">
        <v>1.263E8</v>
      </c>
      <c r="K1065" s="1">
        <v>1.263E8</v>
      </c>
      <c r="L1065" s="1">
        <v>-1.91E7</v>
      </c>
      <c r="M1065" s="1">
        <v>-3.38E7</v>
      </c>
      <c r="N1065" s="1">
        <v>1.1382E9</v>
      </c>
      <c r="O1065" s="1">
        <v>1.0119E9</v>
      </c>
      <c r="P1065" s="1">
        <v>4.804E8</v>
      </c>
      <c r="Q1065" s="1">
        <v>-1.47E7</v>
      </c>
      <c r="R1065" s="1">
        <v>1.454E8</v>
      </c>
      <c r="S1065" s="1">
        <v>1.454E8</v>
      </c>
      <c r="W1065" s="4" t="str">
        <f>Raw_Data!C1064&amp;"|"&amp;Raw_Data!D1064&amp;"|"&amp;TEXT(Raw_Data!B1064,"yyyy-mm-dd")</f>
        <v>Juniper Networks|JNPR|2020-12-31</v>
      </c>
    </row>
    <row r="1066">
      <c r="A1066" s="1">
        <v>1064.0</v>
      </c>
      <c r="B1066" s="3">
        <v>44377.0</v>
      </c>
      <c r="C1066" s="1" t="s">
        <v>573</v>
      </c>
      <c r="D1066" s="1" t="s">
        <v>574</v>
      </c>
      <c r="F1066" s="1">
        <v>-4.596E8</v>
      </c>
      <c r="G1066" s="1">
        <v>-3.785E8</v>
      </c>
      <c r="I1066" s="1">
        <v>3.803E8</v>
      </c>
      <c r="J1066" s="1">
        <v>2.891E8</v>
      </c>
      <c r="K1066" s="1">
        <v>2.891E8</v>
      </c>
      <c r="L1066" s="1">
        <v>-3.91E7</v>
      </c>
      <c r="M1066" s="1">
        <v>-8.16E7</v>
      </c>
      <c r="N1066" s="1">
        <v>7.495E8</v>
      </c>
      <c r="O1066" s="1">
        <v>4.604E8</v>
      </c>
      <c r="P1066" s="1">
        <v>3.692E8</v>
      </c>
      <c r="Q1066" s="1">
        <v>-7.487E8</v>
      </c>
      <c r="R1066" s="1">
        <v>-3.78E8</v>
      </c>
      <c r="S1066" s="1">
        <v>-3.786E8</v>
      </c>
      <c r="W1066" s="4" t="str">
        <f>Raw_Data!C1065&amp;"|"&amp;Raw_Data!D1065&amp;"|"&amp;TEXT(Raw_Data!B1065,"yyyy-mm-dd")</f>
        <v>Juniper Networks|JNPR|2020-09-30</v>
      </c>
    </row>
    <row r="1067">
      <c r="A1067" s="1">
        <v>1065.0</v>
      </c>
      <c r="B1067" s="3">
        <v>44286.0</v>
      </c>
      <c r="C1067" s="1" t="s">
        <v>573</v>
      </c>
      <c r="D1067" s="1" t="s">
        <v>574</v>
      </c>
      <c r="F1067" s="1">
        <v>2.119E8</v>
      </c>
      <c r="G1067" s="1">
        <v>1.53E8</v>
      </c>
      <c r="I1067" s="1">
        <v>3.688E8</v>
      </c>
      <c r="J1067" s="1">
        <v>2.723E8</v>
      </c>
      <c r="K1067" s="1">
        <v>2.723E8</v>
      </c>
      <c r="L1067" s="1">
        <v>-3.9E7</v>
      </c>
      <c r="M1067" s="1">
        <v>5.85E7</v>
      </c>
      <c r="N1067" s="1">
        <v>7.06E8</v>
      </c>
      <c r="O1067" s="1">
        <v>4.337E8</v>
      </c>
      <c r="P1067" s="1">
        <v>3.372E8</v>
      </c>
      <c r="Q1067" s="1">
        <v>-6.04E7</v>
      </c>
      <c r="R1067" s="1">
        <v>1.534E8</v>
      </c>
      <c r="S1067" s="1">
        <v>1.53E8</v>
      </c>
      <c r="W1067" s="4" t="str">
        <f>Raw_Data!C1066&amp;"|"&amp;Raw_Data!D1066&amp;"|"&amp;TEXT(Raw_Data!B1066,"yyyy-mm-dd")</f>
        <v>Kansas City Southern|KSU|2021-06-30</v>
      </c>
    </row>
    <row r="1068">
      <c r="A1068" s="1">
        <v>1066.0</v>
      </c>
      <c r="B1068" s="3">
        <v>44196.0</v>
      </c>
      <c r="C1068" s="1" t="s">
        <v>573</v>
      </c>
      <c r="D1068" s="1" t="s">
        <v>574</v>
      </c>
      <c r="F1068" s="1">
        <v>2.359E8</v>
      </c>
      <c r="G1068" s="1">
        <v>1.657E8</v>
      </c>
      <c r="I1068" s="1">
        <v>3.843E8</v>
      </c>
      <c r="J1068" s="1">
        <v>2.769E8</v>
      </c>
      <c r="K1068" s="1">
        <v>2.769E8</v>
      </c>
      <c r="L1068" s="1">
        <v>-3.91E7</v>
      </c>
      <c r="M1068" s="1">
        <v>6.96E7</v>
      </c>
      <c r="N1068" s="1">
        <v>6.934E8</v>
      </c>
      <c r="O1068" s="1">
        <v>4.165E8</v>
      </c>
      <c r="P1068" s="1">
        <v>3.091E8</v>
      </c>
      <c r="Q1068" s="1">
        <v>-4.1E7</v>
      </c>
      <c r="R1068" s="1">
        <v>1.663E8</v>
      </c>
      <c r="S1068" s="1">
        <v>1.657E8</v>
      </c>
      <c r="W1068" s="4" t="str">
        <f>Raw_Data!C1067&amp;"|"&amp;Raw_Data!D1067&amp;"|"&amp;TEXT(Raw_Data!B1067,"yyyy-mm-dd")</f>
        <v>Kansas City Southern|KSU|2021-03-31</v>
      </c>
    </row>
    <row r="1069">
      <c r="A1069" s="1">
        <v>1067.0</v>
      </c>
      <c r="B1069" s="3">
        <v>44104.0</v>
      </c>
      <c r="C1069" s="1" t="s">
        <v>573</v>
      </c>
      <c r="D1069" s="1" t="s">
        <v>574</v>
      </c>
      <c r="F1069" s="1">
        <v>2.387E8</v>
      </c>
      <c r="G1069" s="1">
        <v>1.898E8</v>
      </c>
      <c r="I1069" s="1">
        <v>3.632E8</v>
      </c>
      <c r="J1069" s="1">
        <v>2.74E8</v>
      </c>
      <c r="K1069" s="1">
        <v>2.74E8</v>
      </c>
      <c r="L1069" s="1">
        <v>-3.95E7</v>
      </c>
      <c r="M1069" s="1">
        <v>4.85E7</v>
      </c>
      <c r="N1069" s="1">
        <v>6.596E8</v>
      </c>
      <c r="O1069" s="1">
        <v>3.856E8</v>
      </c>
      <c r="P1069" s="1">
        <v>2.964E8</v>
      </c>
      <c r="Q1069" s="1">
        <v>-3.53E7</v>
      </c>
      <c r="R1069" s="1">
        <v>1.902E8</v>
      </c>
      <c r="S1069" s="1">
        <v>1.897E8</v>
      </c>
      <c r="W1069" s="4" t="str">
        <f>Raw_Data!C1068&amp;"|"&amp;Raw_Data!D1068&amp;"|"&amp;TEXT(Raw_Data!B1068,"yyyy-mm-dd")</f>
        <v>Kansas City Southern|KSU|2020-12-31</v>
      </c>
    </row>
    <row r="1070">
      <c r="A1070" s="1">
        <v>1068.0</v>
      </c>
      <c r="B1070" s="3">
        <v>44289.0</v>
      </c>
      <c r="C1070" s="1" t="s">
        <v>575</v>
      </c>
      <c r="D1070" s="1" t="s">
        <v>576</v>
      </c>
      <c r="F1070" s="1">
        <v>4.8E8</v>
      </c>
      <c r="G1070" s="1">
        <v>3.68E8</v>
      </c>
      <c r="H1070" s="1">
        <v>6.07E8</v>
      </c>
      <c r="I1070" s="1">
        <v>1.167E9</v>
      </c>
      <c r="J1070" s="1">
        <v>5.6E8</v>
      </c>
      <c r="K1070" s="1">
        <v>5.6E8</v>
      </c>
      <c r="L1070" s="1">
        <v>-5.9E7</v>
      </c>
      <c r="M1070" s="1">
        <v>1.09E8</v>
      </c>
      <c r="N1070" s="1">
        <v>3.584E9</v>
      </c>
      <c r="O1070" s="1">
        <v>3.024E9</v>
      </c>
      <c r="P1070" s="1">
        <v>2.417E9</v>
      </c>
      <c r="Q1070" s="1">
        <v>-8.0E7</v>
      </c>
      <c r="R1070" s="1">
        <v>3.71E8</v>
      </c>
      <c r="S1070" s="1">
        <v>3.68E8</v>
      </c>
      <c r="W1070" s="4" t="str">
        <f>Raw_Data!C1069&amp;"|"&amp;Raw_Data!D1069&amp;"|"&amp;TEXT(Raw_Data!B1069,"yyyy-mm-dd")</f>
        <v>Kansas City Southern|KSU|2020-09-30</v>
      </c>
    </row>
    <row r="1071">
      <c r="A1071" s="1">
        <v>1069.0</v>
      </c>
      <c r="B1071" s="3">
        <v>44198.0</v>
      </c>
      <c r="C1071" s="1" t="s">
        <v>575</v>
      </c>
      <c r="D1071" s="1" t="s">
        <v>576</v>
      </c>
      <c r="F1071" s="1">
        <v>2.63E8</v>
      </c>
      <c r="G1071" s="1">
        <v>2.05E8</v>
      </c>
      <c r="H1071" s="1">
        <v>7.49E8</v>
      </c>
      <c r="I1071" s="1">
        <v>1.188E9</v>
      </c>
      <c r="J1071" s="1">
        <v>4.39E8</v>
      </c>
      <c r="K1071" s="1">
        <v>4.39E8</v>
      </c>
      <c r="L1071" s="1">
        <v>-8.5E7</v>
      </c>
      <c r="M1071" s="1">
        <v>5.5E7</v>
      </c>
      <c r="N1071" s="1">
        <v>3.464E9</v>
      </c>
      <c r="O1071" s="1">
        <v>3.025E9</v>
      </c>
      <c r="P1071" s="1">
        <v>2.276E9</v>
      </c>
      <c r="Q1071" s="1">
        <v>-1.76E8</v>
      </c>
      <c r="R1071" s="1">
        <v>2.08E8</v>
      </c>
      <c r="S1071" s="1">
        <v>2.05E8</v>
      </c>
      <c r="W1071" s="4" t="str">
        <f>Raw_Data!C1070&amp;"|"&amp;Raw_Data!D1070&amp;"|"&amp;TEXT(Raw_Data!B1070,"yyyy-mm-dd")</f>
        <v>Kellogg's|K|2021-04-03</v>
      </c>
    </row>
    <row r="1072">
      <c r="A1072" s="1">
        <v>1070.0</v>
      </c>
      <c r="B1072" s="3">
        <v>44100.0</v>
      </c>
      <c r="C1072" s="1" t="s">
        <v>575</v>
      </c>
      <c r="D1072" s="1" t="s">
        <v>576</v>
      </c>
      <c r="F1072" s="1">
        <v>4.17E8</v>
      </c>
      <c r="G1072" s="1">
        <v>3.48E8</v>
      </c>
      <c r="H1072" s="1">
        <v>7.9E8</v>
      </c>
      <c r="I1072" s="1">
        <v>1.201E9</v>
      </c>
      <c r="J1072" s="1">
        <v>4.11E8</v>
      </c>
      <c r="K1072" s="1">
        <v>4.11E8</v>
      </c>
      <c r="L1072" s="1">
        <v>-6.3E7</v>
      </c>
      <c r="M1072" s="1">
        <v>6.5E7</v>
      </c>
      <c r="N1072" s="1">
        <v>3.429E9</v>
      </c>
      <c r="O1072" s="1">
        <v>3.018E9</v>
      </c>
      <c r="P1072" s="1">
        <v>2.228E9</v>
      </c>
      <c r="Q1072" s="1">
        <v>6000000.0</v>
      </c>
      <c r="R1072" s="1">
        <v>3.52E8</v>
      </c>
      <c r="S1072" s="1">
        <v>3.48E8</v>
      </c>
      <c r="W1072" s="4" t="str">
        <f>Raw_Data!C1071&amp;"|"&amp;Raw_Data!D1071&amp;"|"&amp;TEXT(Raw_Data!B1071,"yyyy-mm-dd")</f>
        <v>Kellogg's|K|2021-01-02</v>
      </c>
    </row>
    <row r="1073">
      <c r="A1073" s="1">
        <v>1071.0</v>
      </c>
      <c r="B1073" s="3">
        <v>44009.0</v>
      </c>
      <c r="C1073" s="1" t="s">
        <v>575</v>
      </c>
      <c r="D1073" s="1" t="s">
        <v>576</v>
      </c>
      <c r="F1073" s="1">
        <v>4.63E8</v>
      </c>
      <c r="G1073" s="1">
        <v>3.51E8</v>
      </c>
      <c r="H1073" s="1">
        <v>6.69E8</v>
      </c>
      <c r="I1073" s="1">
        <v>1.207E9</v>
      </c>
      <c r="J1073" s="1">
        <v>5.38E8</v>
      </c>
      <c r="K1073" s="1">
        <v>5.38E8</v>
      </c>
      <c r="L1073" s="1">
        <v>-6.9E7</v>
      </c>
      <c r="M1073" s="1">
        <v>1.09E8</v>
      </c>
      <c r="N1073" s="1">
        <v>3.465E9</v>
      </c>
      <c r="O1073" s="1">
        <v>2.927E9</v>
      </c>
      <c r="P1073" s="1">
        <v>2.258E9</v>
      </c>
      <c r="Q1073" s="1">
        <v>-7.5E7</v>
      </c>
      <c r="R1073" s="1">
        <v>3.54E8</v>
      </c>
      <c r="S1073" s="1">
        <v>3.51E8</v>
      </c>
      <c r="W1073" s="4" t="str">
        <f>Raw_Data!C1072&amp;"|"&amp;Raw_Data!D1072&amp;"|"&amp;TEXT(Raw_Data!B1072,"yyyy-mm-dd")</f>
        <v>Kellogg's|K|2020-09-26</v>
      </c>
    </row>
    <row r="1074">
      <c r="A1074" s="1">
        <v>1072.0</v>
      </c>
      <c r="B1074" s="3">
        <v>44377.0</v>
      </c>
      <c r="C1074" s="1" t="s">
        <v>577</v>
      </c>
      <c r="D1074" s="1" t="s">
        <v>578</v>
      </c>
      <c r="F1074" s="1">
        <v>9.13E8</v>
      </c>
      <c r="G1074" s="1">
        <v>7.29E8</v>
      </c>
      <c r="H1074" s="1">
        <v>9.07E8</v>
      </c>
      <c r="I1074" s="1">
        <v>1.989E9</v>
      </c>
      <c r="J1074" s="1">
        <v>0.0</v>
      </c>
      <c r="K1074" s="1">
        <v>9.27E8</v>
      </c>
      <c r="M1074" s="1">
        <v>1.89E8</v>
      </c>
      <c r="N1074" s="1">
        <v>1.989E9</v>
      </c>
      <c r="O1074" s="1">
        <v>1.062E9</v>
      </c>
      <c r="P1074" s="1">
        <v>0.0</v>
      </c>
      <c r="Q1074" s="1">
        <v>-1.4E7</v>
      </c>
      <c r="R1074" s="1">
        <v>7.24E8</v>
      </c>
      <c r="S1074" s="1">
        <v>7.03E8</v>
      </c>
      <c r="W1074" s="4" t="str">
        <f>Raw_Data!C1073&amp;"|"&amp;Raw_Data!D1073&amp;"|"&amp;TEXT(Raw_Data!B1073,"yyyy-mm-dd")</f>
        <v>Kellogg's|K|2020-06-27</v>
      </c>
    </row>
    <row r="1075">
      <c r="A1075" s="1">
        <v>1073.0</v>
      </c>
      <c r="B1075" s="3">
        <v>44286.0</v>
      </c>
      <c r="C1075" s="1" t="s">
        <v>577</v>
      </c>
      <c r="D1075" s="1" t="s">
        <v>578</v>
      </c>
      <c r="F1075" s="1">
        <v>7.65E8</v>
      </c>
      <c r="G1075" s="1">
        <v>6.22E8</v>
      </c>
      <c r="H1075" s="1">
        <v>9.08E8</v>
      </c>
      <c r="I1075" s="1">
        <v>1.836E9</v>
      </c>
      <c r="J1075" s="1">
        <v>0.0</v>
      </c>
      <c r="K1075" s="1">
        <v>7.8E8</v>
      </c>
      <c r="M1075" s="1">
        <v>1.47E8</v>
      </c>
      <c r="N1075" s="1">
        <v>1.836E9</v>
      </c>
      <c r="O1075" s="1">
        <v>1.056E9</v>
      </c>
      <c r="P1075" s="1">
        <v>0.0</v>
      </c>
      <c r="Q1075" s="1">
        <v>-1.6E7</v>
      </c>
      <c r="R1075" s="1">
        <v>6.18E8</v>
      </c>
      <c r="S1075" s="1">
        <v>5.95E8</v>
      </c>
      <c r="W1075" s="4" t="str">
        <f>Raw_Data!C1074&amp;"|"&amp;Raw_Data!D1074&amp;"|"&amp;TEXT(Raw_Data!B1074,"yyyy-mm-dd")</f>
        <v>KeyCorp|KEY|2021-06-30</v>
      </c>
    </row>
    <row r="1076">
      <c r="A1076" s="1">
        <v>1074.0</v>
      </c>
      <c r="B1076" s="3">
        <v>44196.0</v>
      </c>
      <c r="C1076" s="1" t="s">
        <v>577</v>
      </c>
      <c r="D1076" s="1" t="s">
        <v>578</v>
      </c>
      <c r="F1076" s="1">
        <v>6.89E8</v>
      </c>
      <c r="G1076" s="1">
        <v>5.82E8</v>
      </c>
      <c r="H1076" s="1">
        <v>9.13E8</v>
      </c>
      <c r="I1076" s="1">
        <v>1.817E9</v>
      </c>
      <c r="J1076" s="1">
        <v>0.0</v>
      </c>
      <c r="K1076" s="1">
        <v>7.43E8</v>
      </c>
      <c r="M1076" s="1">
        <v>1.14E8</v>
      </c>
      <c r="N1076" s="1">
        <v>1.817E9</v>
      </c>
      <c r="O1076" s="1">
        <v>1.074E9</v>
      </c>
      <c r="P1076" s="1">
        <v>0.0</v>
      </c>
      <c r="Q1076" s="1">
        <v>-5.4E7</v>
      </c>
      <c r="R1076" s="1">
        <v>5.75E8</v>
      </c>
      <c r="S1076" s="1">
        <v>5.56E8</v>
      </c>
      <c r="W1076" s="4" t="str">
        <f>Raw_Data!C1075&amp;"|"&amp;Raw_Data!D1075&amp;"|"&amp;TEXT(Raw_Data!B1075,"yyyy-mm-dd")</f>
        <v>KeyCorp|KEY|2021-03-31</v>
      </c>
    </row>
    <row r="1077">
      <c r="A1077" s="1">
        <v>1075.0</v>
      </c>
      <c r="B1077" s="3">
        <v>44104.0</v>
      </c>
      <c r="C1077" s="1" t="s">
        <v>577</v>
      </c>
      <c r="D1077" s="1" t="s">
        <v>578</v>
      </c>
      <c r="F1077" s="1">
        <v>4.84E8</v>
      </c>
      <c r="G1077" s="1">
        <v>4.28E8</v>
      </c>
      <c r="H1077" s="1">
        <v>8.52E8</v>
      </c>
      <c r="I1077" s="1">
        <v>1.521E9</v>
      </c>
      <c r="J1077" s="1">
        <v>0.0</v>
      </c>
      <c r="K1077" s="1">
        <v>5.04E8</v>
      </c>
      <c r="M1077" s="1">
        <v>6.0E7</v>
      </c>
      <c r="N1077" s="1">
        <v>1.521E9</v>
      </c>
      <c r="O1077" s="1">
        <v>1.017E9</v>
      </c>
      <c r="P1077" s="1">
        <v>0.0</v>
      </c>
      <c r="Q1077" s="1">
        <v>-2.0E7</v>
      </c>
      <c r="R1077" s="1">
        <v>4.24E8</v>
      </c>
      <c r="S1077" s="1">
        <v>4.01E8</v>
      </c>
      <c r="W1077" s="4" t="str">
        <f>Raw_Data!C1076&amp;"|"&amp;Raw_Data!D1076&amp;"|"&amp;TEXT(Raw_Data!B1076,"yyyy-mm-dd")</f>
        <v>KeyCorp|KEY|2020-12-31</v>
      </c>
    </row>
    <row r="1078">
      <c r="A1078" s="1">
        <v>1076.0</v>
      </c>
      <c r="B1078" s="3">
        <v>44316.0</v>
      </c>
      <c r="C1078" s="1" t="s">
        <v>579</v>
      </c>
      <c r="D1078" s="1" t="s">
        <v>580</v>
      </c>
      <c r="E1078" s="1">
        <v>2.09E8</v>
      </c>
      <c r="F1078" s="1">
        <v>2.08E8</v>
      </c>
      <c r="G1078" s="1">
        <v>1.86E8</v>
      </c>
      <c r="H1078" s="1">
        <v>3.08E8</v>
      </c>
      <c r="I1078" s="1">
        <v>7.37E8</v>
      </c>
      <c r="J1078" s="1">
        <v>2.24E8</v>
      </c>
      <c r="K1078" s="1">
        <v>2.24E8</v>
      </c>
      <c r="L1078" s="1">
        <v>-1.9E7</v>
      </c>
      <c r="M1078" s="1">
        <v>2.2E7</v>
      </c>
      <c r="N1078" s="1">
        <v>1.221E9</v>
      </c>
      <c r="O1078" s="1">
        <v>9.97E8</v>
      </c>
      <c r="P1078" s="1">
        <v>4.84E8</v>
      </c>
      <c r="Q1078" s="1">
        <v>-1.6E7</v>
      </c>
      <c r="R1078" s="1">
        <v>1.86E8</v>
      </c>
      <c r="S1078" s="1">
        <v>1.86E8</v>
      </c>
      <c r="W1078" s="4" t="str">
        <f>Raw_Data!C1077&amp;"|"&amp;Raw_Data!D1077&amp;"|"&amp;TEXT(Raw_Data!B1077,"yyyy-mm-dd")</f>
        <v>KeyCorp|KEY|2020-09-30</v>
      </c>
    </row>
    <row r="1079">
      <c r="A1079" s="1">
        <v>1077.0</v>
      </c>
      <c r="B1079" s="3">
        <v>44227.0</v>
      </c>
      <c r="C1079" s="1" t="s">
        <v>579</v>
      </c>
      <c r="D1079" s="1" t="s">
        <v>580</v>
      </c>
      <c r="E1079" s="1">
        <v>1.99E8</v>
      </c>
      <c r="F1079" s="1">
        <v>1.95E8</v>
      </c>
      <c r="G1079" s="1">
        <v>1.72E8</v>
      </c>
      <c r="H1079" s="1">
        <v>2.94E8</v>
      </c>
      <c r="I1079" s="1">
        <v>7.07E8</v>
      </c>
      <c r="J1079" s="1">
        <v>2.19E8</v>
      </c>
      <c r="K1079" s="1">
        <v>2.19E8</v>
      </c>
      <c r="L1079" s="1">
        <v>-2.0E7</v>
      </c>
      <c r="M1079" s="1">
        <v>2.3E7</v>
      </c>
      <c r="N1079" s="1">
        <v>1.18E9</v>
      </c>
      <c r="O1079" s="1">
        <v>9.61E8</v>
      </c>
      <c r="P1079" s="1">
        <v>4.73E8</v>
      </c>
      <c r="Q1079" s="1">
        <v>-2.4E7</v>
      </c>
      <c r="R1079" s="1">
        <v>1.72E8</v>
      </c>
      <c r="S1079" s="1">
        <v>1.72E8</v>
      </c>
      <c r="W1079" s="4" t="str">
        <f>Raw_Data!C1078&amp;"|"&amp;Raw_Data!D1078&amp;"|"&amp;TEXT(Raw_Data!B1078,"yyyy-mm-dd")</f>
        <v>Keysight Technologies|KEYS|2021-04-30</v>
      </c>
    </row>
    <row r="1080">
      <c r="A1080" s="1">
        <v>1078.0</v>
      </c>
      <c r="B1080" s="3">
        <v>44135.0</v>
      </c>
      <c r="C1080" s="1" t="s">
        <v>579</v>
      </c>
      <c r="D1080" s="1" t="s">
        <v>580</v>
      </c>
      <c r="E1080" s="1">
        <v>1.93E8</v>
      </c>
      <c r="F1080" s="1">
        <v>2.66E8</v>
      </c>
      <c r="G1080" s="1">
        <v>2.17E8</v>
      </c>
      <c r="H1080" s="1">
        <v>2.87E8</v>
      </c>
      <c r="I1080" s="1">
        <v>7.56E8</v>
      </c>
      <c r="J1080" s="1">
        <v>2.78E8</v>
      </c>
      <c r="K1080" s="1">
        <v>2.78E8</v>
      </c>
      <c r="L1080" s="1">
        <v>-1.9E7</v>
      </c>
      <c r="M1080" s="1">
        <v>4.9E7</v>
      </c>
      <c r="N1080" s="1">
        <v>1.22E9</v>
      </c>
      <c r="O1080" s="1">
        <v>9.42E8</v>
      </c>
      <c r="P1080" s="1">
        <v>4.64E8</v>
      </c>
      <c r="Q1080" s="1">
        <v>-1.2E7</v>
      </c>
      <c r="R1080" s="1">
        <v>2.17E8</v>
      </c>
      <c r="S1080" s="1">
        <v>2.17E8</v>
      </c>
      <c r="W1080" s="4" t="str">
        <f>Raw_Data!C1079&amp;"|"&amp;Raw_Data!D1079&amp;"|"&amp;TEXT(Raw_Data!B1079,"yyyy-mm-dd")</f>
        <v>Keysight Technologies|KEYS|2021-01-31</v>
      </c>
    </row>
    <row r="1081">
      <c r="A1081" s="1">
        <v>1079.0</v>
      </c>
      <c r="B1081" s="3">
        <v>44043.0</v>
      </c>
      <c r="C1081" s="1" t="s">
        <v>579</v>
      </c>
      <c r="D1081" s="1" t="s">
        <v>580</v>
      </c>
      <c r="E1081" s="1">
        <v>1.69E8</v>
      </c>
      <c r="F1081" s="1">
        <v>1.85E8</v>
      </c>
      <c r="G1081" s="1">
        <v>1.76E8</v>
      </c>
      <c r="H1081" s="1">
        <v>2.41E8</v>
      </c>
      <c r="I1081" s="1">
        <v>6.06E8</v>
      </c>
      <c r="J1081" s="1">
        <v>2.0E8</v>
      </c>
      <c r="K1081" s="1">
        <v>2.0E8</v>
      </c>
      <c r="L1081" s="1">
        <v>-2.0E7</v>
      </c>
      <c r="M1081" s="1">
        <v>9000000.0</v>
      </c>
      <c r="N1081" s="1">
        <v>1.011E9</v>
      </c>
      <c r="O1081" s="1">
        <v>8.11E8</v>
      </c>
      <c r="P1081" s="1">
        <v>4.05E8</v>
      </c>
      <c r="Q1081" s="1">
        <v>-1.5E7</v>
      </c>
      <c r="R1081" s="1">
        <v>1.76E8</v>
      </c>
      <c r="S1081" s="1">
        <v>1.76E8</v>
      </c>
      <c r="W1081" s="4" t="str">
        <f>Raw_Data!C1080&amp;"|"&amp;Raw_Data!D1080&amp;"|"&amp;TEXT(Raw_Data!B1080,"yyyy-mm-dd")</f>
        <v>Keysight Technologies|KEYS|2020-10-31</v>
      </c>
    </row>
    <row r="1082">
      <c r="A1082" s="1">
        <v>1080.0</v>
      </c>
      <c r="B1082" s="3">
        <v>44286.0</v>
      </c>
      <c r="C1082" s="1" t="s">
        <v>581</v>
      </c>
      <c r="D1082" s="1" t="s">
        <v>582</v>
      </c>
      <c r="F1082" s="1">
        <v>7.41E8</v>
      </c>
      <c r="G1082" s="1">
        <v>5.84E8</v>
      </c>
      <c r="H1082" s="1">
        <v>8.06E8</v>
      </c>
      <c r="I1082" s="1">
        <v>1.614E9</v>
      </c>
      <c r="J1082" s="1">
        <v>8.13E8</v>
      </c>
      <c r="K1082" s="1">
        <v>8.13E8</v>
      </c>
      <c r="L1082" s="1">
        <v>-6.3E7</v>
      </c>
      <c r="M1082" s="1">
        <v>1.47E8</v>
      </c>
      <c r="N1082" s="1">
        <v>4.743E9</v>
      </c>
      <c r="O1082" s="1">
        <v>3.93E9</v>
      </c>
      <c r="P1082" s="1">
        <v>3.129E9</v>
      </c>
      <c r="Q1082" s="1">
        <v>-7.2E7</v>
      </c>
      <c r="R1082" s="1">
        <v>5.94E8</v>
      </c>
      <c r="S1082" s="1">
        <v>5.84E8</v>
      </c>
      <c r="W1082" s="4" t="str">
        <f>Raw_Data!C1081&amp;"|"&amp;Raw_Data!D1081&amp;"|"&amp;TEXT(Raw_Data!B1081,"yyyy-mm-dd")</f>
        <v>Keysight Technologies|KEYS|2020-07-31</v>
      </c>
    </row>
    <row r="1083">
      <c r="A1083" s="1">
        <v>1081.0</v>
      </c>
      <c r="B1083" s="3">
        <v>44196.0</v>
      </c>
      <c r="C1083" s="1" t="s">
        <v>581</v>
      </c>
      <c r="D1083" s="1" t="s">
        <v>582</v>
      </c>
      <c r="F1083" s="1">
        <v>7.12E8</v>
      </c>
      <c r="G1083" s="1">
        <v>5.39E8</v>
      </c>
      <c r="H1083" s="1">
        <v>9.6E8</v>
      </c>
      <c r="I1083" s="1">
        <v>1.71E9</v>
      </c>
      <c r="J1083" s="1">
        <v>8.15E8</v>
      </c>
      <c r="K1083" s="1">
        <v>8.15E8</v>
      </c>
      <c r="L1083" s="1">
        <v>-6.4E7</v>
      </c>
      <c r="M1083" s="1">
        <v>1.66E8</v>
      </c>
      <c r="N1083" s="1">
        <v>4.836E9</v>
      </c>
      <c r="O1083" s="1">
        <v>4.021E9</v>
      </c>
      <c r="P1083" s="1">
        <v>3.126E9</v>
      </c>
      <c r="Q1083" s="1">
        <v>-1.03E8</v>
      </c>
      <c r="R1083" s="1">
        <v>5.46E8</v>
      </c>
      <c r="S1083" s="1">
        <v>5.39E8</v>
      </c>
      <c r="W1083" s="4" t="str">
        <f>Raw_Data!C1082&amp;"|"&amp;Raw_Data!D1082&amp;"|"&amp;TEXT(Raw_Data!B1082,"yyyy-mm-dd")</f>
        <v>Kimberly-Clark|KMB|2021-03-31</v>
      </c>
    </row>
    <row r="1084">
      <c r="A1084" s="1">
        <v>1082.0</v>
      </c>
      <c r="B1084" s="3">
        <v>44104.0</v>
      </c>
      <c r="C1084" s="1" t="s">
        <v>581</v>
      </c>
      <c r="D1084" s="1" t="s">
        <v>582</v>
      </c>
      <c r="F1084" s="1">
        <v>5.97E8</v>
      </c>
      <c r="G1084" s="1">
        <v>4.72E8</v>
      </c>
      <c r="H1084" s="1">
        <v>8.85E8</v>
      </c>
      <c r="I1084" s="1">
        <v>1.697E9</v>
      </c>
      <c r="J1084" s="1">
        <v>7.83E8</v>
      </c>
      <c r="K1084" s="1">
        <v>7.83E8</v>
      </c>
      <c r="L1084" s="1">
        <v>-6.2E7</v>
      </c>
      <c r="M1084" s="1">
        <v>1.14E8</v>
      </c>
      <c r="N1084" s="1">
        <v>4.683E9</v>
      </c>
      <c r="O1084" s="1">
        <v>3.9E9</v>
      </c>
      <c r="P1084" s="1">
        <v>2.986E9</v>
      </c>
      <c r="Q1084" s="1">
        <v>-1.86E8</v>
      </c>
      <c r="R1084" s="1">
        <v>4.83E8</v>
      </c>
      <c r="S1084" s="1">
        <v>4.72E8</v>
      </c>
      <c r="W1084" s="4" t="str">
        <f>Raw_Data!C1083&amp;"|"&amp;Raw_Data!D1083&amp;"|"&amp;TEXT(Raw_Data!B1083,"yyyy-mm-dd")</f>
        <v>Kimberly-Clark|KMB|2020-12-31</v>
      </c>
    </row>
    <row r="1085">
      <c r="A1085" s="1">
        <v>1083.0</v>
      </c>
      <c r="B1085" s="3">
        <v>44012.0</v>
      </c>
      <c r="C1085" s="1" t="s">
        <v>581</v>
      </c>
      <c r="D1085" s="1" t="s">
        <v>582</v>
      </c>
      <c r="F1085" s="1">
        <v>8.91E8</v>
      </c>
      <c r="G1085" s="1">
        <v>6.81E8</v>
      </c>
      <c r="H1085" s="1">
        <v>8.17E8</v>
      </c>
      <c r="I1085" s="1">
        <v>1.837E9</v>
      </c>
      <c r="J1085" s="1">
        <v>1.0E9</v>
      </c>
      <c r="K1085" s="1">
        <v>1.0E9</v>
      </c>
      <c r="L1085" s="1">
        <v>-6.5E7</v>
      </c>
      <c r="M1085" s="1">
        <v>1.99E8</v>
      </c>
      <c r="N1085" s="1">
        <v>4.612E9</v>
      </c>
      <c r="O1085" s="1">
        <v>3.612E9</v>
      </c>
      <c r="P1085" s="1">
        <v>2.775E9</v>
      </c>
      <c r="Q1085" s="1">
        <v>-1.09E8</v>
      </c>
      <c r="R1085" s="1">
        <v>6.92E8</v>
      </c>
      <c r="S1085" s="1">
        <v>6.81E8</v>
      </c>
      <c r="W1085" s="4" t="str">
        <f>Raw_Data!C1084&amp;"|"&amp;Raw_Data!D1084&amp;"|"&amp;TEXT(Raw_Data!B1084,"yyyy-mm-dd")</f>
        <v>Kimberly-Clark|KMB|2020-09-30</v>
      </c>
    </row>
    <row r="1086">
      <c r="A1086" s="1">
        <v>1084.0</v>
      </c>
      <c r="B1086" s="3">
        <v>44377.0</v>
      </c>
      <c r="C1086" s="1" t="s">
        <v>583</v>
      </c>
      <c r="D1086" s="1" t="s">
        <v>584</v>
      </c>
      <c r="F1086" s="1">
        <v>1.18393E8</v>
      </c>
      <c r="G1086" s="1">
        <v>1.16697E8</v>
      </c>
      <c r="H1086" s="1">
        <v>2.4754E7</v>
      </c>
      <c r="I1086" s="1">
        <v>1.99532E8</v>
      </c>
      <c r="J1086" s="1">
        <v>1.02205E8</v>
      </c>
      <c r="K1086" s="1">
        <v>1.02205E8</v>
      </c>
      <c r="L1086" s="1">
        <v>-4.6812E7</v>
      </c>
      <c r="M1086" s="1">
        <v>1275000.0</v>
      </c>
      <c r="N1086" s="1">
        <v>2.89016E8</v>
      </c>
      <c r="O1086" s="1">
        <v>1.86811E8</v>
      </c>
      <c r="P1086" s="1">
        <v>8.9484E7</v>
      </c>
      <c r="Q1086" s="1">
        <v>1.6188E7</v>
      </c>
      <c r="R1086" s="1">
        <v>1.17118E8</v>
      </c>
      <c r="S1086" s="1">
        <v>1.09671E8</v>
      </c>
      <c r="W1086" s="4" t="str">
        <f>Raw_Data!C1085&amp;"|"&amp;Raw_Data!D1085&amp;"|"&amp;TEXT(Raw_Data!B1085,"yyyy-mm-dd")</f>
        <v>Kimberly-Clark|KMB|2020-06-30</v>
      </c>
    </row>
    <row r="1087">
      <c r="A1087" s="1">
        <v>1085.0</v>
      </c>
      <c r="B1087" s="3">
        <v>44286.0</v>
      </c>
      <c r="C1087" s="1" t="s">
        <v>583</v>
      </c>
      <c r="D1087" s="1" t="s">
        <v>584</v>
      </c>
      <c r="F1087" s="1">
        <v>1.42733E8</v>
      </c>
      <c r="G1087" s="1">
        <v>1.37942E8</v>
      </c>
      <c r="H1087" s="1">
        <v>2.4478E7</v>
      </c>
      <c r="I1087" s="1">
        <v>1.93817E8</v>
      </c>
      <c r="J1087" s="1">
        <v>9.4463E7</v>
      </c>
      <c r="K1087" s="1">
        <v>9.4463E7</v>
      </c>
      <c r="L1087" s="1">
        <v>-4.7716E7</v>
      </c>
      <c r="M1087" s="1">
        <v>1308000.0</v>
      </c>
      <c r="N1087" s="1">
        <v>2.82308E8</v>
      </c>
      <c r="O1087" s="1">
        <v>1.87845E8</v>
      </c>
      <c r="P1087" s="1">
        <v>8.8491E7</v>
      </c>
      <c r="Q1087" s="1">
        <v>4.827E7</v>
      </c>
      <c r="R1087" s="1">
        <v>1.41425E8</v>
      </c>
      <c r="S1087" s="1">
        <v>1.30796E8</v>
      </c>
      <c r="W1087" s="4" t="str">
        <f>Raw_Data!C1086&amp;"|"&amp;Raw_Data!D1086&amp;"|"&amp;TEXT(Raw_Data!B1086,"yyyy-mm-dd")</f>
        <v>Kimco Realty|KIM|2021-06-30</v>
      </c>
    </row>
    <row r="1088">
      <c r="A1088" s="1">
        <v>1086.0</v>
      </c>
      <c r="B1088" s="3">
        <v>44196.0</v>
      </c>
      <c r="C1088" s="1" t="s">
        <v>583</v>
      </c>
      <c r="D1088" s="1" t="s">
        <v>584</v>
      </c>
      <c r="F1088" s="1">
        <v>2.02295E8</v>
      </c>
      <c r="G1088" s="1">
        <v>2.01234E8</v>
      </c>
      <c r="H1088" s="1">
        <v>1.2201E7</v>
      </c>
      <c r="I1088" s="1">
        <v>1.77826E8</v>
      </c>
      <c r="J1088" s="1">
        <v>9.133E7</v>
      </c>
      <c r="K1088" s="1">
        <v>9.133E7</v>
      </c>
      <c r="L1088" s="1">
        <v>-4.5887E7</v>
      </c>
      <c r="M1088" s="1">
        <v>496000.0</v>
      </c>
      <c r="N1088" s="1">
        <v>2.69441E8</v>
      </c>
      <c r="O1088" s="1">
        <v>1.78111E8</v>
      </c>
      <c r="P1088" s="1">
        <v>9.1615E7</v>
      </c>
      <c r="Q1088" s="1">
        <v>1.10965E8</v>
      </c>
      <c r="R1088" s="1">
        <v>2.01799E8</v>
      </c>
      <c r="S1088" s="1">
        <v>1.95952E8</v>
      </c>
      <c r="W1088" s="4" t="str">
        <f>Raw_Data!C1087&amp;"|"&amp;Raw_Data!D1087&amp;"|"&amp;TEXT(Raw_Data!B1087,"yyyy-mm-dd")</f>
        <v>Kimco Realty|KIM|2021-03-31</v>
      </c>
    </row>
    <row r="1089">
      <c r="A1089" s="1">
        <v>1087.0</v>
      </c>
      <c r="B1089" s="3">
        <v>44104.0</v>
      </c>
      <c r="C1089" s="1" t="s">
        <v>583</v>
      </c>
      <c r="D1089" s="1" t="s">
        <v>584</v>
      </c>
      <c r="F1089" s="1">
        <v>-3.7041E7</v>
      </c>
      <c r="G1089" s="1">
        <v>-3.8394E7</v>
      </c>
      <c r="H1089" s="1">
        <v>2.8795E7</v>
      </c>
      <c r="I1089" s="1">
        <v>1.73778E8</v>
      </c>
      <c r="J1089" s="1">
        <v>7.3279E7</v>
      </c>
      <c r="K1089" s="1">
        <v>7.3279E7</v>
      </c>
      <c r="L1089" s="1">
        <v>-4.6942E7</v>
      </c>
      <c r="M1089" s="1">
        <v>388000.0</v>
      </c>
      <c r="N1089" s="1">
        <v>2.59792E8</v>
      </c>
      <c r="O1089" s="1">
        <v>1.86513E8</v>
      </c>
      <c r="P1089" s="1">
        <v>8.6014E7</v>
      </c>
      <c r="Q1089" s="1">
        <v>-1.1032E8</v>
      </c>
      <c r="R1089" s="1">
        <v>-3.7429E7</v>
      </c>
      <c r="S1089" s="1">
        <v>-4.4999E7</v>
      </c>
      <c r="W1089" s="4" t="str">
        <f>Raw_Data!C1088&amp;"|"&amp;Raw_Data!D1088&amp;"|"&amp;TEXT(Raw_Data!B1088,"yyyy-mm-dd")</f>
        <v>Kimco Realty|KIM|2020-12-31</v>
      </c>
    </row>
    <row r="1090">
      <c r="A1090" s="1">
        <v>1088.0</v>
      </c>
      <c r="B1090" s="3">
        <v>44286.0</v>
      </c>
      <c r="C1090" s="1" t="s">
        <v>585</v>
      </c>
      <c r="D1090" s="1" t="s">
        <v>586</v>
      </c>
      <c r="F1090" s="1">
        <v>1.776E9</v>
      </c>
      <c r="G1090" s="1">
        <v>1.409E9</v>
      </c>
      <c r="H1090" s="1">
        <v>1.56E8</v>
      </c>
      <c r="I1090" s="1">
        <v>2.688E9</v>
      </c>
      <c r="J1090" s="1">
        <v>1.882E9</v>
      </c>
      <c r="K1090" s="1">
        <v>1.882E9</v>
      </c>
      <c r="L1090" s="1">
        <v>-3.77E8</v>
      </c>
      <c r="M1090" s="1">
        <v>3.51E8</v>
      </c>
      <c r="N1090" s="1">
        <v>5.211E9</v>
      </c>
      <c r="O1090" s="1">
        <v>3.329E9</v>
      </c>
      <c r="P1090" s="1">
        <v>2.523E9</v>
      </c>
      <c r="Q1090" s="1">
        <v>-1.06E8</v>
      </c>
      <c r="R1090" s="1">
        <v>1.425E9</v>
      </c>
      <c r="S1090" s="1">
        <v>1.402E9</v>
      </c>
      <c r="W1090" s="4" t="str">
        <f>Raw_Data!C1089&amp;"|"&amp;Raw_Data!D1089&amp;"|"&amp;TEXT(Raw_Data!B1089,"yyyy-mm-dd")</f>
        <v>Kimco Realty|KIM|2020-09-30</v>
      </c>
    </row>
    <row r="1091">
      <c r="A1091" s="1">
        <v>1089.0</v>
      </c>
      <c r="B1091" s="3">
        <v>44196.0</v>
      </c>
      <c r="C1091" s="1" t="s">
        <v>585</v>
      </c>
      <c r="D1091" s="1" t="s">
        <v>586</v>
      </c>
      <c r="F1091" s="1">
        <v>8.0E8</v>
      </c>
      <c r="G1091" s="1">
        <v>6.07E8</v>
      </c>
      <c r="H1091" s="1">
        <v>1.87E8</v>
      </c>
      <c r="I1091" s="1">
        <v>1.723E9</v>
      </c>
      <c r="J1091" s="1">
        <v>9.25E8</v>
      </c>
      <c r="K1091" s="1">
        <v>9.25E8</v>
      </c>
      <c r="L1091" s="1">
        <v>-3.81E8</v>
      </c>
      <c r="M1091" s="1">
        <v>1.77E8</v>
      </c>
      <c r="N1091" s="1">
        <v>3.115E9</v>
      </c>
      <c r="O1091" s="1">
        <v>2.19E9</v>
      </c>
      <c r="P1091" s="1">
        <v>1.392E9</v>
      </c>
      <c r="Q1091" s="1">
        <v>-1.25E8</v>
      </c>
      <c r="R1091" s="1">
        <v>6.23E8</v>
      </c>
      <c r="S1091" s="1">
        <v>6.03E8</v>
      </c>
      <c r="W1091" s="4" t="str">
        <f>Raw_Data!C1090&amp;"|"&amp;Raw_Data!D1090&amp;"|"&amp;TEXT(Raw_Data!B1090,"yyyy-mm-dd")</f>
        <v>Kinder Morgan|KMI|2021-03-31</v>
      </c>
    </row>
    <row r="1092">
      <c r="A1092" s="1">
        <v>1090.0</v>
      </c>
      <c r="B1092" s="3">
        <v>44104.0</v>
      </c>
      <c r="C1092" s="1" t="s">
        <v>585</v>
      </c>
      <c r="D1092" s="1" t="s">
        <v>586</v>
      </c>
      <c r="F1092" s="1">
        <v>6.12E8</v>
      </c>
      <c r="G1092" s="1">
        <v>4.55E8</v>
      </c>
      <c r="H1092" s="1">
        <v>1.53E8</v>
      </c>
      <c r="I1092" s="1">
        <v>1.621E9</v>
      </c>
      <c r="J1092" s="1">
        <v>8.3E8</v>
      </c>
      <c r="K1092" s="1">
        <v>8.3E8</v>
      </c>
      <c r="L1092" s="1">
        <v>-3.83E8</v>
      </c>
      <c r="M1092" s="1">
        <v>1.4E8</v>
      </c>
      <c r="N1092" s="1">
        <v>2.919E9</v>
      </c>
      <c r="O1092" s="1">
        <v>2.089E9</v>
      </c>
      <c r="P1092" s="1">
        <v>1.298E9</v>
      </c>
      <c r="Q1092" s="1">
        <v>-2.18E8</v>
      </c>
      <c r="R1092" s="1">
        <v>4.72E8</v>
      </c>
      <c r="S1092" s="1">
        <v>4.52E8</v>
      </c>
      <c r="W1092" s="4" t="str">
        <f>Raw_Data!C1091&amp;"|"&amp;Raw_Data!D1091&amp;"|"&amp;TEXT(Raw_Data!B1091,"yyyy-mm-dd")</f>
        <v>Kinder Morgan|KMI|2020-12-31</v>
      </c>
    </row>
    <row r="1093">
      <c r="A1093" s="1">
        <v>1091.0</v>
      </c>
      <c r="B1093" s="3">
        <v>44012.0</v>
      </c>
      <c r="C1093" s="1" t="s">
        <v>585</v>
      </c>
      <c r="D1093" s="1" t="s">
        <v>586</v>
      </c>
      <c r="F1093" s="1">
        <v>-5.2E8</v>
      </c>
      <c r="G1093" s="1">
        <v>-6.37E8</v>
      </c>
      <c r="H1093" s="1">
        <v>1.55E8</v>
      </c>
      <c r="I1093" s="1">
        <v>1.513E9</v>
      </c>
      <c r="J1093" s="1">
        <v>7.23E8</v>
      </c>
      <c r="K1093" s="1">
        <v>7.23E8</v>
      </c>
      <c r="L1093" s="1">
        <v>-3.95E8</v>
      </c>
      <c r="M1093" s="1">
        <v>1.04E8</v>
      </c>
      <c r="N1093" s="1">
        <v>2.56E9</v>
      </c>
      <c r="O1093" s="1">
        <v>1.837E9</v>
      </c>
      <c r="P1093" s="1">
        <v>1.047E9</v>
      </c>
      <c r="Q1093" s="1">
        <v>-1.243E9</v>
      </c>
      <c r="R1093" s="1">
        <v>-6.24E8</v>
      </c>
      <c r="S1093" s="1">
        <v>-6.4E8</v>
      </c>
      <c r="W1093" s="4" t="str">
        <f>Raw_Data!C1092&amp;"|"&amp;Raw_Data!D1092&amp;"|"&amp;TEXT(Raw_Data!B1092,"yyyy-mm-dd")</f>
        <v>Kinder Morgan|KMI|2020-09-30</v>
      </c>
    </row>
    <row r="1094">
      <c r="A1094" s="1">
        <v>1092.0</v>
      </c>
      <c r="B1094" s="3">
        <v>44377.0</v>
      </c>
      <c r="C1094" s="1" t="s">
        <v>587</v>
      </c>
      <c r="D1094" s="1" t="s">
        <v>588</v>
      </c>
      <c r="E1094" s="1">
        <v>2.41428E8</v>
      </c>
      <c r="F1094" s="1">
        <v>7.08843E8</v>
      </c>
      <c r="G1094" s="1">
        <v>6.32978E8</v>
      </c>
      <c r="H1094" s="1">
        <v>1.93861E8</v>
      </c>
      <c r="I1094" s="1">
        <v>1.15323E9</v>
      </c>
      <c r="J1094" s="1">
        <v>7.17941E8</v>
      </c>
      <c r="K1094" s="1">
        <v>7.17941E8</v>
      </c>
      <c r="L1094" s="1">
        <v>-3.997E7</v>
      </c>
      <c r="M1094" s="1">
        <v>7.5785E7</v>
      </c>
      <c r="N1094" s="1">
        <v>1.925471E9</v>
      </c>
      <c r="O1094" s="1">
        <v>1.20753E9</v>
      </c>
      <c r="P1094" s="1">
        <v>7.72241E8</v>
      </c>
      <c r="Q1094" s="1">
        <v>-9098000.0</v>
      </c>
      <c r="R1094" s="1">
        <v>6.33058E8</v>
      </c>
      <c r="S1094" s="1">
        <v>6.32978E8</v>
      </c>
      <c r="W1094" s="4" t="str">
        <f>Raw_Data!C1093&amp;"|"&amp;Raw_Data!D1093&amp;"|"&amp;TEXT(Raw_Data!B1093,"yyyy-mm-dd")</f>
        <v>Kinder Morgan|KMI|2020-06-30</v>
      </c>
    </row>
    <row r="1095">
      <c r="A1095" s="1">
        <v>1093.0</v>
      </c>
      <c r="B1095" s="3">
        <v>44286.0</v>
      </c>
      <c r="C1095" s="1" t="s">
        <v>587</v>
      </c>
      <c r="D1095" s="1" t="s">
        <v>588</v>
      </c>
      <c r="E1095" s="1">
        <v>2.38957E8</v>
      </c>
      <c r="F1095" s="1">
        <v>6.40403E8</v>
      </c>
      <c r="G1095" s="1">
        <v>5.67496E8</v>
      </c>
      <c r="H1095" s="1">
        <v>1.8304E8</v>
      </c>
      <c r="I1095" s="1">
        <v>1.094144E9</v>
      </c>
      <c r="J1095" s="1">
        <v>6.72147E8</v>
      </c>
      <c r="K1095" s="1">
        <v>6.72147E8</v>
      </c>
      <c r="L1095" s="1">
        <v>-3.9092E7</v>
      </c>
      <c r="M1095" s="1">
        <v>7.3233E7</v>
      </c>
      <c r="N1095" s="1">
        <v>1.803773E9</v>
      </c>
      <c r="O1095" s="1">
        <v>1.131626E9</v>
      </c>
      <c r="P1095" s="1">
        <v>7.09629E8</v>
      </c>
      <c r="Q1095" s="1">
        <v>-3.1744E7</v>
      </c>
      <c r="R1095" s="1">
        <v>5.6717E8</v>
      </c>
      <c r="S1095" s="1">
        <v>5.67496E8</v>
      </c>
      <c r="W1095" s="4" t="str">
        <f>Raw_Data!C1094&amp;"|"&amp;Raw_Data!D1094&amp;"|"&amp;TEXT(Raw_Data!B1094,"yyyy-mm-dd")</f>
        <v>KLA Corporation|KLAC|2021-06-30</v>
      </c>
    </row>
    <row r="1096">
      <c r="A1096" s="1">
        <v>1094.0</v>
      </c>
      <c r="B1096" s="3">
        <v>44196.0</v>
      </c>
      <c r="C1096" s="1" t="s">
        <v>587</v>
      </c>
      <c r="D1096" s="1" t="s">
        <v>588</v>
      </c>
      <c r="E1096" s="1">
        <v>2.29064E8</v>
      </c>
      <c r="F1096" s="1">
        <v>5.27402E8</v>
      </c>
      <c r="G1096" s="1">
        <v>4.57251E8</v>
      </c>
      <c r="H1096" s="1">
        <v>1.81909E8</v>
      </c>
      <c r="I1096" s="1">
        <v>9.81137E8</v>
      </c>
      <c r="J1096" s="1">
        <v>5.70164E8</v>
      </c>
      <c r="K1096" s="1">
        <v>5.70164E8</v>
      </c>
      <c r="L1096" s="1">
        <v>-3.888E7</v>
      </c>
      <c r="M1096" s="1">
        <v>7.0419E7</v>
      </c>
      <c r="N1096" s="1">
        <v>1.65087E9</v>
      </c>
      <c r="O1096" s="1">
        <v>1.080706E9</v>
      </c>
      <c r="P1096" s="1">
        <v>6.69733E8</v>
      </c>
      <c r="Q1096" s="1">
        <v>-4.2762E7</v>
      </c>
      <c r="R1096" s="1">
        <v>4.56983E8</v>
      </c>
      <c r="S1096" s="1">
        <v>4.57251E8</v>
      </c>
      <c r="W1096" s="4" t="str">
        <f>Raw_Data!C1095&amp;"|"&amp;Raw_Data!D1095&amp;"|"&amp;TEXT(Raw_Data!B1095,"yyyy-mm-dd")</f>
        <v>KLA Corporation|KLAC|2021-03-31</v>
      </c>
    </row>
    <row r="1097">
      <c r="A1097" s="1">
        <v>1095.0</v>
      </c>
      <c r="B1097" s="3">
        <v>44104.0</v>
      </c>
      <c r="C1097" s="1" t="s">
        <v>587</v>
      </c>
      <c r="D1097" s="1" t="s">
        <v>588</v>
      </c>
      <c r="E1097" s="1">
        <v>2.19038E8</v>
      </c>
      <c r="F1097" s="1">
        <v>4.83806E8</v>
      </c>
      <c r="G1097" s="1">
        <v>4.20567E8</v>
      </c>
      <c r="H1097" s="1">
        <v>1.72631E8</v>
      </c>
      <c r="I1097" s="1">
        <v>9.18058E8</v>
      </c>
      <c r="J1097" s="1">
        <v>5.26389E8</v>
      </c>
      <c r="K1097" s="1">
        <v>5.26389E8</v>
      </c>
      <c r="L1097" s="1">
        <v>-3.9386E7</v>
      </c>
      <c r="M1097" s="1">
        <v>6.3664E7</v>
      </c>
      <c r="N1097" s="1">
        <v>1.53862E9</v>
      </c>
      <c r="O1097" s="1">
        <v>1.012231E9</v>
      </c>
      <c r="P1097" s="1">
        <v>6.20562E8</v>
      </c>
      <c r="Q1097" s="1">
        <v>-4.2583E7</v>
      </c>
      <c r="R1097" s="1">
        <v>4.20142E8</v>
      </c>
      <c r="S1097" s="1">
        <v>4.20567E8</v>
      </c>
      <c r="W1097" s="4" t="str">
        <f>Raw_Data!C1096&amp;"|"&amp;Raw_Data!D1096&amp;"|"&amp;TEXT(Raw_Data!B1096,"yyyy-mm-dd")</f>
        <v>KLA Corporation|KLAC|2020-12-31</v>
      </c>
    </row>
    <row r="1098">
      <c r="A1098" s="1">
        <v>1096.0</v>
      </c>
      <c r="B1098" s="3">
        <v>44373.0</v>
      </c>
      <c r="C1098" s="1" t="s">
        <v>589</v>
      </c>
      <c r="D1098" s="1" t="s">
        <v>590</v>
      </c>
      <c r="F1098" s="1">
        <v>6.45E8</v>
      </c>
      <c r="G1098" s="1">
        <v>-2.7E7</v>
      </c>
      <c r="H1098" s="1">
        <v>8.66E8</v>
      </c>
      <c r="I1098" s="1">
        <v>2.292E9</v>
      </c>
      <c r="J1098" s="1">
        <v>1.426E9</v>
      </c>
      <c r="K1098" s="1">
        <v>1.426E9</v>
      </c>
      <c r="L1098" s="1">
        <v>-6.13E8</v>
      </c>
      <c r="M1098" s="1">
        <v>6.7E8</v>
      </c>
      <c r="N1098" s="1">
        <v>6.615E9</v>
      </c>
      <c r="O1098" s="1">
        <v>5.189E9</v>
      </c>
      <c r="P1098" s="1">
        <v>4.323E9</v>
      </c>
      <c r="Q1098" s="1">
        <v>-7.81E8</v>
      </c>
      <c r="R1098" s="1">
        <v>-2.5E7</v>
      </c>
      <c r="S1098" s="1">
        <v>-2.7E7</v>
      </c>
      <c r="W1098" s="4" t="str">
        <f>Raw_Data!C1097&amp;"|"&amp;Raw_Data!D1097&amp;"|"&amp;TEXT(Raw_Data!B1097,"yyyy-mm-dd")</f>
        <v>KLA Corporation|KLAC|2020-09-30</v>
      </c>
    </row>
    <row r="1099">
      <c r="A1099" s="1">
        <v>1097.0</v>
      </c>
      <c r="B1099" s="3">
        <v>44282.0</v>
      </c>
      <c r="C1099" s="1" t="s">
        <v>589</v>
      </c>
      <c r="D1099" s="1" t="s">
        <v>590</v>
      </c>
      <c r="F1099" s="1">
        <v>7.04E8</v>
      </c>
      <c r="G1099" s="1">
        <v>5.63E8</v>
      </c>
      <c r="H1099" s="1">
        <v>8.15E8</v>
      </c>
      <c r="I1099" s="1">
        <v>2.204E9</v>
      </c>
      <c r="J1099" s="1">
        <v>1.389E9</v>
      </c>
      <c r="K1099" s="1">
        <v>1.389E9</v>
      </c>
      <c r="L1099" s="1">
        <v>-4.15E8</v>
      </c>
      <c r="M1099" s="1">
        <v>1.36E8</v>
      </c>
      <c r="N1099" s="1">
        <v>6.394E9</v>
      </c>
      <c r="O1099" s="1">
        <v>5.005E9</v>
      </c>
      <c r="P1099" s="1">
        <v>4.19E9</v>
      </c>
      <c r="Q1099" s="1">
        <v>-6.85E8</v>
      </c>
      <c r="R1099" s="1">
        <v>5.68E8</v>
      </c>
      <c r="S1099" s="1">
        <v>5.63E8</v>
      </c>
      <c r="W1099" s="4" t="str">
        <f>Raw_Data!C1098&amp;"|"&amp;Raw_Data!D1098&amp;"|"&amp;TEXT(Raw_Data!B1098,"yyyy-mm-dd")</f>
        <v>Kraft Heinz|KHC|2021-06-26</v>
      </c>
    </row>
    <row r="1100">
      <c r="A1100" s="1">
        <v>1098.0</v>
      </c>
      <c r="B1100" s="3">
        <v>44191.0</v>
      </c>
      <c r="C1100" s="1" t="s">
        <v>589</v>
      </c>
      <c r="D1100" s="1" t="s">
        <v>590</v>
      </c>
      <c r="E1100" s="1">
        <v>1.19E8</v>
      </c>
      <c r="F1100" s="1">
        <v>1.286E9</v>
      </c>
      <c r="G1100" s="1">
        <v>1.032E9</v>
      </c>
      <c r="H1100" s="1">
        <v>6.22E8</v>
      </c>
      <c r="I1100" s="1">
        <v>2.521E9</v>
      </c>
      <c r="J1100" s="1">
        <v>1.78E9</v>
      </c>
      <c r="K1100" s="1">
        <v>1.78E9</v>
      </c>
      <c r="L1100" s="1">
        <v>-3.28E8</v>
      </c>
      <c r="M1100" s="1">
        <v>2.52E8</v>
      </c>
      <c r="N1100" s="1">
        <v>6.939E9</v>
      </c>
      <c r="O1100" s="1">
        <v>5.159E9</v>
      </c>
      <c r="P1100" s="1">
        <v>4.418E9</v>
      </c>
      <c r="Q1100" s="1">
        <v>-4.94E8</v>
      </c>
      <c r="R1100" s="1">
        <v>1.034E9</v>
      </c>
      <c r="S1100" s="1">
        <v>1.032E9</v>
      </c>
      <c r="W1100" s="4" t="str">
        <f>Raw_Data!C1099&amp;"|"&amp;Raw_Data!D1099&amp;"|"&amp;TEXT(Raw_Data!B1099,"yyyy-mm-dd")</f>
        <v>Kraft Heinz|KHC|2021-03-27</v>
      </c>
    </row>
    <row r="1101">
      <c r="A1101" s="1">
        <v>1099.0</v>
      </c>
      <c r="B1101" s="3">
        <v>44100.0</v>
      </c>
      <c r="C1101" s="1" t="s">
        <v>589</v>
      </c>
      <c r="D1101" s="1" t="s">
        <v>590</v>
      </c>
      <c r="E1101" s="1">
        <v>1.19E8</v>
      </c>
      <c r="F1101" s="1">
        <v>9.06E8</v>
      </c>
      <c r="G1101" s="1">
        <v>5.97E8</v>
      </c>
      <c r="H1101" s="1">
        <v>8.39E8</v>
      </c>
      <c r="I1101" s="1">
        <v>2.341E9</v>
      </c>
      <c r="J1101" s="1">
        <v>1.502E9</v>
      </c>
      <c r="K1101" s="1">
        <v>1.502E9</v>
      </c>
      <c r="L1101" s="1">
        <v>-3.14E8</v>
      </c>
      <c r="M1101" s="1">
        <v>3.08E8</v>
      </c>
      <c r="N1101" s="1">
        <v>6.441E9</v>
      </c>
      <c r="O1101" s="1">
        <v>4.939E9</v>
      </c>
      <c r="P1101" s="1">
        <v>4.1E9</v>
      </c>
      <c r="Q1101" s="1">
        <v>-5.96E8</v>
      </c>
      <c r="R1101" s="1">
        <v>5.98E8</v>
      </c>
      <c r="S1101" s="1">
        <v>5.97E8</v>
      </c>
      <c r="W1101" s="4" t="str">
        <f>Raw_Data!C1100&amp;"|"&amp;Raw_Data!D1100&amp;"|"&amp;TEXT(Raw_Data!B1100,"yyyy-mm-dd")</f>
        <v>Kraft Heinz|KHC|2020-12-26</v>
      </c>
    </row>
    <row r="1102">
      <c r="A1102" s="1">
        <v>1100.0</v>
      </c>
      <c r="B1102" s="3">
        <v>44330.0</v>
      </c>
      <c r="C1102" s="1" t="s">
        <v>591</v>
      </c>
      <c r="D1102" s="1" t="s">
        <v>592</v>
      </c>
      <c r="F1102" s="1">
        <v>1.79E8</v>
      </c>
      <c r="G1102" s="1">
        <v>1.4E8</v>
      </c>
      <c r="H1102" s="1">
        <v>7.58E9</v>
      </c>
      <c r="I1102" s="1">
        <v>9.351E9</v>
      </c>
      <c r="J1102" s="1">
        <v>9.1E8</v>
      </c>
      <c r="K1102" s="1">
        <v>9.1E8</v>
      </c>
      <c r="L1102" s="1">
        <v>-1.65E8</v>
      </c>
      <c r="M1102" s="1">
        <v>3.6E7</v>
      </c>
      <c r="N1102" s="1">
        <v>4.1298E10</v>
      </c>
      <c r="O1102" s="1">
        <v>4.0388E10</v>
      </c>
      <c r="P1102" s="1">
        <v>3.1947E10</v>
      </c>
      <c r="Q1102" s="1">
        <v>-7.31E8</v>
      </c>
      <c r="R1102" s="1">
        <v>1.43E8</v>
      </c>
      <c r="S1102" s="1">
        <v>1.39E8</v>
      </c>
      <c r="W1102" s="4" t="str">
        <f>Raw_Data!C1101&amp;"|"&amp;Raw_Data!D1101&amp;"|"&amp;TEXT(Raw_Data!B1101,"yyyy-mm-dd")</f>
        <v>Kraft Heinz|KHC|2020-09-26</v>
      </c>
    </row>
    <row r="1103">
      <c r="A1103" s="1">
        <v>1101.0</v>
      </c>
      <c r="B1103" s="3">
        <v>44226.0</v>
      </c>
      <c r="C1103" s="1" t="s">
        <v>591</v>
      </c>
      <c r="D1103" s="1" t="s">
        <v>592</v>
      </c>
      <c r="F1103" s="1">
        <v>-1.1E8</v>
      </c>
      <c r="G1103" s="1">
        <v>-7.7E7</v>
      </c>
      <c r="H1103" s="1">
        <v>7.256E9</v>
      </c>
      <c r="I1103" s="1">
        <v>7.934E9</v>
      </c>
      <c r="J1103" s="1">
        <v>4000000.0</v>
      </c>
      <c r="K1103" s="1">
        <v>4000000.0</v>
      </c>
      <c r="L1103" s="1">
        <v>-1.06E8</v>
      </c>
      <c r="M1103" s="1">
        <v>-3.4E7</v>
      </c>
      <c r="N1103" s="1">
        <v>3.0737E10</v>
      </c>
      <c r="O1103" s="1">
        <v>3.0733E10</v>
      </c>
      <c r="P1103" s="1">
        <v>2.2803E10</v>
      </c>
      <c r="Q1103" s="1">
        <v>-1.14E8</v>
      </c>
      <c r="R1103" s="1">
        <v>-7.6E7</v>
      </c>
      <c r="S1103" s="1">
        <v>-7.5E7</v>
      </c>
      <c r="W1103" s="4" t="str">
        <f>Raw_Data!C1102&amp;"|"&amp;Raw_Data!D1102&amp;"|"&amp;TEXT(Raw_Data!B1102,"yyyy-mm-dd")</f>
        <v>Kroger|KR|2021-05-14</v>
      </c>
    </row>
    <row r="1104">
      <c r="A1104" s="1">
        <v>1102.0</v>
      </c>
      <c r="B1104" s="3">
        <v>44142.0</v>
      </c>
      <c r="C1104" s="1" t="s">
        <v>591</v>
      </c>
      <c r="D1104" s="1" t="s">
        <v>592</v>
      </c>
      <c r="F1104" s="1">
        <v>8.34E8</v>
      </c>
      <c r="G1104" s="1">
        <v>6.31E8</v>
      </c>
      <c r="H1104" s="1">
        <v>5.333E9</v>
      </c>
      <c r="I1104" s="1">
        <v>6.822E9</v>
      </c>
      <c r="J1104" s="1">
        <v>8.58E8</v>
      </c>
      <c r="K1104" s="1">
        <v>8.58E8</v>
      </c>
      <c r="L1104" s="1">
        <v>-1.29E8</v>
      </c>
      <c r="M1104" s="1">
        <v>2.02E8</v>
      </c>
      <c r="N1104" s="1">
        <v>2.9723E10</v>
      </c>
      <c r="O1104" s="1">
        <v>2.8865E10</v>
      </c>
      <c r="P1104" s="1">
        <v>2.2901E10</v>
      </c>
      <c r="Q1104" s="1">
        <v>-2.4E7</v>
      </c>
      <c r="R1104" s="1">
        <v>6.32E8</v>
      </c>
      <c r="S1104" s="1">
        <v>6.25E8</v>
      </c>
      <c r="W1104" s="4" t="str">
        <f>Raw_Data!C1103&amp;"|"&amp;Raw_Data!D1103&amp;"|"&amp;TEXT(Raw_Data!B1103,"yyyy-mm-dd")</f>
        <v>Kroger|KR|2021-01-30</v>
      </c>
    </row>
    <row r="1105">
      <c r="A1105" s="1">
        <v>1103.0</v>
      </c>
      <c r="B1105" s="3">
        <v>44058.0</v>
      </c>
      <c r="C1105" s="1" t="s">
        <v>591</v>
      </c>
      <c r="D1105" s="1" t="s">
        <v>592</v>
      </c>
      <c r="F1105" s="1">
        <v>1.061E9</v>
      </c>
      <c r="G1105" s="1">
        <v>8.19E8</v>
      </c>
      <c r="H1105" s="1">
        <v>5.439E9</v>
      </c>
      <c r="I1105" s="1">
        <v>6.938E9</v>
      </c>
      <c r="J1105" s="1">
        <v>8.82E8</v>
      </c>
      <c r="K1105" s="1">
        <v>8.82E8</v>
      </c>
      <c r="L1105" s="1">
        <v>-1.35E8</v>
      </c>
      <c r="M1105" s="1">
        <v>2.41E8</v>
      </c>
      <c r="N1105" s="1">
        <v>3.0489E10</v>
      </c>
      <c r="O1105" s="1">
        <v>2.9607E10</v>
      </c>
      <c r="P1105" s="1">
        <v>2.3551E10</v>
      </c>
      <c r="Q1105" s="1">
        <v>1.79E8</v>
      </c>
      <c r="R1105" s="1">
        <v>8.2E8</v>
      </c>
      <c r="S1105" s="1">
        <v>8.09E8</v>
      </c>
      <c r="W1105" s="4" t="str">
        <f>Raw_Data!C1104&amp;"|"&amp;Raw_Data!D1104&amp;"|"&amp;TEXT(Raw_Data!B1104,"yyyy-mm-dd")</f>
        <v>Kroger|KR|2020-11-07</v>
      </c>
    </row>
    <row r="1106">
      <c r="A1106" s="1">
        <v>1104.0</v>
      </c>
      <c r="B1106" s="3">
        <v>44379.0</v>
      </c>
      <c r="C1106" s="1" t="s">
        <v>593</v>
      </c>
      <c r="D1106" s="1" t="s">
        <v>594</v>
      </c>
      <c r="F1106" s="1">
        <v>5.82E8</v>
      </c>
      <c r="G1106" s="1">
        <v>4.13E8</v>
      </c>
      <c r="H1106" s="1">
        <v>7.57E8</v>
      </c>
      <c r="I1106" s="1">
        <v>1.417E9</v>
      </c>
      <c r="J1106" s="1">
        <v>6.6E8</v>
      </c>
      <c r="K1106" s="1">
        <v>6.6E8</v>
      </c>
      <c r="L1106" s="1">
        <v>-6.5E7</v>
      </c>
      <c r="M1106" s="1">
        <v>1.69E8</v>
      </c>
      <c r="N1106" s="1">
        <v>4.668E9</v>
      </c>
      <c r="O1106" s="1">
        <v>4.008E9</v>
      </c>
      <c r="P1106" s="1">
        <v>3.251E9</v>
      </c>
      <c r="Q1106" s="1">
        <v>-7.8E7</v>
      </c>
      <c r="R1106" s="1">
        <v>4.13E8</v>
      </c>
      <c r="S1106" s="1">
        <v>4.13E8</v>
      </c>
      <c r="W1106" s="4" t="str">
        <f>Raw_Data!C1105&amp;"|"&amp;Raw_Data!D1105&amp;"|"&amp;TEXT(Raw_Data!B1105,"yyyy-mm-dd")</f>
        <v>Kroger|KR|2020-08-15</v>
      </c>
    </row>
    <row r="1107">
      <c r="A1107" s="1">
        <v>1105.0</v>
      </c>
      <c r="B1107" s="3">
        <v>44288.0</v>
      </c>
      <c r="C1107" s="1" t="s">
        <v>593</v>
      </c>
      <c r="D1107" s="1" t="s">
        <v>594</v>
      </c>
      <c r="F1107" s="1">
        <v>5.27E8</v>
      </c>
      <c r="G1107" s="1">
        <v>4.68E8</v>
      </c>
      <c r="H1107" s="1">
        <v>6.69E8</v>
      </c>
      <c r="I1107" s="1">
        <v>1.354E9</v>
      </c>
      <c r="J1107" s="1">
        <v>6.85E8</v>
      </c>
      <c r="K1107" s="1">
        <v>6.85E8</v>
      </c>
      <c r="L1107" s="1">
        <v>-6.9E7</v>
      </c>
      <c r="M1107" s="1">
        <v>6.0E7</v>
      </c>
      <c r="N1107" s="1">
        <v>4.567E9</v>
      </c>
      <c r="O1107" s="1">
        <v>3.882E9</v>
      </c>
      <c r="P1107" s="1">
        <v>3.213E9</v>
      </c>
      <c r="Q1107" s="1">
        <v>-1.58E8</v>
      </c>
      <c r="R1107" s="1">
        <v>4.67E8</v>
      </c>
      <c r="S1107" s="1">
        <v>4.68E8</v>
      </c>
      <c r="W1107" s="4" t="str">
        <f>Raw_Data!C1106&amp;"|"&amp;Raw_Data!D1106&amp;"|"&amp;TEXT(Raw_Data!B1106,"yyyy-mm-dd")</f>
        <v>L3Harris Technologies|LHX|2021-07-02</v>
      </c>
    </row>
    <row r="1108">
      <c r="A1108" s="1">
        <v>1106.0</v>
      </c>
      <c r="B1108" s="3">
        <v>44197.0</v>
      </c>
      <c r="C1108" s="1" t="s">
        <v>593</v>
      </c>
      <c r="D1108" s="1" t="s">
        <v>594</v>
      </c>
      <c r="F1108" s="1">
        <v>2.47E8</v>
      </c>
      <c r="G1108" s="1">
        <v>1.93E8</v>
      </c>
      <c r="H1108" s="1">
        <v>7.13E8</v>
      </c>
      <c r="I1108" s="1">
        <v>1.399E9</v>
      </c>
      <c r="J1108" s="1">
        <v>6.86E8</v>
      </c>
      <c r="K1108" s="1">
        <v>6.86E8</v>
      </c>
      <c r="L1108" s="1">
        <v>-6.8E7</v>
      </c>
      <c r="M1108" s="1">
        <v>6.3E7</v>
      </c>
      <c r="N1108" s="1">
        <v>4.66E9</v>
      </c>
      <c r="O1108" s="1">
        <v>3.974E9</v>
      </c>
      <c r="P1108" s="1">
        <v>3.261E9</v>
      </c>
      <c r="Q1108" s="1">
        <v>-4.39E8</v>
      </c>
      <c r="R1108" s="1">
        <v>1.84E8</v>
      </c>
      <c r="S1108" s="1">
        <v>1.93E8</v>
      </c>
      <c r="W1108" s="4" t="str">
        <f>Raw_Data!C1107&amp;"|"&amp;Raw_Data!D1107&amp;"|"&amp;TEXT(Raw_Data!B1107,"yyyy-mm-dd")</f>
        <v>L3Harris Technologies|LHX|2021-04-02</v>
      </c>
    </row>
    <row r="1109">
      <c r="A1109" s="1">
        <v>1107.0</v>
      </c>
      <c r="B1109" s="3">
        <v>44106.0</v>
      </c>
      <c r="C1109" s="1" t="s">
        <v>593</v>
      </c>
      <c r="D1109" s="1" t="s">
        <v>594</v>
      </c>
      <c r="F1109" s="1">
        <v>5.18E8</v>
      </c>
      <c r="G1109" s="1">
        <v>4.26E8</v>
      </c>
      <c r="H1109" s="1">
        <v>6.91E8</v>
      </c>
      <c r="I1109" s="1">
        <v>1.311E9</v>
      </c>
      <c r="J1109" s="1">
        <v>6.2E8</v>
      </c>
      <c r="K1109" s="1">
        <v>6.2E8</v>
      </c>
      <c r="L1109" s="1">
        <v>-6.6E7</v>
      </c>
      <c r="M1109" s="1">
        <v>8.7E7</v>
      </c>
      <c r="N1109" s="1">
        <v>4.463E9</v>
      </c>
      <c r="O1109" s="1">
        <v>3.843E9</v>
      </c>
      <c r="P1109" s="1">
        <v>3.152E9</v>
      </c>
      <c r="Q1109" s="1">
        <v>-1.02E8</v>
      </c>
      <c r="R1109" s="1">
        <v>4.31E8</v>
      </c>
      <c r="S1109" s="1">
        <v>4.26E8</v>
      </c>
      <c r="W1109" s="4" t="str">
        <f>Raw_Data!C1108&amp;"|"&amp;Raw_Data!D1108&amp;"|"&amp;TEXT(Raw_Data!B1108,"yyyy-mm-dd")</f>
        <v>L3Harris Technologies|LHX|2021-01-01</v>
      </c>
    </row>
    <row r="1110">
      <c r="A1110" s="1">
        <v>1108.0</v>
      </c>
      <c r="B1110" s="3">
        <v>44286.0</v>
      </c>
      <c r="C1110" s="1" t="s">
        <v>595</v>
      </c>
      <c r="D1110" s="1" t="s">
        <v>596</v>
      </c>
      <c r="F1110" s="1">
        <v>1.0218E9</v>
      </c>
      <c r="G1110" s="1">
        <v>7.696E8</v>
      </c>
      <c r="H1110" s="1">
        <v>4.183E8</v>
      </c>
      <c r="I1110" s="1">
        <v>1.599E9</v>
      </c>
      <c r="J1110" s="1">
        <v>1.1178E9</v>
      </c>
      <c r="K1110" s="1">
        <v>1.1178E9</v>
      </c>
      <c r="L1110" s="1">
        <v>-4.85E7</v>
      </c>
      <c r="M1110" s="1">
        <v>2.517E8</v>
      </c>
      <c r="N1110" s="1">
        <v>4.1615E9</v>
      </c>
      <c r="O1110" s="1">
        <v>3.0437E9</v>
      </c>
      <c r="P1110" s="1">
        <v>2.5625E9</v>
      </c>
      <c r="Q1110" s="1">
        <v>-9.6E7</v>
      </c>
      <c r="R1110" s="1">
        <v>7.701E8</v>
      </c>
      <c r="S1110" s="1">
        <v>7.696E8</v>
      </c>
      <c r="W1110" s="4" t="str">
        <f>Raw_Data!C1109&amp;"|"&amp;Raw_Data!D1109&amp;"|"&amp;TEXT(Raw_Data!B1109,"yyyy-mm-dd")</f>
        <v>L3Harris Technologies|LHX|2020-10-02</v>
      </c>
    </row>
    <row r="1111">
      <c r="A1111" s="1">
        <v>1109.0</v>
      </c>
      <c r="B1111" s="3">
        <v>44196.0</v>
      </c>
      <c r="C1111" s="1" t="s">
        <v>595</v>
      </c>
      <c r="D1111" s="1" t="s">
        <v>596</v>
      </c>
      <c r="F1111" s="1">
        <v>1.2427E9</v>
      </c>
      <c r="G1111" s="1">
        <v>9.383E8</v>
      </c>
      <c r="H1111" s="1">
        <v>4.955E8</v>
      </c>
      <c r="I1111" s="1">
        <v>1.9614E9</v>
      </c>
      <c r="J1111" s="1">
        <v>1.4026E9</v>
      </c>
      <c r="K1111" s="1">
        <v>1.4026E9</v>
      </c>
      <c r="L1111" s="1">
        <v>-4.83E7</v>
      </c>
      <c r="M1111" s="1">
        <v>3.041E8</v>
      </c>
      <c r="N1111" s="1">
        <v>4.4898E9</v>
      </c>
      <c r="O1111" s="1">
        <v>3.0872E9</v>
      </c>
      <c r="P1111" s="1">
        <v>2.5284E9</v>
      </c>
      <c r="Q1111" s="1">
        <v>-1.599E8</v>
      </c>
      <c r="R1111" s="1">
        <v>9.386E8</v>
      </c>
      <c r="S1111" s="1">
        <v>9.383E8</v>
      </c>
      <c r="W1111" s="4" t="str">
        <f>Raw_Data!C1110&amp;"|"&amp;Raw_Data!D1110&amp;"|"&amp;TEXT(Raw_Data!B1110,"yyyy-mm-dd")</f>
        <v>LabCorp|LH|2021-03-31</v>
      </c>
    </row>
    <row r="1112">
      <c r="A1112" s="1">
        <v>1110.0</v>
      </c>
      <c r="B1112" s="3">
        <v>44104.0</v>
      </c>
      <c r="C1112" s="1" t="s">
        <v>595</v>
      </c>
      <c r="D1112" s="1" t="s">
        <v>596</v>
      </c>
      <c r="F1112" s="1">
        <v>9.471E8</v>
      </c>
      <c r="G1112" s="1">
        <v>7.034E8</v>
      </c>
      <c r="H1112" s="1">
        <v>4.132E8</v>
      </c>
      <c r="I1112" s="1">
        <v>1.5594E9</v>
      </c>
      <c r="J1112" s="1">
        <v>1.084E9</v>
      </c>
      <c r="K1112" s="1">
        <v>1.084E9</v>
      </c>
      <c r="L1112" s="1">
        <v>-5.14E7</v>
      </c>
      <c r="M1112" s="1">
        <v>2.434E8</v>
      </c>
      <c r="N1112" s="1">
        <v>3.8961E9</v>
      </c>
      <c r="O1112" s="1">
        <v>2.8121E9</v>
      </c>
      <c r="P1112" s="1">
        <v>2.3367E9</v>
      </c>
      <c r="Q1112" s="1">
        <v>-1.369E8</v>
      </c>
      <c r="R1112" s="1">
        <v>7.037E8</v>
      </c>
      <c r="S1112" s="1">
        <v>7.034E8</v>
      </c>
      <c r="W1112" s="4" t="str">
        <f>Raw_Data!C1111&amp;"|"&amp;Raw_Data!D1111&amp;"|"&amp;TEXT(Raw_Data!B1111,"yyyy-mm-dd")</f>
        <v>LabCorp|LH|2020-12-31</v>
      </c>
    </row>
    <row r="1113">
      <c r="A1113" s="1">
        <v>1111.0</v>
      </c>
      <c r="B1113" s="3">
        <v>44012.0</v>
      </c>
      <c r="C1113" s="1" t="s">
        <v>595</v>
      </c>
      <c r="D1113" s="1" t="s">
        <v>596</v>
      </c>
      <c r="F1113" s="1">
        <v>2.97E8</v>
      </c>
      <c r="G1113" s="1">
        <v>2.316E8</v>
      </c>
      <c r="H1113" s="1">
        <v>3.837E8</v>
      </c>
      <c r="I1113" s="1">
        <v>7.605E8</v>
      </c>
      <c r="J1113" s="1">
        <v>3.167E8</v>
      </c>
      <c r="K1113" s="1">
        <v>3.167E8</v>
      </c>
      <c r="L1113" s="1">
        <v>-5.27E7</v>
      </c>
      <c r="M1113" s="1">
        <v>6.54E7</v>
      </c>
      <c r="N1113" s="1">
        <v>2.7688E9</v>
      </c>
      <c r="O1113" s="1">
        <v>2.4521E9</v>
      </c>
      <c r="P1113" s="1">
        <v>2.0083E9</v>
      </c>
      <c r="Q1113" s="1">
        <v>-1.97E7</v>
      </c>
      <c r="R1113" s="1">
        <v>2.316E8</v>
      </c>
      <c r="S1113" s="1">
        <v>2.316E8</v>
      </c>
      <c r="W1113" s="4" t="str">
        <f>Raw_Data!C1112&amp;"|"&amp;Raw_Data!D1112&amp;"|"&amp;TEXT(Raw_Data!B1112,"yyyy-mm-dd")</f>
        <v>LabCorp|LH|2020-09-30</v>
      </c>
    </row>
    <row r="1114">
      <c r="A1114" s="1">
        <v>1112.0</v>
      </c>
      <c r="B1114" s="3">
        <v>44374.0</v>
      </c>
      <c r="C1114" s="1" t="s">
        <v>597</v>
      </c>
      <c r="D1114" s="1" t="s">
        <v>598</v>
      </c>
      <c r="E1114" s="1">
        <v>3.81749E8</v>
      </c>
      <c r="F1114" s="1">
        <v>1.308761E9</v>
      </c>
      <c r="G1114" s="1">
        <v>1.144657E9</v>
      </c>
      <c r="H1114" s="1">
        <v>2.17525E8</v>
      </c>
      <c r="I1114" s="1">
        <v>1.915201E9</v>
      </c>
      <c r="J1114" s="1">
        <v>1.315927E9</v>
      </c>
      <c r="K1114" s="1">
        <v>1.315927E9</v>
      </c>
      <c r="L1114" s="1">
        <v>-5.1695E7</v>
      </c>
      <c r="M1114" s="1">
        <v>1.64104E8</v>
      </c>
      <c r="N1114" s="1">
        <v>4.145179E9</v>
      </c>
      <c r="O1114" s="1">
        <v>2.829252E9</v>
      </c>
      <c r="P1114" s="1">
        <v>2.229978E9</v>
      </c>
      <c r="Q1114" s="1">
        <v>-7166000.0</v>
      </c>
      <c r="R1114" s="1">
        <v>1.144657E9</v>
      </c>
      <c r="S1114" s="1">
        <v>1.144657E9</v>
      </c>
      <c r="W1114" s="4" t="str">
        <f>Raw_Data!C1113&amp;"|"&amp;Raw_Data!D1113&amp;"|"&amp;TEXT(Raw_Data!B1113,"yyyy-mm-dd")</f>
        <v>LabCorp|LH|2020-06-30</v>
      </c>
    </row>
    <row r="1115">
      <c r="A1115" s="1">
        <v>1113.0</v>
      </c>
      <c r="B1115" s="3">
        <v>44283.0</v>
      </c>
      <c r="C1115" s="1" t="s">
        <v>597</v>
      </c>
      <c r="D1115" s="1" t="s">
        <v>598</v>
      </c>
      <c r="E1115" s="1">
        <v>3.8112E8</v>
      </c>
      <c r="F1115" s="1">
        <v>1.159988E9</v>
      </c>
      <c r="G1115" s="1">
        <v>1.071121E9</v>
      </c>
      <c r="H1115" s="1">
        <v>2.03703E8</v>
      </c>
      <c r="I1115" s="1">
        <v>1.780131E9</v>
      </c>
      <c r="J1115" s="1">
        <v>1.195308E9</v>
      </c>
      <c r="K1115" s="1">
        <v>1.195308E9</v>
      </c>
      <c r="L1115" s="1">
        <v>-5.2236E7</v>
      </c>
      <c r="M1115" s="1">
        <v>8.8867E7</v>
      </c>
      <c r="N1115" s="1">
        <v>3.847654E9</v>
      </c>
      <c r="O1115" s="1">
        <v>2.652346E9</v>
      </c>
      <c r="P1115" s="1">
        <v>2.067523E9</v>
      </c>
      <c r="Q1115" s="1">
        <v>-3.532E7</v>
      </c>
      <c r="R1115" s="1">
        <v>1.071121E9</v>
      </c>
      <c r="S1115" s="1">
        <v>1.071121E9</v>
      </c>
      <c r="W1115" s="4" t="str">
        <f>Raw_Data!C1114&amp;"|"&amp;Raw_Data!D1114&amp;"|"&amp;TEXT(Raw_Data!B1114,"yyyy-mm-dd")</f>
        <v>Lam Research|LRCX|2021-06-27</v>
      </c>
    </row>
    <row r="1116">
      <c r="A1116" s="1">
        <v>1114.0</v>
      </c>
      <c r="B1116" s="3">
        <v>44192.0</v>
      </c>
      <c r="C1116" s="1" t="s">
        <v>597</v>
      </c>
      <c r="D1116" s="1" t="s">
        <v>598</v>
      </c>
      <c r="E1116" s="1">
        <v>3.75172E8</v>
      </c>
      <c r="F1116" s="1">
        <v>9.79783E8</v>
      </c>
      <c r="G1116" s="1">
        <v>8.69229E8</v>
      </c>
      <c r="H1116" s="1">
        <v>2.18899E8</v>
      </c>
      <c r="I1116" s="1">
        <v>1.603795E9</v>
      </c>
      <c r="J1116" s="1">
        <v>1.009724E9</v>
      </c>
      <c r="K1116" s="1">
        <v>1.009724E9</v>
      </c>
      <c r="L1116" s="1">
        <v>-5.2551E7</v>
      </c>
      <c r="M1116" s="1">
        <v>1.10554E8</v>
      </c>
      <c r="N1116" s="1">
        <v>3.456237E9</v>
      </c>
      <c r="O1116" s="1">
        <v>2.446513E9</v>
      </c>
      <c r="P1116" s="1">
        <v>1.852442E9</v>
      </c>
      <c r="Q1116" s="1">
        <v>-2.9941E7</v>
      </c>
      <c r="R1116" s="1">
        <v>8.69229E8</v>
      </c>
      <c r="S1116" s="1">
        <v>8.69229E8</v>
      </c>
      <c r="W1116" s="4" t="str">
        <f>Raw_Data!C1115&amp;"|"&amp;Raw_Data!D1115&amp;"|"&amp;TEXT(Raw_Data!B1115,"yyyy-mm-dd")</f>
        <v>Lam Research|LRCX|2021-03-28</v>
      </c>
    </row>
    <row r="1117">
      <c r="A1117" s="1">
        <v>1115.0</v>
      </c>
      <c r="B1117" s="3">
        <v>44101.0</v>
      </c>
      <c r="C1117" s="1" t="s">
        <v>597</v>
      </c>
      <c r="D1117" s="1" t="s">
        <v>598</v>
      </c>
      <c r="E1117" s="1">
        <v>3.55367E8</v>
      </c>
      <c r="F1117" s="1">
        <v>9.22272E8</v>
      </c>
      <c r="G1117" s="1">
        <v>8.23451E8</v>
      </c>
      <c r="H1117" s="1">
        <v>1.89748E8</v>
      </c>
      <c r="I1117" s="1">
        <v>1.506179E9</v>
      </c>
      <c r="J1117" s="1">
        <v>9.61064E8</v>
      </c>
      <c r="K1117" s="1">
        <v>9.61064E8</v>
      </c>
      <c r="L1117" s="1">
        <v>-5.2115E7</v>
      </c>
      <c r="M1117" s="1">
        <v>9.8821E7</v>
      </c>
      <c r="N1117" s="1">
        <v>3.17708E9</v>
      </c>
      <c r="O1117" s="1">
        <v>2.216016E9</v>
      </c>
      <c r="P1117" s="1">
        <v>1.670901E9</v>
      </c>
      <c r="Q1117" s="1">
        <v>-3.8792E7</v>
      </c>
      <c r="R1117" s="1">
        <v>8.23451E8</v>
      </c>
      <c r="S1117" s="1">
        <v>8.23451E8</v>
      </c>
      <c r="W1117" s="4" t="str">
        <f>Raw_Data!C1116&amp;"|"&amp;Raw_Data!D1116&amp;"|"&amp;TEXT(Raw_Data!B1116,"yyyy-mm-dd")</f>
        <v>Lam Research|LRCX|2020-12-27</v>
      </c>
    </row>
    <row r="1118">
      <c r="A1118" s="1">
        <v>1116.0</v>
      </c>
      <c r="B1118" s="3">
        <v>44346.0</v>
      </c>
      <c r="C1118" s="1" t="s">
        <v>599</v>
      </c>
      <c r="D1118" s="1" t="s">
        <v>600</v>
      </c>
      <c r="E1118" s="1">
        <v>1.29E7</v>
      </c>
      <c r="F1118" s="1">
        <v>7.98E7</v>
      </c>
      <c r="G1118" s="1">
        <v>6.55E7</v>
      </c>
      <c r="H1118" s="1">
        <v>8.55E7</v>
      </c>
      <c r="I1118" s="1">
        <v>1.98E8</v>
      </c>
      <c r="J1118" s="1">
        <v>9.96E7</v>
      </c>
      <c r="K1118" s="1">
        <v>9.96E7</v>
      </c>
      <c r="L1118" s="1">
        <v>-2.87E7</v>
      </c>
      <c r="M1118" s="1">
        <v>1.43E7</v>
      </c>
      <c r="N1118" s="1">
        <v>1.0075E9</v>
      </c>
      <c r="O1118" s="1">
        <v>9.079E8</v>
      </c>
      <c r="P1118" s="1">
        <v>8.095E8</v>
      </c>
      <c r="Q1118" s="1">
        <v>-1.98E7</v>
      </c>
      <c r="R1118" s="1">
        <v>6.55E7</v>
      </c>
      <c r="S1118" s="1">
        <v>6.55E7</v>
      </c>
      <c r="W1118" s="4" t="str">
        <f>Raw_Data!C1117&amp;"|"&amp;Raw_Data!D1117&amp;"|"&amp;TEXT(Raw_Data!B1117,"yyyy-mm-dd")</f>
        <v>Lam Research|LRCX|2020-09-27</v>
      </c>
    </row>
    <row r="1119">
      <c r="A1119" s="1">
        <v>1117.0</v>
      </c>
      <c r="B1119" s="3">
        <v>44255.0</v>
      </c>
      <c r="C1119" s="1" t="s">
        <v>599</v>
      </c>
      <c r="D1119" s="1" t="s">
        <v>600</v>
      </c>
      <c r="E1119" s="1">
        <v>1.29E7</v>
      </c>
      <c r="F1119" s="1">
        <v>8.24E7</v>
      </c>
      <c r="G1119" s="1">
        <v>6.61E7</v>
      </c>
      <c r="H1119" s="1">
        <v>9.51E7</v>
      </c>
      <c r="I1119" s="1">
        <v>1.967E8</v>
      </c>
      <c r="J1119" s="1">
        <v>1.016E8</v>
      </c>
      <c r="K1119" s="1">
        <v>1.016E8</v>
      </c>
      <c r="L1119" s="1">
        <v>-2.93E7</v>
      </c>
      <c r="M1119" s="1">
        <v>1.63E7</v>
      </c>
      <c r="N1119" s="1">
        <v>8.958E8</v>
      </c>
      <c r="O1119" s="1">
        <v>7.942E8</v>
      </c>
      <c r="P1119" s="1">
        <v>6.991E8</v>
      </c>
      <c r="Q1119" s="1">
        <v>-1.92E7</v>
      </c>
      <c r="R1119" s="1">
        <v>6.61E7</v>
      </c>
      <c r="S1119" s="1">
        <v>6.61E7</v>
      </c>
      <c r="W1119" s="4" t="str">
        <f>Raw_Data!C1118&amp;"|"&amp;Raw_Data!D1118&amp;"|"&amp;TEXT(Raw_Data!B1118,"yyyy-mm-dd")</f>
        <v>Lamb Weston|LW|2021-05-30</v>
      </c>
    </row>
    <row r="1120">
      <c r="A1120" s="1">
        <v>1118.0</v>
      </c>
      <c r="B1120" s="3">
        <v>44164.0</v>
      </c>
      <c r="C1120" s="1" t="s">
        <v>599</v>
      </c>
      <c r="D1120" s="1" t="s">
        <v>600</v>
      </c>
      <c r="E1120" s="1">
        <v>1.29E7</v>
      </c>
      <c r="F1120" s="1">
        <v>1.288E8</v>
      </c>
      <c r="G1120" s="1">
        <v>9.69E7</v>
      </c>
      <c r="H1120" s="1">
        <v>7.89E7</v>
      </c>
      <c r="I1120" s="1">
        <v>2.235E8</v>
      </c>
      <c r="J1120" s="1">
        <v>1.446E8</v>
      </c>
      <c r="K1120" s="1">
        <v>1.446E8</v>
      </c>
      <c r="L1120" s="1">
        <v>-3.0E7</v>
      </c>
      <c r="M1120" s="1">
        <v>3.19E7</v>
      </c>
      <c r="N1120" s="1">
        <v>8.961E8</v>
      </c>
      <c r="O1120" s="1">
        <v>7.515E8</v>
      </c>
      <c r="P1120" s="1">
        <v>6.726E8</v>
      </c>
      <c r="Q1120" s="1">
        <v>-1.58E7</v>
      </c>
      <c r="R1120" s="1">
        <v>9.69E7</v>
      </c>
      <c r="S1120" s="1">
        <v>9.69E7</v>
      </c>
      <c r="W1120" s="4" t="str">
        <f>Raw_Data!C1119&amp;"|"&amp;Raw_Data!D1119&amp;"|"&amp;TEXT(Raw_Data!B1119,"yyyy-mm-dd")</f>
        <v>Lamb Weston|LW|2021-02-28</v>
      </c>
    </row>
    <row r="1121">
      <c r="A1121" s="1">
        <v>1119.0</v>
      </c>
      <c r="B1121" s="3">
        <v>44073.0</v>
      </c>
      <c r="C1121" s="1" t="s">
        <v>599</v>
      </c>
      <c r="D1121" s="1" t="s">
        <v>600</v>
      </c>
      <c r="E1121" s="1">
        <v>1.29E7</v>
      </c>
      <c r="F1121" s="1">
        <v>1.173E8</v>
      </c>
      <c r="G1121" s="1">
        <v>8.93E7</v>
      </c>
      <c r="H1121" s="1">
        <v>7.41E7</v>
      </c>
      <c r="I1121" s="1">
        <v>2.298E8</v>
      </c>
      <c r="J1121" s="1">
        <v>1.557E8</v>
      </c>
      <c r="K1121" s="1">
        <v>1.557E8</v>
      </c>
      <c r="L1121" s="1">
        <v>-3.03E7</v>
      </c>
      <c r="M1121" s="1">
        <v>2.8E7</v>
      </c>
      <c r="N1121" s="1">
        <v>8.715E8</v>
      </c>
      <c r="O1121" s="1">
        <v>7.158E8</v>
      </c>
      <c r="P1121" s="1">
        <v>6.417E8</v>
      </c>
      <c r="Q1121" s="1">
        <v>-3.84E7</v>
      </c>
      <c r="R1121" s="1">
        <v>8.93E7</v>
      </c>
      <c r="S1121" s="1">
        <v>8.93E7</v>
      </c>
      <c r="W1121" s="4" t="str">
        <f>Raw_Data!C1120&amp;"|"&amp;Raw_Data!D1120&amp;"|"&amp;TEXT(Raw_Data!B1120,"yyyy-mm-dd")</f>
        <v>Lamb Weston|LW|2020-11-29</v>
      </c>
    </row>
    <row r="1122">
      <c r="A1122" s="1">
        <v>1120.0</v>
      </c>
      <c r="B1122" s="3">
        <v>44286.0</v>
      </c>
      <c r="C1122" s="1" t="s">
        <v>601</v>
      </c>
      <c r="D1122" s="1" t="s">
        <v>602</v>
      </c>
      <c r="F1122" s="1">
        <v>-2.66E8</v>
      </c>
      <c r="G1122" s="1">
        <v>-2.78E8</v>
      </c>
      <c r="H1122" s="1">
        <v>2.97E8</v>
      </c>
      <c r="I1122" s="1">
        <v>4.68E8</v>
      </c>
      <c r="J1122" s="1">
        <v>-9.3E7</v>
      </c>
      <c r="K1122" s="1">
        <v>-9.3E7</v>
      </c>
      <c r="L1122" s="1">
        <v>-1.54E8</v>
      </c>
      <c r="M1122" s="1">
        <v>1.4E7</v>
      </c>
      <c r="N1122" s="1">
        <v>1.196E9</v>
      </c>
      <c r="O1122" s="1">
        <v>1.289E9</v>
      </c>
      <c r="P1122" s="1">
        <v>7.28E8</v>
      </c>
      <c r="Q1122" s="1">
        <v>-1.73E8</v>
      </c>
      <c r="R1122" s="1">
        <v>-2.8E8</v>
      </c>
      <c r="S1122" s="1">
        <v>-2.78E8</v>
      </c>
      <c r="W1122" s="4" t="str">
        <f>Raw_Data!C1121&amp;"|"&amp;Raw_Data!D1121&amp;"|"&amp;TEXT(Raw_Data!B1121,"yyyy-mm-dd")</f>
        <v>Lamb Weston|LW|2020-08-30</v>
      </c>
    </row>
    <row r="1123">
      <c r="A1123" s="1">
        <v>1121.0</v>
      </c>
      <c r="B1123" s="3">
        <v>44196.0</v>
      </c>
      <c r="C1123" s="1" t="s">
        <v>601</v>
      </c>
      <c r="D1123" s="1" t="s">
        <v>602</v>
      </c>
      <c r="F1123" s="1">
        <v>-3.68E8</v>
      </c>
      <c r="G1123" s="1">
        <v>-2.99E8</v>
      </c>
      <c r="H1123" s="1">
        <v>2.86E8</v>
      </c>
      <c r="I1123" s="1">
        <v>1.258E9</v>
      </c>
      <c r="J1123" s="1">
        <v>-1.99E8</v>
      </c>
      <c r="K1123" s="1">
        <v>-1.99E8</v>
      </c>
      <c r="L1123" s="1">
        <v>-1.5E8</v>
      </c>
      <c r="M1123" s="1">
        <v>8000000.0</v>
      </c>
      <c r="N1123" s="1">
        <v>1.146E9</v>
      </c>
      <c r="O1123" s="1">
        <v>1.345E9</v>
      </c>
      <c r="P1123" s="1">
        <v>-1.12E8</v>
      </c>
      <c r="Q1123" s="1">
        <v>-1.69E8</v>
      </c>
      <c r="R1123" s="1">
        <v>-3.76E8</v>
      </c>
      <c r="S1123" s="1">
        <v>-2.99E8</v>
      </c>
      <c r="W1123" s="4" t="str">
        <f>Raw_Data!C1122&amp;"|"&amp;Raw_Data!D1122&amp;"|"&amp;TEXT(Raw_Data!B1122,"yyyy-mm-dd")</f>
        <v>Las Vegas Sands|LVS|2021-03-31</v>
      </c>
    </row>
    <row r="1124">
      <c r="A1124" s="1">
        <v>1122.0</v>
      </c>
      <c r="B1124" s="3">
        <v>44104.0</v>
      </c>
      <c r="C1124" s="1" t="s">
        <v>601</v>
      </c>
      <c r="D1124" s="1" t="s">
        <v>602</v>
      </c>
      <c r="F1124" s="1">
        <v>-7.48E8</v>
      </c>
      <c r="G1124" s="1">
        <v>-5.65E8</v>
      </c>
      <c r="H1124" s="1">
        <v>3.13E8</v>
      </c>
      <c r="I1124" s="1">
        <v>8.3E7</v>
      </c>
      <c r="J1124" s="1">
        <v>-5.52E8</v>
      </c>
      <c r="K1124" s="1">
        <v>-5.52E8</v>
      </c>
      <c r="L1124" s="1">
        <v>-1.37E8</v>
      </c>
      <c r="M1124" s="1">
        <v>-1.7E7</v>
      </c>
      <c r="N1124" s="1">
        <v>5.86E8</v>
      </c>
      <c r="O1124" s="1">
        <v>1.138E9</v>
      </c>
      <c r="P1124" s="1">
        <v>5.03E8</v>
      </c>
      <c r="Q1124" s="1">
        <v>-1.96E8</v>
      </c>
      <c r="R1124" s="1">
        <v>-7.31E8</v>
      </c>
      <c r="S1124" s="1">
        <v>-5.65E8</v>
      </c>
      <c r="W1124" s="4" t="str">
        <f>Raw_Data!C1123&amp;"|"&amp;Raw_Data!D1123&amp;"|"&amp;TEXT(Raw_Data!B1123,"yyyy-mm-dd")</f>
        <v>Las Vegas Sands|LVS|2020-12-31</v>
      </c>
    </row>
    <row r="1125">
      <c r="A1125" s="1">
        <v>1123.0</v>
      </c>
      <c r="B1125" s="3">
        <v>44012.0</v>
      </c>
      <c r="C1125" s="1" t="s">
        <v>601</v>
      </c>
      <c r="D1125" s="1" t="s">
        <v>602</v>
      </c>
      <c r="F1125" s="1">
        <v>-1.039E9</v>
      </c>
      <c r="G1125" s="1">
        <v>-8.2E8</v>
      </c>
      <c r="H1125" s="1">
        <v>3.37E8</v>
      </c>
      <c r="I1125" s="1">
        <v>-2.74E8</v>
      </c>
      <c r="J1125" s="1">
        <v>-9.17E8</v>
      </c>
      <c r="K1125" s="1">
        <v>-9.17E8</v>
      </c>
      <c r="L1125" s="1">
        <v>-1.18E8</v>
      </c>
      <c r="M1125" s="1">
        <v>-5.4E7</v>
      </c>
      <c r="N1125" s="1">
        <v>9.8E7</v>
      </c>
      <c r="O1125" s="1">
        <v>1.015E9</v>
      </c>
      <c r="P1125" s="1">
        <v>3.72E8</v>
      </c>
      <c r="Q1125" s="1">
        <v>-1.22E8</v>
      </c>
      <c r="R1125" s="1">
        <v>-9.85E8</v>
      </c>
      <c r="S1125" s="1">
        <v>-8.2E8</v>
      </c>
      <c r="W1125" s="4" t="str">
        <f>Raw_Data!C1124&amp;"|"&amp;Raw_Data!D1124&amp;"|"&amp;TEXT(Raw_Data!B1124,"yyyy-mm-dd")</f>
        <v>Las Vegas Sands|LVS|2020-09-30</v>
      </c>
    </row>
    <row r="1126">
      <c r="A1126" s="1">
        <v>1124.0</v>
      </c>
      <c r="B1126" s="3">
        <v>44286.0</v>
      </c>
      <c r="C1126" s="1" t="s">
        <v>603</v>
      </c>
      <c r="D1126" s="1" t="s">
        <v>604</v>
      </c>
      <c r="F1126" s="1">
        <v>1.093E8</v>
      </c>
      <c r="G1126" s="1">
        <v>8.75E7</v>
      </c>
      <c r="H1126" s="1">
        <v>1.06E8</v>
      </c>
      <c r="I1126" s="1">
        <v>2.475E8</v>
      </c>
      <c r="J1126" s="1">
        <v>1.257E8</v>
      </c>
      <c r="K1126" s="1">
        <v>1.257E8</v>
      </c>
      <c r="L1126" s="1">
        <v>-1.93E7</v>
      </c>
      <c r="M1126" s="1">
        <v>2.18E7</v>
      </c>
      <c r="N1126" s="1">
        <v>1.1509E9</v>
      </c>
      <c r="O1126" s="1">
        <v>1.0252E9</v>
      </c>
      <c r="P1126" s="1">
        <v>9.034E8</v>
      </c>
      <c r="Q1126" s="1">
        <v>-1.64E7</v>
      </c>
      <c r="R1126" s="1">
        <v>8.75E7</v>
      </c>
      <c r="S1126" s="1">
        <v>8.75E7</v>
      </c>
      <c r="W1126" s="4" t="str">
        <f>Raw_Data!C1125&amp;"|"&amp;Raw_Data!D1125&amp;"|"&amp;TEXT(Raw_Data!B1125,"yyyy-mm-dd")</f>
        <v>Las Vegas Sands|LVS|2020-06-30</v>
      </c>
    </row>
    <row r="1127">
      <c r="A1127" s="1">
        <v>1125.0</v>
      </c>
      <c r="B1127" s="3">
        <v>44196.0</v>
      </c>
      <c r="C1127" s="1" t="s">
        <v>603</v>
      </c>
      <c r="D1127" s="1" t="s">
        <v>604</v>
      </c>
      <c r="F1127" s="1">
        <v>1.309E8</v>
      </c>
      <c r="G1127" s="1">
        <v>1.032E8</v>
      </c>
      <c r="H1127" s="1">
        <v>1.032E8</v>
      </c>
      <c r="I1127" s="1">
        <v>2.581E8</v>
      </c>
      <c r="J1127" s="1">
        <v>1.386E8</v>
      </c>
      <c r="K1127" s="1">
        <v>1.386E8</v>
      </c>
      <c r="L1127" s="1">
        <v>-1.95E7</v>
      </c>
      <c r="M1127" s="1">
        <v>2.77E7</v>
      </c>
      <c r="N1127" s="1">
        <v>1.182E9</v>
      </c>
      <c r="O1127" s="1">
        <v>1.0434E9</v>
      </c>
      <c r="P1127" s="1">
        <v>9.239E8</v>
      </c>
      <c r="Q1127" s="1">
        <v>-7700000.0</v>
      </c>
      <c r="R1127" s="1">
        <v>1.032E8</v>
      </c>
      <c r="S1127" s="1">
        <v>1.032E8</v>
      </c>
      <c r="W1127" s="4" t="str">
        <f>Raw_Data!C1126&amp;"|"&amp;Raw_Data!D1126&amp;"|"&amp;TEXT(Raw_Data!B1126,"yyyy-mm-dd")</f>
        <v>Leggett &amp; Platt|LEG|2021-03-31</v>
      </c>
    </row>
    <row r="1128">
      <c r="A1128" s="1">
        <v>1126.0</v>
      </c>
      <c r="B1128" s="3">
        <v>44104.0</v>
      </c>
      <c r="C1128" s="1" t="s">
        <v>603</v>
      </c>
      <c r="D1128" s="1" t="s">
        <v>604</v>
      </c>
      <c r="F1128" s="1">
        <v>1.269E8</v>
      </c>
      <c r="G1128" s="1">
        <v>1.048E8</v>
      </c>
      <c r="H1128" s="1">
        <v>1.053E8</v>
      </c>
      <c r="I1128" s="1">
        <v>2.674E8</v>
      </c>
      <c r="J1128" s="1">
        <v>1.459E8</v>
      </c>
      <c r="K1128" s="1">
        <v>1.459E8</v>
      </c>
      <c r="L1128" s="1">
        <v>-2.09E7</v>
      </c>
      <c r="M1128" s="1">
        <v>2.2E7</v>
      </c>
      <c r="N1128" s="1">
        <v>1.2076E9</v>
      </c>
      <c r="O1128" s="1">
        <v>1.0617E9</v>
      </c>
      <c r="P1128" s="1">
        <v>9.402E8</v>
      </c>
      <c r="Q1128" s="1">
        <v>-1.9E7</v>
      </c>
      <c r="R1128" s="1">
        <v>1.049E8</v>
      </c>
      <c r="S1128" s="1">
        <v>1.048E8</v>
      </c>
      <c r="W1128" s="4" t="str">
        <f>Raw_Data!C1127&amp;"|"&amp;Raw_Data!D1127&amp;"|"&amp;TEXT(Raw_Data!B1127,"yyyy-mm-dd")</f>
        <v>Leggett &amp; Platt|LEG|2020-12-31</v>
      </c>
    </row>
    <row r="1129">
      <c r="A1129" s="1">
        <v>1127.0</v>
      </c>
      <c r="B1129" s="3">
        <v>44012.0</v>
      </c>
      <c r="C1129" s="1" t="s">
        <v>603</v>
      </c>
      <c r="D1129" s="1" t="s">
        <v>604</v>
      </c>
      <c r="F1129" s="1">
        <v>2400000.0</v>
      </c>
      <c r="G1129" s="1">
        <v>-6100000.0</v>
      </c>
      <c r="H1129" s="1">
        <v>9.71E7</v>
      </c>
      <c r="I1129" s="1">
        <v>1.463E8</v>
      </c>
      <c r="J1129" s="1">
        <v>3.29E7</v>
      </c>
      <c r="K1129" s="1">
        <v>3.29E7</v>
      </c>
      <c r="L1129" s="1">
        <v>-2.14E7</v>
      </c>
      <c r="M1129" s="1">
        <v>8500000.0</v>
      </c>
      <c r="N1129" s="1">
        <v>8.451E8</v>
      </c>
      <c r="O1129" s="1">
        <v>8.122E8</v>
      </c>
      <c r="P1129" s="1">
        <v>6.988E8</v>
      </c>
      <c r="Q1129" s="1">
        <v>-3.05E7</v>
      </c>
      <c r="R1129" s="1">
        <v>-6100000.0</v>
      </c>
      <c r="S1129" s="1">
        <v>-6100000.0</v>
      </c>
      <c r="W1129" s="4" t="str">
        <f>Raw_Data!C1128&amp;"|"&amp;Raw_Data!D1128&amp;"|"&amp;TEXT(Raw_Data!B1128,"yyyy-mm-dd")</f>
        <v>Leggett &amp; Platt|LEG|2020-09-30</v>
      </c>
    </row>
    <row r="1130">
      <c r="A1130" s="1">
        <v>1128.0</v>
      </c>
      <c r="B1130" s="3">
        <v>44379.0</v>
      </c>
      <c r="C1130" s="1" t="s">
        <v>605</v>
      </c>
      <c r="D1130" s="1" t="s">
        <v>606</v>
      </c>
      <c r="F1130" s="1">
        <v>2.23E8</v>
      </c>
      <c r="G1130" s="1">
        <v>1.69E8</v>
      </c>
      <c r="H1130" s="1">
        <v>2.24E8</v>
      </c>
      <c r="I1130" s="1">
        <v>4.98E8</v>
      </c>
      <c r="J1130" s="1">
        <v>2.75E8</v>
      </c>
      <c r="K1130" s="1">
        <v>2.75E8</v>
      </c>
      <c r="L1130" s="1">
        <v>-4.6E7</v>
      </c>
      <c r="M1130" s="1">
        <v>5.3E7</v>
      </c>
      <c r="N1130" s="1">
        <v>3.448E9</v>
      </c>
      <c r="O1130" s="1">
        <v>3.173E9</v>
      </c>
      <c r="P1130" s="1">
        <v>2.95E9</v>
      </c>
      <c r="Q1130" s="1">
        <v>-5.2E7</v>
      </c>
      <c r="R1130" s="1">
        <v>1.7E8</v>
      </c>
      <c r="S1130" s="1">
        <v>1.69E8</v>
      </c>
      <c r="W1130" s="4" t="str">
        <f>Raw_Data!C1129&amp;"|"&amp;Raw_Data!D1129&amp;"|"&amp;TEXT(Raw_Data!B1129,"yyyy-mm-dd")</f>
        <v>Leggett &amp; Platt|LEG|2020-06-30</v>
      </c>
    </row>
    <row r="1131">
      <c r="A1131" s="1">
        <v>1129.0</v>
      </c>
      <c r="B1131" s="3">
        <v>44288.0</v>
      </c>
      <c r="C1131" s="1" t="s">
        <v>605</v>
      </c>
      <c r="D1131" s="1" t="s">
        <v>606</v>
      </c>
      <c r="F1131" s="1">
        <v>2.62E8</v>
      </c>
      <c r="G1131" s="1">
        <v>2.05E8</v>
      </c>
      <c r="H1131" s="1">
        <v>1.59E8</v>
      </c>
      <c r="I1131" s="1">
        <v>4.67E8</v>
      </c>
      <c r="J1131" s="1">
        <v>3.08E8</v>
      </c>
      <c r="K1131" s="1">
        <v>3.08E8</v>
      </c>
      <c r="L1131" s="1">
        <v>-4.5E7</v>
      </c>
      <c r="M1131" s="1">
        <v>5.7E7</v>
      </c>
      <c r="N1131" s="1">
        <v>3.315E9</v>
      </c>
      <c r="O1131" s="1">
        <v>3.007E9</v>
      </c>
      <c r="P1131" s="1">
        <v>2.848E9</v>
      </c>
      <c r="Q1131" s="1">
        <v>-4.6E7</v>
      </c>
      <c r="R1131" s="1">
        <v>2.05E8</v>
      </c>
      <c r="S1131" s="1">
        <v>2.05E8</v>
      </c>
      <c r="W1131" s="4" t="str">
        <f>Raw_Data!C1130&amp;"|"&amp;Raw_Data!D1130&amp;"|"&amp;TEXT(Raw_Data!B1130,"yyyy-mm-dd")</f>
        <v>Leidos|LDOS|2021-07-02</v>
      </c>
    </row>
    <row r="1132">
      <c r="A1132" s="1">
        <v>1130.0</v>
      </c>
      <c r="B1132" s="3">
        <v>44197.0</v>
      </c>
      <c r="C1132" s="1" t="s">
        <v>605</v>
      </c>
      <c r="D1132" s="1" t="s">
        <v>606</v>
      </c>
      <c r="F1132" s="1">
        <v>2.45E8</v>
      </c>
      <c r="G1132" s="1">
        <v>1.97E8</v>
      </c>
      <c r="H1132" s="1">
        <v>1.87E8</v>
      </c>
      <c r="I1132" s="1">
        <v>4.91E8</v>
      </c>
      <c r="J1132" s="1">
        <v>3.02E8</v>
      </c>
      <c r="K1132" s="1">
        <v>3.02E8</v>
      </c>
      <c r="L1132" s="1">
        <v>-4.9E7</v>
      </c>
      <c r="M1132" s="1">
        <v>4.8E7</v>
      </c>
      <c r="N1132" s="1">
        <v>3.252E9</v>
      </c>
      <c r="O1132" s="1">
        <v>2.95E9</v>
      </c>
      <c r="P1132" s="1">
        <v>2.761E9</v>
      </c>
      <c r="Q1132" s="1">
        <v>-5.7E7</v>
      </c>
      <c r="R1132" s="1">
        <v>1.97E8</v>
      </c>
      <c r="S1132" s="1">
        <v>1.97E8</v>
      </c>
      <c r="W1132" s="4" t="str">
        <f>Raw_Data!C1131&amp;"|"&amp;Raw_Data!D1131&amp;"|"&amp;TEXT(Raw_Data!B1131,"yyyy-mm-dd")</f>
        <v>Leidos|LDOS|2021-04-02</v>
      </c>
    </row>
    <row r="1133">
      <c r="A1133" s="1">
        <v>1131.0</v>
      </c>
      <c r="B1133" s="3">
        <v>44106.0</v>
      </c>
      <c r="C1133" s="1" t="s">
        <v>605</v>
      </c>
      <c r="D1133" s="1" t="s">
        <v>606</v>
      </c>
      <c r="F1133" s="1">
        <v>2.14E8</v>
      </c>
      <c r="G1133" s="1">
        <v>1.63E8</v>
      </c>
      <c r="H1133" s="1">
        <v>2.0E8</v>
      </c>
      <c r="I1133" s="1">
        <v>4.68E8</v>
      </c>
      <c r="J1133" s="1">
        <v>2.66E8</v>
      </c>
      <c r="K1133" s="1">
        <v>2.66E8</v>
      </c>
      <c r="L1133" s="1">
        <v>-4.4E7</v>
      </c>
      <c r="M1133" s="1">
        <v>5.1E7</v>
      </c>
      <c r="N1133" s="1">
        <v>3.242E9</v>
      </c>
      <c r="O1133" s="1">
        <v>2.976E9</v>
      </c>
      <c r="P1133" s="1">
        <v>2.774E9</v>
      </c>
      <c r="Q1133" s="1">
        <v>-5.2E7</v>
      </c>
      <c r="R1133" s="1">
        <v>1.63E8</v>
      </c>
      <c r="S1133" s="1">
        <v>1.63E8</v>
      </c>
      <c r="W1133" s="4" t="str">
        <f>Raw_Data!C1132&amp;"|"&amp;Raw_Data!D1132&amp;"|"&amp;TEXT(Raw_Data!B1132,"yyyy-mm-dd")</f>
        <v>Leidos|LDOS|2021-01-01</v>
      </c>
    </row>
    <row r="1134">
      <c r="A1134" s="1">
        <v>1132.0</v>
      </c>
      <c r="B1134" s="3">
        <v>44347.0</v>
      </c>
      <c r="C1134" s="1" t="s">
        <v>607</v>
      </c>
      <c r="D1134" s="1" t="s">
        <v>608</v>
      </c>
      <c r="F1134" s="1">
        <v>1.096885E9</v>
      </c>
      <c r="G1134" s="1">
        <v>8.31363E8</v>
      </c>
      <c r="H1134" s="1">
        <v>5.45881E8</v>
      </c>
      <c r="I1134" s="1">
        <v>1.703804E9</v>
      </c>
      <c r="J1134" s="1">
        <v>1.035991E9</v>
      </c>
      <c r="K1134" s="1">
        <v>1.035991E9</v>
      </c>
      <c r="M1134" s="1">
        <v>2.60113E8</v>
      </c>
      <c r="N1134" s="1">
        <v>6.430245E9</v>
      </c>
      <c r="O1134" s="1">
        <v>5.394254E9</v>
      </c>
      <c r="P1134" s="1">
        <v>4.726441E9</v>
      </c>
      <c r="Q1134" s="1">
        <v>6.0894E7</v>
      </c>
      <c r="R1134" s="1">
        <v>8.36772E8</v>
      </c>
      <c r="S1134" s="1">
        <v>8.20279E8</v>
      </c>
      <c r="W1134" s="4" t="str">
        <f>Raw_Data!C1133&amp;"|"&amp;Raw_Data!D1133&amp;"|"&amp;TEXT(Raw_Data!B1133,"yyyy-mm-dd")</f>
        <v>Leidos|LDOS|2020-10-02</v>
      </c>
    </row>
    <row r="1135">
      <c r="A1135" s="1">
        <v>1133.0</v>
      </c>
      <c r="B1135" s="3">
        <v>44255.0</v>
      </c>
      <c r="C1135" s="1" t="s">
        <v>607</v>
      </c>
      <c r="D1135" s="1" t="s">
        <v>608</v>
      </c>
      <c r="F1135" s="1">
        <v>1.327014E9</v>
      </c>
      <c r="G1135" s="1">
        <v>1.001369E9</v>
      </c>
      <c r="H1135" s="1">
        <v>5.20767E8</v>
      </c>
      <c r="I1135" s="1">
        <v>1.384255E9</v>
      </c>
      <c r="J1135" s="1">
        <v>8.76463E8</v>
      </c>
      <c r="K1135" s="1">
        <v>8.76463E8</v>
      </c>
      <c r="M1135" s="1">
        <v>3.10105E8</v>
      </c>
      <c r="N1135" s="1">
        <v>5.325468E9</v>
      </c>
      <c r="O1135" s="1">
        <v>4.449005E9</v>
      </c>
      <c r="P1135" s="1">
        <v>3.941213E9</v>
      </c>
      <c r="Q1135" s="1">
        <v>4.50551E8</v>
      </c>
      <c r="R1135" s="1">
        <v>1.016909E9</v>
      </c>
      <c r="S1135" s="1">
        <v>9.89115E8</v>
      </c>
      <c r="W1135" s="4" t="str">
        <f>Raw_Data!C1134&amp;"|"&amp;Raw_Data!D1134&amp;"|"&amp;TEXT(Raw_Data!B1134,"yyyy-mm-dd")</f>
        <v>Lennar|LEN|2021-05-31</v>
      </c>
    </row>
    <row r="1136">
      <c r="A1136" s="1">
        <v>1134.0</v>
      </c>
      <c r="B1136" s="3">
        <v>44165.0</v>
      </c>
      <c r="C1136" s="1" t="s">
        <v>607</v>
      </c>
      <c r="D1136" s="1" t="s">
        <v>608</v>
      </c>
      <c r="F1136" s="1">
        <v>1.164646E9</v>
      </c>
      <c r="G1136" s="1">
        <v>8.8276E8</v>
      </c>
      <c r="H1136" s="1">
        <v>5.70522E8</v>
      </c>
      <c r="I1136" s="1">
        <v>1.717361E9</v>
      </c>
      <c r="J1136" s="1">
        <v>1.156899E9</v>
      </c>
      <c r="K1136" s="1">
        <v>1.156899E9</v>
      </c>
      <c r="L1136" s="1">
        <v>-2.2401E7</v>
      </c>
      <c r="M1136" s="1">
        <v>2.73737E8</v>
      </c>
      <c r="N1136" s="1">
        <v>6.82589E9</v>
      </c>
      <c r="O1136" s="1">
        <v>5.668991E9</v>
      </c>
      <c r="P1136" s="1">
        <v>5.108529E9</v>
      </c>
      <c r="Q1136" s="1">
        <v>7747000.0</v>
      </c>
      <c r="R1136" s="1">
        <v>8.90909E8</v>
      </c>
      <c r="S1136" s="1">
        <v>8.72818E8</v>
      </c>
      <c r="W1136" s="4" t="str">
        <f>Raw_Data!C1135&amp;"|"&amp;Raw_Data!D1135&amp;"|"&amp;TEXT(Raw_Data!B1135,"yyyy-mm-dd")</f>
        <v>Lennar|LEN|2021-02-28</v>
      </c>
    </row>
    <row r="1137">
      <c r="A1137" s="1">
        <v>1135.0</v>
      </c>
      <c r="B1137" s="3">
        <v>44074.0</v>
      </c>
      <c r="C1137" s="1" t="s">
        <v>607</v>
      </c>
      <c r="D1137" s="1" t="s">
        <v>608</v>
      </c>
      <c r="F1137" s="1">
        <v>8.59013E8</v>
      </c>
      <c r="G1137" s="1">
        <v>6.66418E8</v>
      </c>
      <c r="H1137" s="1">
        <v>5.2861E8</v>
      </c>
      <c r="I1137" s="1">
        <v>1.410208E9</v>
      </c>
      <c r="J1137" s="1">
        <v>8.69165E8</v>
      </c>
      <c r="K1137" s="1">
        <v>8.69165E8</v>
      </c>
      <c r="L1137" s="1">
        <v>-2.2401E7</v>
      </c>
      <c r="M1137" s="1">
        <v>1.8969E8</v>
      </c>
      <c r="N1137" s="1">
        <v>5.870254E9</v>
      </c>
      <c r="O1137" s="1">
        <v>5.001089E9</v>
      </c>
      <c r="P1137" s="1">
        <v>4.460046E9</v>
      </c>
      <c r="Q1137" s="1">
        <v>-1.0152E7</v>
      </c>
      <c r="R1137" s="1">
        <v>6.69323E8</v>
      </c>
      <c r="S1137" s="1">
        <v>6.5862E8</v>
      </c>
      <c r="W1137" s="4" t="str">
        <f>Raw_Data!C1136&amp;"|"&amp;Raw_Data!D1136&amp;"|"&amp;TEXT(Raw_Data!B1136,"yyyy-mm-dd")</f>
        <v>Lennar|LEN|2020-11-30</v>
      </c>
    </row>
    <row r="1138">
      <c r="A1138" s="1">
        <v>1136.0</v>
      </c>
      <c r="B1138" s="3">
        <v>44377.0</v>
      </c>
      <c r="C1138" s="1" t="s">
        <v>609</v>
      </c>
      <c r="D1138" s="1" t="s">
        <v>610</v>
      </c>
      <c r="F1138" s="1">
        <v>7.72E8</v>
      </c>
      <c r="G1138" s="1">
        <v>6.42E8</v>
      </c>
      <c r="I1138" s="1">
        <v>8.58E8</v>
      </c>
      <c r="J1138" s="1">
        <v>8.58E8</v>
      </c>
      <c r="K1138" s="1">
        <v>8.58E8</v>
      </c>
      <c r="L1138" s="1">
        <v>-6.5E7</v>
      </c>
      <c r="M1138" s="1">
        <v>1.3E8</v>
      </c>
      <c r="N1138" s="1">
        <v>4.851E9</v>
      </c>
      <c r="O1138" s="1">
        <v>3.993E9</v>
      </c>
      <c r="P1138" s="1">
        <v>3.993E9</v>
      </c>
      <c r="Q1138" s="1">
        <v>-8.6E7</v>
      </c>
      <c r="R1138" s="1">
        <v>6.42E8</v>
      </c>
      <c r="S1138" s="1">
        <v>6.42E8</v>
      </c>
      <c r="W1138" s="4" t="str">
        <f>Raw_Data!C1137&amp;"|"&amp;Raw_Data!D1137&amp;"|"&amp;TEXT(Raw_Data!B1137,"yyyy-mm-dd")</f>
        <v>Lennar|LEN|2020-08-31</v>
      </c>
    </row>
    <row r="1139">
      <c r="A1139" s="1">
        <v>1137.0</v>
      </c>
      <c r="B1139" s="3">
        <v>44286.0</v>
      </c>
      <c r="C1139" s="1" t="s">
        <v>609</v>
      </c>
      <c r="D1139" s="1" t="s">
        <v>610</v>
      </c>
      <c r="F1139" s="1">
        <v>2.62E8</v>
      </c>
      <c r="G1139" s="1">
        <v>2.25E8</v>
      </c>
      <c r="I1139" s="1">
        <v>3.4E8</v>
      </c>
      <c r="J1139" s="1">
        <v>3.4E8</v>
      </c>
      <c r="K1139" s="1">
        <v>3.4E8</v>
      </c>
      <c r="L1139" s="1">
        <v>-6.5E7</v>
      </c>
      <c r="M1139" s="1">
        <v>3.7E7</v>
      </c>
      <c r="N1139" s="1">
        <v>4.534E9</v>
      </c>
      <c r="O1139" s="1">
        <v>4.194E9</v>
      </c>
      <c r="P1139" s="1">
        <v>4.194E9</v>
      </c>
      <c r="Q1139" s="1">
        <v>-7.8E7</v>
      </c>
      <c r="R1139" s="1">
        <v>2.25E8</v>
      </c>
      <c r="S1139" s="1">
        <v>2.25E8</v>
      </c>
      <c r="W1139" s="4" t="str">
        <f>Raw_Data!C1138&amp;"|"&amp;Raw_Data!D1138&amp;"|"&amp;TEXT(Raw_Data!B1138,"yyyy-mm-dd")</f>
        <v>Lincoln National|LNC|2021-06-30</v>
      </c>
    </row>
    <row r="1140">
      <c r="A1140" s="1">
        <v>1138.0</v>
      </c>
      <c r="B1140" s="3">
        <v>44196.0</v>
      </c>
      <c r="C1140" s="1" t="s">
        <v>609</v>
      </c>
      <c r="D1140" s="1" t="s">
        <v>610</v>
      </c>
      <c r="F1140" s="1">
        <v>8.9E7</v>
      </c>
      <c r="G1140" s="1">
        <v>1.43E8</v>
      </c>
      <c r="H1140" s="1">
        <v>2.565E9</v>
      </c>
      <c r="I1140" s="1">
        <v>3.215E9</v>
      </c>
      <c r="J1140" s="1">
        <v>1.98E8</v>
      </c>
      <c r="K1140" s="1">
        <v>1.98E8</v>
      </c>
      <c r="L1140" s="1">
        <v>-6.6E7</v>
      </c>
      <c r="M1140" s="1">
        <v>-5.4E7</v>
      </c>
      <c r="N1140" s="1">
        <v>4.136E9</v>
      </c>
      <c r="O1140" s="1">
        <v>3.938E9</v>
      </c>
      <c r="P1140" s="1">
        <v>9.21E8</v>
      </c>
      <c r="Q1140" s="1">
        <v>-1.09E8</v>
      </c>
      <c r="R1140" s="1">
        <v>1.43E8</v>
      </c>
      <c r="S1140" s="1">
        <v>1.43E8</v>
      </c>
      <c r="W1140" s="4" t="str">
        <f>Raw_Data!C1139&amp;"|"&amp;Raw_Data!D1139&amp;"|"&amp;TEXT(Raw_Data!B1139,"yyyy-mm-dd")</f>
        <v>Lincoln National|LNC|2021-03-31</v>
      </c>
    </row>
    <row r="1141">
      <c r="A1141" s="1">
        <v>1139.0</v>
      </c>
      <c r="B1141" s="3">
        <v>44104.0</v>
      </c>
      <c r="C1141" s="1" t="s">
        <v>609</v>
      </c>
      <c r="D1141" s="1" t="s">
        <v>610</v>
      </c>
      <c r="F1141" s="1">
        <v>4.6E8</v>
      </c>
      <c r="G1141" s="1">
        <v>3.98E8</v>
      </c>
      <c r="H1141" s="1">
        <v>2.565E9</v>
      </c>
      <c r="I1141" s="1">
        <v>5.46E8</v>
      </c>
      <c r="J1141" s="1">
        <v>5.46E8</v>
      </c>
      <c r="K1141" s="1">
        <v>5.46E8</v>
      </c>
      <c r="L1141" s="1">
        <v>-6.6E7</v>
      </c>
      <c r="M1141" s="1">
        <v>6.2E7</v>
      </c>
      <c r="N1141" s="1">
        <v>5.361E9</v>
      </c>
      <c r="O1141" s="1">
        <v>4.815E9</v>
      </c>
      <c r="P1141" s="1">
        <v>4.815E9</v>
      </c>
      <c r="Q1141" s="1">
        <v>-8.6E7</v>
      </c>
      <c r="R1141" s="1">
        <v>3.98E8</v>
      </c>
      <c r="S1141" s="1">
        <v>3.98E8</v>
      </c>
      <c r="W1141" s="4" t="str">
        <f>Raw_Data!C1140&amp;"|"&amp;Raw_Data!D1140&amp;"|"&amp;TEXT(Raw_Data!B1140,"yyyy-mm-dd")</f>
        <v>Lincoln National|LNC|2020-12-31</v>
      </c>
    </row>
    <row r="1142">
      <c r="A1142" s="1">
        <v>1140.0</v>
      </c>
      <c r="B1142" s="3">
        <v>44377.0</v>
      </c>
      <c r="C1142" s="1" t="s">
        <v>611</v>
      </c>
      <c r="D1142" s="1" t="s">
        <v>612</v>
      </c>
      <c r="E1142" s="1">
        <v>3.4E7</v>
      </c>
      <c r="F1142" s="1">
        <v>1.21E9</v>
      </c>
      <c r="G1142" s="1">
        <v>8.41E8</v>
      </c>
      <c r="H1142" s="1">
        <v>7.73E8</v>
      </c>
      <c r="I1142" s="1">
        <v>3.39E9</v>
      </c>
      <c r="J1142" s="1">
        <v>1.392E9</v>
      </c>
      <c r="K1142" s="1">
        <v>1.392E9</v>
      </c>
      <c r="L1142" s="1">
        <v>-1.8E7</v>
      </c>
      <c r="M1142" s="1">
        <v>3.34E8</v>
      </c>
      <c r="N1142" s="1">
        <v>7.584E9</v>
      </c>
      <c r="O1142" s="1">
        <v>6.192E9</v>
      </c>
      <c r="P1142" s="1">
        <v>4.194E9</v>
      </c>
      <c r="Q1142" s="1">
        <v>-1.82E8</v>
      </c>
      <c r="R1142" s="1">
        <v>8.76E8</v>
      </c>
      <c r="S1142" s="1">
        <v>8.41E8</v>
      </c>
      <c r="W1142" s="4" t="str">
        <f>Raw_Data!C1141&amp;"|"&amp;Raw_Data!D1141&amp;"|"&amp;TEXT(Raw_Data!B1141,"yyyy-mm-dd")</f>
        <v>Lincoln National|LNC|2020-09-30</v>
      </c>
    </row>
    <row r="1143">
      <c r="A1143" s="1">
        <v>1141.0</v>
      </c>
      <c r="B1143" s="3">
        <v>44286.0</v>
      </c>
      <c r="C1143" s="1" t="s">
        <v>611</v>
      </c>
      <c r="D1143" s="1" t="s">
        <v>612</v>
      </c>
      <c r="E1143" s="1">
        <v>3.5E7</v>
      </c>
      <c r="F1143" s="1">
        <v>1.285E9</v>
      </c>
      <c r="G1143" s="1">
        <v>9.8E8</v>
      </c>
      <c r="H1143" s="1">
        <v>7.38E8</v>
      </c>
      <c r="I1143" s="1">
        <v>3.189E9</v>
      </c>
      <c r="J1143" s="1">
        <v>1.25E9</v>
      </c>
      <c r="K1143" s="1">
        <v>1.25E9</v>
      </c>
      <c r="L1143" s="1">
        <v>-1.8E7</v>
      </c>
      <c r="M1143" s="1">
        <v>2.68E8</v>
      </c>
      <c r="N1143" s="1">
        <v>7.243E9</v>
      </c>
      <c r="O1143" s="1">
        <v>5.993E9</v>
      </c>
      <c r="P1143" s="1">
        <v>4.054E9</v>
      </c>
      <c r="Q1143" s="1">
        <v>3.5E7</v>
      </c>
      <c r="R1143" s="1">
        <v>1.017E9</v>
      </c>
      <c r="S1143" s="1">
        <v>9.8E8</v>
      </c>
      <c r="W1143" s="4" t="str">
        <f>Raw_Data!C1142&amp;"|"&amp;Raw_Data!D1142&amp;"|"&amp;TEXT(Raw_Data!B1142,"yyyy-mm-dd")</f>
        <v>Linde|LIN|2021-06-30</v>
      </c>
    </row>
    <row r="1144">
      <c r="A1144" s="1">
        <v>1142.0</v>
      </c>
      <c r="B1144" s="3">
        <v>44196.0</v>
      </c>
      <c r="C1144" s="1" t="s">
        <v>611</v>
      </c>
      <c r="D1144" s="1" t="s">
        <v>612</v>
      </c>
      <c r="E1144" s="1">
        <v>3.8E7</v>
      </c>
      <c r="F1144" s="1">
        <v>1.056E9</v>
      </c>
      <c r="G1144" s="1">
        <v>7.7E8</v>
      </c>
      <c r="H1144" s="1">
        <v>7.56E8</v>
      </c>
      <c r="I1144" s="1">
        <v>3.186E9</v>
      </c>
      <c r="J1144" s="1">
        <v>1.206E9</v>
      </c>
      <c r="K1144" s="1">
        <v>1.206E9</v>
      </c>
      <c r="L1144" s="1">
        <v>-1.56E8</v>
      </c>
      <c r="M1144" s="1">
        <v>2.53E8</v>
      </c>
      <c r="N1144" s="1">
        <v>7.272E9</v>
      </c>
      <c r="O1144" s="1">
        <v>6.066E9</v>
      </c>
      <c r="P1144" s="1">
        <v>4.086E9</v>
      </c>
      <c r="Q1144" s="1">
        <v>-1.5E8</v>
      </c>
      <c r="R1144" s="1">
        <v>8.03E8</v>
      </c>
      <c r="S1144" s="1">
        <v>7.7E8</v>
      </c>
      <c r="W1144" s="4" t="str">
        <f>Raw_Data!C1143&amp;"|"&amp;Raw_Data!D1143&amp;"|"&amp;TEXT(Raw_Data!B1143,"yyyy-mm-dd")</f>
        <v>Linde|LIN|2021-03-31</v>
      </c>
    </row>
    <row r="1145">
      <c r="A1145" s="1">
        <v>1143.0</v>
      </c>
      <c r="B1145" s="3">
        <v>44104.0</v>
      </c>
      <c r="C1145" s="1" t="s">
        <v>611</v>
      </c>
      <c r="D1145" s="1" t="s">
        <v>612</v>
      </c>
      <c r="E1145" s="1">
        <v>3.6E7</v>
      </c>
      <c r="F1145" s="1">
        <v>9.95E8</v>
      </c>
      <c r="G1145" s="1">
        <v>7.0E8</v>
      </c>
      <c r="H1145" s="1">
        <v>7.29E8</v>
      </c>
      <c r="I1145" s="1">
        <v>3.02E9</v>
      </c>
      <c r="J1145" s="1">
        <v>1.055E9</v>
      </c>
      <c r="K1145" s="1">
        <v>1.055E9</v>
      </c>
      <c r="L1145" s="1">
        <v>-3.8E7</v>
      </c>
      <c r="M1145" s="1">
        <v>2.65E8</v>
      </c>
      <c r="N1145" s="1">
        <v>6.855E9</v>
      </c>
      <c r="O1145" s="1">
        <v>5.8E9</v>
      </c>
      <c r="P1145" s="1">
        <v>3.835E9</v>
      </c>
      <c r="Q1145" s="1">
        <v>-6.0E7</v>
      </c>
      <c r="R1145" s="1">
        <v>7.3E8</v>
      </c>
      <c r="S1145" s="1">
        <v>7.0E8</v>
      </c>
      <c r="W1145" s="4" t="str">
        <f>Raw_Data!C1144&amp;"|"&amp;Raw_Data!D1144&amp;"|"&amp;TEXT(Raw_Data!B1144,"yyyy-mm-dd")</f>
        <v>Linde|LIN|2020-12-31</v>
      </c>
    </row>
    <row r="1146">
      <c r="A1146" s="1">
        <v>1144.0</v>
      </c>
      <c r="B1146" s="3">
        <v>44377.0</v>
      </c>
      <c r="C1146" s="1" t="s">
        <v>613</v>
      </c>
      <c r="D1146" s="1" t="s">
        <v>614</v>
      </c>
      <c r="F1146" s="1">
        <v>-2.08175E8</v>
      </c>
      <c r="G1146" s="1">
        <v>-1.95665E8</v>
      </c>
      <c r="H1146" s="1">
        <v>3.56492E8</v>
      </c>
      <c r="I1146" s="1">
        <v>3.32826E8</v>
      </c>
      <c r="J1146" s="1">
        <v>-1.27313E8</v>
      </c>
      <c r="K1146" s="1">
        <v>-1.27313E8</v>
      </c>
      <c r="L1146" s="1">
        <v>-6.8909E7</v>
      </c>
      <c r="M1146" s="1">
        <v>2285000.0</v>
      </c>
      <c r="N1146" s="1">
        <v>5.75946E8</v>
      </c>
      <c r="O1146" s="1">
        <v>7.03259E8</v>
      </c>
      <c r="P1146" s="1">
        <v>2.4312E8</v>
      </c>
      <c r="Q1146" s="1">
        <v>-8.0862E7</v>
      </c>
      <c r="R1146" s="1">
        <v>-2.1046E8</v>
      </c>
      <c r="S1146" s="1">
        <v>-1.94714E8</v>
      </c>
      <c r="W1146" s="4" t="str">
        <f>Raw_Data!C1145&amp;"|"&amp;Raw_Data!D1145&amp;"|"&amp;TEXT(Raw_Data!B1145,"yyyy-mm-dd")</f>
        <v>Linde|LIN|2020-09-30</v>
      </c>
    </row>
    <row r="1147">
      <c r="A1147" s="1">
        <v>1145.0</v>
      </c>
      <c r="B1147" s="3">
        <v>44286.0</v>
      </c>
      <c r="C1147" s="1" t="s">
        <v>613</v>
      </c>
      <c r="D1147" s="1" t="s">
        <v>614</v>
      </c>
      <c r="F1147" s="1">
        <v>-3.16333E8</v>
      </c>
      <c r="G1147" s="1">
        <v>-3.07193E8</v>
      </c>
      <c r="H1147" s="1">
        <v>3.50801E8</v>
      </c>
      <c r="I1147" s="1">
        <v>1.56643E8</v>
      </c>
      <c r="J1147" s="1">
        <v>-3.03034E8</v>
      </c>
      <c r="K1147" s="1">
        <v>-3.03034E8</v>
      </c>
      <c r="L1147" s="1">
        <v>-7.083E7</v>
      </c>
      <c r="M1147" s="1">
        <v>6389000.0</v>
      </c>
      <c r="N1147" s="1">
        <v>2.90609E8</v>
      </c>
      <c r="O1147" s="1">
        <v>5.93643E8</v>
      </c>
      <c r="P1147" s="1">
        <v>1.33966E8</v>
      </c>
      <c r="Q1147" s="1">
        <v>-1.3299E7</v>
      </c>
      <c r="R1147" s="1">
        <v>-3.22722E8</v>
      </c>
      <c r="S1147" s="1">
        <v>-3.08109E8</v>
      </c>
      <c r="W1147" s="4" t="str">
        <f>Raw_Data!C1146&amp;"|"&amp;Raw_Data!D1146&amp;"|"&amp;TEXT(Raw_Data!B1146,"yyyy-mm-dd")</f>
        <v>Live Nation Entertainment|LYV|2021-06-30</v>
      </c>
    </row>
    <row r="1148">
      <c r="A1148" s="1">
        <v>1146.0</v>
      </c>
      <c r="B1148" s="3">
        <v>44196.0</v>
      </c>
      <c r="C1148" s="1" t="s">
        <v>613</v>
      </c>
      <c r="D1148" s="1" t="s">
        <v>614</v>
      </c>
      <c r="F1148" s="1">
        <v>-4.43284E8</v>
      </c>
      <c r="G1148" s="1">
        <v>-4.43332E8</v>
      </c>
      <c r="H1148" s="1">
        <v>3.26725E8</v>
      </c>
      <c r="I1148" s="1">
        <v>3.4109E7</v>
      </c>
      <c r="J1148" s="1">
        <v>-4.0449E8</v>
      </c>
      <c r="K1148" s="1">
        <v>-4.0449E8</v>
      </c>
      <c r="L1148" s="1">
        <v>-6.4051E7</v>
      </c>
      <c r="M1148" s="1">
        <v>2.0542E7</v>
      </c>
      <c r="N1148" s="1">
        <v>2.37383E8</v>
      </c>
      <c r="O1148" s="1">
        <v>6.41873E8</v>
      </c>
      <c r="P1148" s="1">
        <v>2.03274E8</v>
      </c>
      <c r="Q1148" s="1">
        <v>-3.8794E7</v>
      </c>
      <c r="R1148" s="1">
        <v>-4.63826E8</v>
      </c>
      <c r="S1148" s="1">
        <v>-4.36197E8</v>
      </c>
      <c r="W1148" s="4" t="str">
        <f>Raw_Data!C1147&amp;"|"&amp;Raw_Data!D1147&amp;"|"&amp;TEXT(Raw_Data!B1147,"yyyy-mm-dd")</f>
        <v>Live Nation Entertainment|LYV|2021-03-31</v>
      </c>
    </row>
    <row r="1149">
      <c r="A1149" s="1">
        <v>1147.0</v>
      </c>
      <c r="B1149" s="3">
        <v>44104.0</v>
      </c>
      <c r="C1149" s="1" t="s">
        <v>613</v>
      </c>
      <c r="D1149" s="1" t="s">
        <v>614</v>
      </c>
      <c r="F1149" s="1">
        <v>-5.59362E8</v>
      </c>
      <c r="G1149" s="1">
        <v>-5.28902E8</v>
      </c>
      <c r="H1149" s="1">
        <v>4.37564E8</v>
      </c>
      <c r="I1149" s="1">
        <v>5.3269E7</v>
      </c>
      <c r="J1149" s="1">
        <v>-5.04233E8</v>
      </c>
      <c r="K1149" s="1">
        <v>-5.04233E8</v>
      </c>
      <c r="L1149" s="1">
        <v>-6.6093E7</v>
      </c>
      <c r="M1149" s="1">
        <v>-1.6904E7</v>
      </c>
      <c r="N1149" s="1">
        <v>1.84018E8</v>
      </c>
      <c r="O1149" s="1">
        <v>6.88251E8</v>
      </c>
      <c r="P1149" s="1">
        <v>1.30749E8</v>
      </c>
      <c r="Q1149" s="1">
        <v>-5.5129E7</v>
      </c>
      <c r="R1149" s="1">
        <v>-5.42458E8</v>
      </c>
      <c r="S1149" s="1">
        <v>-5.21912E8</v>
      </c>
      <c r="W1149" s="4" t="str">
        <f>Raw_Data!C1148&amp;"|"&amp;Raw_Data!D1148&amp;"|"&amp;TEXT(Raw_Data!B1148,"yyyy-mm-dd")</f>
        <v>Live Nation Entertainment|LYV|2020-12-31</v>
      </c>
    </row>
    <row r="1150">
      <c r="A1150" s="1">
        <v>1148.0</v>
      </c>
      <c r="B1150" s="3">
        <v>44286.0</v>
      </c>
      <c r="C1150" s="1" t="s">
        <v>615</v>
      </c>
      <c r="D1150" s="1" t="s">
        <v>616</v>
      </c>
      <c r="F1150" s="1">
        <v>3.59301E8</v>
      </c>
      <c r="G1150" s="1">
        <v>2.65913E8</v>
      </c>
      <c r="H1150" s="1">
        <v>8.57921E8</v>
      </c>
      <c r="I1150" s="1">
        <v>1.293551E9</v>
      </c>
      <c r="J1150" s="1">
        <v>3.69829E8</v>
      </c>
      <c r="K1150" s="1">
        <v>3.69829E8</v>
      </c>
      <c r="L1150" s="1">
        <v>-2.4718E7</v>
      </c>
      <c r="M1150" s="1">
        <v>9.2969E7</v>
      </c>
      <c r="N1150" s="1">
        <v>3.170786E9</v>
      </c>
      <c r="O1150" s="1">
        <v>2.800957E9</v>
      </c>
      <c r="P1150" s="1">
        <v>1.877235E9</v>
      </c>
      <c r="Q1150" s="1">
        <v>-1.0528E7</v>
      </c>
      <c r="R1150" s="1">
        <v>2.66332E8</v>
      </c>
      <c r="S1150" s="1">
        <v>2.65913E8</v>
      </c>
      <c r="W1150" s="4" t="str">
        <f>Raw_Data!C1149&amp;"|"&amp;Raw_Data!D1149&amp;"|"&amp;TEXT(Raw_Data!B1149,"yyyy-mm-dd")</f>
        <v>Live Nation Entertainment|LYV|2020-09-30</v>
      </c>
    </row>
    <row r="1151">
      <c r="A1151" s="1">
        <v>1149.0</v>
      </c>
      <c r="B1151" s="3">
        <v>44196.0</v>
      </c>
      <c r="C1151" s="1" t="s">
        <v>615</v>
      </c>
      <c r="D1151" s="1" t="s">
        <v>616</v>
      </c>
      <c r="F1151" s="1">
        <v>2.49899E8</v>
      </c>
      <c r="G1151" s="1">
        <v>1.81012E8</v>
      </c>
      <c r="H1151" s="1">
        <v>8.15386E8</v>
      </c>
      <c r="I1151" s="1">
        <v>1.170496E9</v>
      </c>
      <c r="J1151" s="1">
        <v>2.82715E8</v>
      </c>
      <c r="K1151" s="1">
        <v>2.82715E8</v>
      </c>
      <c r="L1151" s="1">
        <v>-1.9012E7</v>
      </c>
      <c r="M1151" s="1">
        <v>6.8708E7</v>
      </c>
      <c r="N1151" s="1">
        <v>2.953888E9</v>
      </c>
      <c r="O1151" s="1">
        <v>2.671173E9</v>
      </c>
      <c r="P1151" s="1">
        <v>1.783392E9</v>
      </c>
      <c r="Q1151" s="1">
        <v>-3.2816E7</v>
      </c>
      <c r="R1151" s="1">
        <v>1.81191E8</v>
      </c>
      <c r="S1151" s="1">
        <v>1.81012E8</v>
      </c>
      <c r="W1151" s="4" t="str">
        <f>Raw_Data!C1150&amp;"|"&amp;Raw_Data!D1150&amp;"|"&amp;TEXT(Raw_Data!B1150,"yyyy-mm-dd")</f>
        <v>LKQ Corporation|LKQ|2021-03-31</v>
      </c>
    </row>
    <row r="1152">
      <c r="A1152" s="1">
        <v>1150.0</v>
      </c>
      <c r="B1152" s="3">
        <v>44104.0</v>
      </c>
      <c r="C1152" s="1" t="s">
        <v>615</v>
      </c>
      <c r="D1152" s="1" t="s">
        <v>616</v>
      </c>
      <c r="F1152" s="1">
        <v>2.72441E8</v>
      </c>
      <c r="G1152" s="1">
        <v>1.93483E8</v>
      </c>
      <c r="H1152" s="1">
        <v>8.17958E8</v>
      </c>
      <c r="I1152" s="1">
        <v>1.199375E9</v>
      </c>
      <c r="J1152" s="1">
        <v>3.12762E8</v>
      </c>
      <c r="K1152" s="1">
        <v>3.12762E8</v>
      </c>
      <c r="L1152" s="1">
        <v>-2.7878E7</v>
      </c>
      <c r="M1152" s="1">
        <v>7.851E7</v>
      </c>
      <c r="N1152" s="1">
        <v>3.047684E9</v>
      </c>
      <c r="O1152" s="1">
        <v>2.734922E9</v>
      </c>
      <c r="P1152" s="1">
        <v>1.848309E9</v>
      </c>
      <c r="Q1152" s="1">
        <v>-4.0321E7</v>
      </c>
      <c r="R1152" s="1">
        <v>1.93931E8</v>
      </c>
      <c r="S1152" s="1">
        <v>1.93483E8</v>
      </c>
      <c r="W1152" s="4" t="str">
        <f>Raw_Data!C1151&amp;"|"&amp;Raw_Data!D1151&amp;"|"&amp;TEXT(Raw_Data!B1151,"yyyy-mm-dd")</f>
        <v>LKQ Corporation|LKQ|2020-12-31</v>
      </c>
    </row>
    <row r="1153">
      <c r="A1153" s="1">
        <v>1151.0</v>
      </c>
      <c r="B1153" s="3">
        <v>44012.0</v>
      </c>
      <c r="C1153" s="1" t="s">
        <v>615</v>
      </c>
      <c r="D1153" s="1" t="s">
        <v>616</v>
      </c>
      <c r="F1153" s="1">
        <v>1.60362E8</v>
      </c>
      <c r="G1153" s="1">
        <v>1.18792E8</v>
      </c>
      <c r="H1153" s="1">
        <v>7.40093E8</v>
      </c>
      <c r="I1153" s="1">
        <v>1.016669E9</v>
      </c>
      <c r="J1153" s="1">
        <v>2.10829E8</v>
      </c>
      <c r="K1153" s="1">
        <v>2.10829E8</v>
      </c>
      <c r="L1153" s="1">
        <v>-2.8412E7</v>
      </c>
      <c r="M1153" s="1">
        <v>4.1869E7</v>
      </c>
      <c r="N1153" s="1">
        <v>2.626323E9</v>
      </c>
      <c r="O1153" s="1">
        <v>2.415494E9</v>
      </c>
      <c r="P1153" s="1">
        <v>1.609654E9</v>
      </c>
      <c r="Q1153" s="1">
        <v>-5.0467E7</v>
      </c>
      <c r="R1153" s="1">
        <v>1.18493E8</v>
      </c>
      <c r="S1153" s="1">
        <v>1.18792E8</v>
      </c>
      <c r="W1153" s="4" t="str">
        <f>Raw_Data!C1152&amp;"|"&amp;Raw_Data!D1152&amp;"|"&amp;TEXT(Raw_Data!B1152,"yyyy-mm-dd")</f>
        <v>LKQ Corporation|LKQ|2020-09-30</v>
      </c>
    </row>
    <row r="1154">
      <c r="A1154" s="1">
        <v>1152.0</v>
      </c>
      <c r="B1154" s="3">
        <v>44374.0</v>
      </c>
      <c r="C1154" s="1" t="s">
        <v>617</v>
      </c>
      <c r="D1154" s="1" t="s">
        <v>618</v>
      </c>
      <c r="F1154" s="1">
        <v>2.17E9</v>
      </c>
      <c r="G1154" s="1">
        <v>1.815E9</v>
      </c>
      <c r="H1154" s="1">
        <v>-1.07E8</v>
      </c>
      <c r="I1154" s="1">
        <v>2.151E9</v>
      </c>
      <c r="J1154" s="1">
        <v>2.254E9</v>
      </c>
      <c r="K1154" s="1">
        <v>2.254E9</v>
      </c>
      <c r="L1154" s="1">
        <v>-1.42E8</v>
      </c>
      <c r="M1154" s="1">
        <v>3.55E8</v>
      </c>
      <c r="N1154" s="1">
        <v>1.7029E10</v>
      </c>
      <c r="O1154" s="1">
        <v>1.4775E10</v>
      </c>
      <c r="P1154" s="1">
        <v>1.4878E10</v>
      </c>
      <c r="Q1154" s="1">
        <v>-8.4E7</v>
      </c>
      <c r="R1154" s="1">
        <v>1.815E9</v>
      </c>
      <c r="S1154" s="1">
        <v>1.815E9</v>
      </c>
      <c r="W1154" s="4" t="str">
        <f>Raw_Data!C1153&amp;"|"&amp;Raw_Data!D1153&amp;"|"&amp;TEXT(Raw_Data!B1153,"yyyy-mm-dd")</f>
        <v>LKQ Corporation|LKQ|2020-06-30</v>
      </c>
    </row>
    <row r="1155">
      <c r="A1155" s="1">
        <v>1153.0</v>
      </c>
      <c r="B1155" s="3">
        <v>44283.0</v>
      </c>
      <c r="C1155" s="1" t="s">
        <v>617</v>
      </c>
      <c r="D1155" s="1" t="s">
        <v>618</v>
      </c>
      <c r="F1155" s="1">
        <v>2.211E9</v>
      </c>
      <c r="G1155" s="1">
        <v>1.837E9</v>
      </c>
      <c r="H1155" s="1">
        <v>-1.06E8</v>
      </c>
      <c r="I1155" s="1">
        <v>2.222E9</v>
      </c>
      <c r="J1155" s="1">
        <v>2.329E9</v>
      </c>
      <c r="K1155" s="1">
        <v>2.329E9</v>
      </c>
      <c r="L1155" s="1">
        <v>-1.4E8</v>
      </c>
      <c r="M1155" s="1">
        <v>3.74E8</v>
      </c>
      <c r="N1155" s="1">
        <v>1.6258E10</v>
      </c>
      <c r="O1155" s="1">
        <v>1.3929E10</v>
      </c>
      <c r="P1155" s="1">
        <v>1.4036E10</v>
      </c>
      <c r="Q1155" s="1">
        <v>-1.18E8</v>
      </c>
      <c r="R1155" s="1">
        <v>1.837E9</v>
      </c>
      <c r="S1155" s="1">
        <v>1.837E9</v>
      </c>
      <c r="W1155" s="4" t="str">
        <f>Raw_Data!C1154&amp;"|"&amp;Raw_Data!D1154&amp;"|"&amp;TEXT(Raw_Data!B1154,"yyyy-mm-dd")</f>
        <v>Lockheed Martin|LMT|2021-06-27</v>
      </c>
    </row>
    <row r="1156">
      <c r="A1156" s="1">
        <v>1154.0</v>
      </c>
      <c r="B1156" s="3">
        <v>44196.0</v>
      </c>
      <c r="C1156" s="1" t="s">
        <v>617</v>
      </c>
      <c r="D1156" s="1" t="s">
        <v>618</v>
      </c>
      <c r="F1156" s="1">
        <v>2.187E9</v>
      </c>
      <c r="G1156" s="1">
        <v>1.792E9</v>
      </c>
      <c r="H1156" s="1">
        <v>-6.0E7</v>
      </c>
      <c r="I1156" s="1">
        <v>2.241E9</v>
      </c>
      <c r="J1156" s="1">
        <v>2.258E9</v>
      </c>
      <c r="K1156" s="1">
        <v>2.258E9</v>
      </c>
      <c r="L1156" s="1">
        <v>-1.49E8</v>
      </c>
      <c r="M1156" s="1">
        <v>3.95E8</v>
      </c>
      <c r="N1156" s="1">
        <v>1.7032E10</v>
      </c>
      <c r="O1156" s="1">
        <v>1.4774E10</v>
      </c>
      <c r="P1156" s="1">
        <v>1.4791E10</v>
      </c>
      <c r="Q1156" s="1">
        <v>-7.1E7</v>
      </c>
      <c r="R1156" s="1">
        <v>1.792E9</v>
      </c>
      <c r="S1156" s="1">
        <v>1.792E9</v>
      </c>
      <c r="W1156" s="4" t="str">
        <f>Raw_Data!C1155&amp;"|"&amp;Raw_Data!D1155&amp;"|"&amp;TEXT(Raw_Data!B1155,"yyyy-mm-dd")</f>
        <v>Lockheed Martin|LMT|2021-03-28</v>
      </c>
    </row>
    <row r="1157">
      <c r="A1157" s="1">
        <v>1155.0</v>
      </c>
      <c r="B1157" s="3">
        <v>44101.0</v>
      </c>
      <c r="C1157" s="1" t="s">
        <v>617</v>
      </c>
      <c r="D1157" s="1" t="s">
        <v>618</v>
      </c>
      <c r="F1157" s="1">
        <v>2.056E9</v>
      </c>
      <c r="G1157" s="1">
        <v>1.698E9</v>
      </c>
      <c r="H1157" s="1">
        <v>-5.9E7</v>
      </c>
      <c r="I1157" s="1">
        <v>2.136E9</v>
      </c>
      <c r="J1157" s="1">
        <v>2.201E9</v>
      </c>
      <c r="K1157" s="1">
        <v>2.201E9</v>
      </c>
      <c r="L1157" s="1">
        <v>-1.45E8</v>
      </c>
      <c r="M1157" s="1">
        <v>3.03E8</v>
      </c>
      <c r="N1157" s="1">
        <v>1.6495E10</v>
      </c>
      <c r="O1157" s="1">
        <v>1.4294E10</v>
      </c>
      <c r="P1157" s="1">
        <v>1.4359E10</v>
      </c>
      <c r="Q1157" s="1">
        <v>-1.45E8</v>
      </c>
      <c r="R1157" s="1">
        <v>1.753E9</v>
      </c>
      <c r="S1157" s="1">
        <v>1.698E9</v>
      </c>
      <c r="W1157" s="4" t="str">
        <f>Raw_Data!C1156&amp;"|"&amp;Raw_Data!D1156&amp;"|"&amp;TEXT(Raw_Data!B1156,"yyyy-mm-dd")</f>
        <v>Lockheed Martin|LMT|2020-12-31</v>
      </c>
    </row>
    <row r="1158">
      <c r="A1158" s="1">
        <v>1156.0</v>
      </c>
      <c r="B1158" s="3">
        <v>44377.0</v>
      </c>
      <c r="C1158" s="1" t="s">
        <v>619</v>
      </c>
      <c r="D1158" s="1" t="s">
        <v>620</v>
      </c>
      <c r="F1158" s="1">
        <v>1.012E9</v>
      </c>
      <c r="G1158" s="1">
        <v>7.54E8</v>
      </c>
      <c r="H1158" s="1">
        <v>6.56E8</v>
      </c>
      <c r="I1158" s="1">
        <v>1.768E9</v>
      </c>
      <c r="J1158" s="1">
        <v>1.112E9</v>
      </c>
      <c r="K1158" s="1">
        <v>1.112E9</v>
      </c>
      <c r="L1158" s="1">
        <v>-1.0E8</v>
      </c>
      <c r="M1158" s="1">
        <v>2.19E8</v>
      </c>
      <c r="N1158" s="1">
        <v>4.003E9</v>
      </c>
      <c r="O1158" s="1">
        <v>2.891E9</v>
      </c>
      <c r="P1158" s="1">
        <v>2.235E9</v>
      </c>
      <c r="Q1158" s="1">
        <v>-1.0E8</v>
      </c>
      <c r="R1158" s="1">
        <v>7.93E8</v>
      </c>
      <c r="S1158" s="1">
        <v>7.54E8</v>
      </c>
      <c r="W1158" s="4" t="str">
        <f>Raw_Data!C1157&amp;"|"&amp;Raw_Data!D1157&amp;"|"&amp;TEXT(Raw_Data!B1157,"yyyy-mm-dd")</f>
        <v>Lockheed Martin|LMT|2020-09-27</v>
      </c>
    </row>
    <row r="1159">
      <c r="A1159" s="1">
        <v>1157.0</v>
      </c>
      <c r="B1159" s="3">
        <v>44286.0</v>
      </c>
      <c r="C1159" s="1" t="s">
        <v>619</v>
      </c>
      <c r="D1159" s="1" t="s">
        <v>620</v>
      </c>
      <c r="F1159" s="1">
        <v>4.07E8</v>
      </c>
      <c r="G1159" s="1">
        <v>2.61E8</v>
      </c>
      <c r="H1159" s="1">
        <v>9.14E8</v>
      </c>
      <c r="I1159" s="1">
        <v>1.446E9</v>
      </c>
      <c r="J1159" s="1">
        <v>5.32E8</v>
      </c>
      <c r="K1159" s="1">
        <v>5.32E8</v>
      </c>
      <c r="L1159" s="1">
        <v>-1.25E8</v>
      </c>
      <c r="M1159" s="1">
        <v>1.14E8</v>
      </c>
      <c r="N1159" s="1">
        <v>3.622E9</v>
      </c>
      <c r="O1159" s="1">
        <v>3.09E9</v>
      </c>
      <c r="P1159" s="1">
        <v>2.176E9</v>
      </c>
      <c r="Q1159" s="1">
        <v>-1.25E8</v>
      </c>
      <c r="R1159" s="1">
        <v>2.93E8</v>
      </c>
      <c r="S1159" s="1">
        <v>2.61E8</v>
      </c>
      <c r="W1159" s="4" t="str">
        <f>Raw_Data!C1158&amp;"|"&amp;Raw_Data!D1158&amp;"|"&amp;TEXT(Raw_Data!B1158,"yyyy-mm-dd")</f>
        <v>Loews Corporation|L|2021-06-30</v>
      </c>
    </row>
    <row r="1160">
      <c r="A1160" s="1">
        <v>1158.0</v>
      </c>
      <c r="B1160" s="3">
        <v>44196.0</v>
      </c>
      <c r="C1160" s="1" t="s">
        <v>619</v>
      </c>
      <c r="D1160" s="1" t="s">
        <v>620</v>
      </c>
      <c r="F1160" s="1">
        <v>5.48E8</v>
      </c>
      <c r="G1160" s="1">
        <v>3.97E8</v>
      </c>
      <c r="H1160" s="1">
        <v>8.93E8</v>
      </c>
      <c r="I1160" s="1">
        <v>1.524E9</v>
      </c>
      <c r="J1160" s="1">
        <v>6.31E8</v>
      </c>
      <c r="K1160" s="1">
        <v>6.31E8</v>
      </c>
      <c r="L1160" s="1">
        <v>-1.11E8</v>
      </c>
      <c r="M1160" s="1">
        <v>1.11E8</v>
      </c>
      <c r="N1160" s="1">
        <v>3.675E9</v>
      </c>
      <c r="O1160" s="1">
        <v>3.044E9</v>
      </c>
      <c r="P1160" s="1">
        <v>2.151E9</v>
      </c>
      <c r="Q1160" s="1">
        <v>-8.3E7</v>
      </c>
      <c r="R1160" s="1">
        <v>4.37E8</v>
      </c>
      <c r="S1160" s="1">
        <v>3.97E8</v>
      </c>
      <c r="W1160" s="4" t="str">
        <f>Raw_Data!C1159&amp;"|"&amp;Raw_Data!D1159&amp;"|"&amp;TEXT(Raw_Data!B1159,"yyyy-mm-dd")</f>
        <v>Loews Corporation|L|2021-03-31</v>
      </c>
    </row>
    <row r="1161">
      <c r="A1161" s="1">
        <v>1159.0</v>
      </c>
      <c r="B1161" s="3">
        <v>44104.0</v>
      </c>
      <c r="C1161" s="1" t="s">
        <v>619</v>
      </c>
      <c r="D1161" s="1" t="s">
        <v>620</v>
      </c>
      <c r="F1161" s="1">
        <v>1.83E8</v>
      </c>
      <c r="G1161" s="1">
        <v>1.39E8</v>
      </c>
      <c r="H1161" s="1">
        <v>8.66E8</v>
      </c>
      <c r="I1161" s="1">
        <v>1.196E9</v>
      </c>
      <c r="J1161" s="1">
        <v>3.3E8</v>
      </c>
      <c r="K1161" s="1">
        <v>3.3E8</v>
      </c>
      <c r="L1161" s="1">
        <v>-1.37E8</v>
      </c>
      <c r="M1161" s="1">
        <v>2.1E7</v>
      </c>
      <c r="N1161" s="1">
        <v>3.465E9</v>
      </c>
      <c r="O1161" s="1">
        <v>3.135E9</v>
      </c>
      <c r="P1161" s="1">
        <v>2.269E9</v>
      </c>
      <c r="Q1161" s="1">
        <v>-1.47E8</v>
      </c>
      <c r="R1161" s="1">
        <v>1.62E8</v>
      </c>
      <c r="S1161" s="1">
        <v>1.39E8</v>
      </c>
      <c r="W1161" s="4" t="str">
        <f>Raw_Data!C1160&amp;"|"&amp;Raw_Data!D1160&amp;"|"&amp;TEXT(Raw_Data!B1160,"yyyy-mm-dd")</f>
        <v>Loews Corporation|L|2020-12-31</v>
      </c>
    </row>
    <row r="1162">
      <c r="A1162" s="1">
        <v>1160.0</v>
      </c>
      <c r="B1162" s="3">
        <v>44407.0</v>
      </c>
      <c r="C1162" s="1" t="s">
        <v>621</v>
      </c>
      <c r="D1162" s="1" t="s">
        <v>622</v>
      </c>
      <c r="F1162" s="1">
        <v>3.994E9</v>
      </c>
      <c r="G1162" s="1">
        <v>3.018E9</v>
      </c>
      <c r="H1162" s="1">
        <v>4.666E9</v>
      </c>
      <c r="I1162" s="1">
        <v>9.312E9</v>
      </c>
      <c r="J1162" s="1">
        <v>4.237E9</v>
      </c>
      <c r="K1162" s="1">
        <v>4.237E9</v>
      </c>
      <c r="L1162" s="1">
        <v>-2.2E8</v>
      </c>
      <c r="M1162" s="1">
        <v>9.76E8</v>
      </c>
      <c r="N1162" s="1">
        <v>2.757E10</v>
      </c>
      <c r="O1162" s="1">
        <v>2.3333E10</v>
      </c>
      <c r="P1162" s="1">
        <v>1.8258E10</v>
      </c>
      <c r="Q1162" s="1">
        <v>-2.43E8</v>
      </c>
      <c r="R1162" s="1">
        <v>3.018E9</v>
      </c>
      <c r="S1162" s="1">
        <v>3.007E9</v>
      </c>
      <c r="W1162" s="4" t="str">
        <f>Raw_Data!C1161&amp;"|"&amp;Raw_Data!D1161&amp;"|"&amp;TEXT(Raw_Data!B1161,"yyyy-mm-dd")</f>
        <v>Loews Corporation|L|2020-09-30</v>
      </c>
    </row>
    <row r="1163">
      <c r="A1163" s="1">
        <v>1161.0</v>
      </c>
      <c r="B1163" s="3">
        <v>44316.0</v>
      </c>
      <c r="C1163" s="1" t="s">
        <v>621</v>
      </c>
      <c r="D1163" s="1" t="s">
        <v>622</v>
      </c>
      <c r="F1163" s="1">
        <v>3.034E9</v>
      </c>
      <c r="G1163" s="1">
        <v>2.321E9</v>
      </c>
      <c r="H1163" s="1">
        <v>4.494E9</v>
      </c>
      <c r="I1163" s="1">
        <v>8.13E9</v>
      </c>
      <c r="J1163" s="1">
        <v>3.245E9</v>
      </c>
      <c r="K1163" s="1">
        <v>3.245E9</v>
      </c>
      <c r="L1163" s="1">
        <v>-2.14E8</v>
      </c>
      <c r="M1163" s="1">
        <v>7.13E8</v>
      </c>
      <c r="N1163" s="1">
        <v>2.4422E10</v>
      </c>
      <c r="O1163" s="1">
        <v>2.1177E10</v>
      </c>
      <c r="P1163" s="1">
        <v>1.6292E10</v>
      </c>
      <c r="Q1163" s="1">
        <v>-2.11E8</v>
      </c>
      <c r="R1163" s="1">
        <v>2.321E9</v>
      </c>
      <c r="S1163" s="1">
        <v>2.312E9</v>
      </c>
      <c r="W1163" s="4" t="str">
        <f>Raw_Data!C1162&amp;"|"&amp;Raw_Data!D1162&amp;"|"&amp;TEXT(Raw_Data!B1162,"yyyy-mm-dd")</f>
        <v>Lowe's|LOW|2021-07-30</v>
      </c>
    </row>
    <row r="1164">
      <c r="A1164" s="1">
        <v>1162.0</v>
      </c>
      <c r="B1164" s="3">
        <v>44225.0</v>
      </c>
      <c r="C1164" s="1" t="s">
        <v>621</v>
      </c>
      <c r="D1164" s="1" t="s">
        <v>622</v>
      </c>
      <c r="F1164" s="1">
        <v>1.32E9</v>
      </c>
      <c r="G1164" s="1">
        <v>9.78E8</v>
      </c>
      <c r="H1164" s="1">
        <v>3.307E9</v>
      </c>
      <c r="I1164" s="1">
        <v>6.466E9</v>
      </c>
      <c r="J1164" s="1">
        <v>2.769E9</v>
      </c>
      <c r="K1164" s="1">
        <v>2.769E9</v>
      </c>
      <c r="L1164" s="1">
        <v>-2.1E8</v>
      </c>
      <c r="M1164" s="1">
        <v>3.42E8</v>
      </c>
      <c r="N1164" s="1">
        <v>2.0311E10</v>
      </c>
      <c r="O1164" s="1">
        <v>1.7542E10</v>
      </c>
      <c r="P1164" s="1">
        <v>1.3845E10</v>
      </c>
      <c r="Q1164" s="1">
        <v>-1.449E9</v>
      </c>
      <c r="R1164" s="1">
        <v>9.78E8</v>
      </c>
      <c r="S1164" s="1">
        <v>9.74E8</v>
      </c>
      <c r="W1164" s="4" t="str">
        <f>Raw_Data!C1163&amp;"|"&amp;Raw_Data!D1163&amp;"|"&amp;TEXT(Raw_Data!B1163,"yyyy-mm-dd")</f>
        <v>Lowe's|LOW|2021-04-30</v>
      </c>
    </row>
    <row r="1165">
      <c r="A1165" s="1">
        <v>1163.0</v>
      </c>
      <c r="B1165" s="3">
        <v>44134.0</v>
      </c>
      <c r="C1165" s="1" t="s">
        <v>621</v>
      </c>
      <c r="D1165" s="1" t="s">
        <v>622</v>
      </c>
      <c r="F1165" s="1">
        <v>8.94E8</v>
      </c>
      <c r="G1165" s="1">
        <v>6.92E8</v>
      </c>
      <c r="H1165" s="1">
        <v>4.77E9</v>
      </c>
      <c r="I1165" s="1">
        <v>7.3E9</v>
      </c>
      <c r="J1165" s="1">
        <v>2.175E9</v>
      </c>
      <c r="K1165" s="1">
        <v>2.175E9</v>
      </c>
      <c r="L1165" s="1">
        <v>-2.27E8</v>
      </c>
      <c r="M1165" s="1">
        <v>2.02E8</v>
      </c>
      <c r="N1165" s="1">
        <v>2.2309E10</v>
      </c>
      <c r="O1165" s="1">
        <v>2.0134E10</v>
      </c>
      <c r="P1165" s="1">
        <v>1.5009E10</v>
      </c>
      <c r="Q1165" s="1">
        <v>-1.281E9</v>
      </c>
      <c r="R1165" s="1">
        <v>6.92E8</v>
      </c>
      <c r="S1165" s="1">
        <v>6.89E8</v>
      </c>
      <c r="W1165" s="4" t="str">
        <f>Raw_Data!C1164&amp;"|"&amp;Raw_Data!D1164&amp;"|"&amp;TEXT(Raw_Data!B1164,"yyyy-mm-dd")</f>
        <v>Lowe's|LOW|2021-01-29</v>
      </c>
    </row>
    <row r="1166">
      <c r="A1166" s="1">
        <v>1164.0</v>
      </c>
      <c r="B1166" s="3">
        <v>44377.0</v>
      </c>
      <c r="C1166" s="1" t="s">
        <v>623</v>
      </c>
      <c r="D1166" s="1" t="s">
        <v>624</v>
      </c>
      <c r="F1166" s="1">
        <v>6.74E8</v>
      </c>
      <c r="G1166" s="1">
        <v>5.06E8</v>
      </c>
      <c r="H1166" s="1">
        <v>7.35E8</v>
      </c>
      <c r="I1166" s="1">
        <v>2.809E9</v>
      </c>
      <c r="J1166" s="1">
        <v>1.043E9</v>
      </c>
      <c r="K1166" s="1">
        <v>1.043E9</v>
      </c>
      <c r="L1166" s="1">
        <v>-3.84E8</v>
      </c>
      <c r="M1166" s="1">
        <v>1.68E8</v>
      </c>
      <c r="N1166" s="1">
        <v>4.924E9</v>
      </c>
      <c r="O1166" s="1">
        <v>3.881E9</v>
      </c>
      <c r="P1166" s="1">
        <v>2.115E9</v>
      </c>
      <c r="Q1166" s="1">
        <v>-3.69E8</v>
      </c>
      <c r="R1166" s="1">
        <v>5.06E8</v>
      </c>
      <c r="S1166" s="1">
        <v>5.06E8</v>
      </c>
      <c r="W1166" s="4" t="str">
        <f>Raw_Data!C1165&amp;"|"&amp;Raw_Data!D1165&amp;"|"&amp;TEXT(Raw_Data!B1165,"yyyy-mm-dd")</f>
        <v>Lowe's|LOW|2020-10-30</v>
      </c>
    </row>
    <row r="1167">
      <c r="A1167" s="1">
        <v>1165.0</v>
      </c>
      <c r="B1167" s="3">
        <v>44286.0</v>
      </c>
      <c r="C1167" s="1" t="s">
        <v>623</v>
      </c>
      <c r="D1167" s="1" t="s">
        <v>624</v>
      </c>
      <c r="F1167" s="1">
        <v>6.32E8</v>
      </c>
      <c r="G1167" s="1">
        <v>4.75E8</v>
      </c>
      <c r="H1167" s="1">
        <v>7.32E8</v>
      </c>
      <c r="I1167" s="1">
        <v>2.893E9</v>
      </c>
      <c r="J1167" s="1">
        <v>1.011E9</v>
      </c>
      <c r="K1167" s="1">
        <v>1.011E9</v>
      </c>
      <c r="L1167" s="1">
        <v>-3.89E8</v>
      </c>
      <c r="M1167" s="1">
        <v>1.57E8</v>
      </c>
      <c r="N1167" s="1">
        <v>5.029E9</v>
      </c>
      <c r="O1167" s="1">
        <v>4.018E9</v>
      </c>
      <c r="P1167" s="1">
        <v>2.136E9</v>
      </c>
      <c r="Q1167" s="1">
        <v>-3.79E8</v>
      </c>
      <c r="R1167" s="1">
        <v>4.75E8</v>
      </c>
      <c r="S1167" s="1">
        <v>4.75E8</v>
      </c>
      <c r="W1167" s="4" t="str">
        <f>Raw_Data!C1166&amp;"|"&amp;Raw_Data!D1166&amp;"|"&amp;TEXT(Raw_Data!B1166,"yyyy-mm-dd")</f>
        <v>Lumen Technologies|LUMN|2021-06-30</v>
      </c>
    </row>
    <row r="1168">
      <c r="A1168" s="1">
        <v>1166.0</v>
      </c>
      <c r="B1168" s="3">
        <v>44196.0</v>
      </c>
      <c r="C1168" s="1" t="s">
        <v>623</v>
      </c>
      <c r="D1168" s="1" t="s">
        <v>624</v>
      </c>
      <c r="F1168" s="1">
        <v>-2.208E9</v>
      </c>
      <c r="G1168" s="1">
        <v>-2.289E9</v>
      </c>
      <c r="H1168" s="1">
        <v>7.13E8</v>
      </c>
      <c r="I1168" s="1">
        <v>2.894E9</v>
      </c>
      <c r="J1168" s="1">
        <v>9.86E8</v>
      </c>
      <c r="K1168" s="1">
        <v>9.86E8</v>
      </c>
      <c r="L1168" s="1">
        <v>-3.96E8</v>
      </c>
      <c r="M1168" s="1">
        <v>8.1E7</v>
      </c>
      <c r="N1168" s="1">
        <v>5.125E9</v>
      </c>
      <c r="O1168" s="1">
        <v>4.139E9</v>
      </c>
      <c r="P1168" s="1">
        <v>2.231E9</v>
      </c>
      <c r="Q1168" s="1">
        <v>-3.194E9</v>
      </c>
      <c r="R1168" s="1">
        <v>-2.289E9</v>
      </c>
      <c r="S1168" s="1">
        <v>-2.289E9</v>
      </c>
      <c r="W1168" s="4" t="str">
        <f>Raw_Data!C1167&amp;"|"&amp;Raw_Data!D1167&amp;"|"&amp;TEXT(Raw_Data!B1167,"yyyy-mm-dd")</f>
        <v>Lumen Technologies|LUMN|2021-03-31</v>
      </c>
    </row>
    <row r="1169">
      <c r="A1169" s="1">
        <v>1167.0</v>
      </c>
      <c r="B1169" s="3">
        <v>44104.0</v>
      </c>
      <c r="C1169" s="1" t="s">
        <v>623</v>
      </c>
      <c r="D1169" s="1" t="s">
        <v>624</v>
      </c>
      <c r="F1169" s="1">
        <v>4.8E8</v>
      </c>
      <c r="G1169" s="1">
        <v>3.66E8</v>
      </c>
      <c r="H1169" s="1">
        <v>8.52E8</v>
      </c>
      <c r="I1169" s="1">
        <v>2.931E9</v>
      </c>
      <c r="J1169" s="1">
        <v>8.86E8</v>
      </c>
      <c r="K1169" s="1">
        <v>8.86E8</v>
      </c>
      <c r="L1169" s="1">
        <v>-4.09E8</v>
      </c>
      <c r="M1169" s="1">
        <v>1.14E8</v>
      </c>
      <c r="N1169" s="1">
        <v>5.167E9</v>
      </c>
      <c r="O1169" s="1">
        <v>4.281E9</v>
      </c>
      <c r="P1169" s="1">
        <v>2.236E9</v>
      </c>
      <c r="Q1169" s="1">
        <v>-4.06E8</v>
      </c>
      <c r="R1169" s="1">
        <v>3.66E8</v>
      </c>
      <c r="S1169" s="1">
        <v>3.66E8</v>
      </c>
      <c r="W1169" s="4" t="str">
        <f>Raw_Data!C1168&amp;"|"&amp;Raw_Data!D1168&amp;"|"&amp;TEXT(Raw_Data!B1168,"yyyy-mm-dd")</f>
        <v>Lumen Technologies|LUMN|2020-12-31</v>
      </c>
    </row>
    <row r="1170">
      <c r="A1170" s="1">
        <v>1168.0</v>
      </c>
      <c r="B1170" s="3">
        <v>44469.0</v>
      </c>
      <c r="C1170" s="1" t="s">
        <v>625</v>
      </c>
      <c r="D1170" s="1" t="s">
        <v>626</v>
      </c>
      <c r="E1170" s="1">
        <v>3.0E7</v>
      </c>
      <c r="F1170" s="1">
        <v>2.213E9</v>
      </c>
      <c r="G1170" s="1">
        <v>1.76E9</v>
      </c>
      <c r="H1170" s="1">
        <v>3.27E8</v>
      </c>
      <c r="I1170" s="1">
        <v>2.591E9</v>
      </c>
      <c r="J1170" s="1">
        <v>2.234E9</v>
      </c>
      <c r="K1170" s="1">
        <v>2.234E9</v>
      </c>
      <c r="L1170" s="1">
        <v>-1.28E8</v>
      </c>
      <c r="M1170" s="1">
        <v>4.52E8</v>
      </c>
      <c r="N1170" s="1">
        <v>1.27E10</v>
      </c>
      <c r="O1170" s="1">
        <v>1.0466E10</v>
      </c>
      <c r="P1170" s="1">
        <v>1.0109E10</v>
      </c>
      <c r="Q1170" s="1">
        <v>-2.1E7</v>
      </c>
      <c r="R1170" s="1">
        <v>1.761E9</v>
      </c>
      <c r="S1170" s="1">
        <v>1.756E9</v>
      </c>
      <c r="W1170" s="4" t="str">
        <f>Raw_Data!C1169&amp;"|"&amp;Raw_Data!D1169&amp;"|"&amp;TEXT(Raw_Data!B1169,"yyyy-mm-dd")</f>
        <v>Lumen Technologies|LUMN|2020-09-30</v>
      </c>
    </row>
    <row r="1171">
      <c r="A1171" s="1">
        <v>1169.0</v>
      </c>
      <c r="B1171" s="3">
        <v>44377.0</v>
      </c>
      <c r="C1171" s="1" t="s">
        <v>625</v>
      </c>
      <c r="D1171" s="1" t="s">
        <v>626</v>
      </c>
      <c r="E1171" s="1">
        <v>3.2E7</v>
      </c>
      <c r="F1171" s="1">
        <v>2.562E9</v>
      </c>
      <c r="G1171" s="1">
        <v>2.058E9</v>
      </c>
      <c r="H1171" s="1">
        <v>3.4E8</v>
      </c>
      <c r="I1171" s="1">
        <v>2.885E9</v>
      </c>
      <c r="J1171" s="1">
        <v>2.513E9</v>
      </c>
      <c r="K1171" s="1">
        <v>2.513E9</v>
      </c>
      <c r="L1171" s="1">
        <v>-1.31E8</v>
      </c>
      <c r="M1171" s="1">
        <v>5.06E8</v>
      </c>
      <c r="N1171" s="1">
        <v>1.1561E10</v>
      </c>
      <c r="O1171" s="1">
        <v>9.048E9</v>
      </c>
      <c r="P1171" s="1">
        <v>8.676E9</v>
      </c>
      <c r="Q1171" s="1">
        <v>4.9E7</v>
      </c>
      <c r="R1171" s="1">
        <v>2.056E9</v>
      </c>
      <c r="S1171" s="1">
        <v>2.052E9</v>
      </c>
      <c r="W1171" s="4" t="str">
        <f>Raw_Data!C1170&amp;"|"&amp;Raw_Data!D1170&amp;"|"&amp;TEXT(Raw_Data!B1170,"yyyy-mm-dd")</f>
        <v>LyondellBasell|LYB|2021-09-30</v>
      </c>
    </row>
    <row r="1172">
      <c r="A1172" s="1">
        <v>1170.0</v>
      </c>
      <c r="B1172" s="3">
        <v>44286.0</v>
      </c>
      <c r="C1172" s="1" t="s">
        <v>625</v>
      </c>
      <c r="D1172" s="1" t="s">
        <v>626</v>
      </c>
      <c r="E1172" s="1">
        <v>2.9E7</v>
      </c>
      <c r="F1172" s="1">
        <v>1.14E9</v>
      </c>
      <c r="G1172" s="1">
        <v>1.068E9</v>
      </c>
      <c r="H1172" s="1">
        <v>3.02E8</v>
      </c>
      <c r="I1172" s="1">
        <v>1.404E9</v>
      </c>
      <c r="J1172" s="1">
        <v>1.073E9</v>
      </c>
      <c r="K1172" s="1">
        <v>1.073E9</v>
      </c>
      <c r="L1172" s="1">
        <v>-1.12E8</v>
      </c>
      <c r="M1172" s="1">
        <v>7.0E7</v>
      </c>
      <c r="N1172" s="1">
        <v>9.082E9</v>
      </c>
      <c r="O1172" s="1">
        <v>8.009E9</v>
      </c>
      <c r="P1172" s="1">
        <v>7.678E9</v>
      </c>
      <c r="Q1172" s="1">
        <v>6.7E7</v>
      </c>
      <c r="R1172" s="1">
        <v>1.07E9</v>
      </c>
      <c r="S1172" s="1">
        <v>1.066E9</v>
      </c>
      <c r="W1172" s="4" t="str">
        <f>Raw_Data!C1171&amp;"|"&amp;Raw_Data!D1171&amp;"|"&amp;TEXT(Raw_Data!B1171,"yyyy-mm-dd")</f>
        <v>LyondellBasell|LYB|2021-06-30</v>
      </c>
    </row>
    <row r="1173">
      <c r="A1173" s="1">
        <v>1171.0</v>
      </c>
      <c r="B1173" s="3">
        <v>44196.0</v>
      </c>
      <c r="C1173" s="1" t="s">
        <v>625</v>
      </c>
      <c r="D1173" s="1" t="s">
        <v>626</v>
      </c>
      <c r="E1173" s="1">
        <v>3.4E7</v>
      </c>
      <c r="F1173" s="1">
        <v>8.94E8</v>
      </c>
      <c r="G1173" s="1">
        <v>8.53E8</v>
      </c>
      <c r="H1173" s="1">
        <v>2.98E8</v>
      </c>
      <c r="I1173" s="1">
        <v>1.225E9</v>
      </c>
      <c r="J1173" s="1">
        <v>8.93E8</v>
      </c>
      <c r="K1173" s="1">
        <v>8.93E8</v>
      </c>
      <c r="L1173" s="1">
        <v>-1.9E8</v>
      </c>
      <c r="M1173" s="1">
        <v>3.9E7</v>
      </c>
      <c r="N1173" s="1">
        <v>7.937E9</v>
      </c>
      <c r="O1173" s="1">
        <v>7.044E9</v>
      </c>
      <c r="P1173" s="1">
        <v>6.712E9</v>
      </c>
      <c r="Q1173" s="1">
        <v>1000000.0</v>
      </c>
      <c r="R1173" s="1">
        <v>8.55E8</v>
      </c>
      <c r="S1173" s="1">
        <v>8.53E8</v>
      </c>
      <c r="W1173" s="4" t="str">
        <f>Raw_Data!C1172&amp;"|"&amp;Raw_Data!D1172&amp;"|"&amp;TEXT(Raw_Data!B1172,"yyyy-mm-dd")</f>
        <v>LyondellBasell|LYB|2021-03-31</v>
      </c>
    </row>
    <row r="1174">
      <c r="A1174" s="1">
        <v>1172.0</v>
      </c>
      <c r="B1174" s="3">
        <v>44377.0</v>
      </c>
      <c r="C1174" s="1" t="s">
        <v>627</v>
      </c>
      <c r="D1174" s="1" t="s">
        <v>628</v>
      </c>
      <c r="F1174" s="1">
        <v>6.05628E8</v>
      </c>
      <c r="G1174" s="1">
        <v>4.58069E8</v>
      </c>
      <c r="H1174" s="1">
        <v>6.5665E8</v>
      </c>
      <c r="I1174" s="1">
        <v>1.470973E9</v>
      </c>
      <c r="J1174" s="1">
        <v>0.0</v>
      </c>
      <c r="K1174" s="1">
        <v>6.30134E8</v>
      </c>
      <c r="M1174" s="1">
        <v>1.47559E8</v>
      </c>
      <c r="N1174" s="1">
        <v>1.470973E9</v>
      </c>
      <c r="O1174" s="1">
        <v>8.40839E8</v>
      </c>
      <c r="P1174" s="1">
        <v>0.0</v>
      </c>
      <c r="Q1174" s="1">
        <v>-2.4506E7</v>
      </c>
      <c r="R1174" s="1">
        <v>4.58069E8</v>
      </c>
      <c r="S1174" s="1">
        <v>4.38756E8</v>
      </c>
      <c r="W1174" s="4" t="str">
        <f>Raw_Data!C1173&amp;"|"&amp;Raw_Data!D1173&amp;"|"&amp;TEXT(Raw_Data!B1173,"yyyy-mm-dd")</f>
        <v>LyondellBasell|LYB|2020-12-31</v>
      </c>
    </row>
    <row r="1175">
      <c r="A1175" s="1">
        <v>1173.0</v>
      </c>
      <c r="B1175" s="3">
        <v>44286.0</v>
      </c>
      <c r="C1175" s="1" t="s">
        <v>627</v>
      </c>
      <c r="D1175" s="1" t="s">
        <v>628</v>
      </c>
      <c r="F1175" s="1">
        <v>5.92549E8</v>
      </c>
      <c r="G1175" s="1">
        <v>4.47249E8</v>
      </c>
      <c r="H1175" s="1">
        <v>7.13245E8</v>
      </c>
      <c r="I1175" s="1">
        <v>1.511993E9</v>
      </c>
      <c r="J1175" s="1">
        <v>0.0</v>
      </c>
      <c r="K1175" s="1">
        <v>6.09475E8</v>
      </c>
      <c r="M1175" s="1">
        <v>1.453E8</v>
      </c>
      <c r="N1175" s="1">
        <v>1.511993E9</v>
      </c>
      <c r="O1175" s="1">
        <v>9.02518E8</v>
      </c>
      <c r="P1175" s="1">
        <v>0.0</v>
      </c>
      <c r="Q1175" s="1">
        <v>-1.6926E7</v>
      </c>
      <c r="R1175" s="1">
        <v>4.47249E8</v>
      </c>
      <c r="S1175" s="1">
        <v>4.28091E8</v>
      </c>
      <c r="W1175" s="4" t="str">
        <f>Raw_Data!C1174&amp;"|"&amp;Raw_Data!D1174&amp;"|"&amp;TEXT(Raw_Data!B1174,"yyyy-mm-dd")</f>
        <v>M&amp;T Bank|MTB|2021-06-30</v>
      </c>
    </row>
    <row r="1176">
      <c r="A1176" s="1">
        <v>1174.0</v>
      </c>
      <c r="B1176" s="3">
        <v>44196.0</v>
      </c>
      <c r="C1176" s="1" t="s">
        <v>627</v>
      </c>
      <c r="D1176" s="1" t="s">
        <v>628</v>
      </c>
      <c r="F1176" s="1">
        <v>6.20522E8</v>
      </c>
      <c r="G1176" s="1">
        <v>4.7114E8</v>
      </c>
      <c r="H1176" s="1">
        <v>6.54539E8</v>
      </c>
      <c r="I1176" s="1">
        <v>1.46553E9</v>
      </c>
      <c r="J1176" s="1">
        <v>0.0</v>
      </c>
      <c r="K1176" s="1">
        <v>6.38855E8</v>
      </c>
      <c r="M1176" s="1">
        <v>1.49382E8</v>
      </c>
      <c r="N1176" s="1">
        <v>1.46553E9</v>
      </c>
      <c r="O1176" s="1">
        <v>8.26675E8</v>
      </c>
      <c r="P1176" s="1">
        <v>0.0</v>
      </c>
      <c r="Q1176" s="1">
        <v>-1.8333E7</v>
      </c>
      <c r="R1176" s="1">
        <v>4.7114E8</v>
      </c>
      <c r="S1176" s="1">
        <v>4.51863E8</v>
      </c>
      <c r="W1176" s="4" t="str">
        <f>Raw_Data!C1175&amp;"|"&amp;Raw_Data!D1175&amp;"|"&amp;TEXT(Raw_Data!B1175,"yyyy-mm-dd")</f>
        <v>M&amp;T Bank|MTB|2021-03-31</v>
      </c>
    </row>
    <row r="1177">
      <c r="A1177" s="1">
        <v>1175.0</v>
      </c>
      <c r="B1177" s="3">
        <v>44104.0</v>
      </c>
      <c r="C1177" s="1" t="s">
        <v>627</v>
      </c>
      <c r="D1177" s="1" t="s">
        <v>628</v>
      </c>
      <c r="F1177" s="1">
        <v>4.86882E8</v>
      </c>
      <c r="G1177" s="1">
        <v>3.72136E8</v>
      </c>
      <c r="H1177" s="1">
        <v>6.45914E8</v>
      </c>
      <c r="I1177" s="1">
        <v>1.313656E9</v>
      </c>
      <c r="J1177" s="1">
        <v>0.0</v>
      </c>
      <c r="K1177" s="1">
        <v>5.02917E8</v>
      </c>
      <c r="M1177" s="1">
        <v>1.14746E8</v>
      </c>
      <c r="N1177" s="1">
        <v>1.313656E9</v>
      </c>
      <c r="O1177" s="1">
        <v>8.10739E8</v>
      </c>
      <c r="P1177" s="1">
        <v>0.0</v>
      </c>
      <c r="Q1177" s="1">
        <v>-1.6035E7</v>
      </c>
      <c r="R1177" s="1">
        <v>3.72136E8</v>
      </c>
      <c r="S1177" s="1">
        <v>3.53399E8</v>
      </c>
      <c r="W1177" s="4" t="str">
        <f>Raw_Data!C1176&amp;"|"&amp;Raw_Data!D1176&amp;"|"&amp;TEXT(Raw_Data!B1176,"yyyy-mm-dd")</f>
        <v>M&amp;T Bank|MTB|2020-12-31</v>
      </c>
    </row>
    <row r="1178">
      <c r="A1178" s="1">
        <v>1176.0</v>
      </c>
      <c r="B1178" s="3">
        <v>44377.0</v>
      </c>
      <c r="C1178" s="1" t="s">
        <v>629</v>
      </c>
      <c r="D1178" s="1" t="s">
        <v>630</v>
      </c>
      <c r="F1178" s="1">
        <v>2.6E7</v>
      </c>
      <c r="G1178" s="1">
        <v>1.6E7</v>
      </c>
      <c r="H1178" s="1">
        <v>6.9E7</v>
      </c>
      <c r="I1178" s="1">
        <v>9.66E8</v>
      </c>
      <c r="J1178" s="1">
        <v>5.4E7</v>
      </c>
      <c r="K1178" s="1">
        <v>5.4E7</v>
      </c>
      <c r="L1178" s="1">
        <v>-5.9E7</v>
      </c>
      <c r="M1178" s="1">
        <v>1.0E7</v>
      </c>
      <c r="N1178" s="1">
        <v>1.259E9</v>
      </c>
      <c r="O1178" s="1">
        <v>1.205E9</v>
      </c>
      <c r="P1178" s="1">
        <v>2.93E8</v>
      </c>
      <c r="Q1178" s="1">
        <v>-2.8E7</v>
      </c>
      <c r="R1178" s="1">
        <v>1.6E7</v>
      </c>
      <c r="S1178" s="1">
        <v>1.6E7</v>
      </c>
      <c r="W1178" s="4" t="str">
        <f>Raw_Data!C1177&amp;"|"&amp;Raw_Data!D1177&amp;"|"&amp;TEXT(Raw_Data!B1177,"yyyy-mm-dd")</f>
        <v>M&amp;T Bank|MTB|2020-09-30</v>
      </c>
    </row>
    <row r="1179">
      <c r="A1179" s="1">
        <v>1177.0</v>
      </c>
      <c r="B1179" s="3">
        <v>44286.0</v>
      </c>
      <c r="C1179" s="1" t="s">
        <v>629</v>
      </c>
      <c r="D1179" s="1" t="s">
        <v>630</v>
      </c>
      <c r="F1179" s="1">
        <v>1.07E8</v>
      </c>
      <c r="G1179" s="1">
        <v>9.7E7</v>
      </c>
      <c r="H1179" s="1">
        <v>7.5E7</v>
      </c>
      <c r="I1179" s="1">
        <v>9.07E8</v>
      </c>
      <c r="J1179" s="1">
        <v>8.7E7</v>
      </c>
      <c r="K1179" s="1">
        <v>8.7E7</v>
      </c>
      <c r="L1179" s="1">
        <v>-1.3E7</v>
      </c>
      <c r="M1179" s="1">
        <v>1.0E7</v>
      </c>
      <c r="N1179" s="1">
        <v>1.18E9</v>
      </c>
      <c r="O1179" s="1">
        <v>1.093E9</v>
      </c>
      <c r="P1179" s="1">
        <v>2.73E8</v>
      </c>
      <c r="Q1179" s="1">
        <v>2.0E7</v>
      </c>
      <c r="R1179" s="1">
        <v>9.7E7</v>
      </c>
      <c r="S1179" s="1">
        <v>9.7E7</v>
      </c>
      <c r="W1179" s="4" t="str">
        <f>Raw_Data!C1178&amp;"|"&amp;Raw_Data!D1178&amp;"|"&amp;TEXT(Raw_Data!B1178,"yyyy-mm-dd")</f>
        <v>Marathon Oil|MRO|2021-06-30</v>
      </c>
    </row>
    <row r="1180">
      <c r="A1180" s="1">
        <v>1178.0</v>
      </c>
      <c r="B1180" s="3">
        <v>44196.0</v>
      </c>
      <c r="C1180" s="1" t="s">
        <v>629</v>
      </c>
      <c r="D1180" s="1" t="s">
        <v>630</v>
      </c>
      <c r="F1180" s="1">
        <v>-3.41E8</v>
      </c>
      <c r="G1180" s="1">
        <v>-3.38E8</v>
      </c>
      <c r="H1180" s="1">
        <v>5.7E7</v>
      </c>
      <c r="I1180" s="1">
        <v>5.3E8</v>
      </c>
      <c r="J1180" s="1">
        <v>-2.15E8</v>
      </c>
      <c r="K1180" s="1">
        <v>-2.15E8</v>
      </c>
      <c r="L1180" s="1">
        <v>-7.2E7</v>
      </c>
      <c r="M1180" s="1">
        <v>-3000000.0</v>
      </c>
      <c r="N1180" s="1">
        <v>8.31E8</v>
      </c>
      <c r="O1180" s="1">
        <v>1.046E9</v>
      </c>
      <c r="P1180" s="1">
        <v>3.01E8</v>
      </c>
      <c r="Q1180" s="1">
        <v>-1.26E8</v>
      </c>
      <c r="R1180" s="1">
        <v>-3.38E8</v>
      </c>
      <c r="S1180" s="1">
        <v>-3.38E8</v>
      </c>
      <c r="W1180" s="4" t="str">
        <f>Raw_Data!C1179&amp;"|"&amp;Raw_Data!D1179&amp;"|"&amp;TEXT(Raw_Data!B1179,"yyyy-mm-dd")</f>
        <v>Marathon Oil|MRO|2021-03-31</v>
      </c>
    </row>
    <row r="1181">
      <c r="A1181" s="1">
        <v>1179.0</v>
      </c>
      <c r="B1181" s="3">
        <v>44104.0</v>
      </c>
      <c r="C1181" s="1" t="s">
        <v>629</v>
      </c>
      <c r="D1181" s="1" t="s">
        <v>630</v>
      </c>
      <c r="F1181" s="1">
        <v>-3.1E8</v>
      </c>
      <c r="G1181" s="1">
        <v>-3.17E8</v>
      </c>
      <c r="H1181" s="1">
        <v>5.9E7</v>
      </c>
      <c r="I1181" s="1">
        <v>4.52E8</v>
      </c>
      <c r="J1181" s="1">
        <v>-2.39E8</v>
      </c>
      <c r="K1181" s="1">
        <v>-2.39E8</v>
      </c>
      <c r="L1181" s="1">
        <v>-6.2E7</v>
      </c>
      <c r="M1181" s="1">
        <v>7000000.0</v>
      </c>
      <c r="N1181" s="1">
        <v>7.64E8</v>
      </c>
      <c r="O1181" s="1">
        <v>1.003E9</v>
      </c>
      <c r="P1181" s="1">
        <v>3.12E8</v>
      </c>
      <c r="Q1181" s="1">
        <v>-7.1E7</v>
      </c>
      <c r="R1181" s="1">
        <v>-3.17E8</v>
      </c>
      <c r="S1181" s="1">
        <v>-3.17E8</v>
      </c>
      <c r="W1181" s="4" t="str">
        <f>Raw_Data!C1180&amp;"|"&amp;Raw_Data!D1180&amp;"|"&amp;TEXT(Raw_Data!B1180,"yyyy-mm-dd")</f>
        <v>Marathon Oil|MRO|2020-12-31</v>
      </c>
    </row>
    <row r="1182">
      <c r="A1182" s="1">
        <v>1180.0</v>
      </c>
      <c r="B1182" s="3">
        <v>44377.0</v>
      </c>
      <c r="C1182" s="1" t="s">
        <v>631</v>
      </c>
      <c r="D1182" s="1" t="s">
        <v>632</v>
      </c>
      <c r="F1182" s="1">
        <v>5.93E8</v>
      </c>
      <c r="G1182" s="1">
        <v>8.512E9</v>
      </c>
      <c r="H1182" s="1">
        <v>6.81E8</v>
      </c>
      <c r="I1182" s="1">
        <v>2.557E9</v>
      </c>
      <c r="J1182" s="1">
        <v>8.16E8</v>
      </c>
      <c r="K1182" s="1">
        <v>8.16E8</v>
      </c>
      <c r="L1182" s="1">
        <v>-3.18E8</v>
      </c>
      <c r="M1182" s="1">
        <v>5000000.0</v>
      </c>
      <c r="N1182" s="1">
        <v>2.9734E10</v>
      </c>
      <c r="O1182" s="1">
        <v>2.8918E10</v>
      </c>
      <c r="P1182" s="1">
        <v>2.7177E10</v>
      </c>
      <c r="Q1182" s="1">
        <v>-2.23E8</v>
      </c>
      <c r="R1182" s="1">
        <v>5.88E8</v>
      </c>
      <c r="S1182" s="1">
        <v>8.512E9</v>
      </c>
      <c r="W1182" s="4" t="str">
        <f>Raw_Data!C1181&amp;"|"&amp;Raw_Data!D1181&amp;"|"&amp;TEXT(Raw_Data!B1181,"yyyy-mm-dd")</f>
        <v>Marathon Oil|MRO|2020-09-30</v>
      </c>
    </row>
    <row r="1183">
      <c r="A1183" s="1">
        <v>1181.0</v>
      </c>
      <c r="B1183" s="3">
        <v>44286.0</v>
      </c>
      <c r="C1183" s="1" t="s">
        <v>631</v>
      </c>
      <c r="D1183" s="1" t="s">
        <v>632</v>
      </c>
      <c r="F1183" s="1">
        <v>-1.36E8</v>
      </c>
      <c r="G1183" s="1">
        <v>-2.42E8</v>
      </c>
      <c r="H1183" s="1">
        <v>5.75E8</v>
      </c>
      <c r="I1183" s="1">
        <v>1.704E9</v>
      </c>
      <c r="J1183" s="1">
        <v>1.23E8</v>
      </c>
      <c r="K1183" s="1">
        <v>1.23E8</v>
      </c>
      <c r="L1183" s="1">
        <v>-3.34E8</v>
      </c>
      <c r="M1183" s="1">
        <v>3.4E7</v>
      </c>
      <c r="N1183" s="1">
        <v>2.2788E10</v>
      </c>
      <c r="O1183" s="1">
        <v>2.2665E10</v>
      </c>
      <c r="P1183" s="1">
        <v>2.1084E10</v>
      </c>
      <c r="Q1183" s="1">
        <v>-2.59E8</v>
      </c>
      <c r="R1183" s="1">
        <v>-1.7E8</v>
      </c>
      <c r="S1183" s="1">
        <v>-2.42E8</v>
      </c>
      <c r="W1183" s="4" t="str">
        <f>Raw_Data!C1182&amp;"|"&amp;Raw_Data!D1182&amp;"|"&amp;TEXT(Raw_Data!B1182,"yyyy-mm-dd")</f>
        <v>Marathon Petroleum|MPC|2021-06-30</v>
      </c>
    </row>
    <row r="1184">
      <c r="A1184" s="1">
        <v>1182.0</v>
      </c>
      <c r="B1184" s="3">
        <v>44196.0</v>
      </c>
      <c r="C1184" s="1" t="s">
        <v>631</v>
      </c>
      <c r="D1184" s="1" t="s">
        <v>632</v>
      </c>
      <c r="F1184" s="1">
        <v>5.7E7</v>
      </c>
      <c r="G1184" s="1">
        <v>2.85E8</v>
      </c>
      <c r="H1184" s="1">
        <v>6.39E8</v>
      </c>
      <c r="I1184" s="1">
        <v>1.989E9</v>
      </c>
      <c r="J1184" s="1">
        <v>3.8E8</v>
      </c>
      <c r="K1184" s="1">
        <v>3.8E8</v>
      </c>
      <c r="L1184" s="1">
        <v>-3.34E8</v>
      </c>
      <c r="M1184" s="1">
        <v>-1.93E8</v>
      </c>
      <c r="N1184" s="1">
        <v>1.802E10</v>
      </c>
      <c r="O1184" s="1">
        <v>1.764E10</v>
      </c>
      <c r="P1184" s="1">
        <v>1.6031E10</v>
      </c>
      <c r="Q1184" s="1">
        <v>-3.23E8</v>
      </c>
      <c r="R1184" s="1">
        <v>2.5E8</v>
      </c>
      <c r="S1184" s="1">
        <v>2.84E8</v>
      </c>
      <c r="W1184" s="4" t="str">
        <f>Raw_Data!C1183&amp;"|"&amp;Raw_Data!D1183&amp;"|"&amp;TEXT(Raw_Data!B1183,"yyyy-mm-dd")</f>
        <v>Marathon Petroleum|MPC|2021-03-31</v>
      </c>
    </row>
    <row r="1185">
      <c r="A1185" s="1">
        <v>1183.0</v>
      </c>
      <c r="B1185" s="3">
        <v>44104.0</v>
      </c>
      <c r="C1185" s="1" t="s">
        <v>631</v>
      </c>
      <c r="D1185" s="1" t="s">
        <v>632</v>
      </c>
      <c r="F1185" s="1">
        <v>-1.416E9</v>
      </c>
      <c r="G1185" s="1">
        <v>-8.86E8</v>
      </c>
      <c r="H1185" s="1">
        <v>6.79E8</v>
      </c>
      <c r="I1185" s="1">
        <v>1.287E9</v>
      </c>
      <c r="J1185" s="1">
        <v>-4.0E8</v>
      </c>
      <c r="K1185" s="1">
        <v>-4.0E8</v>
      </c>
      <c r="L1185" s="1">
        <v>-3.44E8</v>
      </c>
      <c r="M1185" s="1">
        <v>-4.36E8</v>
      </c>
      <c r="N1185" s="1">
        <v>1.743E10</v>
      </c>
      <c r="O1185" s="1">
        <v>1.783E10</v>
      </c>
      <c r="P1185" s="1">
        <v>1.6143E10</v>
      </c>
      <c r="Q1185" s="1">
        <v>-1.016E9</v>
      </c>
      <c r="R1185" s="1">
        <v>-9.8E8</v>
      </c>
      <c r="S1185" s="1">
        <v>-8.86E8</v>
      </c>
      <c r="W1185" s="4" t="str">
        <f>Raw_Data!C1184&amp;"|"&amp;Raw_Data!D1184&amp;"|"&amp;TEXT(Raw_Data!B1184,"yyyy-mm-dd")</f>
        <v>Marathon Petroleum|MPC|2020-12-31</v>
      </c>
    </row>
    <row r="1186">
      <c r="A1186" s="1">
        <v>1184.0</v>
      </c>
      <c r="B1186" s="3">
        <v>44377.0</v>
      </c>
      <c r="C1186" s="1" t="s">
        <v>633</v>
      </c>
      <c r="D1186" s="1" t="s">
        <v>634</v>
      </c>
      <c r="F1186" s="1">
        <v>8.6053E7</v>
      </c>
      <c r="G1186" s="1">
        <v>6.7288E7</v>
      </c>
      <c r="H1186" s="1">
        <v>2.4784E7</v>
      </c>
      <c r="I1186" s="1">
        <v>1.25058E8</v>
      </c>
      <c r="J1186" s="1">
        <v>8.7177E7</v>
      </c>
      <c r="K1186" s="1">
        <v>8.7177E7</v>
      </c>
      <c r="L1186" s="1">
        <v>-171000.0</v>
      </c>
      <c r="M1186" s="1">
        <v>1.8765E7</v>
      </c>
      <c r="N1186" s="1">
        <v>1.76334E8</v>
      </c>
      <c r="O1186" s="1">
        <v>8.9157E7</v>
      </c>
      <c r="P1186" s="1">
        <v>5.1276E7</v>
      </c>
      <c r="Q1186" s="1">
        <v>-1124000.0</v>
      </c>
      <c r="R1186" s="1">
        <v>6.7288E7</v>
      </c>
      <c r="S1186" s="1">
        <v>6.7288E7</v>
      </c>
      <c r="W1186" s="4" t="str">
        <f>Raw_Data!C1185&amp;"|"&amp;Raw_Data!D1185&amp;"|"&amp;TEXT(Raw_Data!B1185,"yyyy-mm-dd")</f>
        <v>Marathon Petroleum|MPC|2020-09-30</v>
      </c>
    </row>
    <row r="1187">
      <c r="A1187" s="1">
        <v>1185.0</v>
      </c>
      <c r="B1187" s="3">
        <v>44286.0</v>
      </c>
      <c r="C1187" s="1" t="s">
        <v>633</v>
      </c>
      <c r="D1187" s="1" t="s">
        <v>634</v>
      </c>
      <c r="F1187" s="1">
        <v>1.01801E8</v>
      </c>
      <c r="G1187" s="1">
        <v>8.0457E7</v>
      </c>
      <c r="H1187" s="1">
        <v>2.2082E7</v>
      </c>
      <c r="I1187" s="1">
        <v>1.3734E8</v>
      </c>
      <c r="J1187" s="1">
        <v>1.03479E8</v>
      </c>
      <c r="K1187" s="1">
        <v>1.03479E8</v>
      </c>
      <c r="L1187" s="1">
        <v>-191000.0</v>
      </c>
      <c r="M1187" s="1">
        <v>2.1344E7</v>
      </c>
      <c r="N1187" s="1">
        <v>1.95464E8</v>
      </c>
      <c r="O1187" s="1">
        <v>9.1985E7</v>
      </c>
      <c r="P1187" s="1">
        <v>5.8124E7</v>
      </c>
      <c r="Q1187" s="1">
        <v>-1678000.0</v>
      </c>
      <c r="R1187" s="1">
        <v>8.0457E7</v>
      </c>
      <c r="S1187" s="1">
        <v>8.0457E7</v>
      </c>
      <c r="W1187" s="4" t="str">
        <f>Raw_Data!C1186&amp;"|"&amp;Raw_Data!D1186&amp;"|"&amp;TEXT(Raw_Data!B1186,"yyyy-mm-dd")</f>
        <v>MarketAxess|MKTX|2021-06-30</v>
      </c>
    </row>
    <row r="1188">
      <c r="A1188" s="1">
        <v>1186.0</v>
      </c>
      <c r="B1188" s="3">
        <v>44196.0</v>
      </c>
      <c r="C1188" s="1" t="s">
        <v>633</v>
      </c>
      <c r="D1188" s="1" t="s">
        <v>634</v>
      </c>
      <c r="F1188" s="1">
        <v>9.0289E7</v>
      </c>
      <c r="G1188" s="1">
        <v>7.2931E7</v>
      </c>
      <c r="H1188" s="1">
        <v>2.2543E7</v>
      </c>
      <c r="I1188" s="1">
        <v>1.25952E8</v>
      </c>
      <c r="J1188" s="1">
        <v>9.2817E7</v>
      </c>
      <c r="K1188" s="1">
        <v>9.2817E7</v>
      </c>
      <c r="L1188" s="1">
        <v>-96000.0</v>
      </c>
      <c r="M1188" s="1">
        <v>1.7358E7</v>
      </c>
      <c r="N1188" s="1">
        <v>1.71346E8</v>
      </c>
      <c r="O1188" s="1">
        <v>7.8529E7</v>
      </c>
      <c r="P1188" s="1">
        <v>4.5394E7</v>
      </c>
      <c r="Q1188" s="1">
        <v>-2528000.0</v>
      </c>
      <c r="R1188" s="1">
        <v>7.2931E7</v>
      </c>
      <c r="S1188" s="1">
        <v>7.2931E7</v>
      </c>
      <c r="W1188" s="4" t="str">
        <f>Raw_Data!C1187&amp;"|"&amp;Raw_Data!D1187&amp;"|"&amp;TEXT(Raw_Data!B1187,"yyyy-mm-dd")</f>
        <v>MarketAxess|MKTX|2021-03-31</v>
      </c>
    </row>
    <row r="1189">
      <c r="A1189" s="1">
        <v>1187.0</v>
      </c>
      <c r="B1189" s="3">
        <v>44104.0</v>
      </c>
      <c r="C1189" s="1" t="s">
        <v>633</v>
      </c>
      <c r="D1189" s="1" t="s">
        <v>634</v>
      </c>
      <c r="F1189" s="1">
        <v>8.7965E7</v>
      </c>
      <c r="G1189" s="1">
        <v>6.7776E7</v>
      </c>
      <c r="H1189" s="1">
        <v>2.1171E7</v>
      </c>
      <c r="I1189" s="1">
        <v>1.18006E8</v>
      </c>
      <c r="J1189" s="1">
        <v>8.7803E7</v>
      </c>
      <c r="K1189" s="1">
        <v>8.7803E7</v>
      </c>
      <c r="L1189" s="1">
        <v>-1046000.0</v>
      </c>
      <c r="M1189" s="1">
        <v>2.0189E7</v>
      </c>
      <c r="N1189" s="1">
        <v>1.64006E8</v>
      </c>
      <c r="O1189" s="1">
        <v>7.6203E7</v>
      </c>
      <c r="P1189" s="1">
        <v>4.6E7</v>
      </c>
      <c r="Q1189" s="1">
        <v>162000.0</v>
      </c>
      <c r="R1189" s="1">
        <v>6.7776E7</v>
      </c>
      <c r="S1189" s="1">
        <v>6.7776E7</v>
      </c>
      <c r="W1189" s="4" t="str">
        <f>Raw_Data!C1188&amp;"|"&amp;Raw_Data!D1188&amp;"|"&amp;TEXT(Raw_Data!B1188,"yyyy-mm-dd")</f>
        <v>MarketAxess|MKTX|2020-12-31</v>
      </c>
    </row>
    <row r="1190">
      <c r="A1190" s="1">
        <v>1188.0</v>
      </c>
      <c r="B1190" s="3">
        <v>44286.0</v>
      </c>
      <c r="C1190" s="1" t="s">
        <v>635</v>
      </c>
      <c r="D1190" s="1" t="s">
        <v>636</v>
      </c>
      <c r="F1190" s="1">
        <v>-2.7E7</v>
      </c>
      <c r="G1190" s="1">
        <v>-1.1E7</v>
      </c>
      <c r="H1190" s="1">
        <v>2.11E8</v>
      </c>
      <c r="I1190" s="1">
        <v>4.01E8</v>
      </c>
      <c r="J1190" s="1">
        <v>8.5E7</v>
      </c>
      <c r="K1190" s="1">
        <v>8.5E7</v>
      </c>
      <c r="L1190" s="1">
        <v>-1.07E8</v>
      </c>
      <c r="M1190" s="1">
        <v>-1.6E7</v>
      </c>
      <c r="N1190" s="1">
        <v>5.36E8</v>
      </c>
      <c r="O1190" s="1">
        <v>4.51E8</v>
      </c>
      <c r="P1190" s="1">
        <v>1.35E8</v>
      </c>
      <c r="Q1190" s="1">
        <v>-1.12E8</v>
      </c>
      <c r="R1190" s="1">
        <v>-1.1E7</v>
      </c>
      <c r="S1190" s="1">
        <v>-1.1E7</v>
      </c>
      <c r="W1190" s="4" t="str">
        <f>Raw_Data!C1189&amp;"|"&amp;Raw_Data!D1189&amp;"|"&amp;TEXT(Raw_Data!B1189,"yyyy-mm-dd")</f>
        <v>MarketAxess|MKTX|2020-09-30</v>
      </c>
    </row>
    <row r="1191">
      <c r="A1191" s="1">
        <v>1189.0</v>
      </c>
      <c r="B1191" s="3">
        <v>44196.0</v>
      </c>
      <c r="C1191" s="1" t="s">
        <v>635</v>
      </c>
      <c r="D1191" s="1" t="s">
        <v>636</v>
      </c>
      <c r="F1191" s="1">
        <v>-3.14E8</v>
      </c>
      <c r="G1191" s="1">
        <v>-1.64E8</v>
      </c>
      <c r="H1191" s="1">
        <v>4.59E8</v>
      </c>
      <c r="I1191" s="1">
        <v>3.58E8</v>
      </c>
      <c r="J1191" s="1">
        <v>1.45E8</v>
      </c>
      <c r="K1191" s="1">
        <v>1.45E8</v>
      </c>
      <c r="L1191" s="1">
        <v>-1.12E8</v>
      </c>
      <c r="M1191" s="1">
        <v>-1.5E8</v>
      </c>
      <c r="N1191" s="1">
        <v>5.08E8</v>
      </c>
      <c r="O1191" s="1">
        <v>3.63E8</v>
      </c>
      <c r="P1191" s="1">
        <v>1.5E8</v>
      </c>
      <c r="Q1191" s="1">
        <v>-4.59E8</v>
      </c>
      <c r="R1191" s="1">
        <v>-1.64E8</v>
      </c>
      <c r="S1191" s="1">
        <v>-1.64E8</v>
      </c>
      <c r="W1191" s="4" t="str">
        <f>Raw_Data!C1190&amp;"|"&amp;Raw_Data!D1190&amp;"|"&amp;TEXT(Raw_Data!B1190,"yyyy-mm-dd")</f>
        <v>Marriott International|MAR|2021-03-31</v>
      </c>
    </row>
    <row r="1192">
      <c r="A1192" s="1">
        <v>1190.0</v>
      </c>
      <c r="B1192" s="3">
        <v>44104.0</v>
      </c>
      <c r="C1192" s="1" t="s">
        <v>635</v>
      </c>
      <c r="D1192" s="1" t="s">
        <v>636</v>
      </c>
      <c r="F1192" s="1">
        <v>1.27E8</v>
      </c>
      <c r="G1192" s="1">
        <v>1.0E8</v>
      </c>
      <c r="H1192" s="1">
        <v>1.31E8</v>
      </c>
      <c r="I1192" s="1">
        <v>3.31E8</v>
      </c>
      <c r="J1192" s="1">
        <v>2.53E8</v>
      </c>
      <c r="K1192" s="1">
        <v>2.53E8</v>
      </c>
      <c r="L1192" s="1">
        <v>-1.13E8</v>
      </c>
      <c r="M1192" s="1">
        <v>2.7E7</v>
      </c>
      <c r="N1192" s="1">
        <v>4.65E8</v>
      </c>
      <c r="O1192" s="1">
        <v>2.12E8</v>
      </c>
      <c r="P1192" s="1">
        <v>1.34E8</v>
      </c>
      <c r="Q1192" s="1">
        <v>-1.26E8</v>
      </c>
      <c r="R1192" s="1">
        <v>1.0E8</v>
      </c>
      <c r="S1192" s="1">
        <v>1.0E8</v>
      </c>
      <c r="W1192" s="4" t="str">
        <f>Raw_Data!C1191&amp;"|"&amp;Raw_Data!D1191&amp;"|"&amp;TEXT(Raw_Data!B1191,"yyyy-mm-dd")</f>
        <v>Marriott International|MAR|2020-12-31</v>
      </c>
    </row>
    <row r="1193">
      <c r="A1193" s="1">
        <v>1191.0</v>
      </c>
      <c r="B1193" s="3">
        <v>44012.0</v>
      </c>
      <c r="C1193" s="1" t="s">
        <v>635</v>
      </c>
      <c r="D1193" s="1" t="s">
        <v>636</v>
      </c>
      <c r="F1193" s="1">
        <v>-2.98E8</v>
      </c>
      <c r="G1193" s="1">
        <v>-2.34E8</v>
      </c>
      <c r="H1193" s="1">
        <v>1.78E8</v>
      </c>
      <c r="I1193" s="1">
        <v>1.41E8</v>
      </c>
      <c r="J1193" s="1">
        <v>-1.33E8</v>
      </c>
      <c r="K1193" s="1">
        <v>-1.33E8</v>
      </c>
      <c r="L1193" s="1">
        <v>-1.27E8</v>
      </c>
      <c r="M1193" s="1">
        <v>-6.4E7</v>
      </c>
      <c r="N1193" s="1">
        <v>2.62E8</v>
      </c>
      <c r="O1193" s="1">
        <v>3.95E8</v>
      </c>
      <c r="P1193" s="1">
        <v>1.21E8</v>
      </c>
      <c r="Q1193" s="1">
        <v>-1.65E8</v>
      </c>
      <c r="R1193" s="1">
        <v>-2.34E8</v>
      </c>
      <c r="S1193" s="1">
        <v>-2.34E8</v>
      </c>
      <c r="W1193" s="4" t="str">
        <f>Raw_Data!C1192&amp;"|"&amp;Raw_Data!D1192&amp;"|"&amp;TEXT(Raw_Data!B1192,"yyyy-mm-dd")</f>
        <v>Marriott International|MAR|2020-09-30</v>
      </c>
    </row>
    <row r="1194">
      <c r="A1194" s="1">
        <v>1192.0</v>
      </c>
      <c r="B1194" s="3">
        <v>44286.0</v>
      </c>
      <c r="C1194" s="1" t="s">
        <v>637</v>
      </c>
      <c r="D1194" s="1" t="s">
        <v>638</v>
      </c>
      <c r="F1194" s="1">
        <v>1.322E9</v>
      </c>
      <c r="G1194" s="1">
        <v>9.83E8</v>
      </c>
      <c r="I1194" s="1">
        <v>2.349E9</v>
      </c>
      <c r="J1194" s="1">
        <v>1.452E9</v>
      </c>
      <c r="K1194" s="1">
        <v>1.452E9</v>
      </c>
      <c r="L1194" s="1">
        <v>-1.18E8</v>
      </c>
      <c r="M1194" s="1">
        <v>3.24E8</v>
      </c>
      <c r="N1194" s="1">
        <v>5.083E9</v>
      </c>
      <c r="O1194" s="1">
        <v>3.631E9</v>
      </c>
      <c r="P1194" s="1">
        <v>2.734E9</v>
      </c>
      <c r="Q1194" s="1">
        <v>-1.3E8</v>
      </c>
      <c r="R1194" s="1">
        <v>9.98E8</v>
      </c>
      <c r="S1194" s="1">
        <v>9.83E8</v>
      </c>
      <c r="W1194" s="4" t="str">
        <f>Raw_Data!C1193&amp;"|"&amp;Raw_Data!D1193&amp;"|"&amp;TEXT(Raw_Data!B1193,"yyyy-mm-dd")</f>
        <v>Marriott International|MAR|2020-06-30</v>
      </c>
    </row>
    <row r="1195">
      <c r="A1195" s="1">
        <v>1193.0</v>
      </c>
      <c r="B1195" s="3">
        <v>44196.0</v>
      </c>
      <c r="C1195" s="1" t="s">
        <v>637</v>
      </c>
      <c r="D1195" s="1" t="s">
        <v>638</v>
      </c>
      <c r="F1195" s="1">
        <v>5.4E8</v>
      </c>
      <c r="G1195" s="1">
        <v>3.74E8</v>
      </c>
      <c r="I1195" s="1">
        <v>1.865E9</v>
      </c>
      <c r="J1195" s="1">
        <v>7.6E8</v>
      </c>
      <c r="K1195" s="1">
        <v>7.6E8</v>
      </c>
      <c r="L1195" s="1">
        <v>-1.28E8</v>
      </c>
      <c r="M1195" s="1">
        <v>1.61E8</v>
      </c>
      <c r="N1195" s="1">
        <v>4.416E9</v>
      </c>
      <c r="O1195" s="1">
        <v>3.656E9</v>
      </c>
      <c r="P1195" s="1">
        <v>2.551E9</v>
      </c>
      <c r="Q1195" s="1">
        <v>-2.2E8</v>
      </c>
      <c r="R1195" s="1">
        <v>3.79E8</v>
      </c>
      <c r="S1195" s="1">
        <v>3.74E8</v>
      </c>
      <c r="W1195" s="4" t="str">
        <f>Raw_Data!C1194&amp;"|"&amp;Raw_Data!D1194&amp;"|"&amp;TEXT(Raw_Data!B1194,"yyyy-mm-dd")</f>
        <v>Marsh &amp; McLennan|MMC|2021-03-31</v>
      </c>
    </row>
    <row r="1196">
      <c r="A1196" s="1">
        <v>1194.0</v>
      </c>
      <c r="B1196" s="3">
        <v>44104.0</v>
      </c>
      <c r="C1196" s="1" t="s">
        <v>637</v>
      </c>
      <c r="D1196" s="1" t="s">
        <v>638</v>
      </c>
      <c r="F1196" s="1">
        <v>4.59E8</v>
      </c>
      <c r="G1196" s="1">
        <v>3.16E8</v>
      </c>
      <c r="I1196" s="1">
        <v>1.533E9</v>
      </c>
      <c r="J1196" s="1">
        <v>6.0E8</v>
      </c>
      <c r="K1196" s="1">
        <v>6.0E8</v>
      </c>
      <c r="L1196" s="1">
        <v>-1.28E8</v>
      </c>
      <c r="M1196" s="1">
        <v>1.39E8</v>
      </c>
      <c r="N1196" s="1">
        <v>3.968E9</v>
      </c>
      <c r="O1196" s="1">
        <v>3.368E9</v>
      </c>
      <c r="P1196" s="1">
        <v>2.435E9</v>
      </c>
      <c r="Q1196" s="1">
        <v>-1.41E8</v>
      </c>
      <c r="R1196" s="1">
        <v>3.2E8</v>
      </c>
      <c r="S1196" s="1">
        <v>3.16E8</v>
      </c>
      <c r="W1196" s="4" t="str">
        <f>Raw_Data!C1195&amp;"|"&amp;Raw_Data!D1195&amp;"|"&amp;TEXT(Raw_Data!B1195,"yyyy-mm-dd")</f>
        <v>Marsh &amp; McLennan|MMC|2020-12-31</v>
      </c>
    </row>
    <row r="1197">
      <c r="A1197" s="1">
        <v>1195.0</v>
      </c>
      <c r="B1197" s="3">
        <v>44012.0</v>
      </c>
      <c r="C1197" s="1" t="s">
        <v>637</v>
      </c>
      <c r="D1197" s="1" t="s">
        <v>638</v>
      </c>
      <c r="F1197" s="1">
        <v>7.87E8</v>
      </c>
      <c r="G1197" s="1">
        <v>5.72E8</v>
      </c>
      <c r="I1197" s="1">
        <v>1.823E9</v>
      </c>
      <c r="J1197" s="1">
        <v>9.48E8</v>
      </c>
      <c r="K1197" s="1">
        <v>9.48E8</v>
      </c>
      <c r="L1197" s="1">
        <v>-1.32E8</v>
      </c>
      <c r="M1197" s="1">
        <v>2.07E8</v>
      </c>
      <c r="N1197" s="1">
        <v>4.189E9</v>
      </c>
      <c r="O1197" s="1">
        <v>3.241E9</v>
      </c>
      <c r="P1197" s="1">
        <v>2.366E9</v>
      </c>
      <c r="Q1197" s="1">
        <v>-1.61E8</v>
      </c>
      <c r="R1197" s="1">
        <v>5.8E8</v>
      </c>
      <c r="S1197" s="1">
        <v>5.72E8</v>
      </c>
      <c r="W1197" s="4" t="str">
        <f>Raw_Data!C1196&amp;"|"&amp;Raw_Data!D1196&amp;"|"&amp;TEXT(Raw_Data!B1196,"yyyy-mm-dd")</f>
        <v>Marsh &amp; McLennan|MMC|2020-09-30</v>
      </c>
    </row>
    <row r="1198">
      <c r="A1198" s="1">
        <v>1196.0</v>
      </c>
      <c r="B1198" s="3">
        <v>44377.0</v>
      </c>
      <c r="C1198" s="1" t="s">
        <v>639</v>
      </c>
      <c r="D1198" s="1" t="s">
        <v>640</v>
      </c>
      <c r="F1198" s="1">
        <v>2.881E8</v>
      </c>
      <c r="G1198" s="1">
        <v>2.258E8</v>
      </c>
      <c r="H1198" s="1">
        <v>7.67E7</v>
      </c>
      <c r="I1198" s="1">
        <v>3.853E8</v>
      </c>
      <c r="J1198" s="1">
        <v>3.102E8</v>
      </c>
      <c r="K1198" s="1">
        <v>3.102E8</v>
      </c>
      <c r="L1198" s="1">
        <v>-2.81E7</v>
      </c>
      <c r="M1198" s="1">
        <v>6.23E7</v>
      </c>
      <c r="N1198" s="1">
        <v>1.2953E9</v>
      </c>
      <c r="O1198" s="1">
        <v>9.851E8</v>
      </c>
      <c r="P1198" s="1">
        <v>9.1E8</v>
      </c>
      <c r="Q1198" s="1">
        <v>-2.21E7</v>
      </c>
      <c r="R1198" s="1">
        <v>2.258E8</v>
      </c>
      <c r="S1198" s="1">
        <v>2.256E8</v>
      </c>
      <c r="W1198" s="4" t="str">
        <f>Raw_Data!C1197&amp;"|"&amp;Raw_Data!D1197&amp;"|"&amp;TEXT(Raw_Data!B1197,"yyyy-mm-dd")</f>
        <v>Marsh &amp; McLennan|MMC|2020-06-30</v>
      </c>
    </row>
    <row r="1199">
      <c r="A1199" s="1">
        <v>1197.0</v>
      </c>
      <c r="B1199" s="3">
        <v>44286.0</v>
      </c>
      <c r="C1199" s="1" t="s">
        <v>639</v>
      </c>
      <c r="D1199" s="1" t="s">
        <v>640</v>
      </c>
      <c r="F1199" s="1">
        <v>8.14E7</v>
      </c>
      <c r="G1199" s="1">
        <v>6.53E7</v>
      </c>
      <c r="H1199" s="1">
        <v>7.36E7</v>
      </c>
      <c r="I1199" s="1">
        <v>1.759E8</v>
      </c>
      <c r="J1199" s="1">
        <v>1.067E8</v>
      </c>
      <c r="K1199" s="1">
        <v>1.067E8</v>
      </c>
      <c r="L1199" s="1">
        <v>-2.74E7</v>
      </c>
      <c r="M1199" s="1">
        <v>1.59E7</v>
      </c>
      <c r="N1199" s="1">
        <v>9.219E8</v>
      </c>
      <c r="O1199" s="1">
        <v>8.152E8</v>
      </c>
      <c r="P1199" s="1">
        <v>7.46E8</v>
      </c>
      <c r="Q1199" s="1">
        <v>-2.53E7</v>
      </c>
      <c r="R1199" s="1">
        <v>6.55E7</v>
      </c>
      <c r="S1199" s="1">
        <v>6.53E7</v>
      </c>
      <c r="W1199" s="4" t="str">
        <f>Raw_Data!C1198&amp;"|"&amp;Raw_Data!D1198&amp;"|"&amp;TEXT(Raw_Data!B1198,"yyyy-mm-dd")</f>
        <v>Martin Marietta Materials|MLM|2021-06-30</v>
      </c>
    </row>
    <row r="1200">
      <c r="A1200" s="1">
        <v>1198.0</v>
      </c>
      <c r="B1200" s="3">
        <v>44196.0</v>
      </c>
      <c r="C1200" s="1" t="s">
        <v>639</v>
      </c>
      <c r="D1200" s="1" t="s">
        <v>640</v>
      </c>
      <c r="F1200" s="1">
        <v>2.083E8</v>
      </c>
      <c r="G1200" s="1">
        <v>1.83E8</v>
      </c>
      <c r="H1200" s="1">
        <v>8.63E7</v>
      </c>
      <c r="I1200" s="1">
        <v>3.262E8</v>
      </c>
      <c r="J1200" s="1">
        <v>2.393E8</v>
      </c>
      <c r="K1200" s="1">
        <v>2.393E8</v>
      </c>
      <c r="L1200" s="1">
        <v>-2.84E7</v>
      </c>
      <c r="M1200" s="1">
        <v>2.52E7</v>
      </c>
      <c r="N1200" s="1">
        <v>1.1109E9</v>
      </c>
      <c r="O1200" s="1">
        <v>8.716E8</v>
      </c>
      <c r="P1200" s="1">
        <v>7.847E8</v>
      </c>
      <c r="Q1200" s="1">
        <v>-3.1E7</v>
      </c>
      <c r="R1200" s="1">
        <v>1.831E8</v>
      </c>
      <c r="S1200" s="1">
        <v>1.829E8</v>
      </c>
      <c r="W1200" s="4" t="str">
        <f>Raw_Data!C1199&amp;"|"&amp;Raw_Data!D1199&amp;"|"&amp;TEXT(Raw_Data!B1199,"yyyy-mm-dd")</f>
        <v>Martin Marietta Materials|MLM|2021-03-31</v>
      </c>
    </row>
    <row r="1201">
      <c r="A1201" s="1">
        <v>1199.0</v>
      </c>
      <c r="B1201" s="3">
        <v>44104.0</v>
      </c>
      <c r="C1201" s="1" t="s">
        <v>639</v>
      </c>
      <c r="D1201" s="1" t="s">
        <v>640</v>
      </c>
      <c r="F1201" s="1">
        <v>3.759E8</v>
      </c>
      <c r="G1201" s="1">
        <v>2.944E8</v>
      </c>
      <c r="H1201" s="1">
        <v>6.82E7</v>
      </c>
      <c r="I1201" s="1">
        <v>4.046E8</v>
      </c>
      <c r="J1201" s="1">
        <v>3.34E8</v>
      </c>
      <c r="K1201" s="1">
        <v>3.34E8</v>
      </c>
      <c r="L1201" s="1">
        <v>-2.87E7</v>
      </c>
      <c r="M1201" s="1">
        <v>8.15E7</v>
      </c>
      <c r="N1201" s="1">
        <v>1.2407E9</v>
      </c>
      <c r="O1201" s="1">
        <v>9.067E8</v>
      </c>
      <c r="P1201" s="1">
        <v>8.361E8</v>
      </c>
      <c r="Q1201" s="1">
        <v>4.19E7</v>
      </c>
      <c r="R1201" s="1">
        <v>2.944E8</v>
      </c>
      <c r="S1201" s="1">
        <v>2.941E8</v>
      </c>
      <c r="W1201" s="4" t="str">
        <f>Raw_Data!C1200&amp;"|"&amp;Raw_Data!D1200&amp;"|"&amp;TEXT(Raw_Data!B1200,"yyyy-mm-dd")</f>
        <v>Martin Marietta Materials|MLM|2020-12-31</v>
      </c>
    </row>
    <row r="1202">
      <c r="A1202" s="1">
        <v>1200.0</v>
      </c>
      <c r="B1202" s="3">
        <v>44286.0</v>
      </c>
      <c r="C1202" s="1" t="s">
        <v>641</v>
      </c>
      <c r="D1202" s="1" t="s">
        <v>642</v>
      </c>
      <c r="F1202" s="1">
        <v>1.57E8</v>
      </c>
      <c r="G1202" s="1">
        <v>9.4E7</v>
      </c>
      <c r="H1202" s="1">
        <v>3.46E8</v>
      </c>
      <c r="I1202" s="1">
        <v>7.0E8</v>
      </c>
      <c r="J1202" s="1">
        <v>3.54E8</v>
      </c>
      <c r="K1202" s="1">
        <v>3.54E8</v>
      </c>
      <c r="L1202" s="1">
        <v>-2.02E8</v>
      </c>
      <c r="M1202" s="1">
        <v>4.3E7</v>
      </c>
      <c r="N1202" s="1">
        <v>1.97E9</v>
      </c>
      <c r="O1202" s="1">
        <v>1.616E9</v>
      </c>
      <c r="P1202" s="1">
        <v>1.27E9</v>
      </c>
      <c r="Q1202" s="1">
        <v>-2.08E8</v>
      </c>
      <c r="R1202" s="1">
        <v>1.14E8</v>
      </c>
      <c r="S1202" s="1">
        <v>8.8E7</v>
      </c>
      <c r="W1202" s="4" t="str">
        <f>Raw_Data!C1201&amp;"|"&amp;Raw_Data!D1201&amp;"|"&amp;TEXT(Raw_Data!B1201,"yyyy-mm-dd")</f>
        <v>Martin Marietta Materials|MLM|2020-09-30</v>
      </c>
    </row>
    <row r="1203">
      <c r="A1203" s="1">
        <v>1201.0</v>
      </c>
      <c r="B1203" s="3">
        <v>44196.0</v>
      </c>
      <c r="C1203" s="1" t="s">
        <v>641</v>
      </c>
      <c r="D1203" s="1" t="s">
        <v>642</v>
      </c>
      <c r="F1203" s="1">
        <v>2.75E8</v>
      </c>
      <c r="G1203" s="1">
        <v>1.95E8</v>
      </c>
      <c r="H1203" s="1">
        <v>3.53E8</v>
      </c>
      <c r="I1203" s="1">
        <v>6.62E8</v>
      </c>
      <c r="J1203" s="1">
        <v>3.09E8</v>
      </c>
      <c r="K1203" s="1">
        <v>3.09E8</v>
      </c>
      <c r="L1203" s="1">
        <v>-3.4E7</v>
      </c>
      <c r="M1203" s="1">
        <v>6.7E7</v>
      </c>
      <c r="N1203" s="1">
        <v>1.86E9</v>
      </c>
      <c r="O1203" s="1">
        <v>1.551E9</v>
      </c>
      <c r="P1203" s="1">
        <v>1.198E9</v>
      </c>
      <c r="Q1203" s="1">
        <v>-3.4E7</v>
      </c>
      <c r="R1203" s="1">
        <v>2.08E8</v>
      </c>
      <c r="S1203" s="1">
        <v>1.95E8</v>
      </c>
      <c r="W1203" s="4" t="str">
        <f>Raw_Data!C1202&amp;"|"&amp;Raw_Data!D1202&amp;"|"&amp;TEXT(Raw_Data!B1202,"yyyy-mm-dd")</f>
        <v>Masco|MAS|2021-03-31</v>
      </c>
    </row>
    <row r="1204">
      <c r="A1204" s="1">
        <v>1202.0</v>
      </c>
      <c r="B1204" s="3">
        <v>44104.0</v>
      </c>
      <c r="C1204" s="1" t="s">
        <v>641</v>
      </c>
      <c r="D1204" s="1" t="s">
        <v>642</v>
      </c>
      <c r="F1204" s="1">
        <v>3.8E8</v>
      </c>
      <c r="G1204" s="1">
        <v>2.75E8</v>
      </c>
      <c r="H1204" s="1">
        <v>3.37E8</v>
      </c>
      <c r="I1204" s="1">
        <v>7.52E8</v>
      </c>
      <c r="J1204" s="1">
        <v>4.15E8</v>
      </c>
      <c r="K1204" s="1">
        <v>4.15E8</v>
      </c>
      <c r="L1204" s="1">
        <v>-4.0E7</v>
      </c>
      <c r="M1204" s="1">
        <v>8.7E7</v>
      </c>
      <c r="N1204" s="1">
        <v>1.983E9</v>
      </c>
      <c r="O1204" s="1">
        <v>1.568E9</v>
      </c>
      <c r="P1204" s="1">
        <v>1.231E9</v>
      </c>
      <c r="Q1204" s="1">
        <v>-3.5E7</v>
      </c>
      <c r="R1204" s="1">
        <v>2.93E8</v>
      </c>
      <c r="S1204" s="1">
        <v>2.74E8</v>
      </c>
      <c r="W1204" s="4" t="str">
        <f>Raw_Data!C1203&amp;"|"&amp;Raw_Data!D1203&amp;"|"&amp;TEXT(Raw_Data!B1203,"yyyy-mm-dd")</f>
        <v>Masco|MAS|2020-12-31</v>
      </c>
    </row>
    <row r="1205">
      <c r="A1205" s="1">
        <v>1203.0</v>
      </c>
      <c r="B1205" s="3">
        <v>44012.0</v>
      </c>
      <c r="C1205" s="1" t="s">
        <v>641</v>
      </c>
      <c r="D1205" s="1" t="s">
        <v>642</v>
      </c>
      <c r="F1205" s="1">
        <v>3.02E8</v>
      </c>
      <c r="G1205" s="1">
        <v>2.24E8</v>
      </c>
      <c r="H1205" s="1">
        <v>2.97E8</v>
      </c>
      <c r="I1205" s="1">
        <v>6.28E8</v>
      </c>
      <c r="J1205" s="1">
        <v>3.31E8</v>
      </c>
      <c r="K1205" s="1">
        <v>3.31E8</v>
      </c>
      <c r="L1205" s="1">
        <v>-3.5E7</v>
      </c>
      <c r="M1205" s="1">
        <v>8.2E7</v>
      </c>
      <c r="N1205" s="1">
        <v>1.764E9</v>
      </c>
      <c r="O1205" s="1">
        <v>1.433E9</v>
      </c>
      <c r="P1205" s="1">
        <v>1.136E9</v>
      </c>
      <c r="Q1205" s="1">
        <v>-2.9E7</v>
      </c>
      <c r="R1205" s="1">
        <v>2.2E8</v>
      </c>
      <c r="S1205" s="1">
        <v>2.22E8</v>
      </c>
      <c r="W1205" s="4" t="str">
        <f>Raw_Data!C1204&amp;"|"&amp;Raw_Data!D1204&amp;"|"&amp;TEXT(Raw_Data!B1204,"yyyy-mm-dd")</f>
        <v>Masco|MAS|2020-09-30</v>
      </c>
    </row>
    <row r="1206">
      <c r="A1206" s="1">
        <v>1204.0</v>
      </c>
      <c r="B1206" s="3">
        <v>44377.0</v>
      </c>
      <c r="C1206" s="1" t="s">
        <v>643</v>
      </c>
      <c r="D1206" s="1" t="s">
        <v>644</v>
      </c>
      <c r="F1206" s="1">
        <v>2.478E9</v>
      </c>
      <c r="G1206" s="1">
        <v>2.066E9</v>
      </c>
      <c r="H1206" s="1">
        <v>1.934E9</v>
      </c>
      <c r="I1206" s="1">
        <v>4.528E9</v>
      </c>
      <c r="J1206" s="1">
        <v>2.408E9</v>
      </c>
      <c r="K1206" s="1">
        <v>2.408E9</v>
      </c>
      <c r="L1206" s="1">
        <v>-1.06E8</v>
      </c>
      <c r="M1206" s="1">
        <v>4.12E8</v>
      </c>
      <c r="N1206" s="1">
        <v>4.528E9</v>
      </c>
      <c r="O1206" s="1">
        <v>2.12E9</v>
      </c>
      <c r="P1206" s="1">
        <v>0.0</v>
      </c>
      <c r="Q1206" s="1">
        <v>7.0E7</v>
      </c>
      <c r="R1206" s="1">
        <v>2.066E9</v>
      </c>
      <c r="S1206" s="1">
        <v>2.066E9</v>
      </c>
      <c r="W1206" s="4" t="str">
        <f>Raw_Data!C1205&amp;"|"&amp;Raw_Data!D1205&amp;"|"&amp;TEXT(Raw_Data!B1205,"yyyy-mm-dd")</f>
        <v>Masco|MAS|2020-06-30</v>
      </c>
    </row>
    <row r="1207">
      <c r="A1207" s="1">
        <v>1205.0</v>
      </c>
      <c r="B1207" s="3">
        <v>44286.0</v>
      </c>
      <c r="C1207" s="1" t="s">
        <v>643</v>
      </c>
      <c r="D1207" s="1" t="s">
        <v>644</v>
      </c>
      <c r="F1207" s="1">
        <v>2.19E9</v>
      </c>
      <c r="G1207" s="1">
        <v>1.828E9</v>
      </c>
      <c r="H1207" s="1">
        <v>1.795E9</v>
      </c>
      <c r="I1207" s="1">
        <v>4.155E9</v>
      </c>
      <c r="J1207" s="1">
        <v>2.197E9</v>
      </c>
      <c r="K1207" s="1">
        <v>2.197E9</v>
      </c>
      <c r="L1207" s="1">
        <v>-1.07E8</v>
      </c>
      <c r="M1207" s="1">
        <v>3.62E8</v>
      </c>
      <c r="N1207" s="1">
        <v>4.155E9</v>
      </c>
      <c r="O1207" s="1">
        <v>1.958E9</v>
      </c>
      <c r="P1207" s="1">
        <v>0.0</v>
      </c>
      <c r="Q1207" s="1">
        <v>-7000000.0</v>
      </c>
      <c r="R1207" s="1">
        <v>1.828E9</v>
      </c>
      <c r="S1207" s="1">
        <v>1.828E9</v>
      </c>
      <c r="W1207" s="4" t="str">
        <f>Raw_Data!C1206&amp;"|"&amp;Raw_Data!D1206&amp;"|"&amp;TEXT(Raw_Data!B1206,"yyyy-mm-dd")</f>
        <v>Mastercard|MA|2021-06-30</v>
      </c>
    </row>
    <row r="1208">
      <c r="A1208" s="1">
        <v>1206.0</v>
      </c>
      <c r="B1208" s="3">
        <v>44196.0</v>
      </c>
      <c r="C1208" s="1" t="s">
        <v>643</v>
      </c>
      <c r="D1208" s="1" t="s">
        <v>644</v>
      </c>
      <c r="F1208" s="1">
        <v>2.168E9</v>
      </c>
      <c r="G1208" s="1">
        <v>1.785E9</v>
      </c>
      <c r="H1208" s="1">
        <v>1.859E9</v>
      </c>
      <c r="I1208" s="1">
        <v>4.12E9</v>
      </c>
      <c r="J1208" s="1">
        <v>2.111E9</v>
      </c>
      <c r="K1208" s="1">
        <v>2.111E9</v>
      </c>
      <c r="L1208" s="1">
        <v>-1.08E8</v>
      </c>
      <c r="M1208" s="1">
        <v>3.83E8</v>
      </c>
      <c r="N1208" s="1">
        <v>4.12E9</v>
      </c>
      <c r="O1208" s="1">
        <v>2.009E9</v>
      </c>
      <c r="P1208" s="1">
        <v>0.0</v>
      </c>
      <c r="Q1208" s="1">
        <v>5.7E7</v>
      </c>
      <c r="R1208" s="1">
        <v>1.785E9</v>
      </c>
      <c r="S1208" s="1">
        <v>1.785E9</v>
      </c>
      <c r="W1208" s="4" t="str">
        <f>Raw_Data!C1207&amp;"|"&amp;Raw_Data!D1207&amp;"|"&amp;TEXT(Raw_Data!B1207,"yyyy-mm-dd")</f>
        <v>Mastercard|MA|2021-03-31</v>
      </c>
    </row>
    <row r="1209">
      <c r="A1209" s="1">
        <v>1207.0</v>
      </c>
      <c r="B1209" s="3">
        <v>44104.0</v>
      </c>
      <c r="C1209" s="1" t="s">
        <v>643</v>
      </c>
      <c r="D1209" s="1" t="s">
        <v>644</v>
      </c>
      <c r="F1209" s="1">
        <v>1.915E9</v>
      </c>
      <c r="G1209" s="1">
        <v>1.513E9</v>
      </c>
      <c r="H1209" s="1">
        <v>1.591E9</v>
      </c>
      <c r="I1209" s="1">
        <v>3.837E9</v>
      </c>
      <c r="J1209" s="1">
        <v>2.105E9</v>
      </c>
      <c r="K1209" s="1">
        <v>2.105E9</v>
      </c>
      <c r="L1209" s="1">
        <v>-1.05E8</v>
      </c>
      <c r="M1209" s="1">
        <v>4.02E8</v>
      </c>
      <c r="N1209" s="1">
        <v>3.837E9</v>
      </c>
      <c r="O1209" s="1">
        <v>1.732E9</v>
      </c>
      <c r="P1209" s="1">
        <v>0.0</v>
      </c>
      <c r="Q1209" s="1">
        <v>-1.9E8</v>
      </c>
      <c r="R1209" s="1">
        <v>1.513E9</v>
      </c>
      <c r="S1209" s="1">
        <v>1.513E9</v>
      </c>
      <c r="W1209" s="4" t="str">
        <f>Raw_Data!C1208&amp;"|"&amp;Raw_Data!D1208&amp;"|"&amp;TEXT(Raw_Data!B1208,"yyyy-mm-dd")</f>
        <v>Mastercard|MA|2020-12-31</v>
      </c>
    </row>
    <row r="1210">
      <c r="A1210" s="1">
        <v>1208.0</v>
      </c>
      <c r="B1210" s="3">
        <v>44377.0</v>
      </c>
      <c r="C1210" s="1" t="s">
        <v>645</v>
      </c>
      <c r="D1210" s="1" t="s">
        <v>646</v>
      </c>
      <c r="E1210" s="1">
        <v>5.2133E7</v>
      </c>
      <c r="F1210" s="1">
        <v>1.7734E8</v>
      </c>
      <c r="G1210" s="1">
        <v>1.40895E8</v>
      </c>
      <c r="H1210" s="1">
        <v>2.38811E8</v>
      </c>
      <c r="I1210" s="1">
        <v>5.14661E8</v>
      </c>
      <c r="J1210" s="1">
        <v>2.13414E8</v>
      </c>
      <c r="K1210" s="1">
        <v>2.13414E8</v>
      </c>
      <c r="L1210" s="1">
        <v>-3.2219E7</v>
      </c>
      <c r="M1210" s="1">
        <v>3.732E7</v>
      </c>
      <c r="N1210" s="1">
        <v>7.0776E8</v>
      </c>
      <c r="O1210" s="1">
        <v>4.94346E8</v>
      </c>
      <c r="P1210" s="1">
        <v>1.93099E8</v>
      </c>
      <c r="Q1210" s="1">
        <v>-3.6074E7</v>
      </c>
      <c r="R1210" s="1">
        <v>1.4002E8</v>
      </c>
      <c r="S1210" s="1">
        <v>1.40895E8</v>
      </c>
      <c r="W1210" s="4" t="str">
        <f>Raw_Data!C1209&amp;"|"&amp;Raw_Data!D1209&amp;"|"&amp;TEXT(Raw_Data!B1209,"yyyy-mm-dd")</f>
        <v>Mastercard|MA|2020-09-30</v>
      </c>
    </row>
    <row r="1211">
      <c r="A1211" s="1">
        <v>1209.0</v>
      </c>
      <c r="B1211" s="3">
        <v>44286.0</v>
      </c>
      <c r="C1211" s="1" t="s">
        <v>645</v>
      </c>
      <c r="D1211" s="1" t="s">
        <v>646</v>
      </c>
      <c r="E1211" s="1">
        <v>5.5576E7</v>
      </c>
      <c r="F1211" s="1">
        <v>1.56101E8</v>
      </c>
      <c r="G1211" s="1">
        <v>1.7425E8</v>
      </c>
      <c r="H1211" s="1">
        <v>2.28653E8</v>
      </c>
      <c r="I1211" s="1">
        <v>4.88157E8</v>
      </c>
      <c r="J1211" s="1">
        <v>1.93258E8</v>
      </c>
      <c r="K1211" s="1">
        <v>1.93258E8</v>
      </c>
      <c r="L1211" s="1">
        <v>-3.1838E7</v>
      </c>
      <c r="M1211" s="1">
        <v>-1.7747E7</v>
      </c>
      <c r="N1211" s="1">
        <v>6.67612E8</v>
      </c>
      <c r="O1211" s="1">
        <v>4.74354E8</v>
      </c>
      <c r="P1211" s="1">
        <v>1.79455E8</v>
      </c>
      <c r="Q1211" s="1">
        <v>-3.7157E7</v>
      </c>
      <c r="R1211" s="1">
        <v>1.73848E8</v>
      </c>
      <c r="S1211" s="1">
        <v>1.7425E8</v>
      </c>
      <c r="W1211" s="4" t="str">
        <f>Raw_Data!C1210&amp;"|"&amp;Raw_Data!D1210&amp;"|"&amp;TEXT(Raw_Data!B1210,"yyyy-mm-dd")</f>
        <v>Match Group|MTCH|2021-06-30</v>
      </c>
    </row>
    <row r="1212">
      <c r="A1212" s="1">
        <v>1210.0</v>
      </c>
      <c r="B1212" s="3">
        <v>44196.0</v>
      </c>
      <c r="C1212" s="1" t="s">
        <v>645</v>
      </c>
      <c r="D1212" s="1" t="s">
        <v>646</v>
      </c>
      <c r="E1212" s="1">
        <v>4.4832E7</v>
      </c>
      <c r="F1212" s="1">
        <v>1.65796E8</v>
      </c>
      <c r="G1212" s="1">
        <v>1.40579E8</v>
      </c>
      <c r="H1212" s="1">
        <v>2.13007E8</v>
      </c>
      <c r="I1212" s="1">
        <v>4.81671E8</v>
      </c>
      <c r="J1212" s="1">
        <v>2.12582E8</v>
      </c>
      <c r="K1212" s="1">
        <v>2.12582E8</v>
      </c>
      <c r="L1212" s="1">
        <v>-4.3306E7</v>
      </c>
      <c r="M1212" s="1">
        <v>2.5617E7</v>
      </c>
      <c r="N1212" s="1">
        <v>6.51407E8</v>
      </c>
      <c r="O1212" s="1">
        <v>4.38825E8</v>
      </c>
      <c r="P1212" s="1">
        <v>1.69736E8</v>
      </c>
      <c r="Q1212" s="1">
        <v>-4.6786E7</v>
      </c>
      <c r="R1212" s="1">
        <v>1.40179E8</v>
      </c>
      <c r="S1212" s="1">
        <v>1.40579E8</v>
      </c>
      <c r="W1212" s="4" t="str">
        <f>Raw_Data!C1211&amp;"|"&amp;Raw_Data!D1211&amp;"|"&amp;TEXT(Raw_Data!B1211,"yyyy-mm-dd")</f>
        <v>Match Group|MTCH|2021-03-31</v>
      </c>
    </row>
    <row r="1213">
      <c r="A1213" s="1">
        <v>1211.0</v>
      </c>
      <c r="B1213" s="3">
        <v>44104.0</v>
      </c>
      <c r="C1213" s="1" t="s">
        <v>645</v>
      </c>
      <c r="D1213" s="1" t="s">
        <v>646</v>
      </c>
      <c r="E1213" s="1">
        <v>3.928E7</v>
      </c>
      <c r="F1213" s="1">
        <v>1.55055E8</v>
      </c>
      <c r="G1213" s="1">
        <v>1.32581E8</v>
      </c>
      <c r="H1213" s="1">
        <v>2.1882E8</v>
      </c>
      <c r="I1213" s="1">
        <v>4.69947E8</v>
      </c>
      <c r="J1213" s="1">
        <v>2.00167E8</v>
      </c>
      <c r="K1213" s="1">
        <v>2.00167E8</v>
      </c>
      <c r="L1213" s="1">
        <v>-4.3189E7</v>
      </c>
      <c r="M1213" s="1">
        <v>2.3568E7</v>
      </c>
      <c r="N1213" s="1">
        <v>6.3977E8</v>
      </c>
      <c r="O1213" s="1">
        <v>4.39603E8</v>
      </c>
      <c r="P1213" s="1">
        <v>1.69823E8</v>
      </c>
      <c r="Q1213" s="1">
        <v>-4.5112E7</v>
      </c>
      <c r="R1213" s="1">
        <v>1.31487E8</v>
      </c>
      <c r="S1213" s="1">
        <v>1.32581E8</v>
      </c>
      <c r="W1213" s="4" t="str">
        <f>Raw_Data!C1212&amp;"|"&amp;Raw_Data!D1212&amp;"|"&amp;TEXT(Raw_Data!B1212,"yyyy-mm-dd")</f>
        <v>Match Group|MTCH|2020-12-31</v>
      </c>
    </row>
    <row r="1214">
      <c r="A1214" s="1">
        <v>1212.0</v>
      </c>
      <c r="B1214" s="3">
        <v>44439.0</v>
      </c>
      <c r="C1214" s="1" t="s">
        <v>647</v>
      </c>
      <c r="D1214" s="1" t="s">
        <v>648</v>
      </c>
      <c r="F1214" s="1">
        <v>2.439E8</v>
      </c>
      <c r="G1214" s="1">
        <v>2.124E8</v>
      </c>
      <c r="H1214" s="1">
        <v>3.258E8</v>
      </c>
      <c r="I1214" s="1">
        <v>5.996E8</v>
      </c>
      <c r="J1214" s="1">
        <v>2.738E8</v>
      </c>
      <c r="K1214" s="1">
        <v>2.738E8</v>
      </c>
      <c r="L1214" s="1">
        <v>-3.39E7</v>
      </c>
      <c r="M1214" s="1">
        <v>3.15E7</v>
      </c>
      <c r="N1214" s="1">
        <v>1.5494E9</v>
      </c>
      <c r="O1214" s="1">
        <v>1.2756E9</v>
      </c>
      <c r="P1214" s="1">
        <v>9.498E8</v>
      </c>
      <c r="Q1214" s="1">
        <v>-2.99E7</v>
      </c>
      <c r="R1214" s="1">
        <v>2.124E8</v>
      </c>
      <c r="S1214" s="1">
        <v>2.124E8</v>
      </c>
      <c r="W1214" s="4" t="str">
        <f>Raw_Data!C1213&amp;"|"&amp;Raw_Data!D1213&amp;"|"&amp;TEXT(Raw_Data!B1213,"yyyy-mm-dd")</f>
        <v>Match Group|MTCH|2020-09-30</v>
      </c>
    </row>
    <row r="1215">
      <c r="A1215" s="1">
        <v>1213.0</v>
      </c>
      <c r="B1215" s="3">
        <v>44347.0</v>
      </c>
      <c r="C1215" s="1" t="s">
        <v>647</v>
      </c>
      <c r="D1215" s="1" t="s">
        <v>648</v>
      </c>
      <c r="F1215" s="1">
        <v>2.291E8</v>
      </c>
      <c r="G1215" s="1">
        <v>1.837E8</v>
      </c>
      <c r="H1215" s="1">
        <v>3.552E8</v>
      </c>
      <c r="I1215" s="1">
        <v>6.146E8</v>
      </c>
      <c r="J1215" s="1">
        <v>2.594E8</v>
      </c>
      <c r="K1215" s="1">
        <v>2.594E8</v>
      </c>
      <c r="L1215" s="1">
        <v>-3.56E7</v>
      </c>
      <c r="M1215" s="1">
        <v>4.54E7</v>
      </c>
      <c r="N1215" s="1">
        <v>1.5567E9</v>
      </c>
      <c r="O1215" s="1">
        <v>1.2973E9</v>
      </c>
      <c r="P1215" s="1">
        <v>9.421E8</v>
      </c>
      <c r="Q1215" s="1">
        <v>-3.03E7</v>
      </c>
      <c r="R1215" s="1">
        <v>1.837E8</v>
      </c>
      <c r="S1215" s="1">
        <v>1.837E8</v>
      </c>
      <c r="W1215" s="4" t="str">
        <f>Raw_Data!C1214&amp;"|"&amp;Raw_Data!D1214&amp;"|"&amp;TEXT(Raw_Data!B1214,"yyyy-mm-dd")</f>
        <v>McCormick &amp; Company|MKC|2021-08-31</v>
      </c>
    </row>
    <row r="1216">
      <c r="A1216" s="1">
        <v>1214.0</v>
      </c>
      <c r="B1216" s="3">
        <v>44255.0</v>
      </c>
      <c r="C1216" s="1" t="s">
        <v>647</v>
      </c>
      <c r="D1216" s="1" t="s">
        <v>648</v>
      </c>
      <c r="F1216" s="1">
        <v>2.204E8</v>
      </c>
      <c r="G1216" s="1">
        <v>1.618E8</v>
      </c>
      <c r="H1216" s="1">
        <v>3.195E8</v>
      </c>
      <c r="I1216" s="1">
        <v>5.838E8</v>
      </c>
      <c r="J1216" s="1">
        <v>2.643E8</v>
      </c>
      <c r="K1216" s="1">
        <v>2.643E8</v>
      </c>
      <c r="L1216" s="1">
        <v>-3.38E7</v>
      </c>
      <c r="M1216" s="1">
        <v>5.86E7</v>
      </c>
      <c r="N1216" s="1">
        <v>1.4815E9</v>
      </c>
      <c r="O1216" s="1">
        <v>1.2172E9</v>
      </c>
      <c r="P1216" s="1">
        <v>8.977E8</v>
      </c>
      <c r="Q1216" s="1">
        <v>-4.39E7</v>
      </c>
      <c r="R1216" s="1">
        <v>1.618E8</v>
      </c>
      <c r="S1216" s="1">
        <v>1.618E8</v>
      </c>
      <c r="W1216" s="4" t="str">
        <f>Raw_Data!C1215&amp;"|"&amp;Raw_Data!D1215&amp;"|"&amp;TEXT(Raw_Data!B1215,"yyyy-mm-dd")</f>
        <v>McCormick &amp; Company|MKC|2021-05-31</v>
      </c>
    </row>
    <row r="1217">
      <c r="A1217" s="1">
        <v>1215.0</v>
      </c>
      <c r="B1217" s="3">
        <v>44165.0</v>
      </c>
      <c r="C1217" s="1" t="s">
        <v>647</v>
      </c>
      <c r="D1217" s="1" t="s">
        <v>648</v>
      </c>
      <c r="E1217" s="1">
        <v>6.86E7</v>
      </c>
      <c r="F1217" s="1">
        <v>2.582E8</v>
      </c>
      <c r="G1217" s="1">
        <v>2.007E8</v>
      </c>
      <c r="H1217" s="1">
        <v>2.99E8</v>
      </c>
      <c r="I1217" s="1">
        <v>6.607E8</v>
      </c>
      <c r="J1217" s="1">
        <v>2.931E8</v>
      </c>
      <c r="K1217" s="1">
        <v>2.931E8</v>
      </c>
      <c r="L1217" s="1">
        <v>-3.24E7</v>
      </c>
      <c r="M1217" s="1">
        <v>5.75E7</v>
      </c>
      <c r="N1217" s="1">
        <v>1.5579E9</v>
      </c>
      <c r="O1217" s="1">
        <v>1.2648E9</v>
      </c>
      <c r="P1217" s="1">
        <v>8.972E8</v>
      </c>
      <c r="Q1217" s="1">
        <v>-3.49E7</v>
      </c>
      <c r="R1217" s="1">
        <v>2.007E8</v>
      </c>
      <c r="S1217" s="1">
        <v>2.007E8</v>
      </c>
      <c r="W1217" s="4" t="str">
        <f>Raw_Data!C1216&amp;"|"&amp;Raw_Data!D1216&amp;"|"&amp;TEXT(Raw_Data!B1216,"yyyy-mm-dd")</f>
        <v>McCormick &amp; Company|MKC|2021-02-28</v>
      </c>
    </row>
    <row r="1218">
      <c r="A1218" s="1">
        <v>1216.0</v>
      </c>
      <c r="B1218" s="3">
        <v>44377.0</v>
      </c>
      <c r="C1218" s="1" t="s">
        <v>649</v>
      </c>
      <c r="D1218" s="1" t="s">
        <v>650</v>
      </c>
      <c r="F1218" s="1">
        <v>2.376E9</v>
      </c>
      <c r="G1218" s="1">
        <v>2.2193E9</v>
      </c>
      <c r="H1218" s="1">
        <v>5.724E8</v>
      </c>
      <c r="I1218" s="1">
        <v>3.2195E9</v>
      </c>
      <c r="J1218" s="1">
        <v>2.564E9</v>
      </c>
      <c r="K1218" s="1">
        <v>2.564E9</v>
      </c>
      <c r="L1218" s="1">
        <v>-2.965E8</v>
      </c>
      <c r="M1218" s="1">
        <v>1.567E8</v>
      </c>
      <c r="N1218" s="1">
        <v>5.8879E9</v>
      </c>
      <c r="O1218" s="1">
        <v>3.3239E9</v>
      </c>
      <c r="P1218" s="1">
        <v>2.6684E9</v>
      </c>
      <c r="Q1218" s="1">
        <v>-1.88E8</v>
      </c>
      <c r="R1218" s="1">
        <v>2.2193E9</v>
      </c>
      <c r="S1218" s="1">
        <v>2.2193E9</v>
      </c>
      <c r="W1218" s="4" t="str">
        <f>Raw_Data!C1217&amp;"|"&amp;Raw_Data!D1217&amp;"|"&amp;TEXT(Raw_Data!B1217,"yyyy-mm-dd")</f>
        <v>McCormick &amp; Company|MKC|2020-11-30</v>
      </c>
    </row>
    <row r="1219">
      <c r="A1219" s="1">
        <v>1217.0</v>
      </c>
      <c r="B1219" s="3">
        <v>44286.0</v>
      </c>
      <c r="C1219" s="1" t="s">
        <v>649</v>
      </c>
      <c r="D1219" s="1" t="s">
        <v>650</v>
      </c>
      <c r="F1219" s="1">
        <v>1.9527E9</v>
      </c>
      <c r="G1219" s="1">
        <v>1.5372E9</v>
      </c>
      <c r="H1219" s="1">
        <v>4.904E8</v>
      </c>
      <c r="I1219" s="1">
        <v>2.6683E9</v>
      </c>
      <c r="J1219" s="1">
        <v>2.1085E9</v>
      </c>
      <c r="K1219" s="1">
        <v>2.1085E9</v>
      </c>
      <c r="L1219" s="1">
        <v>-3.0E8</v>
      </c>
      <c r="M1219" s="1">
        <v>4.155E8</v>
      </c>
      <c r="N1219" s="1">
        <v>5.1246E9</v>
      </c>
      <c r="O1219" s="1">
        <v>3.0161E9</v>
      </c>
      <c r="P1219" s="1">
        <v>2.4563E9</v>
      </c>
      <c r="Q1219" s="1">
        <v>-1.558E8</v>
      </c>
      <c r="R1219" s="1">
        <v>1.5372E9</v>
      </c>
      <c r="S1219" s="1">
        <v>1.5372E9</v>
      </c>
      <c r="W1219" s="4" t="str">
        <f>Raw_Data!C1218&amp;"|"&amp;Raw_Data!D1218&amp;"|"&amp;TEXT(Raw_Data!B1218,"yyyy-mm-dd")</f>
        <v>McDonald's|MCD|2021-06-30</v>
      </c>
    </row>
    <row r="1220">
      <c r="A1220" s="1">
        <v>1218.0</v>
      </c>
      <c r="B1220" s="3">
        <v>44196.0</v>
      </c>
      <c r="C1220" s="1" t="s">
        <v>649</v>
      </c>
      <c r="D1220" s="1" t="s">
        <v>650</v>
      </c>
      <c r="F1220" s="1">
        <v>1.83E9</v>
      </c>
      <c r="G1220" s="1">
        <v>1.3772E9</v>
      </c>
      <c r="H1220" s="1">
        <v>6.98E8</v>
      </c>
      <c r="I1220" s="1">
        <v>2.7802E9</v>
      </c>
      <c r="J1220" s="1">
        <v>2.016E9</v>
      </c>
      <c r="K1220" s="1">
        <v>2.016E9</v>
      </c>
      <c r="L1220" s="1">
        <v>-3.089E8</v>
      </c>
      <c r="M1220" s="1">
        <v>4.528E8</v>
      </c>
      <c r="N1220" s="1">
        <v>5.3138E9</v>
      </c>
      <c r="O1220" s="1">
        <v>3.2978E9</v>
      </c>
      <c r="P1220" s="1">
        <v>2.5336E9</v>
      </c>
      <c r="Q1220" s="1">
        <v>-1.86E8</v>
      </c>
      <c r="R1220" s="1">
        <v>1.3772E9</v>
      </c>
      <c r="S1220" s="1">
        <v>1.3772E9</v>
      </c>
      <c r="W1220" s="4" t="str">
        <f>Raw_Data!C1219&amp;"|"&amp;Raw_Data!D1219&amp;"|"&amp;TEXT(Raw_Data!B1219,"yyyy-mm-dd")</f>
        <v>McDonald's|MCD|2021-03-31</v>
      </c>
    </row>
    <row r="1221">
      <c r="A1221" s="1">
        <v>1219.0</v>
      </c>
      <c r="B1221" s="3">
        <v>44104.0</v>
      </c>
      <c r="C1221" s="1" t="s">
        <v>649</v>
      </c>
      <c r="D1221" s="1" t="s">
        <v>650</v>
      </c>
      <c r="F1221" s="1">
        <v>2.2171E9</v>
      </c>
      <c r="G1221" s="1">
        <v>1.7626E9</v>
      </c>
      <c r="H1221" s="1">
        <v>4.547E8</v>
      </c>
      <c r="I1221" s="1">
        <v>2.9047E9</v>
      </c>
      <c r="J1221" s="1">
        <v>2.4012E9</v>
      </c>
      <c r="K1221" s="1">
        <v>2.4012E9</v>
      </c>
      <c r="L1221" s="1">
        <v>-3.101E8</v>
      </c>
      <c r="M1221" s="1">
        <v>4.545E8</v>
      </c>
      <c r="N1221" s="1">
        <v>5.4181E9</v>
      </c>
      <c r="O1221" s="1">
        <v>3.0169E9</v>
      </c>
      <c r="P1221" s="1">
        <v>2.5134E9</v>
      </c>
      <c r="Q1221" s="1">
        <v>-1.841E8</v>
      </c>
      <c r="R1221" s="1">
        <v>1.7626E9</v>
      </c>
      <c r="S1221" s="1">
        <v>1.7626E9</v>
      </c>
      <c r="W1221" s="4" t="str">
        <f>Raw_Data!C1220&amp;"|"&amp;Raw_Data!D1220&amp;"|"&amp;TEXT(Raw_Data!B1220,"yyyy-mm-dd")</f>
        <v>McDonald's|MCD|2020-12-31</v>
      </c>
    </row>
    <row r="1222">
      <c r="A1222" s="1">
        <v>1220.0</v>
      </c>
      <c r="B1222" s="3">
        <v>44286.0</v>
      </c>
      <c r="C1222" s="1" t="s">
        <v>651</v>
      </c>
      <c r="D1222" s="1" t="s">
        <v>652</v>
      </c>
      <c r="F1222" s="1">
        <v>1.029E9</v>
      </c>
      <c r="G1222" s="1">
        <v>6.66E8</v>
      </c>
      <c r="H1222" s="1">
        <v>2.224E9</v>
      </c>
      <c r="I1222" s="1">
        <v>3.116E9</v>
      </c>
      <c r="J1222" s="1">
        <v>8.92E8</v>
      </c>
      <c r="K1222" s="1">
        <v>8.92E8</v>
      </c>
      <c r="L1222" s="1">
        <v>-5.2E7</v>
      </c>
      <c r="M1222" s="1">
        <v>3.16E8</v>
      </c>
      <c r="N1222" s="1">
        <v>5.9142E10</v>
      </c>
      <c r="O1222" s="1">
        <v>5.825E10</v>
      </c>
      <c r="P1222" s="1">
        <v>5.6026E10</v>
      </c>
      <c r="Q1222" s="1">
        <v>1.37E8</v>
      </c>
      <c r="R1222" s="1">
        <v>7.13E8</v>
      </c>
      <c r="S1222" s="1">
        <v>6.66E8</v>
      </c>
      <c r="W1222" s="4" t="str">
        <f>Raw_Data!C1221&amp;"|"&amp;Raw_Data!D1221&amp;"|"&amp;TEXT(Raw_Data!B1221,"yyyy-mm-dd")</f>
        <v>McDonald's|MCD|2020-09-30</v>
      </c>
    </row>
    <row r="1223">
      <c r="A1223" s="1">
        <v>1221.0</v>
      </c>
      <c r="B1223" s="3">
        <v>44196.0</v>
      </c>
      <c r="C1223" s="1" t="s">
        <v>651</v>
      </c>
      <c r="D1223" s="1" t="s">
        <v>652</v>
      </c>
      <c r="F1223" s="1">
        <v>-7.363E9</v>
      </c>
      <c r="G1223" s="1">
        <v>-6.226E9</v>
      </c>
      <c r="H1223" s="1">
        <v>2.291E9</v>
      </c>
      <c r="I1223" s="1">
        <v>3.151E9</v>
      </c>
      <c r="J1223" s="1">
        <v>8.6E8</v>
      </c>
      <c r="K1223" s="1">
        <v>8.6E8</v>
      </c>
      <c r="L1223" s="1">
        <v>-5.5E7</v>
      </c>
      <c r="M1223" s="1">
        <v>-1.189E9</v>
      </c>
      <c r="N1223" s="1">
        <v>6.2599E10</v>
      </c>
      <c r="O1223" s="1">
        <v>6.1739E10</v>
      </c>
      <c r="P1223" s="1">
        <v>5.9448E10</v>
      </c>
      <c r="Q1223" s="1">
        <v>-8.223E9</v>
      </c>
      <c r="R1223" s="1">
        <v>-6.174E9</v>
      </c>
      <c r="S1223" s="1">
        <v>-6.226E9</v>
      </c>
      <c r="W1223" s="4" t="str">
        <f>Raw_Data!C1222&amp;"|"&amp;Raw_Data!D1222&amp;"|"&amp;TEXT(Raw_Data!B1222,"yyyy-mm-dd")</f>
        <v>McKesson Corporation|MCK|2021-03-31</v>
      </c>
    </row>
    <row r="1224">
      <c r="A1224" s="1">
        <v>1222.0</v>
      </c>
      <c r="B1224" s="3">
        <v>44104.0</v>
      </c>
      <c r="C1224" s="1" t="s">
        <v>651</v>
      </c>
      <c r="D1224" s="1" t="s">
        <v>652</v>
      </c>
      <c r="F1224" s="1">
        <v>6.55E8</v>
      </c>
      <c r="G1224" s="1">
        <v>5.77E8</v>
      </c>
      <c r="H1224" s="1">
        <v>2.237E9</v>
      </c>
      <c r="I1224" s="1">
        <v>3.0E9</v>
      </c>
      <c r="J1224" s="1">
        <v>7.63E8</v>
      </c>
      <c r="K1224" s="1">
        <v>7.63E8</v>
      </c>
      <c r="L1224" s="1">
        <v>-5.0E7</v>
      </c>
      <c r="M1224" s="1">
        <v>2.8E7</v>
      </c>
      <c r="N1224" s="1">
        <v>6.0808E10</v>
      </c>
      <c r="O1224" s="1">
        <v>6.0045E10</v>
      </c>
      <c r="P1224" s="1">
        <v>5.7808E10</v>
      </c>
      <c r="Q1224" s="1">
        <v>-1.08E8</v>
      </c>
      <c r="R1224" s="1">
        <v>6.27E8</v>
      </c>
      <c r="S1224" s="1">
        <v>5.77E8</v>
      </c>
      <c r="W1224" s="4" t="str">
        <f>Raw_Data!C1223&amp;"|"&amp;Raw_Data!D1223&amp;"|"&amp;TEXT(Raw_Data!B1223,"yyyy-mm-dd")</f>
        <v>McKesson Corporation|MCK|2020-12-31</v>
      </c>
    </row>
    <row r="1225">
      <c r="A1225" s="1">
        <v>1223.0</v>
      </c>
      <c r="B1225" s="3">
        <v>44012.0</v>
      </c>
      <c r="C1225" s="1" t="s">
        <v>651</v>
      </c>
      <c r="D1225" s="1" t="s">
        <v>652</v>
      </c>
      <c r="F1225" s="1">
        <v>6.45E8</v>
      </c>
      <c r="G1225" s="1">
        <v>4.44E8</v>
      </c>
      <c r="H1225" s="1">
        <v>2.097E9</v>
      </c>
      <c r="I1225" s="1">
        <v>2.7E9</v>
      </c>
      <c r="J1225" s="1">
        <v>6.03E8</v>
      </c>
      <c r="K1225" s="1">
        <v>6.03E8</v>
      </c>
      <c r="L1225" s="1">
        <v>-6.0E7</v>
      </c>
      <c r="M1225" s="1">
        <v>1.5E8</v>
      </c>
      <c r="N1225" s="1">
        <v>5.5679E10</v>
      </c>
      <c r="O1225" s="1">
        <v>5.5076E10</v>
      </c>
      <c r="P1225" s="1">
        <v>5.2979E10</v>
      </c>
      <c r="Q1225" s="1">
        <v>4.2E7</v>
      </c>
      <c r="R1225" s="1">
        <v>4.95E8</v>
      </c>
      <c r="S1225" s="1">
        <v>4.44E8</v>
      </c>
      <c r="W1225" s="4" t="str">
        <f>Raw_Data!C1224&amp;"|"&amp;Raw_Data!D1224&amp;"|"&amp;TEXT(Raw_Data!B1224,"yyyy-mm-dd")</f>
        <v>McKesson Corporation|MCK|2020-09-30</v>
      </c>
    </row>
    <row r="1226">
      <c r="A1226" s="1">
        <v>1224.0</v>
      </c>
      <c r="B1226" s="3">
        <v>44407.0</v>
      </c>
      <c r="C1226" s="1" t="s">
        <v>653</v>
      </c>
      <c r="D1226" s="1" t="s">
        <v>654</v>
      </c>
      <c r="E1226" s="1">
        <v>7.5E8</v>
      </c>
      <c r="F1226" s="1">
        <v>8.33E8</v>
      </c>
      <c r="G1226" s="1">
        <v>7.63E8</v>
      </c>
      <c r="H1226" s="1">
        <v>2.491E9</v>
      </c>
      <c r="I1226" s="1">
        <v>5.422E9</v>
      </c>
      <c r="J1226" s="1">
        <v>1.665E9</v>
      </c>
      <c r="K1226" s="1">
        <v>1.665E9</v>
      </c>
      <c r="L1226" s="1">
        <v>-1.37E8</v>
      </c>
      <c r="M1226" s="1">
        <v>6.4E7</v>
      </c>
      <c r="N1226" s="1">
        <v>7.987E9</v>
      </c>
      <c r="O1226" s="1">
        <v>6.322E9</v>
      </c>
      <c r="P1226" s="1">
        <v>2.565E9</v>
      </c>
      <c r="Q1226" s="1">
        <v>-8.32E8</v>
      </c>
      <c r="R1226" s="1">
        <v>7.69E8</v>
      </c>
      <c r="S1226" s="1">
        <v>7.63E8</v>
      </c>
      <c r="W1226" s="4" t="str">
        <f>Raw_Data!C1225&amp;"|"&amp;Raw_Data!D1225&amp;"|"&amp;TEXT(Raw_Data!B1225,"yyyy-mm-dd")</f>
        <v>McKesson Corporation|MCK|2020-06-30</v>
      </c>
    </row>
    <row r="1227">
      <c r="A1227" s="1">
        <v>1225.0</v>
      </c>
      <c r="B1227" s="3">
        <v>44316.0</v>
      </c>
      <c r="C1227" s="1" t="s">
        <v>653</v>
      </c>
      <c r="D1227" s="1" t="s">
        <v>654</v>
      </c>
      <c r="E1227" s="1">
        <v>6.32E8</v>
      </c>
      <c r="F1227" s="1">
        <v>1.566E9</v>
      </c>
      <c r="G1227" s="1">
        <v>1.36E9</v>
      </c>
      <c r="H1227" s="1">
        <v>2.51E9</v>
      </c>
      <c r="I1227" s="1">
        <v>5.568E9</v>
      </c>
      <c r="J1227" s="1">
        <v>1.98E9</v>
      </c>
      <c r="K1227" s="1">
        <v>1.98E9</v>
      </c>
      <c r="L1227" s="1">
        <v>-1.42E8</v>
      </c>
      <c r="M1227" s="1">
        <v>2.0E8</v>
      </c>
      <c r="N1227" s="1">
        <v>8.188E9</v>
      </c>
      <c r="O1227" s="1">
        <v>6.208E9</v>
      </c>
      <c r="P1227" s="1">
        <v>2.62E9</v>
      </c>
      <c r="Q1227" s="1">
        <v>-4.14E8</v>
      </c>
      <c r="R1227" s="1">
        <v>1.366E9</v>
      </c>
      <c r="S1227" s="1">
        <v>1.36E9</v>
      </c>
      <c r="W1227" s="4" t="str">
        <f>Raw_Data!C1226&amp;"|"&amp;Raw_Data!D1226&amp;"|"&amp;TEXT(Raw_Data!B1226,"yyyy-mm-dd")</f>
        <v>Medtronic|MDT|2021-07-30</v>
      </c>
    </row>
    <row r="1228">
      <c r="A1228" s="1">
        <v>1226.0</v>
      </c>
      <c r="B1228" s="3">
        <v>44225.0</v>
      </c>
      <c r="C1228" s="1" t="s">
        <v>653</v>
      </c>
      <c r="D1228" s="1" t="s">
        <v>654</v>
      </c>
      <c r="E1228" s="1">
        <v>6.01E8</v>
      </c>
      <c r="F1228" s="1">
        <v>1.22E9</v>
      </c>
      <c r="G1228" s="1">
        <v>1.27E9</v>
      </c>
      <c r="H1228" s="1">
        <v>2.481E9</v>
      </c>
      <c r="I1228" s="1">
        <v>5.19E9</v>
      </c>
      <c r="J1228" s="1">
        <v>1.652E9</v>
      </c>
      <c r="K1228" s="1">
        <v>1.652E9</v>
      </c>
      <c r="L1228" s="1">
        <v>-1.43E8</v>
      </c>
      <c r="M1228" s="1">
        <v>-5.9E7</v>
      </c>
      <c r="N1228" s="1">
        <v>7.775E9</v>
      </c>
      <c r="O1228" s="1">
        <v>6.123E9</v>
      </c>
      <c r="P1228" s="1">
        <v>2.585E9</v>
      </c>
      <c r="Q1228" s="1">
        <v>-4.32E8</v>
      </c>
      <c r="R1228" s="1">
        <v>1.279E9</v>
      </c>
      <c r="S1228" s="1">
        <v>1.27E9</v>
      </c>
      <c r="W1228" s="4" t="str">
        <f>Raw_Data!C1227&amp;"|"&amp;Raw_Data!D1227&amp;"|"&amp;TEXT(Raw_Data!B1227,"yyyy-mm-dd")</f>
        <v>Medtronic|MDT|2021-04-30</v>
      </c>
    </row>
    <row r="1229">
      <c r="A1229" s="1">
        <v>1227.0</v>
      </c>
      <c r="B1229" s="3">
        <v>44134.0</v>
      </c>
      <c r="C1229" s="1" t="s">
        <v>653</v>
      </c>
      <c r="D1229" s="1" t="s">
        <v>654</v>
      </c>
      <c r="E1229" s="1">
        <v>6.39E8</v>
      </c>
      <c r="F1229" s="1">
        <v>5.25E8</v>
      </c>
      <c r="G1229" s="1">
        <v>4.89E8</v>
      </c>
      <c r="H1229" s="1">
        <v>2.612E9</v>
      </c>
      <c r="I1229" s="1">
        <v>4.974E9</v>
      </c>
      <c r="J1229" s="1">
        <v>1.134E9</v>
      </c>
      <c r="K1229" s="1">
        <v>1.134E9</v>
      </c>
      <c r="L1229" s="1">
        <v>-4.7E8</v>
      </c>
      <c r="M1229" s="1">
        <v>3.1E7</v>
      </c>
      <c r="N1229" s="1">
        <v>7.647E9</v>
      </c>
      <c r="O1229" s="1">
        <v>6.513E9</v>
      </c>
      <c r="P1229" s="1">
        <v>2.673E9</v>
      </c>
      <c r="Q1229" s="1">
        <v>-6.09E8</v>
      </c>
      <c r="R1229" s="1">
        <v>4.94E8</v>
      </c>
      <c r="S1229" s="1">
        <v>4.89E8</v>
      </c>
      <c r="W1229" s="4" t="str">
        <f>Raw_Data!C1228&amp;"|"&amp;Raw_Data!D1228&amp;"|"&amp;TEXT(Raw_Data!B1228,"yyyy-mm-dd")</f>
        <v>Medtronic|MDT|2021-01-29</v>
      </c>
    </row>
    <row r="1230">
      <c r="A1230" s="1">
        <v>1228.0</v>
      </c>
      <c r="B1230" s="3">
        <v>44377.0</v>
      </c>
      <c r="C1230" s="1" t="s">
        <v>655</v>
      </c>
      <c r="D1230" s="1" t="s">
        <v>656</v>
      </c>
      <c r="E1230" s="1">
        <v>2.611E9</v>
      </c>
      <c r="F1230" s="1">
        <v>1.717E9</v>
      </c>
      <c r="G1230" s="1">
        <v>1.545E9</v>
      </c>
      <c r="H1230" s="1">
        <v>2.144E9</v>
      </c>
      <c r="I1230" s="1">
        <v>8.373E9</v>
      </c>
      <c r="J1230" s="1">
        <v>3.618E9</v>
      </c>
      <c r="K1230" s="1">
        <v>3.618E9</v>
      </c>
      <c r="L1230" s="1">
        <v>-2.02E8</v>
      </c>
      <c r="M1230" s="1">
        <v>5.03E8</v>
      </c>
      <c r="N1230" s="1">
        <v>1.1402E10</v>
      </c>
      <c r="O1230" s="1">
        <v>7.784E9</v>
      </c>
      <c r="P1230" s="1">
        <v>3.029E9</v>
      </c>
      <c r="Q1230" s="1">
        <v>-1.901E9</v>
      </c>
      <c r="R1230" s="1">
        <v>1.214E9</v>
      </c>
      <c r="S1230" s="1">
        <v>1.545E9</v>
      </c>
      <c r="W1230" s="4" t="str">
        <f>Raw_Data!C1229&amp;"|"&amp;Raw_Data!D1229&amp;"|"&amp;TEXT(Raw_Data!B1229,"yyyy-mm-dd")</f>
        <v>Medtronic|MDT|2020-10-30</v>
      </c>
    </row>
    <row r="1231">
      <c r="A1231" s="1">
        <v>1229.0</v>
      </c>
      <c r="B1231" s="3">
        <v>44286.0</v>
      </c>
      <c r="C1231" s="1" t="s">
        <v>655</v>
      </c>
      <c r="D1231" s="1" t="s">
        <v>656</v>
      </c>
      <c r="E1231" s="1">
        <v>2.458E9</v>
      </c>
      <c r="F1231" s="1">
        <v>3.462E9</v>
      </c>
      <c r="G1231" s="1">
        <v>3.179E9</v>
      </c>
      <c r="H1231" s="1">
        <v>2.333E9</v>
      </c>
      <c r="I1231" s="1">
        <v>8.625E9</v>
      </c>
      <c r="J1231" s="1">
        <v>3.834E9</v>
      </c>
      <c r="K1231" s="1">
        <v>3.834E9</v>
      </c>
      <c r="L1231" s="1">
        <v>-2.0E8</v>
      </c>
      <c r="M1231" s="1">
        <v>2.76E8</v>
      </c>
      <c r="N1231" s="1">
        <v>1.208E10</v>
      </c>
      <c r="O1231" s="1">
        <v>8.246E9</v>
      </c>
      <c r="P1231" s="1">
        <v>3.455E9</v>
      </c>
      <c r="Q1231" s="1">
        <v>-3.72E8</v>
      </c>
      <c r="R1231" s="1">
        <v>3.186E9</v>
      </c>
      <c r="S1231" s="1">
        <v>3.179E9</v>
      </c>
      <c r="W1231" s="4" t="str">
        <f>Raw_Data!C1230&amp;"|"&amp;Raw_Data!D1230&amp;"|"&amp;TEXT(Raw_Data!B1230,"yyyy-mm-dd")</f>
        <v>Merck &amp; Co.|MRK|2021-06-30</v>
      </c>
    </row>
    <row r="1232">
      <c r="A1232" s="1">
        <v>1230.0</v>
      </c>
      <c r="B1232" s="3">
        <v>44196.0</v>
      </c>
      <c r="C1232" s="1" t="s">
        <v>655</v>
      </c>
      <c r="D1232" s="1" t="s">
        <v>656</v>
      </c>
      <c r="E1232" s="1">
        <v>2.617E9</v>
      </c>
      <c r="F1232" s="1">
        <v>-1.993E9</v>
      </c>
      <c r="G1232" s="1">
        <v>-2.094E9</v>
      </c>
      <c r="H1232" s="1">
        <v>2.993E9</v>
      </c>
      <c r="I1232" s="1">
        <v>8.914E9</v>
      </c>
      <c r="J1232" s="1">
        <v>3.304E9</v>
      </c>
      <c r="K1232" s="1">
        <v>3.304E9</v>
      </c>
      <c r="L1232" s="1">
        <v>-2.07E8</v>
      </c>
      <c r="M1232" s="1">
        <v>9.8E7</v>
      </c>
      <c r="N1232" s="1">
        <v>1.2515E10</v>
      </c>
      <c r="O1232" s="1">
        <v>9.211E9</v>
      </c>
      <c r="P1232" s="1">
        <v>3.601E9</v>
      </c>
      <c r="Q1232" s="1">
        <v>-5.297E9</v>
      </c>
      <c r="R1232" s="1">
        <v>-2.091E9</v>
      </c>
      <c r="S1232" s="1">
        <v>-2.094E9</v>
      </c>
      <c r="W1232" s="4" t="str">
        <f>Raw_Data!C1231&amp;"|"&amp;Raw_Data!D1231&amp;"|"&amp;TEXT(Raw_Data!B1231,"yyyy-mm-dd")</f>
        <v>Merck &amp; Co.|MRK|2021-03-31</v>
      </c>
    </row>
    <row r="1233">
      <c r="A1233" s="1">
        <v>1231.0</v>
      </c>
      <c r="B1233" s="3">
        <v>44104.0</v>
      </c>
      <c r="C1233" s="1" t="s">
        <v>655</v>
      </c>
      <c r="D1233" s="1" t="s">
        <v>656</v>
      </c>
      <c r="E1233" s="1">
        <v>2.539E9</v>
      </c>
      <c r="F1233" s="1">
        <v>3.428E9</v>
      </c>
      <c r="G1233" s="1">
        <v>2.941E9</v>
      </c>
      <c r="H1233" s="1">
        <v>2.109E9</v>
      </c>
      <c r="I1233" s="1">
        <v>9.108E9</v>
      </c>
      <c r="J1233" s="1">
        <v>4.46E9</v>
      </c>
      <c r="K1233" s="1">
        <v>4.46E9</v>
      </c>
      <c r="L1233" s="1">
        <v>-2.03E8</v>
      </c>
      <c r="M1233" s="1">
        <v>4.83E8</v>
      </c>
      <c r="N1233" s="1">
        <v>1.2551E10</v>
      </c>
      <c r="O1233" s="1">
        <v>8.091E9</v>
      </c>
      <c r="P1233" s="1">
        <v>3.443E9</v>
      </c>
      <c r="Q1233" s="1">
        <v>-1.032E9</v>
      </c>
      <c r="R1233" s="1">
        <v>2.945E9</v>
      </c>
      <c r="S1233" s="1">
        <v>2.941E9</v>
      </c>
      <c r="W1233" s="4" t="str">
        <f>Raw_Data!C1232&amp;"|"&amp;Raw_Data!D1232&amp;"|"&amp;TEXT(Raw_Data!B1232,"yyyy-mm-dd")</f>
        <v>Merck &amp; Co.|MRK|2020-12-31</v>
      </c>
    </row>
    <row r="1234">
      <c r="A1234" s="1">
        <v>1232.0</v>
      </c>
      <c r="B1234" s="3">
        <v>44377.0</v>
      </c>
      <c r="C1234" s="1" t="s">
        <v>657</v>
      </c>
      <c r="D1234" s="1" t="s">
        <v>658</v>
      </c>
      <c r="F1234" s="1">
        <v>4.487E9</v>
      </c>
      <c r="G1234" s="1">
        <v>3.407E9</v>
      </c>
      <c r="I1234" s="1">
        <v>7.368E9</v>
      </c>
      <c r="J1234" s="1">
        <v>4.714E9</v>
      </c>
      <c r="K1234" s="1">
        <v>4.714E9</v>
      </c>
      <c r="L1234" s="1">
        <v>-2.28E8</v>
      </c>
      <c r="M1234" s="1">
        <v>1.075E9</v>
      </c>
      <c r="N1234" s="1">
        <v>1.8524E10</v>
      </c>
      <c r="O1234" s="1">
        <v>1.381E10</v>
      </c>
      <c r="P1234" s="1">
        <v>1.1156E10</v>
      </c>
      <c r="Q1234" s="1">
        <v>-2.27E8</v>
      </c>
      <c r="R1234" s="1">
        <v>3.412E9</v>
      </c>
      <c r="S1234" s="1">
        <v>3.366E9</v>
      </c>
      <c r="W1234" s="4" t="str">
        <f>Raw_Data!C1233&amp;"|"&amp;Raw_Data!D1233&amp;"|"&amp;TEXT(Raw_Data!B1233,"yyyy-mm-dd")</f>
        <v>Merck &amp; Co.|MRK|2020-09-30</v>
      </c>
    </row>
    <row r="1235">
      <c r="A1235" s="1">
        <v>1233.0</v>
      </c>
      <c r="B1235" s="3">
        <v>44286.0</v>
      </c>
      <c r="C1235" s="1" t="s">
        <v>657</v>
      </c>
      <c r="D1235" s="1" t="s">
        <v>658</v>
      </c>
      <c r="F1235" s="1">
        <v>2.91E8</v>
      </c>
      <c r="G1235" s="1">
        <v>3.58E8</v>
      </c>
      <c r="I1235" s="1">
        <v>3.441E9</v>
      </c>
      <c r="J1235" s="1">
        <v>5.19E8</v>
      </c>
      <c r="K1235" s="1">
        <v>5.19E8</v>
      </c>
      <c r="L1235" s="1">
        <v>-2.28E8</v>
      </c>
      <c r="M1235" s="1">
        <v>-7.2E7</v>
      </c>
      <c r="N1235" s="1">
        <v>1.5562E10</v>
      </c>
      <c r="O1235" s="1">
        <v>1.5043E10</v>
      </c>
      <c r="P1235" s="1">
        <v>1.2121E10</v>
      </c>
      <c r="Q1235" s="1">
        <v>-2.28E8</v>
      </c>
      <c r="R1235" s="1">
        <v>3.63E8</v>
      </c>
      <c r="S1235" s="1">
        <v>2.9E8</v>
      </c>
      <c r="W1235" s="4" t="str">
        <f>Raw_Data!C1234&amp;"|"&amp;Raw_Data!D1234&amp;"|"&amp;TEXT(Raw_Data!B1234,"yyyy-mm-dd")</f>
        <v>MetLife|MET|2021-06-30</v>
      </c>
    </row>
    <row r="1236">
      <c r="A1236" s="1">
        <v>1234.0</v>
      </c>
      <c r="B1236" s="3">
        <v>44196.0</v>
      </c>
      <c r="C1236" s="1" t="s">
        <v>657</v>
      </c>
      <c r="D1236" s="1" t="s">
        <v>658</v>
      </c>
      <c r="F1236" s="1">
        <v>1.64E8</v>
      </c>
      <c r="G1236" s="1">
        <v>1.58E8</v>
      </c>
      <c r="I1236" s="1">
        <v>3.588E9</v>
      </c>
      <c r="J1236" s="1">
        <v>3.93E8</v>
      </c>
      <c r="K1236" s="1">
        <v>3.93E8</v>
      </c>
      <c r="L1236" s="1">
        <v>-2.3E8</v>
      </c>
      <c r="M1236" s="1">
        <v>6000000.0</v>
      </c>
      <c r="N1236" s="1">
        <v>1.9418E10</v>
      </c>
      <c r="O1236" s="1">
        <v>1.9025E10</v>
      </c>
      <c r="P1236" s="1">
        <v>1.583E10</v>
      </c>
      <c r="Q1236" s="1">
        <v>-2.29E8</v>
      </c>
      <c r="R1236" s="1">
        <v>1.58E8</v>
      </c>
      <c r="S1236" s="1">
        <v>1.24E8</v>
      </c>
      <c r="W1236" s="4" t="str">
        <f>Raw_Data!C1235&amp;"|"&amp;Raw_Data!D1235&amp;"|"&amp;TEXT(Raw_Data!B1235,"yyyy-mm-dd")</f>
        <v>MetLife|MET|2021-03-31</v>
      </c>
    </row>
    <row r="1237">
      <c r="A1237" s="1">
        <v>1235.0</v>
      </c>
      <c r="B1237" s="3">
        <v>44104.0</v>
      </c>
      <c r="C1237" s="1" t="s">
        <v>657</v>
      </c>
      <c r="D1237" s="1" t="s">
        <v>658</v>
      </c>
      <c r="F1237" s="1">
        <v>9.23E8</v>
      </c>
      <c r="G1237" s="1">
        <v>7.06E8</v>
      </c>
      <c r="I1237" s="1">
        <v>4.393E9</v>
      </c>
      <c r="J1237" s="1">
        <v>1.152E9</v>
      </c>
      <c r="K1237" s="1">
        <v>1.152E9</v>
      </c>
      <c r="L1237" s="1">
        <v>-2.29E8</v>
      </c>
      <c r="M1237" s="1">
        <v>2.14E8</v>
      </c>
      <c r="N1237" s="1">
        <v>1.6015E10</v>
      </c>
      <c r="O1237" s="1">
        <v>1.4863E10</v>
      </c>
      <c r="P1237" s="1">
        <v>1.1622E10</v>
      </c>
      <c r="Q1237" s="1">
        <v>-2.29E8</v>
      </c>
      <c r="R1237" s="1">
        <v>7.09E8</v>
      </c>
      <c r="S1237" s="1">
        <v>6.33E8</v>
      </c>
      <c r="W1237" s="4" t="str">
        <f>Raw_Data!C1236&amp;"|"&amp;Raw_Data!D1236&amp;"|"&amp;TEXT(Raw_Data!B1236,"yyyy-mm-dd")</f>
        <v>MetLife|MET|2020-12-31</v>
      </c>
    </row>
    <row r="1238">
      <c r="A1238" s="1">
        <v>1236.0</v>
      </c>
      <c r="B1238" s="3">
        <v>44286.0</v>
      </c>
      <c r="C1238" s="1" t="s">
        <v>659</v>
      </c>
      <c r="D1238" s="1" t="s">
        <v>660</v>
      </c>
      <c r="E1238" s="1">
        <v>3.9272E7</v>
      </c>
      <c r="F1238" s="1">
        <v>1.85414E8</v>
      </c>
      <c r="G1238" s="1">
        <v>1.49663E8</v>
      </c>
      <c r="H1238" s="1">
        <v>2.19215E8</v>
      </c>
      <c r="I1238" s="1">
        <v>4.71696E8</v>
      </c>
      <c r="J1238" s="1">
        <v>1.99325E8</v>
      </c>
      <c r="K1238" s="1">
        <v>1.99325E8</v>
      </c>
      <c r="L1238" s="1">
        <v>-9471000.0</v>
      </c>
      <c r="M1238" s="1">
        <v>3.5751E7</v>
      </c>
      <c r="N1238" s="1">
        <v>8.0439E8</v>
      </c>
      <c r="O1238" s="1">
        <v>6.05065E8</v>
      </c>
      <c r="P1238" s="1">
        <v>3.32694E8</v>
      </c>
      <c r="Q1238" s="1">
        <v>-1.3911E7</v>
      </c>
      <c r="R1238" s="1">
        <v>1.49663E8</v>
      </c>
      <c r="S1238" s="1">
        <v>1.49663E8</v>
      </c>
      <c r="W1238" s="4" t="str">
        <f>Raw_Data!C1237&amp;"|"&amp;Raw_Data!D1237&amp;"|"&amp;TEXT(Raw_Data!B1237,"yyyy-mm-dd")</f>
        <v>MetLife|MET|2020-09-30</v>
      </c>
    </row>
    <row r="1239">
      <c r="A1239" s="1">
        <v>1237.0</v>
      </c>
      <c r="B1239" s="3">
        <v>44196.0</v>
      </c>
      <c r="C1239" s="1" t="s">
        <v>659</v>
      </c>
      <c r="D1239" s="1" t="s">
        <v>660</v>
      </c>
      <c r="E1239" s="1">
        <v>3.9866E7</v>
      </c>
      <c r="F1239" s="1">
        <v>2.6918E8</v>
      </c>
      <c r="G1239" s="1">
        <v>2.16295E8</v>
      </c>
      <c r="H1239" s="1">
        <v>2.23208E8</v>
      </c>
      <c r="I1239" s="1">
        <v>5.59044E8</v>
      </c>
      <c r="J1239" s="1">
        <v>2.81313E8</v>
      </c>
      <c r="K1239" s="1">
        <v>2.81313E8</v>
      </c>
      <c r="L1239" s="1">
        <v>-9505000.0</v>
      </c>
      <c r="M1239" s="1">
        <v>5.2885E7</v>
      </c>
      <c r="N1239" s="1">
        <v>9.37985E8</v>
      </c>
      <c r="O1239" s="1">
        <v>6.56672E8</v>
      </c>
      <c r="P1239" s="1">
        <v>3.78941E8</v>
      </c>
      <c r="Q1239" s="1">
        <v>-1.2133E7</v>
      </c>
      <c r="R1239" s="1">
        <v>2.16295E8</v>
      </c>
      <c r="S1239" s="1">
        <v>2.16295E8</v>
      </c>
      <c r="W1239" s="4" t="str">
        <f>Raw_Data!C1238&amp;"|"&amp;Raw_Data!D1238&amp;"|"&amp;TEXT(Raw_Data!B1238,"yyyy-mm-dd")</f>
        <v>Mettler Toledo|MTD|2021-03-31</v>
      </c>
    </row>
    <row r="1240">
      <c r="A1240" s="1">
        <v>1238.0</v>
      </c>
      <c r="B1240" s="3">
        <v>44104.0</v>
      </c>
      <c r="C1240" s="1" t="s">
        <v>659</v>
      </c>
      <c r="D1240" s="1" t="s">
        <v>660</v>
      </c>
      <c r="E1240" s="1">
        <v>3.4656E7</v>
      </c>
      <c r="F1240" s="1">
        <v>2.05809E8</v>
      </c>
      <c r="G1240" s="1">
        <v>1.61767E8</v>
      </c>
      <c r="H1240" s="1">
        <v>2.01873E8</v>
      </c>
      <c r="I1240" s="1">
        <v>4.69608E8</v>
      </c>
      <c r="J1240" s="1">
        <v>2.18958E8</v>
      </c>
      <c r="K1240" s="1">
        <v>2.18958E8</v>
      </c>
      <c r="L1240" s="1">
        <v>-9310000.0</v>
      </c>
      <c r="M1240" s="1">
        <v>4.4042E7</v>
      </c>
      <c r="N1240" s="1">
        <v>8.07357E8</v>
      </c>
      <c r="O1240" s="1">
        <v>5.88399E8</v>
      </c>
      <c r="P1240" s="1">
        <v>3.37749E8</v>
      </c>
      <c r="Q1240" s="1">
        <v>-1.3149E7</v>
      </c>
      <c r="R1240" s="1">
        <v>1.61767E8</v>
      </c>
      <c r="S1240" s="1">
        <v>1.61767E8</v>
      </c>
      <c r="W1240" s="4" t="str">
        <f>Raw_Data!C1239&amp;"|"&amp;Raw_Data!D1239&amp;"|"&amp;TEXT(Raw_Data!B1239,"yyyy-mm-dd")</f>
        <v>Mettler Toledo|MTD|2020-12-31</v>
      </c>
    </row>
    <row r="1241">
      <c r="A1241" s="1">
        <v>1239.0</v>
      </c>
      <c r="B1241" s="3">
        <v>44012.0</v>
      </c>
      <c r="C1241" s="1" t="s">
        <v>659</v>
      </c>
      <c r="D1241" s="1" t="s">
        <v>660</v>
      </c>
      <c r="E1241" s="1">
        <v>3.1193E7</v>
      </c>
      <c r="F1241" s="1">
        <v>1.55255E8</v>
      </c>
      <c r="G1241" s="1">
        <v>1.26562E8</v>
      </c>
      <c r="H1241" s="1">
        <v>1.87182E8</v>
      </c>
      <c r="I1241" s="1">
        <v>3.9797E8</v>
      </c>
      <c r="J1241" s="1">
        <v>1.65706E8</v>
      </c>
      <c r="K1241" s="1">
        <v>1.65706E8</v>
      </c>
      <c r="L1241" s="1">
        <v>-9582000.0</v>
      </c>
      <c r="M1241" s="1">
        <v>2.8693E7</v>
      </c>
      <c r="N1241" s="1">
        <v>6.90673E8</v>
      </c>
      <c r="O1241" s="1">
        <v>5.24967E8</v>
      </c>
      <c r="P1241" s="1">
        <v>2.92703E8</v>
      </c>
      <c r="Q1241" s="1">
        <v>-1.0451E7</v>
      </c>
      <c r="R1241" s="1">
        <v>1.26562E8</v>
      </c>
      <c r="S1241" s="1">
        <v>1.26562E8</v>
      </c>
      <c r="W1241" s="4" t="str">
        <f>Raw_Data!C1240&amp;"|"&amp;Raw_Data!D1240&amp;"|"&amp;TEXT(Raw_Data!B1240,"yyyy-mm-dd")</f>
        <v>Mettler Toledo|MTD|2020-09-30</v>
      </c>
    </row>
    <row r="1242">
      <c r="A1242" s="1">
        <v>1240.0</v>
      </c>
      <c r="B1242" s="3">
        <v>44377.0</v>
      </c>
      <c r="C1242" s="1" t="s">
        <v>661</v>
      </c>
      <c r="D1242" s="1" t="s">
        <v>662</v>
      </c>
      <c r="F1242" s="1">
        <v>1.2513E8</v>
      </c>
      <c r="G1242" s="1">
        <v>1.04753E8</v>
      </c>
      <c r="H1242" s="1">
        <v>6.87079E8</v>
      </c>
      <c r="I1242" s="1">
        <v>1.12231E9</v>
      </c>
      <c r="J1242" s="1">
        <v>1.51516E8</v>
      </c>
      <c r="K1242" s="1">
        <v>1.51516E8</v>
      </c>
      <c r="L1242" s="1">
        <v>-2.08772E8</v>
      </c>
      <c r="M1242" s="1">
        <v>3.4826E7</v>
      </c>
      <c r="N1242" s="1">
        <v>2.192829E9</v>
      </c>
      <c r="O1242" s="1">
        <v>2.041313E9</v>
      </c>
      <c r="P1242" s="1">
        <v>1.070519E9</v>
      </c>
      <c r="Q1242" s="1">
        <v>-2.6386E7</v>
      </c>
      <c r="R1242" s="1">
        <v>9.0304E7</v>
      </c>
      <c r="S1242" s="1">
        <v>6.7742E7</v>
      </c>
      <c r="W1242" s="4" t="str">
        <f>Raw_Data!C1241&amp;"|"&amp;Raw_Data!D1241&amp;"|"&amp;TEXT(Raw_Data!B1241,"yyyy-mm-dd")</f>
        <v>Mettler Toledo|MTD|2020-06-30</v>
      </c>
    </row>
    <row r="1243">
      <c r="A1243" s="1">
        <v>1241.0</v>
      </c>
      <c r="B1243" s="3">
        <v>44286.0</v>
      </c>
      <c r="C1243" s="1" t="s">
        <v>661</v>
      </c>
      <c r="D1243" s="1" t="s">
        <v>662</v>
      </c>
      <c r="F1243" s="1">
        <v>-4.30636E8</v>
      </c>
      <c r="G1243" s="1">
        <v>-3.31829E8</v>
      </c>
      <c r="H1243" s="1">
        <v>6.24444E8</v>
      </c>
      <c r="I1243" s="1">
        <v>7.1996E8</v>
      </c>
      <c r="J1243" s="1">
        <v>-1.9504E8</v>
      </c>
      <c r="K1243" s="1">
        <v>-1.9504E8</v>
      </c>
      <c r="L1243" s="1">
        <v>-1.60295E8</v>
      </c>
      <c r="M1243" s="1">
        <v>-9.4698E7</v>
      </c>
      <c r="N1243" s="1">
        <v>1.589686E9</v>
      </c>
      <c r="O1243" s="1">
        <v>1.784726E9</v>
      </c>
      <c r="P1243" s="1">
        <v>8.69726E8</v>
      </c>
      <c r="Q1243" s="1">
        <v>-2.35596E8</v>
      </c>
      <c r="R1243" s="1">
        <v>-3.35938E8</v>
      </c>
      <c r="S1243" s="1">
        <v>-3.41257E8</v>
      </c>
      <c r="W1243" s="4" t="str">
        <f>Raw_Data!C1242&amp;"|"&amp;Raw_Data!D1242&amp;"|"&amp;TEXT(Raw_Data!B1242,"yyyy-mm-dd")</f>
        <v>MGM Resorts International|MGM|2021-06-30</v>
      </c>
    </row>
    <row r="1244">
      <c r="A1244" s="1">
        <v>1242.0</v>
      </c>
      <c r="B1244" s="3">
        <v>44196.0</v>
      </c>
      <c r="C1244" s="1" t="s">
        <v>661</v>
      </c>
      <c r="D1244" s="1" t="s">
        <v>662</v>
      </c>
      <c r="F1244" s="1">
        <v>-5.62872E8</v>
      </c>
      <c r="G1244" s="1">
        <v>-4.47605E8</v>
      </c>
      <c r="H1244" s="1">
        <v>6.18495E8</v>
      </c>
      <c r="I1244" s="1">
        <v>5.82876E8</v>
      </c>
      <c r="J1244" s="1">
        <v>-3.34349E8</v>
      </c>
      <c r="K1244" s="1">
        <v>-3.34349E8</v>
      </c>
      <c r="L1244" s="1">
        <v>-1.85679E8</v>
      </c>
      <c r="M1244" s="1">
        <v>-1.06904E8</v>
      </c>
      <c r="N1244" s="1">
        <v>1.395287E9</v>
      </c>
      <c r="O1244" s="1">
        <v>1.729636E9</v>
      </c>
      <c r="P1244" s="1">
        <v>8.12411E8</v>
      </c>
      <c r="Q1244" s="1">
        <v>-2.28523E8</v>
      </c>
      <c r="R1244" s="1">
        <v>-4.55968E8</v>
      </c>
      <c r="S1244" s="1">
        <v>-4.54113E8</v>
      </c>
      <c r="W1244" s="4" t="str">
        <f>Raw_Data!C1243&amp;"|"&amp;Raw_Data!D1243&amp;"|"&amp;TEXT(Raw_Data!B1243,"yyyy-mm-dd")</f>
        <v>MGM Resorts International|MGM|2021-03-31</v>
      </c>
    </row>
    <row r="1245">
      <c r="A1245" s="1">
        <v>1243.0</v>
      </c>
      <c r="B1245" s="3">
        <v>44104.0</v>
      </c>
      <c r="C1245" s="1" t="s">
        <v>661</v>
      </c>
      <c r="D1245" s="1" t="s">
        <v>662</v>
      </c>
      <c r="F1245" s="1">
        <v>-6.78705E8</v>
      </c>
      <c r="G1245" s="1">
        <v>-5.34731E8</v>
      </c>
      <c r="H1245" s="1">
        <v>6.1373E8</v>
      </c>
      <c r="I1245" s="1">
        <v>3.96403E8</v>
      </c>
      <c r="J1245" s="1">
        <v>-5.11701E8</v>
      </c>
      <c r="K1245" s="1">
        <v>-5.11701E8</v>
      </c>
      <c r="L1245" s="1">
        <v>-1.73808E8</v>
      </c>
      <c r="M1245" s="1">
        <v>-7.6734E7</v>
      </c>
      <c r="N1245" s="1">
        <v>1.093603E9</v>
      </c>
      <c r="O1245" s="1">
        <v>1.605304E9</v>
      </c>
      <c r="P1245" s="1">
        <v>6.972E8</v>
      </c>
      <c r="Q1245" s="1">
        <v>-1.67004E8</v>
      </c>
      <c r="R1245" s="1">
        <v>-6.01971E8</v>
      </c>
      <c r="S1245" s="1">
        <v>-5.32954E8</v>
      </c>
      <c r="W1245" s="4" t="str">
        <f>Raw_Data!C1244&amp;"|"&amp;Raw_Data!D1244&amp;"|"&amp;TEXT(Raw_Data!B1244,"yyyy-mm-dd")</f>
        <v>MGM Resorts International|MGM|2020-12-31</v>
      </c>
    </row>
    <row r="1246">
      <c r="A1246" s="1">
        <v>1244.0</v>
      </c>
      <c r="B1246" s="3">
        <v>44377.0</v>
      </c>
      <c r="C1246" s="1" t="s">
        <v>663</v>
      </c>
      <c r="D1246" s="1" t="s">
        <v>664</v>
      </c>
      <c r="E1246" s="1">
        <v>2.384E8</v>
      </c>
      <c r="F1246" s="1">
        <v>2.97E8</v>
      </c>
      <c r="G1246" s="1">
        <v>2.528E8</v>
      </c>
      <c r="H1246" s="1">
        <v>1.737E8</v>
      </c>
      <c r="I1246" s="1">
        <v>1.0076E9</v>
      </c>
      <c r="J1246" s="1">
        <v>3.799E8</v>
      </c>
      <c r="K1246" s="1">
        <v>3.799E8</v>
      </c>
      <c r="L1246" s="1">
        <v>-7.23E7</v>
      </c>
      <c r="M1246" s="1">
        <v>4.42E7</v>
      </c>
      <c r="N1246" s="1">
        <v>1.5694E9</v>
      </c>
      <c r="O1246" s="1">
        <v>1.1895E9</v>
      </c>
      <c r="P1246" s="1">
        <v>5.618E8</v>
      </c>
      <c r="Q1246" s="1">
        <v>-8.29E7</v>
      </c>
      <c r="R1246" s="1">
        <v>2.528E8</v>
      </c>
      <c r="S1246" s="1">
        <v>2.528E8</v>
      </c>
      <c r="W1246" s="4" t="str">
        <f>Raw_Data!C1245&amp;"|"&amp;Raw_Data!D1245&amp;"|"&amp;TEXT(Raw_Data!B1245,"yyyy-mm-dd")</f>
        <v>MGM Resorts International|MGM|2020-09-30</v>
      </c>
    </row>
    <row r="1247">
      <c r="A1247" s="1">
        <v>1245.0</v>
      </c>
      <c r="B1247" s="3">
        <v>44286.0</v>
      </c>
      <c r="C1247" s="1" t="s">
        <v>663</v>
      </c>
      <c r="D1247" s="1" t="s">
        <v>664</v>
      </c>
      <c r="E1247" s="1">
        <v>2.285E8</v>
      </c>
      <c r="F1247" s="1">
        <v>1.444E8</v>
      </c>
      <c r="G1247" s="1">
        <v>1.16E8</v>
      </c>
      <c r="H1247" s="1">
        <v>1.642E8</v>
      </c>
      <c r="I1247" s="1">
        <v>9.268E8</v>
      </c>
      <c r="J1247" s="1">
        <v>3.017E8</v>
      </c>
      <c r="K1247" s="1">
        <v>3.017E8</v>
      </c>
      <c r="L1247" s="1">
        <v>-7.8E7</v>
      </c>
      <c r="M1247" s="1">
        <v>2.84E7</v>
      </c>
      <c r="N1247" s="1">
        <v>1.4671E9</v>
      </c>
      <c r="O1247" s="1">
        <v>1.1654E9</v>
      </c>
      <c r="P1247" s="1">
        <v>5.403E8</v>
      </c>
      <c r="Q1247" s="1">
        <v>-1.573E8</v>
      </c>
      <c r="R1247" s="1">
        <v>1.16E8</v>
      </c>
      <c r="S1247" s="1">
        <v>1.16E8</v>
      </c>
      <c r="W1247" s="4" t="str">
        <f>Raw_Data!C1246&amp;"|"&amp;Raw_Data!D1246&amp;"|"&amp;TEXT(Raw_Data!B1246,"yyyy-mm-dd")</f>
        <v>Microchip Technology|MCHP|2021-06-30</v>
      </c>
    </row>
    <row r="1248">
      <c r="A1248" s="1">
        <v>1246.0</v>
      </c>
      <c r="B1248" s="3">
        <v>44196.0</v>
      </c>
      <c r="C1248" s="1" t="s">
        <v>663</v>
      </c>
      <c r="D1248" s="1" t="s">
        <v>664</v>
      </c>
      <c r="E1248" s="1">
        <v>2.101E8</v>
      </c>
      <c r="F1248" s="1">
        <v>1.68E7</v>
      </c>
      <c r="G1248" s="1">
        <v>3.62E7</v>
      </c>
      <c r="H1248" s="1">
        <v>1.545E8</v>
      </c>
      <c r="I1248" s="1">
        <v>8.458E8</v>
      </c>
      <c r="J1248" s="1">
        <v>2.496E8</v>
      </c>
      <c r="K1248" s="1">
        <v>2.496E8</v>
      </c>
      <c r="L1248" s="1">
        <v>-8.65E7</v>
      </c>
      <c r="M1248" s="1">
        <v>-1.94E7</v>
      </c>
      <c r="N1248" s="1">
        <v>1.3521E9</v>
      </c>
      <c r="O1248" s="1">
        <v>1.1025E9</v>
      </c>
      <c r="P1248" s="1">
        <v>5.063E8</v>
      </c>
      <c r="Q1248" s="1">
        <v>-2.328E8</v>
      </c>
      <c r="R1248" s="1">
        <v>3.62E7</v>
      </c>
      <c r="S1248" s="1">
        <v>3.62E7</v>
      </c>
      <c r="W1248" s="4" t="str">
        <f>Raw_Data!C1247&amp;"|"&amp;Raw_Data!D1247&amp;"|"&amp;TEXT(Raw_Data!B1247,"yyyy-mm-dd")</f>
        <v>Microchip Technology|MCHP|2021-03-31</v>
      </c>
    </row>
    <row r="1249">
      <c r="A1249" s="1">
        <v>1247.0</v>
      </c>
      <c r="B1249" s="3">
        <v>44104.0</v>
      </c>
      <c r="C1249" s="1" t="s">
        <v>663</v>
      </c>
      <c r="D1249" s="1" t="s">
        <v>664</v>
      </c>
      <c r="E1249" s="1">
        <v>1.998E8</v>
      </c>
      <c r="F1249" s="1">
        <v>8.88E7</v>
      </c>
      <c r="G1249" s="1">
        <v>7.36E7</v>
      </c>
      <c r="H1249" s="1">
        <v>1.45E8</v>
      </c>
      <c r="I1249" s="1">
        <v>8.079E8</v>
      </c>
      <c r="J1249" s="1">
        <v>2.302E8</v>
      </c>
      <c r="K1249" s="1">
        <v>2.302E8</v>
      </c>
      <c r="L1249" s="1">
        <v>-9.33E7</v>
      </c>
      <c r="M1249" s="1">
        <v>1.52E7</v>
      </c>
      <c r="N1249" s="1">
        <v>1.3095E9</v>
      </c>
      <c r="O1249" s="1">
        <v>1.0793E9</v>
      </c>
      <c r="P1249" s="1">
        <v>5.016E8</v>
      </c>
      <c r="Q1249" s="1">
        <v>-1.414E8</v>
      </c>
      <c r="R1249" s="1">
        <v>7.36E7</v>
      </c>
      <c r="S1249" s="1">
        <v>7.36E7</v>
      </c>
      <c r="W1249" s="4" t="str">
        <f>Raw_Data!C1248&amp;"|"&amp;Raw_Data!D1248&amp;"|"&amp;TEXT(Raw_Data!B1248,"yyyy-mm-dd")</f>
        <v>Microchip Technology|MCHP|2020-12-31</v>
      </c>
    </row>
    <row r="1250">
      <c r="A1250" s="1">
        <v>1248.0</v>
      </c>
      <c r="B1250" s="3">
        <v>44259.0</v>
      </c>
      <c r="C1250" s="1" t="s">
        <v>665</v>
      </c>
      <c r="D1250" s="1" t="s">
        <v>666</v>
      </c>
      <c r="E1250" s="1">
        <v>6.41E8</v>
      </c>
      <c r="F1250" s="1">
        <v>6.51E8</v>
      </c>
      <c r="G1250" s="1">
        <v>6.03E8</v>
      </c>
      <c r="H1250" s="1">
        <v>2.14E8</v>
      </c>
      <c r="I1250" s="1">
        <v>1.649E9</v>
      </c>
      <c r="J1250" s="1">
        <v>6.63E8</v>
      </c>
      <c r="K1250" s="1">
        <v>6.63E8</v>
      </c>
      <c r="L1250" s="1">
        <v>-4.2E7</v>
      </c>
      <c r="M1250" s="1">
        <v>4.8E7</v>
      </c>
      <c r="N1250" s="1">
        <v>6.236E9</v>
      </c>
      <c r="O1250" s="1">
        <v>5.573E9</v>
      </c>
      <c r="P1250" s="1">
        <v>4.587E9</v>
      </c>
      <c r="Q1250" s="1">
        <v>-1.2E7</v>
      </c>
      <c r="R1250" s="1">
        <v>6.03E8</v>
      </c>
      <c r="S1250" s="1">
        <v>6.03E8</v>
      </c>
      <c r="W1250" s="4" t="str">
        <f>Raw_Data!C1249&amp;"|"&amp;Raw_Data!D1249&amp;"|"&amp;TEXT(Raw_Data!B1249,"yyyy-mm-dd")</f>
        <v>Microchip Technology|MCHP|2020-09-30</v>
      </c>
    </row>
    <row r="1251">
      <c r="A1251" s="1">
        <v>1249.0</v>
      </c>
      <c r="B1251" s="3">
        <v>44168.0</v>
      </c>
      <c r="C1251" s="1" t="s">
        <v>665</v>
      </c>
      <c r="D1251" s="1" t="s">
        <v>666</v>
      </c>
      <c r="E1251" s="1">
        <v>6.47E8</v>
      </c>
      <c r="F1251" s="1">
        <v>8.54E8</v>
      </c>
      <c r="G1251" s="1">
        <v>8.03E8</v>
      </c>
      <c r="H1251" s="1">
        <v>2.14E8</v>
      </c>
      <c r="I1251" s="1">
        <v>1.736E9</v>
      </c>
      <c r="J1251" s="1">
        <v>8.66E8</v>
      </c>
      <c r="K1251" s="1">
        <v>8.66E8</v>
      </c>
      <c r="L1251" s="1">
        <v>-4.8E7</v>
      </c>
      <c r="M1251" s="1">
        <v>5.1E7</v>
      </c>
      <c r="N1251" s="1">
        <v>5.773E9</v>
      </c>
      <c r="O1251" s="1">
        <v>4.907E9</v>
      </c>
      <c r="P1251" s="1">
        <v>4.037E9</v>
      </c>
      <c r="Q1251" s="1">
        <v>-1.2E7</v>
      </c>
      <c r="R1251" s="1">
        <v>8.03E8</v>
      </c>
      <c r="S1251" s="1">
        <v>8.03E8</v>
      </c>
      <c r="W1251" s="4" t="str">
        <f>Raw_Data!C1250&amp;"|"&amp;Raw_Data!D1250&amp;"|"&amp;TEXT(Raw_Data!B1250,"yyyy-mm-dd")</f>
        <v>Micron Technology|MU|2021-03-04</v>
      </c>
    </row>
    <row r="1252">
      <c r="A1252" s="1">
        <v>1250.0</v>
      </c>
      <c r="B1252" s="3">
        <v>44077.0</v>
      </c>
      <c r="C1252" s="1" t="s">
        <v>665</v>
      </c>
      <c r="D1252" s="1" t="s">
        <v>666</v>
      </c>
      <c r="E1252" s="1">
        <v>6.3E8</v>
      </c>
      <c r="F1252" s="1">
        <v>1.126E9</v>
      </c>
      <c r="G1252" s="1">
        <v>9.88E8</v>
      </c>
      <c r="H1252" s="1">
        <v>2.31E8</v>
      </c>
      <c r="I1252" s="1">
        <v>2.068E9</v>
      </c>
      <c r="J1252" s="1">
        <v>1.204E9</v>
      </c>
      <c r="K1252" s="1">
        <v>1.204E9</v>
      </c>
      <c r="L1252" s="1">
        <v>-5.0E7</v>
      </c>
      <c r="M1252" s="1">
        <v>1.36E8</v>
      </c>
      <c r="N1252" s="1">
        <v>6.056E9</v>
      </c>
      <c r="O1252" s="1">
        <v>4.852E9</v>
      </c>
      <c r="P1252" s="1">
        <v>3.988E9</v>
      </c>
      <c r="Q1252" s="1">
        <v>-7.8E7</v>
      </c>
      <c r="R1252" s="1">
        <v>9.9E8</v>
      </c>
      <c r="S1252" s="1">
        <v>9.88E8</v>
      </c>
      <c r="W1252" s="4" t="str">
        <f>Raw_Data!C1251&amp;"|"&amp;Raw_Data!D1251&amp;"|"&amp;TEXT(Raw_Data!B1251,"yyyy-mm-dd")</f>
        <v>Micron Technology|MU|2020-12-03</v>
      </c>
    </row>
    <row r="1253">
      <c r="A1253" s="1">
        <v>1251.0</v>
      </c>
      <c r="B1253" s="3">
        <v>43979.0</v>
      </c>
      <c r="C1253" s="1" t="s">
        <v>665</v>
      </c>
      <c r="D1253" s="1" t="s">
        <v>666</v>
      </c>
      <c r="E1253" s="1">
        <v>6.49E8</v>
      </c>
      <c r="F1253" s="1">
        <v>8.73E8</v>
      </c>
      <c r="G1253" s="1">
        <v>8.03E8</v>
      </c>
      <c r="H1253" s="1">
        <v>2.16E8</v>
      </c>
      <c r="I1253" s="1">
        <v>1.763E9</v>
      </c>
      <c r="J1253" s="1">
        <v>8.92E8</v>
      </c>
      <c r="K1253" s="1">
        <v>8.92E8</v>
      </c>
      <c r="L1253" s="1">
        <v>-5.1E7</v>
      </c>
      <c r="M1253" s="1">
        <v>6.8E7</v>
      </c>
      <c r="N1253" s="1">
        <v>5.438E9</v>
      </c>
      <c r="O1253" s="1">
        <v>4.546E9</v>
      </c>
      <c r="P1253" s="1">
        <v>3.675E9</v>
      </c>
      <c r="Q1253" s="1">
        <v>-1.9E7</v>
      </c>
      <c r="R1253" s="1">
        <v>8.05E8</v>
      </c>
      <c r="S1253" s="1">
        <v>8.03E8</v>
      </c>
      <c r="W1253" s="4" t="str">
        <f>Raw_Data!C1252&amp;"|"&amp;Raw_Data!D1252&amp;"|"&amp;TEXT(Raw_Data!B1252,"yyyy-mm-dd")</f>
        <v>Micron Technology|MU|2020-09-03</v>
      </c>
    </row>
    <row r="1254">
      <c r="A1254" s="1">
        <v>1252.0</v>
      </c>
      <c r="B1254" s="3">
        <v>44377.0</v>
      </c>
      <c r="C1254" s="1" t="s">
        <v>667</v>
      </c>
      <c r="D1254" s="1" t="s">
        <v>668</v>
      </c>
      <c r="E1254" s="1">
        <v>5.687E9</v>
      </c>
      <c r="F1254" s="1">
        <v>1.9405E10</v>
      </c>
      <c r="G1254" s="1">
        <v>1.6458E10</v>
      </c>
      <c r="H1254" s="1">
        <v>7.379E9</v>
      </c>
      <c r="I1254" s="1">
        <v>3.2161E10</v>
      </c>
      <c r="J1254" s="1">
        <v>1.9095E10</v>
      </c>
      <c r="K1254" s="1">
        <v>1.9095E10</v>
      </c>
      <c r="L1254" s="1">
        <v>-5.49E8</v>
      </c>
      <c r="M1254" s="1">
        <v>2.947E9</v>
      </c>
      <c r="N1254" s="1">
        <v>4.6152E10</v>
      </c>
      <c r="O1254" s="1">
        <v>2.7057E10</v>
      </c>
      <c r="P1254" s="1">
        <v>1.3991E10</v>
      </c>
      <c r="Q1254" s="1">
        <v>3.1E8</v>
      </c>
      <c r="R1254" s="1">
        <v>1.6458E10</v>
      </c>
      <c r="S1254" s="1">
        <v>1.6458E10</v>
      </c>
      <c r="W1254" s="4" t="str">
        <f>Raw_Data!C1253&amp;"|"&amp;Raw_Data!D1253&amp;"|"&amp;TEXT(Raw_Data!B1253,"yyyy-mm-dd")</f>
        <v>Micron Technology|MU|2020-05-28</v>
      </c>
    </row>
    <row r="1255">
      <c r="A1255" s="1">
        <v>1253.0</v>
      </c>
      <c r="B1255" s="3">
        <v>44286.0</v>
      </c>
      <c r="C1255" s="1" t="s">
        <v>667</v>
      </c>
      <c r="D1255" s="1" t="s">
        <v>668</v>
      </c>
      <c r="E1255" s="1">
        <v>5.204E9</v>
      </c>
      <c r="F1255" s="1">
        <v>1.7236E10</v>
      </c>
      <c r="G1255" s="1">
        <v>1.5457E10</v>
      </c>
      <c r="H1255" s="1">
        <v>6.409E9</v>
      </c>
      <c r="I1255" s="1">
        <v>2.8661E10</v>
      </c>
      <c r="J1255" s="1">
        <v>1.7048E10</v>
      </c>
      <c r="K1255" s="1">
        <v>1.7048E10</v>
      </c>
      <c r="L1255" s="1">
        <v>-6.28E8</v>
      </c>
      <c r="M1255" s="1">
        <v>1.779E9</v>
      </c>
      <c r="N1255" s="1">
        <v>4.1706E10</v>
      </c>
      <c r="O1255" s="1">
        <v>2.4658E10</v>
      </c>
      <c r="P1255" s="1">
        <v>1.3045E10</v>
      </c>
      <c r="Q1255" s="1">
        <v>1.88E8</v>
      </c>
      <c r="R1255" s="1">
        <v>1.5457E10</v>
      </c>
      <c r="S1255" s="1">
        <v>1.5457E10</v>
      </c>
      <c r="W1255" s="4" t="str">
        <f>Raw_Data!C1254&amp;"|"&amp;Raw_Data!D1254&amp;"|"&amp;TEXT(Raw_Data!B1254,"yyyy-mm-dd")</f>
        <v>Microsoft|MSFT|2021-06-30</v>
      </c>
    </row>
    <row r="1256">
      <c r="A1256" s="1">
        <v>1254.0</v>
      </c>
      <c r="B1256" s="3">
        <v>44196.0</v>
      </c>
      <c r="C1256" s="1" t="s">
        <v>667</v>
      </c>
      <c r="D1256" s="1" t="s">
        <v>668</v>
      </c>
      <c r="E1256" s="1">
        <v>4.899E9</v>
      </c>
      <c r="F1256" s="1">
        <v>1.8337E10</v>
      </c>
      <c r="G1256" s="1">
        <v>1.5463E10</v>
      </c>
      <c r="H1256" s="1">
        <v>6.086E9</v>
      </c>
      <c r="I1256" s="1">
        <v>2.8882E10</v>
      </c>
      <c r="J1256" s="1">
        <v>1.7897E10</v>
      </c>
      <c r="K1256" s="1">
        <v>1.7897E10</v>
      </c>
      <c r="L1256" s="1">
        <v>-5.68E8</v>
      </c>
      <c r="M1256" s="1">
        <v>2.874E9</v>
      </c>
      <c r="N1256" s="1">
        <v>4.3076E10</v>
      </c>
      <c r="O1256" s="1">
        <v>2.5179E10</v>
      </c>
      <c r="P1256" s="1">
        <v>1.4194E10</v>
      </c>
      <c r="Q1256" s="1">
        <v>4.4E8</v>
      </c>
      <c r="R1256" s="1">
        <v>1.5463E10</v>
      </c>
      <c r="S1256" s="1">
        <v>1.5463E10</v>
      </c>
      <c r="W1256" s="4" t="str">
        <f>Raw_Data!C1255&amp;"|"&amp;Raw_Data!D1255&amp;"|"&amp;TEXT(Raw_Data!B1255,"yyyy-mm-dd")</f>
        <v>Microsoft|MSFT|2021-03-31</v>
      </c>
    </row>
    <row r="1257">
      <c r="A1257" s="1">
        <v>1255.0</v>
      </c>
      <c r="B1257" s="3">
        <v>44104.0</v>
      </c>
      <c r="C1257" s="1" t="s">
        <v>667</v>
      </c>
      <c r="D1257" s="1" t="s">
        <v>668</v>
      </c>
      <c r="E1257" s="1">
        <v>4.926E9</v>
      </c>
      <c r="F1257" s="1">
        <v>1.6124E10</v>
      </c>
      <c r="G1257" s="1">
        <v>1.3893E10</v>
      </c>
      <c r="H1257" s="1">
        <v>5.35E9</v>
      </c>
      <c r="I1257" s="1">
        <v>2.6152E10</v>
      </c>
      <c r="J1257" s="1">
        <v>1.5876E10</v>
      </c>
      <c r="K1257" s="1">
        <v>1.5876E10</v>
      </c>
      <c r="L1257" s="1">
        <v>-5.85E8</v>
      </c>
      <c r="M1257" s="1">
        <v>2.231E9</v>
      </c>
      <c r="N1257" s="1">
        <v>3.7154E10</v>
      </c>
      <c r="O1257" s="1">
        <v>2.1278E10</v>
      </c>
      <c r="P1257" s="1">
        <v>1.1002E10</v>
      </c>
      <c r="Q1257" s="1">
        <v>2.48E8</v>
      </c>
      <c r="R1257" s="1">
        <v>1.3893E10</v>
      </c>
      <c r="S1257" s="1">
        <v>1.3893E10</v>
      </c>
      <c r="W1257" s="4" t="str">
        <f>Raw_Data!C1256&amp;"|"&amp;Raw_Data!D1256&amp;"|"&amp;TEXT(Raw_Data!B1256,"yyyy-mm-dd")</f>
        <v>Microsoft|MSFT|2020-12-31</v>
      </c>
    </row>
    <row r="1258">
      <c r="A1258" s="1">
        <v>1256.0</v>
      </c>
      <c r="B1258" s="3">
        <v>44377.0</v>
      </c>
      <c r="C1258" s="1" t="s">
        <v>669</v>
      </c>
      <c r="D1258" s="1" t="s">
        <v>670</v>
      </c>
      <c r="F1258" s="1">
        <v>2.2592E8</v>
      </c>
      <c r="G1258" s="1">
        <v>2.16478E8</v>
      </c>
      <c r="H1258" s="1">
        <v>1.3114E7</v>
      </c>
      <c r="I1258" s="1">
        <v>2.54414E8</v>
      </c>
      <c r="J1258" s="1">
        <v>1.09476E8</v>
      </c>
      <c r="K1258" s="1">
        <v>1.09476E8</v>
      </c>
      <c r="L1258" s="1">
        <v>-3.8867E7</v>
      </c>
      <c r="M1258" s="1">
        <v>2045000.0</v>
      </c>
      <c r="N1258" s="1">
        <v>4.36927E8</v>
      </c>
      <c r="O1258" s="1">
        <v>3.27451E8</v>
      </c>
      <c r="P1258" s="1">
        <v>1.82513E8</v>
      </c>
      <c r="Q1258" s="1">
        <v>1.16444E8</v>
      </c>
      <c r="R1258" s="1">
        <v>2.23875E8</v>
      </c>
      <c r="S1258" s="1">
        <v>2.15322E8</v>
      </c>
      <c r="W1258" s="4" t="str">
        <f>Raw_Data!C1257&amp;"|"&amp;Raw_Data!D1257&amp;"|"&amp;TEXT(Raw_Data!B1257,"yyyy-mm-dd")</f>
        <v>Microsoft|MSFT|2020-09-30</v>
      </c>
    </row>
    <row r="1259">
      <c r="A1259" s="1">
        <v>1257.0</v>
      </c>
      <c r="B1259" s="3">
        <v>44286.0</v>
      </c>
      <c r="C1259" s="1" t="s">
        <v>669</v>
      </c>
      <c r="D1259" s="1" t="s">
        <v>670</v>
      </c>
      <c r="F1259" s="1">
        <v>4.9863E7</v>
      </c>
      <c r="G1259" s="1">
        <v>4.7193E7</v>
      </c>
      <c r="H1259" s="1">
        <v>1.2979E7</v>
      </c>
      <c r="I1259" s="1">
        <v>2.49598E8</v>
      </c>
      <c r="J1259" s="1">
        <v>1.05116E8</v>
      </c>
      <c r="K1259" s="1">
        <v>1.05116E8</v>
      </c>
      <c r="L1259" s="1">
        <v>-3.9672E7</v>
      </c>
      <c r="M1259" s="1">
        <v>999000.0</v>
      </c>
      <c r="N1259" s="1">
        <v>4.25005E8</v>
      </c>
      <c r="O1259" s="1">
        <v>3.19889E8</v>
      </c>
      <c r="P1259" s="1">
        <v>1.75407E8</v>
      </c>
      <c r="Q1259" s="1">
        <v>-5.5253E7</v>
      </c>
      <c r="R1259" s="1">
        <v>4.8864E7</v>
      </c>
      <c r="S1259" s="1">
        <v>4.6217E7</v>
      </c>
      <c r="W1259" s="4" t="str">
        <f>Raw_Data!C1258&amp;"|"&amp;Raw_Data!D1258&amp;"|"&amp;TEXT(Raw_Data!B1258,"yyyy-mm-dd")</f>
        <v>Mid-America Apartments|MAA|2021-06-30</v>
      </c>
    </row>
    <row r="1260">
      <c r="A1260" s="1">
        <v>1258.0</v>
      </c>
      <c r="B1260" s="3">
        <v>44196.0</v>
      </c>
      <c r="C1260" s="1" t="s">
        <v>669</v>
      </c>
      <c r="D1260" s="1" t="s">
        <v>670</v>
      </c>
      <c r="F1260" s="1">
        <v>8.7094E7</v>
      </c>
      <c r="G1260" s="1">
        <v>8.3342E7</v>
      </c>
      <c r="H1260" s="1">
        <v>1.1677E7</v>
      </c>
      <c r="I1260" s="1">
        <v>2.50411E8</v>
      </c>
      <c r="J1260" s="1">
        <v>1.09149E8</v>
      </c>
      <c r="K1260" s="1">
        <v>1.09149E8</v>
      </c>
      <c r="L1260" s="1">
        <v>-4.0952E7</v>
      </c>
      <c r="M1260" s="1">
        <v>795000.0</v>
      </c>
      <c r="N1260" s="1">
        <v>4.23661E8</v>
      </c>
      <c r="O1260" s="1">
        <v>3.14512E8</v>
      </c>
      <c r="P1260" s="1">
        <v>1.7325E8</v>
      </c>
      <c r="Q1260" s="1">
        <v>-2.2055E7</v>
      </c>
      <c r="R1260" s="1">
        <v>8.6299E7</v>
      </c>
      <c r="S1260" s="1">
        <v>8.2311E7</v>
      </c>
      <c r="W1260" s="4" t="str">
        <f>Raw_Data!C1259&amp;"|"&amp;Raw_Data!D1259&amp;"|"&amp;TEXT(Raw_Data!B1259,"yyyy-mm-dd")</f>
        <v>Mid-America Apartments|MAA|2021-03-31</v>
      </c>
    </row>
    <row r="1261">
      <c r="A1261" s="1">
        <v>1259.0</v>
      </c>
      <c r="B1261" s="3">
        <v>44104.0</v>
      </c>
      <c r="C1261" s="1" t="s">
        <v>669</v>
      </c>
      <c r="D1261" s="1" t="s">
        <v>670</v>
      </c>
      <c r="F1261" s="1">
        <v>6.2701E7</v>
      </c>
      <c r="G1261" s="1">
        <v>5.991E7</v>
      </c>
      <c r="H1261" s="1">
        <v>1.136E7</v>
      </c>
      <c r="I1261" s="1">
        <v>2.40694E8</v>
      </c>
      <c r="J1261" s="1">
        <v>1.01655E8</v>
      </c>
      <c r="K1261" s="1">
        <v>1.01655E8</v>
      </c>
      <c r="L1261" s="1">
        <v>-4.101E7</v>
      </c>
      <c r="M1261" s="1">
        <v>665000.0</v>
      </c>
      <c r="N1261" s="1">
        <v>4.23199E8</v>
      </c>
      <c r="O1261" s="1">
        <v>3.21544E8</v>
      </c>
      <c r="P1261" s="1">
        <v>1.82505E8</v>
      </c>
      <c r="Q1261" s="1">
        <v>-3.8954E7</v>
      </c>
      <c r="R1261" s="1">
        <v>6.2036E7</v>
      </c>
      <c r="S1261" s="1">
        <v>5.891E7</v>
      </c>
      <c r="W1261" s="4" t="str">
        <f>Raw_Data!C1260&amp;"|"&amp;Raw_Data!D1260&amp;"|"&amp;TEXT(Raw_Data!B1260,"yyyy-mm-dd")</f>
        <v>Mid-America Apartments|MAA|2020-12-31</v>
      </c>
    </row>
    <row r="1262">
      <c r="A1262" s="1">
        <v>1260.0</v>
      </c>
      <c r="B1262" s="3">
        <v>44377.0</v>
      </c>
      <c r="C1262" s="1" t="s">
        <v>671</v>
      </c>
      <c r="D1262" s="1" t="s">
        <v>672</v>
      </c>
      <c r="F1262" s="1">
        <v>3.063E9</v>
      </c>
      <c r="G1262" s="1">
        <v>2.78E9</v>
      </c>
      <c r="H1262" s="1">
        <v>1.21E8</v>
      </c>
      <c r="I1262" s="1">
        <v>3.183E9</v>
      </c>
      <c r="J1262" s="1">
        <v>3.062E9</v>
      </c>
      <c r="K1262" s="1">
        <v>3.062E9</v>
      </c>
      <c r="L1262" s="1">
        <v>-5000000.0</v>
      </c>
      <c r="M1262" s="1">
        <v>2.83E8</v>
      </c>
      <c r="N1262" s="1">
        <v>4.354E9</v>
      </c>
      <c r="O1262" s="1">
        <v>1.292E9</v>
      </c>
      <c r="P1262" s="1">
        <v>1.171E9</v>
      </c>
      <c r="Q1262" s="1">
        <v>1000000.0</v>
      </c>
      <c r="R1262" s="1">
        <v>2.78E9</v>
      </c>
      <c r="S1262" s="1">
        <v>2.78E9</v>
      </c>
      <c r="W1262" s="4" t="str">
        <f>Raw_Data!C1261&amp;"|"&amp;Raw_Data!D1261&amp;"|"&amp;TEXT(Raw_Data!B1261,"yyyy-mm-dd")</f>
        <v>Mid-America Apartments|MAA|2020-09-30</v>
      </c>
    </row>
    <row r="1263">
      <c r="A1263" s="1">
        <v>1261.0</v>
      </c>
      <c r="B1263" s="3">
        <v>44286.0</v>
      </c>
      <c r="C1263" s="1" t="s">
        <v>671</v>
      </c>
      <c r="D1263" s="1" t="s">
        <v>672</v>
      </c>
      <c r="F1263" s="1">
        <v>1.26E9</v>
      </c>
      <c r="G1263" s="1">
        <v>1.221E9</v>
      </c>
      <c r="H1263" s="1">
        <v>7.7E7</v>
      </c>
      <c r="I1263" s="1">
        <v>1.343E9</v>
      </c>
      <c r="J1263" s="1">
        <v>1.266E9</v>
      </c>
      <c r="K1263" s="1">
        <v>1.266E9</v>
      </c>
      <c r="L1263" s="1">
        <v>-3000000.0</v>
      </c>
      <c r="M1263" s="1">
        <v>3.9E7</v>
      </c>
      <c r="N1263" s="1">
        <v>1.937E9</v>
      </c>
      <c r="O1263" s="1">
        <v>6.71E8</v>
      </c>
      <c r="P1263" s="1">
        <v>5.94E8</v>
      </c>
      <c r="Q1263" s="1">
        <v>-6000000.0</v>
      </c>
      <c r="R1263" s="1">
        <v>1.221E9</v>
      </c>
      <c r="S1263" s="1">
        <v>1.221E9</v>
      </c>
      <c r="W1263" s="4" t="str">
        <f>Raw_Data!C1262&amp;"|"&amp;Raw_Data!D1262&amp;"|"&amp;TEXT(Raw_Data!B1262,"yyyy-mm-dd")</f>
        <v>Moderna|MRNA|2021-06-30</v>
      </c>
    </row>
    <row r="1264">
      <c r="A1264" s="1">
        <v>1262.0</v>
      </c>
      <c r="B1264" s="3">
        <v>44196.0</v>
      </c>
      <c r="C1264" s="1" t="s">
        <v>671</v>
      </c>
      <c r="D1264" s="1" t="s">
        <v>672</v>
      </c>
      <c r="F1264" s="1">
        <v>-2.71012E8</v>
      </c>
      <c r="G1264" s="1">
        <v>-2.72485E8</v>
      </c>
      <c r="H1264" s="1">
        <v>7.899E7</v>
      </c>
      <c r="I1264" s="1">
        <v>-1.96048E8</v>
      </c>
      <c r="J1264" s="1">
        <v>-2.75038E8</v>
      </c>
      <c r="K1264" s="1">
        <v>-2.75038E8</v>
      </c>
      <c r="L1264" s="1">
        <v>-3508000.0</v>
      </c>
      <c r="M1264" s="1">
        <v>1473000.0</v>
      </c>
      <c r="N1264" s="1">
        <v>5.70745E8</v>
      </c>
      <c r="O1264" s="1">
        <v>8.45783E8</v>
      </c>
      <c r="P1264" s="1">
        <v>7.66793E8</v>
      </c>
      <c r="Q1264" s="1">
        <v>4026000.0</v>
      </c>
      <c r="R1264" s="1">
        <v>-2.72485E8</v>
      </c>
      <c r="S1264" s="1">
        <v>-2.72485E8</v>
      </c>
      <c r="W1264" s="4" t="str">
        <f>Raw_Data!C1263&amp;"|"&amp;Raw_Data!D1263&amp;"|"&amp;TEXT(Raw_Data!B1263,"yyyy-mm-dd")</f>
        <v>Moderna|MRNA|2021-03-31</v>
      </c>
    </row>
    <row r="1265">
      <c r="A1265" s="1">
        <v>1263.0</v>
      </c>
      <c r="B1265" s="3">
        <v>44104.0</v>
      </c>
      <c r="C1265" s="1" t="s">
        <v>671</v>
      </c>
      <c r="D1265" s="1" t="s">
        <v>672</v>
      </c>
      <c r="F1265" s="1">
        <v>-2.32772E8</v>
      </c>
      <c r="G1265" s="1">
        <v>-2.33636E8</v>
      </c>
      <c r="H1265" s="1">
        <v>4.8541E7</v>
      </c>
      <c r="I1265" s="1">
        <v>-1.86576E8</v>
      </c>
      <c r="J1265" s="1">
        <v>-2.35117E8</v>
      </c>
      <c r="K1265" s="1">
        <v>-2.35117E8</v>
      </c>
      <c r="L1265" s="1">
        <v>-2834000.0</v>
      </c>
      <c r="M1265" s="1">
        <v>864000.0</v>
      </c>
      <c r="N1265" s="1">
        <v>1.5791E8</v>
      </c>
      <c r="O1265" s="1">
        <v>3.93027E8</v>
      </c>
      <c r="P1265" s="1">
        <v>3.44486E8</v>
      </c>
      <c r="Q1265" s="1">
        <v>2345000.0</v>
      </c>
      <c r="R1265" s="1">
        <v>-2.33636E8</v>
      </c>
      <c r="S1265" s="1">
        <v>-2.33636E8</v>
      </c>
      <c r="W1265" s="4" t="str">
        <f>Raw_Data!C1264&amp;"|"&amp;Raw_Data!D1264&amp;"|"&amp;TEXT(Raw_Data!B1264,"yyyy-mm-dd")</f>
        <v>Moderna|MRNA|2020-12-31</v>
      </c>
    </row>
    <row r="1266">
      <c r="A1266" s="1">
        <v>1264.0</v>
      </c>
      <c r="B1266" s="3">
        <v>44380.0</v>
      </c>
      <c r="C1266" s="1" t="s">
        <v>673</v>
      </c>
      <c r="D1266" s="1" t="s">
        <v>674</v>
      </c>
      <c r="F1266" s="1">
        <v>4.00698E8</v>
      </c>
      <c r="G1266" s="1">
        <v>3.36285E8</v>
      </c>
      <c r="H1266" s="1">
        <v>4.96302E8</v>
      </c>
      <c r="I1266" s="1">
        <v>9.07506E8</v>
      </c>
      <c r="J1266" s="1">
        <v>4.11204E8</v>
      </c>
      <c r="K1266" s="1">
        <v>4.11204E8</v>
      </c>
      <c r="L1266" s="1">
        <v>-1.4894E7</v>
      </c>
      <c r="M1266" s="1">
        <v>6.4245E7</v>
      </c>
      <c r="N1266" s="1">
        <v>2.953833E9</v>
      </c>
      <c r="O1266" s="1">
        <v>2.542629E9</v>
      </c>
      <c r="P1266" s="1">
        <v>2.046327E9</v>
      </c>
      <c r="Q1266" s="1">
        <v>-1.0506E7</v>
      </c>
      <c r="R1266" s="1">
        <v>3.36453E8</v>
      </c>
      <c r="S1266" s="1">
        <v>3.36285E8</v>
      </c>
      <c r="W1266" s="4" t="str">
        <f>Raw_Data!C1265&amp;"|"&amp;Raw_Data!D1265&amp;"|"&amp;TEXT(Raw_Data!B1265,"yyyy-mm-dd")</f>
        <v>Moderna|MRNA|2020-09-30</v>
      </c>
    </row>
    <row r="1267">
      <c r="A1267" s="1">
        <v>1265.0</v>
      </c>
      <c r="B1267" s="3">
        <v>44289.0</v>
      </c>
      <c r="C1267" s="1" t="s">
        <v>673</v>
      </c>
      <c r="D1267" s="1" t="s">
        <v>674</v>
      </c>
      <c r="F1267" s="1">
        <v>3.04501E8</v>
      </c>
      <c r="G1267" s="1">
        <v>2.36807E8</v>
      </c>
      <c r="H1267" s="1">
        <v>4.73252E8</v>
      </c>
      <c r="I1267" s="1">
        <v>8.01951E8</v>
      </c>
      <c r="J1267" s="1">
        <v>3.28699E8</v>
      </c>
      <c r="K1267" s="1">
        <v>3.28699E8</v>
      </c>
      <c r="L1267" s="1">
        <v>-1.5241E7</v>
      </c>
      <c r="M1267" s="1">
        <v>6.769E7</v>
      </c>
      <c r="N1267" s="1">
        <v>2.669026E9</v>
      </c>
      <c r="O1267" s="1">
        <v>2.340327E9</v>
      </c>
      <c r="P1267" s="1">
        <v>1.867075E9</v>
      </c>
      <c r="Q1267" s="1">
        <v>-2.4198E7</v>
      </c>
      <c r="R1267" s="1">
        <v>2.36811E8</v>
      </c>
      <c r="S1267" s="1">
        <v>2.36807E8</v>
      </c>
      <c r="W1267" s="4" t="str">
        <f>Raw_Data!C1266&amp;"|"&amp;Raw_Data!D1266&amp;"|"&amp;TEXT(Raw_Data!B1266,"yyyy-mm-dd")</f>
        <v>Mohawk Industries|MHK|2021-07-03</v>
      </c>
    </row>
    <row r="1268">
      <c r="A1268" s="1">
        <v>1266.0</v>
      </c>
      <c r="B1268" s="3">
        <v>44196.0</v>
      </c>
      <c r="C1268" s="1" t="s">
        <v>673</v>
      </c>
      <c r="D1268" s="1" t="s">
        <v>674</v>
      </c>
      <c r="F1268" s="1">
        <v>2.73577E8</v>
      </c>
      <c r="G1268" s="1">
        <v>2.48221E8</v>
      </c>
      <c r="H1268" s="1">
        <v>4.52079E8</v>
      </c>
      <c r="I1268" s="1">
        <v>7.60931E8</v>
      </c>
      <c r="J1268" s="1">
        <v>3.08852E8</v>
      </c>
      <c r="K1268" s="1">
        <v>3.08852E8</v>
      </c>
      <c r="L1268" s="1">
        <v>-1.5898E7</v>
      </c>
      <c r="M1268" s="1">
        <v>2.518E7</v>
      </c>
      <c r="N1268" s="1">
        <v>2.641764E9</v>
      </c>
      <c r="O1268" s="1">
        <v>2.332912E9</v>
      </c>
      <c r="P1268" s="1">
        <v>1.880833E9</v>
      </c>
      <c r="Q1268" s="1">
        <v>-3.5275E7</v>
      </c>
      <c r="R1268" s="1">
        <v>2.48397E8</v>
      </c>
      <c r="S1268" s="1">
        <v>2.48221E8</v>
      </c>
      <c r="W1268" s="4" t="str">
        <f>Raw_Data!C1267&amp;"|"&amp;Raw_Data!D1267&amp;"|"&amp;TEXT(Raw_Data!B1267,"yyyy-mm-dd")</f>
        <v>Mohawk Industries|MHK|2021-04-03</v>
      </c>
    </row>
    <row r="1269">
      <c r="A1269" s="1">
        <v>1267.0</v>
      </c>
      <c r="B1269" s="3">
        <v>44100.0</v>
      </c>
      <c r="C1269" s="1" t="s">
        <v>673</v>
      </c>
      <c r="D1269" s="1" t="s">
        <v>674</v>
      </c>
      <c r="F1269" s="1">
        <v>2.48616E8</v>
      </c>
      <c r="G1269" s="1">
        <v>2.05117E8</v>
      </c>
      <c r="H1269" s="1">
        <v>4.34691E8</v>
      </c>
      <c r="I1269" s="1">
        <v>7.23909E8</v>
      </c>
      <c r="J1269" s="1">
        <v>2.89218E8</v>
      </c>
      <c r="K1269" s="1">
        <v>2.89218E8</v>
      </c>
      <c r="L1269" s="1">
        <v>-1.4854E7</v>
      </c>
      <c r="M1269" s="1">
        <v>4.3163E7</v>
      </c>
      <c r="N1269" s="1">
        <v>2.57487E9</v>
      </c>
      <c r="O1269" s="1">
        <v>2.285652E9</v>
      </c>
      <c r="P1269" s="1">
        <v>1.850961E9</v>
      </c>
      <c r="Q1269" s="1">
        <v>-4.0602E7</v>
      </c>
      <c r="R1269" s="1">
        <v>2.05453E8</v>
      </c>
      <c r="S1269" s="1">
        <v>2.05117E8</v>
      </c>
      <c r="W1269" s="4" t="str">
        <f>Raw_Data!C1268&amp;"|"&amp;Raw_Data!D1268&amp;"|"&amp;TEXT(Raw_Data!B1268,"yyyy-mm-dd")</f>
        <v>Mohawk Industries|MHK|2020-12-31</v>
      </c>
    </row>
    <row r="1270">
      <c r="A1270" s="1">
        <v>1268.0</v>
      </c>
      <c r="B1270" s="3">
        <v>44377.0</v>
      </c>
      <c r="C1270" s="1" t="s">
        <v>675</v>
      </c>
      <c r="D1270" s="1" t="s">
        <v>676</v>
      </c>
      <c r="F1270" s="1">
        <v>5.226E8</v>
      </c>
      <c r="G1270" s="1">
        <v>3.886E8</v>
      </c>
      <c r="H1270" s="1">
        <v>6.687E8</v>
      </c>
      <c r="I1270" s="1">
        <v>1.2715E9</v>
      </c>
      <c r="J1270" s="1">
        <v>6.028E8</v>
      </c>
      <c r="K1270" s="1">
        <v>6.028E8</v>
      </c>
      <c r="L1270" s="1">
        <v>-7.07E7</v>
      </c>
      <c r="M1270" s="1">
        <v>1.323E8</v>
      </c>
      <c r="N1270" s="1">
        <v>2.9394E9</v>
      </c>
      <c r="O1270" s="1">
        <v>2.3366E9</v>
      </c>
      <c r="P1270" s="1">
        <v>1.6679E9</v>
      </c>
      <c r="Q1270" s="1">
        <v>-8.02E7</v>
      </c>
      <c r="R1270" s="1">
        <v>3.903E8</v>
      </c>
      <c r="S1270" s="1">
        <v>3.886E8</v>
      </c>
      <c r="W1270" s="4" t="str">
        <f>Raw_Data!C1269&amp;"|"&amp;Raw_Data!D1269&amp;"|"&amp;TEXT(Raw_Data!B1269,"yyyy-mm-dd")</f>
        <v>Mohawk Industries|MHK|2020-09-26</v>
      </c>
    </row>
    <row r="1271">
      <c r="A1271" s="1">
        <v>1269.0</v>
      </c>
      <c r="B1271" s="3">
        <v>44286.0</v>
      </c>
      <c r="C1271" s="1" t="s">
        <v>675</v>
      </c>
      <c r="D1271" s="1" t="s">
        <v>676</v>
      </c>
      <c r="F1271" s="1">
        <v>1.263E8</v>
      </c>
      <c r="G1271" s="1">
        <v>8.41E7</v>
      </c>
      <c r="H1271" s="1">
        <v>5.299E8</v>
      </c>
      <c r="I1271" s="1">
        <v>7.31E8</v>
      </c>
      <c r="J1271" s="1">
        <v>2.011E8</v>
      </c>
      <c r="K1271" s="1">
        <v>2.011E8</v>
      </c>
      <c r="L1271" s="1">
        <v>-6.82E7</v>
      </c>
      <c r="M1271" s="1">
        <v>4.43E7</v>
      </c>
      <c r="N1271" s="1">
        <v>1.8984E9</v>
      </c>
      <c r="O1271" s="1">
        <v>1.6973E9</v>
      </c>
      <c r="P1271" s="1">
        <v>1.1674E9</v>
      </c>
      <c r="Q1271" s="1">
        <v>-7.48E7</v>
      </c>
      <c r="R1271" s="1">
        <v>8.2E7</v>
      </c>
      <c r="S1271" s="1">
        <v>8.41E7</v>
      </c>
      <c r="W1271" s="4" t="str">
        <f>Raw_Data!C1270&amp;"|"&amp;Raw_Data!D1270&amp;"|"&amp;TEXT(Raw_Data!B1270,"yyyy-mm-dd")</f>
        <v>Molson Coors Beverage Company|TAP|2021-06-30</v>
      </c>
    </row>
    <row r="1272">
      <c r="A1272" s="1">
        <v>1270.0</v>
      </c>
      <c r="B1272" s="3">
        <v>44196.0</v>
      </c>
      <c r="C1272" s="1" t="s">
        <v>675</v>
      </c>
      <c r="D1272" s="1" t="s">
        <v>676</v>
      </c>
      <c r="F1272" s="1">
        <v>-1.3373E9</v>
      </c>
      <c r="G1272" s="1">
        <v>-1.3698E9</v>
      </c>
      <c r="H1272" s="1">
        <v>6.407E8</v>
      </c>
      <c r="I1272" s="1">
        <v>8.952E8</v>
      </c>
      <c r="J1272" s="1">
        <v>2.545E8</v>
      </c>
      <c r="K1272" s="1">
        <v>2.545E8</v>
      </c>
      <c r="L1272" s="1">
        <v>-5.68E7</v>
      </c>
      <c r="M1272" s="1">
        <v>3.66E7</v>
      </c>
      <c r="N1272" s="1">
        <v>2.2943E9</v>
      </c>
      <c r="O1272" s="1">
        <v>2.0398E9</v>
      </c>
      <c r="P1272" s="1">
        <v>1.3991E9</v>
      </c>
      <c r="Q1272" s="1">
        <v>-1.5918E9</v>
      </c>
      <c r="R1272" s="1">
        <v>-1.3739E9</v>
      </c>
      <c r="S1272" s="1">
        <v>-1.3698E9</v>
      </c>
      <c r="W1272" s="4" t="str">
        <f>Raw_Data!C1271&amp;"|"&amp;Raw_Data!D1271&amp;"|"&amp;TEXT(Raw_Data!B1271,"yyyy-mm-dd")</f>
        <v>Molson Coors Beverage Company|TAP|2021-03-31</v>
      </c>
    </row>
    <row r="1273">
      <c r="A1273" s="1">
        <v>1271.0</v>
      </c>
      <c r="B1273" s="3">
        <v>44104.0</v>
      </c>
      <c r="C1273" s="1" t="s">
        <v>675</v>
      </c>
      <c r="D1273" s="1" t="s">
        <v>676</v>
      </c>
      <c r="F1273" s="1">
        <v>4.504E8</v>
      </c>
      <c r="G1273" s="1">
        <v>3.428E8</v>
      </c>
      <c r="H1273" s="1">
        <v>6.269E8</v>
      </c>
      <c r="I1273" s="1">
        <v>1.2025E9</v>
      </c>
      <c r="J1273" s="1">
        <v>5.756E8</v>
      </c>
      <c r="K1273" s="1">
        <v>5.756E8</v>
      </c>
      <c r="L1273" s="1">
        <v>-7.07E7</v>
      </c>
      <c r="M1273" s="1">
        <v>1.04E8</v>
      </c>
      <c r="N1273" s="1">
        <v>2.7535E9</v>
      </c>
      <c r="O1273" s="1">
        <v>2.1779E9</v>
      </c>
      <c r="P1273" s="1">
        <v>1.551E9</v>
      </c>
      <c r="Q1273" s="1">
        <v>-1.252E8</v>
      </c>
      <c r="R1273" s="1">
        <v>3.464E8</v>
      </c>
      <c r="S1273" s="1">
        <v>3.428E8</v>
      </c>
      <c r="W1273" s="4" t="str">
        <f>Raw_Data!C1272&amp;"|"&amp;Raw_Data!D1272&amp;"|"&amp;TEXT(Raw_Data!B1272,"yyyy-mm-dd")</f>
        <v>Molson Coors Beverage Company|TAP|2020-12-31</v>
      </c>
    </row>
    <row r="1274">
      <c r="A1274" s="1">
        <v>1272.0</v>
      </c>
      <c r="B1274" s="3">
        <v>44377.0</v>
      </c>
      <c r="C1274" s="1" t="s">
        <v>677</v>
      </c>
      <c r="D1274" s="1" t="s">
        <v>678</v>
      </c>
      <c r="F1274" s="1">
        <v>1.477E9</v>
      </c>
      <c r="G1274" s="1">
        <v>1.078E9</v>
      </c>
      <c r="H1274" s="1">
        <v>1.525E9</v>
      </c>
      <c r="I1274" s="1">
        <v>2.631E9</v>
      </c>
      <c r="J1274" s="1">
        <v>1.074E9</v>
      </c>
      <c r="K1274" s="1">
        <v>1.074E9</v>
      </c>
      <c r="L1274" s="1">
        <v>-8.7E7</v>
      </c>
      <c r="M1274" s="1">
        <v>3.98E8</v>
      </c>
      <c r="N1274" s="1">
        <v>6.642E9</v>
      </c>
      <c r="O1274" s="1">
        <v>5.568E9</v>
      </c>
      <c r="P1274" s="1">
        <v>4.011E9</v>
      </c>
      <c r="Q1274" s="1">
        <v>4.03E8</v>
      </c>
      <c r="R1274" s="1">
        <v>1.079E9</v>
      </c>
      <c r="S1274" s="1">
        <v>1.078E9</v>
      </c>
      <c r="W1274" s="4" t="str">
        <f>Raw_Data!C1273&amp;"|"&amp;Raw_Data!D1273&amp;"|"&amp;TEXT(Raw_Data!B1273,"yyyy-mm-dd")</f>
        <v>Molson Coors Beverage Company|TAP|2020-09-30</v>
      </c>
    </row>
    <row r="1275">
      <c r="A1275" s="1">
        <v>1273.0</v>
      </c>
      <c r="B1275" s="3">
        <v>44286.0</v>
      </c>
      <c r="C1275" s="1" t="s">
        <v>677</v>
      </c>
      <c r="D1275" s="1" t="s">
        <v>678</v>
      </c>
      <c r="F1275" s="1">
        <v>1.18E9</v>
      </c>
      <c r="G1275" s="1">
        <v>9.61E8</v>
      </c>
      <c r="H1275" s="1">
        <v>1.515E9</v>
      </c>
      <c r="I1275" s="1">
        <v>2.966E9</v>
      </c>
      <c r="J1275" s="1">
        <v>1.413E9</v>
      </c>
      <c r="K1275" s="1">
        <v>1.413E9</v>
      </c>
      <c r="L1275" s="1">
        <v>-9.5E7</v>
      </c>
      <c r="M1275" s="1">
        <v>2.12E8</v>
      </c>
      <c r="N1275" s="1">
        <v>7.238E9</v>
      </c>
      <c r="O1275" s="1">
        <v>5.825E9</v>
      </c>
      <c r="P1275" s="1">
        <v>4.272E9</v>
      </c>
      <c r="Q1275" s="1">
        <v>-2.33E8</v>
      </c>
      <c r="R1275" s="1">
        <v>9.68E8</v>
      </c>
      <c r="S1275" s="1">
        <v>9.61E8</v>
      </c>
      <c r="W1275" s="4" t="str">
        <f>Raw_Data!C1274&amp;"|"&amp;Raw_Data!D1274&amp;"|"&amp;TEXT(Raw_Data!B1274,"yyyy-mm-dd")</f>
        <v>Mondelez International|MDLZ|2021-06-30</v>
      </c>
    </row>
    <row r="1276">
      <c r="A1276" s="1">
        <v>1274.0</v>
      </c>
      <c r="B1276" s="3">
        <v>44196.0</v>
      </c>
      <c r="C1276" s="1" t="s">
        <v>677</v>
      </c>
      <c r="D1276" s="1" t="s">
        <v>678</v>
      </c>
      <c r="F1276" s="1">
        <v>1.503E9</v>
      </c>
      <c r="G1276" s="1">
        <v>1.156E9</v>
      </c>
      <c r="H1276" s="1">
        <v>1.599E9</v>
      </c>
      <c r="I1276" s="1">
        <v>2.872E9</v>
      </c>
      <c r="J1276" s="1">
        <v>1.222E9</v>
      </c>
      <c r="K1276" s="1">
        <v>1.222E9</v>
      </c>
      <c r="L1276" s="1">
        <v>-9.0E7</v>
      </c>
      <c r="M1276" s="1">
        <v>3.44E8</v>
      </c>
      <c r="N1276" s="1">
        <v>7.298E9</v>
      </c>
      <c r="O1276" s="1">
        <v>6.076E9</v>
      </c>
      <c r="P1276" s="1">
        <v>4.426E9</v>
      </c>
      <c r="Q1276" s="1">
        <v>2.81E8</v>
      </c>
      <c r="R1276" s="1">
        <v>1.159E9</v>
      </c>
      <c r="S1276" s="1">
        <v>1.156E9</v>
      </c>
      <c r="W1276" s="4" t="str">
        <f>Raw_Data!C1275&amp;"|"&amp;Raw_Data!D1275&amp;"|"&amp;TEXT(Raw_Data!B1275,"yyyy-mm-dd")</f>
        <v>Mondelez International|MDLZ|2021-03-31</v>
      </c>
    </row>
    <row r="1277">
      <c r="A1277" s="1">
        <v>1275.0</v>
      </c>
      <c r="B1277" s="3">
        <v>44104.0</v>
      </c>
      <c r="C1277" s="1" t="s">
        <v>677</v>
      </c>
      <c r="D1277" s="1" t="s">
        <v>678</v>
      </c>
      <c r="F1277" s="1">
        <v>1.513E9</v>
      </c>
      <c r="G1277" s="1">
        <v>1.119E9</v>
      </c>
      <c r="H1277" s="1">
        <v>1.446E9</v>
      </c>
      <c r="I1277" s="1">
        <v>2.792E9</v>
      </c>
      <c r="J1277" s="1">
        <v>1.296E9</v>
      </c>
      <c r="K1277" s="1">
        <v>1.296E9</v>
      </c>
      <c r="L1277" s="1">
        <v>-1.04E8</v>
      </c>
      <c r="M1277" s="1">
        <v>3.91E8</v>
      </c>
      <c r="N1277" s="1">
        <v>6.665E9</v>
      </c>
      <c r="O1277" s="1">
        <v>5.369E9</v>
      </c>
      <c r="P1277" s="1">
        <v>3.873E9</v>
      </c>
      <c r="Q1277" s="1">
        <v>2.17E8</v>
      </c>
      <c r="R1277" s="1">
        <v>1.122E9</v>
      </c>
      <c r="S1277" s="1">
        <v>1.119E9</v>
      </c>
      <c r="W1277" s="4" t="str">
        <f>Raw_Data!C1276&amp;"|"&amp;Raw_Data!D1276&amp;"|"&amp;TEXT(Raw_Data!B1276,"yyyy-mm-dd")</f>
        <v>Mondelez International|MDLZ|2020-12-31</v>
      </c>
    </row>
    <row r="1278">
      <c r="A1278" s="1">
        <v>1276.0</v>
      </c>
      <c r="B1278" s="3">
        <v>44377.0</v>
      </c>
      <c r="C1278" s="1" t="s">
        <v>679</v>
      </c>
      <c r="D1278" s="1" t="s">
        <v>680</v>
      </c>
      <c r="E1278" s="1">
        <v>4.4753E7</v>
      </c>
      <c r="F1278" s="1">
        <v>6.3659E7</v>
      </c>
      <c r="G1278" s="1">
        <v>5.5169E7</v>
      </c>
      <c r="H1278" s="1">
        <v>5.7238E7</v>
      </c>
      <c r="I1278" s="1">
        <v>1.64215E8</v>
      </c>
      <c r="J1278" s="1">
        <v>6.2224E7</v>
      </c>
      <c r="K1278" s="1">
        <v>6.2224E7</v>
      </c>
      <c r="M1278" s="1">
        <v>8490000.0</v>
      </c>
      <c r="N1278" s="1">
        <v>2.93317E8</v>
      </c>
      <c r="O1278" s="1">
        <v>2.31093E8</v>
      </c>
      <c r="P1278" s="1">
        <v>1.29102E8</v>
      </c>
      <c r="Q1278" s="1">
        <v>1435000.0</v>
      </c>
      <c r="R1278" s="1">
        <v>5.5169E7</v>
      </c>
      <c r="S1278" s="1">
        <v>5.5169E7</v>
      </c>
      <c r="W1278" s="4" t="str">
        <f>Raw_Data!C1277&amp;"|"&amp;Raw_Data!D1277&amp;"|"&amp;TEXT(Raw_Data!B1277,"yyyy-mm-dd")</f>
        <v>Mondelez International|MDLZ|2020-09-30</v>
      </c>
    </row>
    <row r="1279">
      <c r="A1279" s="1">
        <v>1277.0</v>
      </c>
      <c r="B1279" s="3">
        <v>44286.0</v>
      </c>
      <c r="C1279" s="1" t="s">
        <v>679</v>
      </c>
      <c r="D1279" s="1" t="s">
        <v>680</v>
      </c>
      <c r="E1279" s="1">
        <v>4.1892E7</v>
      </c>
      <c r="F1279" s="1">
        <v>4.8673E7</v>
      </c>
      <c r="G1279" s="1">
        <v>4.5413E7</v>
      </c>
      <c r="H1279" s="1">
        <v>5.1453E7</v>
      </c>
      <c r="I1279" s="1">
        <v>1.41059E8</v>
      </c>
      <c r="J1279" s="1">
        <v>4.7714E7</v>
      </c>
      <c r="K1279" s="1">
        <v>4.7714E7</v>
      </c>
      <c r="M1279" s="1">
        <v>3260000.0</v>
      </c>
      <c r="N1279" s="1">
        <v>2.54455E8</v>
      </c>
      <c r="O1279" s="1">
        <v>2.06741E8</v>
      </c>
      <c r="P1279" s="1">
        <v>1.13396E8</v>
      </c>
      <c r="Q1279" s="1">
        <v>959000.0</v>
      </c>
      <c r="R1279" s="1">
        <v>4.5413E7</v>
      </c>
      <c r="S1279" s="1">
        <v>4.5413E7</v>
      </c>
      <c r="W1279" s="4" t="str">
        <f>Raw_Data!C1278&amp;"|"&amp;Raw_Data!D1278&amp;"|"&amp;TEXT(Raw_Data!B1278,"yyyy-mm-dd")</f>
        <v>Monolithic Power Systems|MPWR|2021-06-30</v>
      </c>
    </row>
    <row r="1280">
      <c r="A1280" s="1">
        <v>1278.0</v>
      </c>
      <c r="B1280" s="3">
        <v>44196.0</v>
      </c>
      <c r="C1280" s="1" t="s">
        <v>679</v>
      </c>
      <c r="D1280" s="1" t="s">
        <v>680</v>
      </c>
      <c r="E1280" s="1">
        <v>4.2252E7</v>
      </c>
      <c r="F1280" s="1">
        <v>4.4442E7</v>
      </c>
      <c r="G1280" s="1">
        <v>4.2887E7</v>
      </c>
      <c r="H1280" s="1">
        <v>4.512E7</v>
      </c>
      <c r="I1280" s="1">
        <v>1.28874E8</v>
      </c>
      <c r="J1280" s="1">
        <v>4.1502E7</v>
      </c>
      <c r="K1280" s="1">
        <v>4.1502E7</v>
      </c>
      <c r="M1280" s="1">
        <v>1555000.0</v>
      </c>
      <c r="N1280" s="1">
        <v>2.33043E8</v>
      </c>
      <c r="O1280" s="1">
        <v>1.91541E8</v>
      </c>
      <c r="P1280" s="1">
        <v>1.04169E8</v>
      </c>
      <c r="Q1280" s="1">
        <v>2940000.0</v>
      </c>
      <c r="R1280" s="1">
        <v>4.2887E7</v>
      </c>
      <c r="S1280" s="1">
        <v>4.2887E7</v>
      </c>
      <c r="W1280" s="4" t="str">
        <f>Raw_Data!C1279&amp;"|"&amp;Raw_Data!D1279&amp;"|"&amp;TEXT(Raw_Data!B1279,"yyyy-mm-dd")</f>
        <v>Monolithic Power Systems|MPWR|2021-03-31</v>
      </c>
    </row>
    <row r="1281">
      <c r="A1281" s="1">
        <v>1279.0</v>
      </c>
      <c r="B1281" s="3">
        <v>44104.0</v>
      </c>
      <c r="C1281" s="1" t="s">
        <v>679</v>
      </c>
      <c r="D1281" s="1" t="s">
        <v>680</v>
      </c>
      <c r="E1281" s="1">
        <v>3.7717E7</v>
      </c>
      <c r="F1281" s="1">
        <v>6.2473E7</v>
      </c>
      <c r="G1281" s="1">
        <v>5.5566E7</v>
      </c>
      <c r="H1281" s="1">
        <v>4.3503E7</v>
      </c>
      <c r="I1281" s="1">
        <v>1.4304E8</v>
      </c>
      <c r="J1281" s="1">
        <v>6.182E7</v>
      </c>
      <c r="K1281" s="1">
        <v>6.182E7</v>
      </c>
      <c r="M1281" s="1">
        <v>6907000.0</v>
      </c>
      <c r="N1281" s="1">
        <v>2.59422E8</v>
      </c>
      <c r="O1281" s="1">
        <v>1.97602E8</v>
      </c>
      <c r="P1281" s="1">
        <v>1.16382E8</v>
      </c>
      <c r="Q1281" s="1">
        <v>653000.0</v>
      </c>
      <c r="R1281" s="1">
        <v>5.5566E7</v>
      </c>
      <c r="S1281" s="1">
        <v>5.5566E7</v>
      </c>
      <c r="W1281" s="4" t="str">
        <f>Raw_Data!C1280&amp;"|"&amp;Raw_Data!D1280&amp;"|"&amp;TEXT(Raw_Data!B1280,"yyyy-mm-dd")</f>
        <v>Monolithic Power Systems|MPWR|2020-12-31</v>
      </c>
    </row>
    <row r="1282">
      <c r="A1282" s="1">
        <v>1280.0</v>
      </c>
      <c r="B1282" s="3">
        <v>44377.0</v>
      </c>
      <c r="C1282" s="1" t="s">
        <v>681</v>
      </c>
      <c r="D1282" s="1" t="s">
        <v>682</v>
      </c>
      <c r="F1282" s="1">
        <v>5.26847E8</v>
      </c>
      <c r="G1282" s="1">
        <v>4.03762E8</v>
      </c>
      <c r="H1282" s="1">
        <v>3.10741E8</v>
      </c>
      <c r="I1282" s="1">
        <v>8.36838E8</v>
      </c>
      <c r="J1282" s="1">
        <v>5.25975E8</v>
      </c>
      <c r="K1282" s="1">
        <v>5.25975E8</v>
      </c>
      <c r="L1282" s="1">
        <v>-5000.0</v>
      </c>
      <c r="M1282" s="1">
        <v>1.23085E8</v>
      </c>
      <c r="N1282" s="1">
        <v>1.461934E9</v>
      </c>
      <c r="O1282" s="1">
        <v>9.35959E8</v>
      </c>
      <c r="P1282" s="1">
        <v>6.25096E8</v>
      </c>
      <c r="Q1282" s="1">
        <v>872000.0</v>
      </c>
      <c r="R1282" s="1">
        <v>4.03762E8</v>
      </c>
      <c r="S1282" s="1">
        <v>4.03762E8</v>
      </c>
      <c r="W1282" s="4" t="str">
        <f>Raw_Data!C1281&amp;"|"&amp;Raw_Data!D1281&amp;"|"&amp;TEXT(Raw_Data!B1281,"yyyy-mm-dd")</f>
        <v>Monolithic Power Systems|MPWR|2020-09-30</v>
      </c>
    </row>
    <row r="1283">
      <c r="A1283" s="1">
        <v>1281.0</v>
      </c>
      <c r="B1283" s="3">
        <v>44286.0</v>
      </c>
      <c r="C1283" s="1" t="s">
        <v>681</v>
      </c>
      <c r="D1283" s="1" t="s">
        <v>682</v>
      </c>
      <c r="F1283" s="1">
        <v>4.13387E8</v>
      </c>
      <c r="G1283" s="1">
        <v>3.15194E8</v>
      </c>
      <c r="H1283" s="1">
        <v>3.00655E8</v>
      </c>
      <c r="I1283" s="1">
        <v>7.14935E8</v>
      </c>
      <c r="J1283" s="1">
        <v>4.14146E8</v>
      </c>
      <c r="K1283" s="1">
        <v>4.14146E8</v>
      </c>
      <c r="L1283" s="1">
        <v>-4000.0</v>
      </c>
      <c r="M1283" s="1">
        <v>9.8193E7</v>
      </c>
      <c r="N1283" s="1">
        <v>1.243816E9</v>
      </c>
      <c r="O1283" s="1">
        <v>8.2967E8</v>
      </c>
      <c r="P1283" s="1">
        <v>5.28881E8</v>
      </c>
      <c r="Q1283" s="1">
        <v>-759000.0</v>
      </c>
      <c r="R1283" s="1">
        <v>3.15194E8</v>
      </c>
      <c r="S1283" s="1">
        <v>3.15194E8</v>
      </c>
      <c r="W1283" s="4" t="str">
        <f>Raw_Data!C1282&amp;"|"&amp;Raw_Data!D1282&amp;"|"&amp;TEXT(Raw_Data!B1282,"yyyy-mm-dd")</f>
        <v>Monster Beverage|MNST|2021-06-30</v>
      </c>
    </row>
    <row r="1284">
      <c r="A1284" s="1">
        <v>1282.0</v>
      </c>
      <c r="B1284" s="3">
        <v>44196.0</v>
      </c>
      <c r="C1284" s="1" t="s">
        <v>681</v>
      </c>
      <c r="D1284" s="1" t="s">
        <v>682</v>
      </c>
      <c r="F1284" s="1">
        <v>4.00796E8</v>
      </c>
      <c r="G1284" s="1">
        <v>4.71736E8</v>
      </c>
      <c r="H1284" s="1">
        <v>3.82595E8</v>
      </c>
      <c r="I1284" s="1">
        <v>6.90685E8</v>
      </c>
      <c r="J1284" s="1">
        <v>4.02301E8</v>
      </c>
      <c r="K1284" s="1">
        <v>4.02301E8</v>
      </c>
      <c r="L1284" s="1">
        <v>-4000.0</v>
      </c>
      <c r="M1284" s="1">
        <v>-7.094E7</v>
      </c>
      <c r="N1284" s="1">
        <v>1.196283E9</v>
      </c>
      <c r="O1284" s="1">
        <v>7.93982E8</v>
      </c>
      <c r="P1284" s="1">
        <v>5.05598E8</v>
      </c>
      <c r="Q1284" s="1">
        <v>-1505000.0</v>
      </c>
      <c r="R1284" s="1">
        <v>4.71736E8</v>
      </c>
      <c r="S1284" s="1">
        <v>4.71736E8</v>
      </c>
      <c r="W1284" s="4" t="str">
        <f>Raw_Data!C1283&amp;"|"&amp;Raw_Data!D1283&amp;"|"&amp;TEXT(Raw_Data!B1283,"yyyy-mm-dd")</f>
        <v>Monster Beverage|MNST|2021-03-31</v>
      </c>
    </row>
    <row r="1285">
      <c r="A1285" s="1">
        <v>1283.0</v>
      </c>
      <c r="B1285" s="3">
        <v>44104.0</v>
      </c>
      <c r="C1285" s="1" t="s">
        <v>681</v>
      </c>
      <c r="D1285" s="1" t="s">
        <v>682</v>
      </c>
      <c r="F1285" s="1">
        <v>4.54033E8</v>
      </c>
      <c r="G1285" s="1">
        <v>3.47654E8</v>
      </c>
      <c r="H1285" s="1">
        <v>2.77753E8</v>
      </c>
      <c r="I1285" s="1">
        <v>7.36531E8</v>
      </c>
      <c r="J1285" s="1">
        <v>4.58601E8</v>
      </c>
      <c r="K1285" s="1">
        <v>4.58601E8</v>
      </c>
      <c r="L1285" s="1">
        <v>-1268000.0</v>
      </c>
      <c r="M1285" s="1">
        <v>1.06379E8</v>
      </c>
      <c r="N1285" s="1">
        <v>1.246362E9</v>
      </c>
      <c r="O1285" s="1">
        <v>7.87761E8</v>
      </c>
      <c r="P1285" s="1">
        <v>5.09831E8</v>
      </c>
      <c r="Q1285" s="1">
        <v>-4568000.0</v>
      </c>
      <c r="R1285" s="1">
        <v>3.47654E8</v>
      </c>
      <c r="S1285" s="1">
        <v>3.47654E8</v>
      </c>
      <c r="W1285" s="4" t="str">
        <f>Raw_Data!C1284&amp;"|"&amp;Raw_Data!D1284&amp;"|"&amp;TEXT(Raw_Data!B1284,"yyyy-mm-dd")</f>
        <v>Monster Beverage|MNST|2020-12-31</v>
      </c>
    </row>
    <row r="1286">
      <c r="A1286" s="1">
        <v>1284.0</v>
      </c>
      <c r="B1286" s="3">
        <v>44377.0</v>
      </c>
      <c r="C1286" s="1" t="s">
        <v>683</v>
      </c>
      <c r="D1286" s="1" t="s">
        <v>684</v>
      </c>
      <c r="F1286" s="1">
        <v>7.58E8</v>
      </c>
      <c r="G1286" s="1">
        <v>5.77E8</v>
      </c>
      <c r="H1286" s="1">
        <v>3.21E8</v>
      </c>
      <c r="I1286" s="1">
        <v>1.188E9</v>
      </c>
      <c r="J1286" s="1">
        <v>8.07E8</v>
      </c>
      <c r="K1286" s="1">
        <v>8.07E8</v>
      </c>
      <c r="L1286" s="1">
        <v>-4.6E7</v>
      </c>
      <c r="M1286" s="1">
        <v>1.81E8</v>
      </c>
      <c r="N1286" s="1">
        <v>1.553E9</v>
      </c>
      <c r="O1286" s="1">
        <v>7.46E8</v>
      </c>
      <c r="P1286" s="1">
        <v>3.65E8</v>
      </c>
      <c r="Q1286" s="1">
        <v>-4.9E7</v>
      </c>
      <c r="R1286" s="1">
        <v>5.77E8</v>
      </c>
      <c r="S1286" s="1">
        <v>5.77E8</v>
      </c>
      <c r="W1286" s="4" t="str">
        <f>Raw_Data!C1285&amp;"|"&amp;Raw_Data!D1285&amp;"|"&amp;TEXT(Raw_Data!B1285,"yyyy-mm-dd")</f>
        <v>Monster Beverage|MNST|2020-09-30</v>
      </c>
    </row>
    <row r="1287">
      <c r="A1287" s="1">
        <v>1285.0</v>
      </c>
      <c r="B1287" s="3">
        <v>44286.0</v>
      </c>
      <c r="C1287" s="1" t="s">
        <v>683</v>
      </c>
      <c r="D1287" s="1" t="s">
        <v>684</v>
      </c>
      <c r="F1287" s="1">
        <v>8.62E8</v>
      </c>
      <c r="G1287" s="1">
        <v>7.36E8</v>
      </c>
      <c r="H1287" s="1">
        <v>2.93E8</v>
      </c>
      <c r="I1287" s="1">
        <v>1.207E9</v>
      </c>
      <c r="J1287" s="1">
        <v>8.55E8</v>
      </c>
      <c r="K1287" s="1">
        <v>8.55E8</v>
      </c>
      <c r="L1287" s="1">
        <v>-4.6E7</v>
      </c>
      <c r="M1287" s="1">
        <v>1.26E8</v>
      </c>
      <c r="N1287" s="1">
        <v>1.6E9</v>
      </c>
      <c r="O1287" s="1">
        <v>7.45E8</v>
      </c>
      <c r="P1287" s="1">
        <v>3.93E8</v>
      </c>
      <c r="Q1287" s="1">
        <v>7000000.0</v>
      </c>
      <c r="R1287" s="1">
        <v>7.36E8</v>
      </c>
      <c r="S1287" s="1">
        <v>7.36E8</v>
      </c>
      <c r="W1287" s="4" t="str">
        <f>Raw_Data!C1286&amp;"|"&amp;Raw_Data!D1286&amp;"|"&amp;TEXT(Raw_Data!B1286,"yyyy-mm-dd")</f>
        <v>Moody's Corporation|MCO|2021-06-30</v>
      </c>
    </row>
    <row r="1288">
      <c r="A1288" s="1">
        <v>1286.0</v>
      </c>
      <c r="B1288" s="3">
        <v>44196.0</v>
      </c>
      <c r="C1288" s="1" t="s">
        <v>683</v>
      </c>
      <c r="D1288" s="1" t="s">
        <v>684</v>
      </c>
      <c r="F1288" s="1">
        <v>4.0E8</v>
      </c>
      <c r="G1288" s="1">
        <v>3.14E8</v>
      </c>
      <c r="H1288" s="1">
        <v>3.34E8</v>
      </c>
      <c r="I1288" s="1">
        <v>8.81E8</v>
      </c>
      <c r="J1288" s="1">
        <v>4.9E8</v>
      </c>
      <c r="K1288" s="1">
        <v>4.9E8</v>
      </c>
      <c r="L1288" s="1">
        <v>-1.5E7</v>
      </c>
      <c r="M1288" s="1">
        <v>8.6E7</v>
      </c>
      <c r="N1288" s="1">
        <v>1.29E9</v>
      </c>
      <c r="O1288" s="1">
        <v>8.0E8</v>
      </c>
      <c r="P1288" s="1">
        <v>4.09E8</v>
      </c>
      <c r="Q1288" s="1">
        <v>-9.0E7</v>
      </c>
      <c r="R1288" s="1">
        <v>3.14E8</v>
      </c>
      <c r="S1288" s="1">
        <v>3.14E8</v>
      </c>
      <c r="W1288" s="4" t="str">
        <f>Raw_Data!C1287&amp;"|"&amp;Raw_Data!D1287&amp;"|"&amp;TEXT(Raw_Data!B1287,"yyyy-mm-dd")</f>
        <v>Moody's Corporation|MCO|2021-03-31</v>
      </c>
    </row>
    <row r="1289">
      <c r="A1289" s="1">
        <v>1287.0</v>
      </c>
      <c r="B1289" s="3">
        <v>44104.0</v>
      </c>
      <c r="C1289" s="1" t="s">
        <v>683</v>
      </c>
      <c r="D1289" s="1" t="s">
        <v>684</v>
      </c>
      <c r="F1289" s="1">
        <v>5.99E8</v>
      </c>
      <c r="G1289" s="1">
        <v>4.67E8</v>
      </c>
      <c r="H1289" s="1">
        <v>2.72E8</v>
      </c>
      <c r="I1289" s="1">
        <v>9.92E8</v>
      </c>
      <c r="J1289" s="1">
        <v>6.64E8</v>
      </c>
      <c r="K1289" s="1">
        <v>6.64E8</v>
      </c>
      <c r="L1289" s="1">
        <v>-5.1E7</v>
      </c>
      <c r="M1289" s="1">
        <v>1.32E8</v>
      </c>
      <c r="N1289" s="1">
        <v>1.356E9</v>
      </c>
      <c r="O1289" s="1">
        <v>6.92E8</v>
      </c>
      <c r="P1289" s="1">
        <v>3.64E8</v>
      </c>
      <c r="Q1289" s="1">
        <v>-6.5E7</v>
      </c>
      <c r="R1289" s="1">
        <v>4.67E8</v>
      </c>
      <c r="S1289" s="1">
        <v>4.67E8</v>
      </c>
      <c r="W1289" s="4" t="str">
        <f>Raw_Data!C1288&amp;"|"&amp;Raw_Data!D1288&amp;"|"&amp;TEXT(Raw_Data!B1288,"yyyy-mm-dd")</f>
        <v>Moody's Corporation|MCO|2020-12-31</v>
      </c>
    </row>
    <row r="1290">
      <c r="A1290" s="1">
        <v>1288.0</v>
      </c>
      <c r="B1290" s="3">
        <v>44469.0</v>
      </c>
      <c r="C1290" s="1" t="s">
        <v>685</v>
      </c>
      <c r="D1290" s="1" t="s">
        <v>686</v>
      </c>
      <c r="F1290" s="1">
        <v>4.874E9</v>
      </c>
      <c r="G1290" s="1">
        <v>3.707E9</v>
      </c>
      <c r="H1290" s="1">
        <v>7.208E9</v>
      </c>
      <c r="I1290" s="1">
        <v>1.314E10</v>
      </c>
      <c r="J1290" s="1">
        <v>0.0</v>
      </c>
      <c r="K1290" s="1">
        <v>5.908E9</v>
      </c>
      <c r="M1290" s="1">
        <v>1.15E9</v>
      </c>
      <c r="N1290" s="1">
        <v>1.4753E10</v>
      </c>
      <c r="O1290" s="1">
        <v>8.845E9</v>
      </c>
      <c r="P1290" s="1">
        <v>1.613E9</v>
      </c>
      <c r="Q1290" s="1">
        <v>-1.034E9</v>
      </c>
      <c r="R1290" s="1">
        <v>3.724E9</v>
      </c>
      <c r="S1290" s="1">
        <v>3.584E9</v>
      </c>
      <c r="W1290" s="4" t="str">
        <f>Raw_Data!C1289&amp;"|"&amp;Raw_Data!D1289&amp;"|"&amp;TEXT(Raw_Data!B1289,"yyyy-mm-dd")</f>
        <v>Moody's Corporation|MCO|2020-09-30</v>
      </c>
    </row>
    <row r="1291">
      <c r="A1291" s="1">
        <v>1289.0</v>
      </c>
      <c r="B1291" s="3">
        <v>44377.0</v>
      </c>
      <c r="C1291" s="1" t="s">
        <v>685</v>
      </c>
      <c r="D1291" s="1" t="s">
        <v>686</v>
      </c>
      <c r="F1291" s="1">
        <v>4.566E9</v>
      </c>
      <c r="G1291" s="1">
        <v>3.511E9</v>
      </c>
      <c r="H1291" s="1">
        <v>7.704E9</v>
      </c>
      <c r="I1291" s="1">
        <v>1.3199E10</v>
      </c>
      <c r="J1291" s="1">
        <v>0.0</v>
      </c>
      <c r="K1291" s="1">
        <v>5.422E9</v>
      </c>
      <c r="M1291" s="1">
        <v>1.054E9</v>
      </c>
      <c r="N1291" s="1">
        <v>1.4759E10</v>
      </c>
      <c r="O1291" s="1">
        <v>9.337E9</v>
      </c>
      <c r="P1291" s="1">
        <v>1.56E9</v>
      </c>
      <c r="Q1291" s="1">
        <v>-8.56E8</v>
      </c>
      <c r="R1291" s="1">
        <v>3.512E9</v>
      </c>
      <c r="S1291" s="1">
        <v>3.408E9</v>
      </c>
      <c r="W1291" s="4" t="str">
        <f>Raw_Data!C1290&amp;"|"&amp;Raw_Data!D1290&amp;"|"&amp;TEXT(Raw_Data!B1290,"yyyy-mm-dd")</f>
        <v>Morgan Stanley|MS|2021-09-30</v>
      </c>
    </row>
    <row r="1292">
      <c r="A1292" s="1">
        <v>1290.0</v>
      </c>
      <c r="B1292" s="3">
        <v>44286.0</v>
      </c>
      <c r="C1292" s="1" t="s">
        <v>685</v>
      </c>
      <c r="D1292" s="1" t="s">
        <v>686</v>
      </c>
      <c r="F1292" s="1">
        <v>5.344E9</v>
      </c>
      <c r="G1292" s="1">
        <v>4.12E9</v>
      </c>
      <c r="H1292" s="1">
        <v>7.94E9</v>
      </c>
      <c r="I1292" s="1">
        <v>1.4076E10</v>
      </c>
      <c r="J1292" s="1">
        <v>0.0</v>
      </c>
      <c r="K1292" s="1">
        <v>6.234E9</v>
      </c>
      <c r="M1292" s="1">
        <v>1.176E9</v>
      </c>
      <c r="N1292" s="1">
        <v>1.5719E10</v>
      </c>
      <c r="O1292" s="1">
        <v>9.485E9</v>
      </c>
      <c r="P1292" s="1">
        <v>1.643E9</v>
      </c>
      <c r="Q1292" s="1">
        <v>-8.9E8</v>
      </c>
      <c r="R1292" s="1">
        <v>4.168E9</v>
      </c>
      <c r="S1292" s="1">
        <v>3.982E9</v>
      </c>
      <c r="W1292" s="4" t="str">
        <f>Raw_Data!C1291&amp;"|"&amp;Raw_Data!D1291&amp;"|"&amp;TEXT(Raw_Data!B1291,"yyyy-mm-dd")</f>
        <v>Morgan Stanley|MS|2021-06-30</v>
      </c>
    </row>
    <row r="1293">
      <c r="A1293" s="1">
        <v>1291.0</v>
      </c>
      <c r="B1293" s="3">
        <v>44196.0</v>
      </c>
      <c r="C1293" s="1" t="s">
        <v>685</v>
      </c>
      <c r="D1293" s="1" t="s">
        <v>686</v>
      </c>
      <c r="F1293" s="1">
        <v>4.43E9</v>
      </c>
      <c r="G1293" s="1">
        <v>3.385E9</v>
      </c>
      <c r="H1293" s="1">
        <v>6.595E9</v>
      </c>
      <c r="I1293" s="1">
        <v>1.2167E10</v>
      </c>
      <c r="J1293" s="1">
        <v>0.0</v>
      </c>
      <c r="K1293" s="1">
        <v>5.572E9</v>
      </c>
      <c r="M1293" s="1">
        <v>1.018E9</v>
      </c>
      <c r="N1293" s="1">
        <v>1.364E10</v>
      </c>
      <c r="O1293" s="1">
        <v>8.068E9</v>
      </c>
      <c r="P1293" s="1">
        <v>1.473E9</v>
      </c>
      <c r="Q1293" s="1">
        <v>-1.142E9</v>
      </c>
      <c r="R1293" s="1">
        <v>3.412E9</v>
      </c>
      <c r="S1293" s="1">
        <v>3.266E9</v>
      </c>
      <c r="W1293" s="4" t="str">
        <f>Raw_Data!C1292&amp;"|"&amp;Raw_Data!D1292&amp;"|"&amp;TEXT(Raw_Data!B1292,"yyyy-mm-dd")</f>
        <v>Morgan Stanley|MS|2021-03-31</v>
      </c>
    </row>
    <row r="1294">
      <c r="A1294" s="1">
        <v>1292.0</v>
      </c>
      <c r="B1294" s="3">
        <v>44380.0</v>
      </c>
      <c r="C1294" s="1" t="s">
        <v>687</v>
      </c>
      <c r="D1294" s="1" t="s">
        <v>688</v>
      </c>
      <c r="E1294" s="1">
        <v>1.81E8</v>
      </c>
      <c r="F1294" s="1">
        <v>3.4E8</v>
      </c>
      <c r="G1294" s="1">
        <v>2.93E8</v>
      </c>
      <c r="H1294" s="1">
        <v>3.0E8</v>
      </c>
      <c r="I1294" s="1">
        <v>9.55E8</v>
      </c>
      <c r="J1294" s="1">
        <v>4.74E8</v>
      </c>
      <c r="K1294" s="1">
        <v>4.74E8</v>
      </c>
      <c r="L1294" s="1">
        <v>-4.6E7</v>
      </c>
      <c r="M1294" s="1">
        <v>4.6E7</v>
      </c>
      <c r="N1294" s="1">
        <v>1.971E9</v>
      </c>
      <c r="O1294" s="1">
        <v>1.497E9</v>
      </c>
      <c r="P1294" s="1">
        <v>1.016E9</v>
      </c>
      <c r="Q1294" s="1">
        <v>-1.34E8</v>
      </c>
      <c r="R1294" s="1">
        <v>2.94E8</v>
      </c>
      <c r="S1294" s="1">
        <v>2.93E8</v>
      </c>
      <c r="W1294" s="4" t="str">
        <f>Raw_Data!C1293&amp;"|"&amp;Raw_Data!D1293&amp;"|"&amp;TEXT(Raw_Data!B1293,"yyyy-mm-dd")</f>
        <v>Morgan Stanley|MS|2020-12-31</v>
      </c>
    </row>
    <row r="1295">
      <c r="A1295" s="1">
        <v>1293.0</v>
      </c>
      <c r="B1295" s="3">
        <v>44289.0</v>
      </c>
      <c r="C1295" s="1" t="s">
        <v>687</v>
      </c>
      <c r="D1295" s="1" t="s">
        <v>688</v>
      </c>
      <c r="E1295" s="1">
        <v>1.8E8</v>
      </c>
      <c r="F1295" s="1">
        <v>2.89E8</v>
      </c>
      <c r="G1295" s="1">
        <v>2.44E8</v>
      </c>
      <c r="H1295" s="1">
        <v>2.73E8</v>
      </c>
      <c r="I1295" s="1">
        <v>8.62E8</v>
      </c>
      <c r="J1295" s="1">
        <v>3.51E8</v>
      </c>
      <c r="K1295" s="1">
        <v>3.51E8</v>
      </c>
      <c r="L1295" s="1">
        <v>-5.6E7</v>
      </c>
      <c r="M1295" s="1">
        <v>4.4E7</v>
      </c>
      <c r="N1295" s="1">
        <v>1.773E9</v>
      </c>
      <c r="O1295" s="1">
        <v>1.422E9</v>
      </c>
      <c r="P1295" s="1">
        <v>9.11E8</v>
      </c>
      <c r="Q1295" s="1">
        <v>-6.2E7</v>
      </c>
      <c r="R1295" s="1">
        <v>2.45E8</v>
      </c>
      <c r="S1295" s="1">
        <v>2.44E8</v>
      </c>
      <c r="W1295" s="4" t="str">
        <f>Raw_Data!C1294&amp;"|"&amp;Raw_Data!D1294&amp;"|"&amp;TEXT(Raw_Data!B1294,"yyyy-mm-dd")</f>
        <v>Motorola Solutions|MSI|2021-07-03</v>
      </c>
    </row>
    <row r="1296">
      <c r="A1296" s="1">
        <v>1294.0</v>
      </c>
      <c r="B1296" s="3">
        <v>44196.0</v>
      </c>
      <c r="C1296" s="1" t="s">
        <v>687</v>
      </c>
      <c r="D1296" s="1" t="s">
        <v>688</v>
      </c>
      <c r="E1296" s="1">
        <v>1.81E8</v>
      </c>
      <c r="F1296" s="1">
        <v>5.22E8</v>
      </c>
      <c r="G1296" s="1">
        <v>4.12E8</v>
      </c>
      <c r="H1296" s="1">
        <v>3.21E8</v>
      </c>
      <c r="I1296" s="1">
        <v>1.151E9</v>
      </c>
      <c r="J1296" s="1">
        <v>5.92E8</v>
      </c>
      <c r="K1296" s="1">
        <v>5.92E8</v>
      </c>
      <c r="L1296" s="1">
        <v>-5.8E7</v>
      </c>
      <c r="M1296" s="1">
        <v>1.09E8</v>
      </c>
      <c r="N1296" s="1">
        <v>2.273E9</v>
      </c>
      <c r="O1296" s="1">
        <v>1.681E9</v>
      </c>
      <c r="P1296" s="1">
        <v>1.122E9</v>
      </c>
      <c r="Q1296" s="1">
        <v>-7.0E7</v>
      </c>
      <c r="R1296" s="1">
        <v>4.13E8</v>
      </c>
      <c r="S1296" s="1">
        <v>4.12E8</v>
      </c>
      <c r="W1296" s="4" t="str">
        <f>Raw_Data!C1295&amp;"|"&amp;Raw_Data!D1295&amp;"|"&amp;TEXT(Raw_Data!B1295,"yyyy-mm-dd")</f>
        <v>Motorola Solutions|MSI|2021-04-03</v>
      </c>
    </row>
    <row r="1297">
      <c r="A1297" s="1">
        <v>1295.0</v>
      </c>
      <c r="B1297" s="3">
        <v>44100.0</v>
      </c>
      <c r="C1297" s="1" t="s">
        <v>687</v>
      </c>
      <c r="D1297" s="1" t="s">
        <v>688</v>
      </c>
      <c r="E1297" s="1">
        <v>1.75E8</v>
      </c>
      <c r="F1297" s="1">
        <v>2.51E8</v>
      </c>
      <c r="G1297" s="1">
        <v>2.05E8</v>
      </c>
      <c r="H1297" s="1">
        <v>2.93E8</v>
      </c>
      <c r="I1297" s="1">
        <v>9.12E8</v>
      </c>
      <c r="J1297" s="1">
        <v>3.9E8</v>
      </c>
      <c r="K1297" s="1">
        <v>3.9E8</v>
      </c>
      <c r="L1297" s="1">
        <v>-6.0E7</v>
      </c>
      <c r="M1297" s="1">
        <v>4.5E7</v>
      </c>
      <c r="N1297" s="1">
        <v>1.868E9</v>
      </c>
      <c r="O1297" s="1">
        <v>1.478E9</v>
      </c>
      <c r="P1297" s="1">
        <v>9.56E8</v>
      </c>
      <c r="Q1297" s="1">
        <v>-1.39E8</v>
      </c>
      <c r="R1297" s="1">
        <v>2.06E8</v>
      </c>
      <c r="S1297" s="1">
        <v>2.05E8</v>
      </c>
      <c r="W1297" s="4" t="str">
        <f>Raw_Data!C1296&amp;"|"&amp;Raw_Data!D1296&amp;"|"&amp;TEXT(Raw_Data!B1296,"yyyy-mm-dd")</f>
        <v>Motorola Solutions|MSI|2020-12-31</v>
      </c>
    </row>
    <row r="1298">
      <c r="A1298" s="1">
        <v>1296.0</v>
      </c>
      <c r="B1298" s="3">
        <v>44377.0</v>
      </c>
      <c r="C1298" s="1" t="s">
        <v>689</v>
      </c>
      <c r="D1298" s="1" t="s">
        <v>689</v>
      </c>
      <c r="E1298" s="1">
        <v>2.7531E7</v>
      </c>
      <c r="F1298" s="1">
        <v>1.95695E8</v>
      </c>
      <c r="G1298" s="1">
        <v>1.65423E8</v>
      </c>
      <c r="H1298" s="1">
        <v>8.8373E7</v>
      </c>
      <c r="I1298" s="1">
        <v>4.10853E8</v>
      </c>
      <c r="J1298" s="1">
        <v>2.73546E8</v>
      </c>
      <c r="K1298" s="1">
        <v>2.73546E8</v>
      </c>
      <c r="L1298" s="1">
        <v>-3.9557E7</v>
      </c>
      <c r="M1298" s="1">
        <v>3.0272E7</v>
      </c>
      <c r="N1298" s="1">
        <v>4.9818E8</v>
      </c>
      <c r="O1298" s="1">
        <v>2.24634E8</v>
      </c>
      <c r="P1298" s="1">
        <v>8.7327E7</v>
      </c>
      <c r="Q1298" s="1">
        <v>-7.7851E7</v>
      </c>
      <c r="R1298" s="1">
        <v>1.65423E8</v>
      </c>
      <c r="S1298" s="1">
        <v>1.65423E8</v>
      </c>
      <c r="W1298" s="4" t="str">
        <f>Raw_Data!C1297&amp;"|"&amp;Raw_Data!D1297&amp;"|"&amp;TEXT(Raw_Data!B1297,"yyyy-mm-dd")</f>
        <v>Motorola Solutions|MSI|2020-09-26</v>
      </c>
    </row>
    <row r="1299">
      <c r="A1299" s="1">
        <v>1297.0</v>
      </c>
      <c r="B1299" s="3">
        <v>44286.0</v>
      </c>
      <c r="C1299" s="1" t="s">
        <v>689</v>
      </c>
      <c r="D1299" s="1" t="s">
        <v>689</v>
      </c>
      <c r="E1299" s="1">
        <v>2.4862E7</v>
      </c>
      <c r="F1299" s="1">
        <v>2.16028E8</v>
      </c>
      <c r="G1299" s="1">
        <v>1.96819E8</v>
      </c>
      <c r="H1299" s="1">
        <v>9.1195E7</v>
      </c>
      <c r="I1299" s="1">
        <v>3.92643E8</v>
      </c>
      <c r="J1299" s="1">
        <v>2.54375E8</v>
      </c>
      <c r="K1299" s="1">
        <v>2.54375E8</v>
      </c>
      <c r="L1299" s="1">
        <v>-3.7584E7</v>
      </c>
      <c r="M1299" s="1">
        <v>1.9209E7</v>
      </c>
      <c r="N1299" s="1">
        <v>4.78423E8</v>
      </c>
      <c r="O1299" s="1">
        <v>2.24048E8</v>
      </c>
      <c r="P1299" s="1">
        <v>8.578E7</v>
      </c>
      <c r="Q1299" s="1">
        <v>-3.8347E7</v>
      </c>
      <c r="R1299" s="1">
        <v>1.96819E8</v>
      </c>
      <c r="S1299" s="1">
        <v>1.96819E8</v>
      </c>
      <c r="W1299" s="4" t="str">
        <f>Raw_Data!C1298&amp;"|"&amp;Raw_Data!D1298&amp;"|"&amp;TEXT(Raw_Data!B1298,"yyyy-mm-dd")</f>
        <v>MSCI|MSCI|2021-06-30</v>
      </c>
    </row>
    <row r="1300">
      <c r="A1300" s="1">
        <v>1298.0</v>
      </c>
      <c r="B1300" s="3">
        <v>44196.0</v>
      </c>
      <c r="C1300" s="1" t="s">
        <v>689</v>
      </c>
      <c r="D1300" s="1" t="s">
        <v>689</v>
      </c>
      <c r="E1300" s="1">
        <v>2.7056E7</v>
      </c>
      <c r="F1300" s="1">
        <v>1.95166E8</v>
      </c>
      <c r="G1300" s="1">
        <v>1.56216E8</v>
      </c>
      <c r="H1300" s="1">
        <v>8.5569E7</v>
      </c>
      <c r="I1300" s="1">
        <v>3.67726E8</v>
      </c>
      <c r="J1300" s="1">
        <v>2.32671E8</v>
      </c>
      <c r="K1300" s="1">
        <v>2.32671E8</v>
      </c>
      <c r="L1300" s="1">
        <v>-3.733E7</v>
      </c>
      <c r="M1300" s="1">
        <v>3.895E7</v>
      </c>
      <c r="N1300" s="1">
        <v>4.43661E8</v>
      </c>
      <c r="O1300" s="1">
        <v>2.1099E8</v>
      </c>
      <c r="P1300" s="1">
        <v>7.5935E7</v>
      </c>
      <c r="Q1300" s="1">
        <v>-3.7505E7</v>
      </c>
      <c r="R1300" s="1">
        <v>1.56216E8</v>
      </c>
      <c r="S1300" s="1">
        <v>1.56216E8</v>
      </c>
      <c r="W1300" s="4" t="str">
        <f>Raw_Data!C1299&amp;"|"&amp;Raw_Data!D1299&amp;"|"&amp;TEXT(Raw_Data!B1299,"yyyy-mm-dd")</f>
        <v>MSCI|MSCI|2021-03-31</v>
      </c>
    </row>
    <row r="1301">
      <c r="A1301" s="1">
        <v>1299.0</v>
      </c>
      <c r="B1301" s="3">
        <v>44104.0</v>
      </c>
      <c r="C1301" s="1" t="s">
        <v>689</v>
      </c>
      <c r="D1301" s="1" t="s">
        <v>689</v>
      </c>
      <c r="E1301" s="1">
        <v>2.4901E7</v>
      </c>
      <c r="F1301" s="1">
        <v>1.89043E8</v>
      </c>
      <c r="G1301" s="1">
        <v>1.82358E8</v>
      </c>
      <c r="H1301" s="1">
        <v>8.0281E7</v>
      </c>
      <c r="I1301" s="1">
        <v>3.54629E8</v>
      </c>
      <c r="J1301" s="1">
        <v>2.2762E8</v>
      </c>
      <c r="K1301" s="1">
        <v>2.2762E8</v>
      </c>
      <c r="L1301" s="1">
        <v>-3.7536E7</v>
      </c>
      <c r="M1301" s="1">
        <v>6685000.0</v>
      </c>
      <c r="N1301" s="1">
        <v>4.25333E8</v>
      </c>
      <c r="O1301" s="1">
        <v>1.97713E8</v>
      </c>
      <c r="P1301" s="1">
        <v>7.0704E7</v>
      </c>
      <c r="Q1301" s="1">
        <v>-3.8577E7</v>
      </c>
      <c r="R1301" s="1">
        <v>1.82358E8</v>
      </c>
      <c r="S1301" s="1">
        <v>1.82358E8</v>
      </c>
      <c r="W1301" s="4" t="str">
        <f>Raw_Data!C1300&amp;"|"&amp;Raw_Data!D1300&amp;"|"&amp;TEXT(Raw_Data!B1300,"yyyy-mm-dd")</f>
        <v>MSCI|MSCI|2020-12-31</v>
      </c>
    </row>
    <row r="1302">
      <c r="A1302" s="1">
        <v>1300.0</v>
      </c>
      <c r="B1302" s="3">
        <v>44377.0</v>
      </c>
      <c r="C1302" s="1" t="s">
        <v>690</v>
      </c>
      <c r="D1302" s="1" t="s">
        <v>691</v>
      </c>
      <c r="F1302" s="1">
        <v>4.54E8</v>
      </c>
      <c r="G1302" s="1">
        <v>3.41E8</v>
      </c>
      <c r="H1302" s="1">
        <v>3.62E8</v>
      </c>
      <c r="I1302" s="1">
        <v>8.46E8</v>
      </c>
      <c r="J1302" s="1">
        <v>4.16E8</v>
      </c>
      <c r="K1302" s="1">
        <v>4.16E8</v>
      </c>
      <c r="L1302" s="1">
        <v>-3.3E7</v>
      </c>
      <c r="M1302" s="1">
        <v>1.13E8</v>
      </c>
      <c r="N1302" s="1">
        <v>1.412E9</v>
      </c>
      <c r="O1302" s="1">
        <v>9.96E8</v>
      </c>
      <c r="P1302" s="1">
        <v>5.66E8</v>
      </c>
      <c r="Q1302" s="1">
        <v>3.8E7</v>
      </c>
      <c r="R1302" s="1">
        <v>3.41E8</v>
      </c>
      <c r="S1302" s="1">
        <v>3.41E8</v>
      </c>
      <c r="W1302" s="4" t="str">
        <f>Raw_Data!C1301&amp;"|"&amp;Raw_Data!D1301&amp;"|"&amp;TEXT(Raw_Data!B1301,"yyyy-mm-dd")</f>
        <v>MSCI|MSCI|2020-09-30</v>
      </c>
    </row>
    <row r="1303">
      <c r="A1303" s="1">
        <v>1301.0</v>
      </c>
      <c r="B1303" s="3">
        <v>44286.0</v>
      </c>
      <c r="C1303" s="1" t="s">
        <v>690</v>
      </c>
      <c r="D1303" s="1" t="s">
        <v>691</v>
      </c>
      <c r="F1303" s="1">
        <v>3.95E8</v>
      </c>
      <c r="G1303" s="1">
        <v>2.98E8</v>
      </c>
      <c r="H1303" s="1">
        <v>3.61E8</v>
      </c>
      <c r="I1303" s="1">
        <v>8.51E8</v>
      </c>
      <c r="J1303" s="1">
        <v>4.27E8</v>
      </c>
      <c r="K1303" s="1">
        <v>4.27E8</v>
      </c>
      <c r="L1303" s="1">
        <v>-2.9E7</v>
      </c>
      <c r="M1303" s="1">
        <v>9.7E7</v>
      </c>
      <c r="N1303" s="1">
        <v>1.652E9</v>
      </c>
      <c r="O1303" s="1">
        <v>1.225E9</v>
      </c>
      <c r="P1303" s="1">
        <v>8.01E8</v>
      </c>
      <c r="Q1303" s="1">
        <v>-3.2E7</v>
      </c>
      <c r="R1303" s="1">
        <v>2.98E8</v>
      </c>
      <c r="S1303" s="1">
        <v>2.98E8</v>
      </c>
      <c r="W1303" s="4" t="str">
        <f>Raw_Data!C1302&amp;"|"&amp;Raw_Data!D1302&amp;"|"&amp;TEXT(Raw_Data!B1302,"yyyy-mm-dd")</f>
        <v>Nasdaq|NDAQ|2021-06-30</v>
      </c>
    </row>
    <row r="1304">
      <c r="A1304" s="1">
        <v>1302.0</v>
      </c>
      <c r="B1304" s="3">
        <v>44196.0</v>
      </c>
      <c r="C1304" s="1" t="s">
        <v>690</v>
      </c>
      <c r="D1304" s="1" t="s">
        <v>691</v>
      </c>
      <c r="F1304" s="1">
        <v>2.67E8</v>
      </c>
      <c r="G1304" s="1">
        <v>2.25E8</v>
      </c>
      <c r="H1304" s="1">
        <v>3.76E8</v>
      </c>
      <c r="I1304" s="1">
        <v>7.88E8</v>
      </c>
      <c r="J1304" s="1">
        <v>3.59E8</v>
      </c>
      <c r="K1304" s="1">
        <v>3.59E8</v>
      </c>
      <c r="L1304" s="1">
        <v>-2.4E7</v>
      </c>
      <c r="M1304" s="1">
        <v>4.2E7</v>
      </c>
      <c r="N1304" s="1">
        <v>1.462E9</v>
      </c>
      <c r="O1304" s="1">
        <v>1.103E9</v>
      </c>
      <c r="P1304" s="1">
        <v>6.74E8</v>
      </c>
      <c r="Q1304" s="1">
        <v>-9.2E7</v>
      </c>
      <c r="R1304" s="1">
        <v>2.25E8</v>
      </c>
      <c r="S1304" s="1">
        <v>2.25E8</v>
      </c>
      <c r="W1304" s="4" t="str">
        <f>Raw_Data!C1303&amp;"|"&amp;Raw_Data!D1303&amp;"|"&amp;TEXT(Raw_Data!B1303,"yyyy-mm-dd")</f>
        <v>Nasdaq|NDAQ|2021-03-31</v>
      </c>
    </row>
    <row r="1305">
      <c r="A1305" s="1">
        <v>1303.0</v>
      </c>
      <c r="B1305" s="3">
        <v>44104.0</v>
      </c>
      <c r="C1305" s="1" t="s">
        <v>690</v>
      </c>
      <c r="D1305" s="1" t="s">
        <v>691</v>
      </c>
      <c r="F1305" s="1">
        <v>3.57E8</v>
      </c>
      <c r="G1305" s="1">
        <v>2.64E8</v>
      </c>
      <c r="H1305" s="1">
        <v>3.18E8</v>
      </c>
      <c r="I1305" s="1">
        <v>7.15E8</v>
      </c>
      <c r="J1305" s="1">
        <v>3.46E8</v>
      </c>
      <c r="K1305" s="1">
        <v>3.46E8</v>
      </c>
      <c r="L1305" s="1">
        <v>-2.4E7</v>
      </c>
      <c r="M1305" s="1">
        <v>9.3E7</v>
      </c>
      <c r="N1305" s="1">
        <v>1.414E9</v>
      </c>
      <c r="O1305" s="1">
        <v>1.068E9</v>
      </c>
      <c r="P1305" s="1">
        <v>6.99E8</v>
      </c>
      <c r="Q1305" s="1">
        <v>1.1E7</v>
      </c>
      <c r="R1305" s="1">
        <v>2.64E8</v>
      </c>
      <c r="S1305" s="1">
        <v>2.64E8</v>
      </c>
      <c r="W1305" s="4" t="str">
        <f>Raw_Data!C1304&amp;"|"&amp;Raw_Data!D1304&amp;"|"&amp;TEXT(Raw_Data!B1304,"yyyy-mm-dd")</f>
        <v>Nasdaq|NDAQ|2020-12-31</v>
      </c>
    </row>
    <row r="1306">
      <c r="A1306" s="1">
        <v>1304.0</v>
      </c>
      <c r="B1306" s="3">
        <v>44316.0</v>
      </c>
      <c r="C1306" s="1" t="s">
        <v>692</v>
      </c>
      <c r="D1306" s="1" t="s">
        <v>693</v>
      </c>
      <c r="E1306" s="1">
        <v>2.21E8</v>
      </c>
      <c r="F1306" s="1">
        <v>4.36E8</v>
      </c>
      <c r="G1306" s="1">
        <v>3.34E8</v>
      </c>
      <c r="H1306" s="1">
        <v>5.13E8</v>
      </c>
      <c r="I1306" s="1">
        <v>1.035E9</v>
      </c>
      <c r="J1306" s="1">
        <v>3.01E8</v>
      </c>
      <c r="K1306" s="1">
        <v>3.01E8</v>
      </c>
      <c r="L1306" s="1">
        <v>-1.9E7</v>
      </c>
      <c r="M1306" s="1">
        <v>1.02E8</v>
      </c>
      <c r="N1306" s="1">
        <v>1.555E9</v>
      </c>
      <c r="O1306" s="1">
        <v>1.254E9</v>
      </c>
      <c r="P1306" s="1">
        <v>5.2E8</v>
      </c>
      <c r="Q1306" s="1">
        <v>1.35E8</v>
      </c>
      <c r="R1306" s="1">
        <v>3.34E8</v>
      </c>
      <c r="S1306" s="1">
        <v>3.34E8</v>
      </c>
      <c r="W1306" s="4" t="str">
        <f>Raw_Data!C1305&amp;"|"&amp;Raw_Data!D1305&amp;"|"&amp;TEXT(Raw_Data!B1305,"yyyy-mm-dd")</f>
        <v>Nasdaq|NDAQ|2020-09-30</v>
      </c>
    </row>
    <row r="1307">
      <c r="A1307" s="1">
        <v>1305.0</v>
      </c>
      <c r="B1307" s="3">
        <v>44225.0</v>
      </c>
      <c r="C1307" s="1" t="s">
        <v>692</v>
      </c>
      <c r="D1307" s="1" t="s">
        <v>693</v>
      </c>
      <c r="E1307" s="1">
        <v>2.15E8</v>
      </c>
      <c r="F1307" s="1">
        <v>2.47E8</v>
      </c>
      <c r="G1307" s="1">
        <v>1.82E8</v>
      </c>
      <c r="H1307" s="1">
        <v>4.99E8</v>
      </c>
      <c r="I1307" s="1">
        <v>9.75E8</v>
      </c>
      <c r="J1307" s="1">
        <v>2.61E8</v>
      </c>
      <c r="K1307" s="1">
        <v>2.61E8</v>
      </c>
      <c r="L1307" s="1">
        <v>-1.9E7</v>
      </c>
      <c r="M1307" s="1">
        <v>6.5E7</v>
      </c>
      <c r="N1307" s="1">
        <v>1.47E9</v>
      </c>
      <c r="O1307" s="1">
        <v>1.209E9</v>
      </c>
      <c r="P1307" s="1">
        <v>4.95E8</v>
      </c>
      <c r="Q1307" s="1">
        <v>-1.4E7</v>
      </c>
      <c r="R1307" s="1">
        <v>1.82E8</v>
      </c>
      <c r="S1307" s="1">
        <v>1.82E8</v>
      </c>
      <c r="W1307" s="4" t="str">
        <f>Raw_Data!C1306&amp;"|"&amp;Raw_Data!D1306&amp;"|"&amp;TEXT(Raw_Data!B1306,"yyyy-mm-dd")</f>
        <v>NetApp|NTAP|2021-04-30</v>
      </c>
    </row>
    <row r="1308">
      <c r="A1308" s="1">
        <v>1306.0</v>
      </c>
      <c r="B1308" s="3">
        <v>44134.0</v>
      </c>
      <c r="C1308" s="1" t="s">
        <v>692</v>
      </c>
      <c r="D1308" s="1" t="s">
        <v>693</v>
      </c>
      <c r="E1308" s="1">
        <v>2.12E8</v>
      </c>
      <c r="F1308" s="1">
        <v>1.75E8</v>
      </c>
      <c r="G1308" s="1">
        <v>1.37E8</v>
      </c>
      <c r="H1308" s="1">
        <v>4.94E8</v>
      </c>
      <c r="I1308" s="1">
        <v>9.33E8</v>
      </c>
      <c r="J1308" s="1">
        <v>2.27E8</v>
      </c>
      <c r="K1308" s="1">
        <v>2.27E8</v>
      </c>
      <c r="L1308" s="1">
        <v>-1.8E7</v>
      </c>
      <c r="M1308" s="1">
        <v>3.8E7</v>
      </c>
      <c r="N1308" s="1">
        <v>1.416E9</v>
      </c>
      <c r="O1308" s="1">
        <v>1.189E9</v>
      </c>
      <c r="P1308" s="1">
        <v>4.83E8</v>
      </c>
      <c r="Q1308" s="1">
        <v>-5.2E7</v>
      </c>
      <c r="R1308" s="1">
        <v>1.37E8</v>
      </c>
      <c r="S1308" s="1">
        <v>1.37E8</v>
      </c>
      <c r="W1308" s="4" t="str">
        <f>Raw_Data!C1307&amp;"|"&amp;Raw_Data!D1307&amp;"|"&amp;TEXT(Raw_Data!B1307,"yyyy-mm-dd")</f>
        <v>NetApp|NTAP|2021-01-29</v>
      </c>
    </row>
    <row r="1309">
      <c r="A1309" s="1">
        <v>1307.0</v>
      </c>
      <c r="B1309" s="3">
        <v>44043.0</v>
      </c>
      <c r="C1309" s="1" t="s">
        <v>692</v>
      </c>
      <c r="D1309" s="1" t="s">
        <v>693</v>
      </c>
      <c r="E1309" s="1">
        <v>2.33E8</v>
      </c>
      <c r="F1309" s="1">
        <v>1.04E8</v>
      </c>
      <c r="G1309" s="1">
        <v>7.7E7</v>
      </c>
      <c r="H1309" s="1">
        <v>4.9E8</v>
      </c>
      <c r="I1309" s="1">
        <v>8.72E8</v>
      </c>
      <c r="J1309" s="1">
        <v>1.49E8</v>
      </c>
      <c r="K1309" s="1">
        <v>1.49E8</v>
      </c>
      <c r="L1309" s="1">
        <v>-1.8E7</v>
      </c>
      <c r="M1309" s="1">
        <v>2.7E7</v>
      </c>
      <c r="N1309" s="1">
        <v>1.303E9</v>
      </c>
      <c r="O1309" s="1">
        <v>1.154E9</v>
      </c>
      <c r="P1309" s="1">
        <v>4.31E8</v>
      </c>
      <c r="Q1309" s="1">
        <v>-4.5E7</v>
      </c>
      <c r="R1309" s="1">
        <v>7.7E7</v>
      </c>
      <c r="S1309" s="1">
        <v>7.7E7</v>
      </c>
      <c r="W1309" s="4" t="str">
        <f>Raw_Data!C1308&amp;"|"&amp;Raw_Data!D1308&amp;"|"&amp;TEXT(Raw_Data!B1308,"yyyy-mm-dd")</f>
        <v>NetApp|NTAP|2020-10-30</v>
      </c>
    </row>
    <row r="1310">
      <c r="A1310" s="1">
        <v>1308.0</v>
      </c>
      <c r="B1310" s="3">
        <v>44286.0</v>
      </c>
      <c r="C1310" s="1" t="s">
        <v>694</v>
      </c>
      <c r="D1310" s="1" t="s">
        <v>695</v>
      </c>
      <c r="E1310" s="1">
        <v>5.25207E8</v>
      </c>
      <c r="F1310" s="1">
        <v>2.034502E9</v>
      </c>
      <c r="G1310" s="1">
        <v>1.706715E9</v>
      </c>
      <c r="H1310" s="1">
        <v>8.09708E8</v>
      </c>
      <c r="I1310" s="1">
        <v>3.294771E9</v>
      </c>
      <c r="J1310" s="1">
        <v>1.959856E9</v>
      </c>
      <c r="K1310" s="1">
        <v>1.959856E9</v>
      </c>
      <c r="L1310" s="1">
        <v>-1.9444E8</v>
      </c>
      <c r="M1310" s="1">
        <v>3.27787E8</v>
      </c>
      <c r="N1310" s="1">
        <v>7.163282E9</v>
      </c>
      <c r="O1310" s="1">
        <v>5.203426E9</v>
      </c>
      <c r="P1310" s="1">
        <v>3.868511E9</v>
      </c>
      <c r="Q1310" s="1">
        <v>7.4646E7</v>
      </c>
      <c r="R1310" s="1">
        <v>1.706715E9</v>
      </c>
      <c r="S1310" s="1">
        <v>1.706715E9</v>
      </c>
      <c r="W1310" s="4" t="str">
        <f>Raw_Data!C1309&amp;"|"&amp;Raw_Data!D1309&amp;"|"&amp;TEXT(Raw_Data!B1309,"yyyy-mm-dd")</f>
        <v>NetApp|NTAP|2020-07-31</v>
      </c>
    </row>
    <row r="1311">
      <c r="A1311" s="1">
        <v>1309.0</v>
      </c>
      <c r="B1311" s="3">
        <v>44196.0</v>
      </c>
      <c r="C1311" s="1" t="s">
        <v>694</v>
      </c>
      <c r="D1311" s="1" t="s">
        <v>695</v>
      </c>
      <c r="E1311" s="1">
        <v>4.86936E8</v>
      </c>
      <c r="F1311" s="1">
        <v>5.06417E8</v>
      </c>
      <c r="G1311" s="1">
        <v>5.42156E8</v>
      </c>
      <c r="H1311" s="1">
        <v>1.038104E9</v>
      </c>
      <c r="I1311" s="1">
        <v>2.479282E9</v>
      </c>
      <c r="J1311" s="1">
        <v>9.54242E8</v>
      </c>
      <c r="K1311" s="1">
        <v>9.54242E8</v>
      </c>
      <c r="L1311" s="1">
        <v>-1.97186E8</v>
      </c>
      <c r="M1311" s="1">
        <v>-3.5739E7</v>
      </c>
      <c r="N1311" s="1">
        <v>6.644442E9</v>
      </c>
      <c r="O1311" s="1">
        <v>5.6902E9</v>
      </c>
      <c r="P1311" s="1">
        <v>4.16516E9</v>
      </c>
      <c r="Q1311" s="1">
        <v>-4.47825E8</v>
      </c>
      <c r="R1311" s="1">
        <v>5.42156E8</v>
      </c>
      <c r="S1311" s="1">
        <v>5.42156E8</v>
      </c>
      <c r="W1311" s="4" t="str">
        <f>Raw_Data!C1310&amp;"|"&amp;Raw_Data!D1310&amp;"|"&amp;TEXT(Raw_Data!B1310,"yyyy-mm-dd")</f>
        <v>Netflix|NFLX|2021-03-31</v>
      </c>
    </row>
    <row r="1312">
      <c r="A1312" s="1">
        <v>1310.0</v>
      </c>
      <c r="B1312" s="3">
        <v>44104.0</v>
      </c>
      <c r="C1312" s="1" t="s">
        <v>694</v>
      </c>
      <c r="D1312" s="1" t="s">
        <v>695</v>
      </c>
      <c r="E1312" s="1">
        <v>4.53802E8</v>
      </c>
      <c r="F1312" s="1">
        <v>8.6146E8</v>
      </c>
      <c r="G1312" s="1">
        <v>7.89976E8</v>
      </c>
      <c r="H1312" s="1">
        <v>7.99221E8</v>
      </c>
      <c r="I1312" s="1">
        <v>2.567886E9</v>
      </c>
      <c r="J1312" s="1">
        <v>1.314863E9</v>
      </c>
      <c r="K1312" s="1">
        <v>1.314863E9</v>
      </c>
      <c r="L1312" s="1">
        <v>-1.97079E8</v>
      </c>
      <c r="M1312" s="1">
        <v>7.1484E7</v>
      </c>
      <c r="N1312" s="1">
        <v>6.435637E9</v>
      </c>
      <c r="O1312" s="1">
        <v>5.120774E9</v>
      </c>
      <c r="P1312" s="1">
        <v>3.867751E9</v>
      </c>
      <c r="Q1312" s="1">
        <v>-4.53403E8</v>
      </c>
      <c r="R1312" s="1">
        <v>7.89976E8</v>
      </c>
      <c r="S1312" s="1">
        <v>7.89976E8</v>
      </c>
      <c r="W1312" s="4" t="str">
        <f>Raw_Data!C1311&amp;"|"&amp;Raw_Data!D1311&amp;"|"&amp;TEXT(Raw_Data!B1311,"yyyy-mm-dd")</f>
        <v>Netflix|NFLX|2020-12-31</v>
      </c>
    </row>
    <row r="1313">
      <c r="A1313" s="1">
        <v>1311.0</v>
      </c>
      <c r="B1313" s="3">
        <v>44012.0</v>
      </c>
      <c r="C1313" s="1" t="s">
        <v>694</v>
      </c>
      <c r="D1313" s="1" t="s">
        <v>695</v>
      </c>
      <c r="E1313" s="1">
        <v>4.35045E8</v>
      </c>
      <c r="F1313" s="1">
        <v>1.035602E9</v>
      </c>
      <c r="G1313" s="1">
        <v>7.20196E8</v>
      </c>
      <c r="H1313" s="1">
        <v>7.11606E8</v>
      </c>
      <c r="I1313" s="1">
        <v>2.504579E9</v>
      </c>
      <c r="J1313" s="1">
        <v>1.357928E9</v>
      </c>
      <c r="K1313" s="1">
        <v>1.357928E9</v>
      </c>
      <c r="L1313" s="1">
        <v>-1.89151E8</v>
      </c>
      <c r="M1313" s="1">
        <v>3.15406E8</v>
      </c>
      <c r="N1313" s="1">
        <v>6.148286E9</v>
      </c>
      <c r="O1313" s="1">
        <v>4.790358E9</v>
      </c>
      <c r="P1313" s="1">
        <v>3.643707E9</v>
      </c>
      <c r="Q1313" s="1">
        <v>-3.22326E8</v>
      </c>
      <c r="R1313" s="1">
        <v>7.20196E8</v>
      </c>
      <c r="S1313" s="1">
        <v>7.20196E8</v>
      </c>
      <c r="W1313" s="4" t="str">
        <f>Raw_Data!C1312&amp;"|"&amp;Raw_Data!D1312&amp;"|"&amp;TEXT(Raw_Data!B1312,"yyyy-mm-dd")</f>
        <v>Netflix|NFLX|2020-09-30</v>
      </c>
    </row>
    <row r="1314">
      <c r="A1314" s="1">
        <v>1312.0</v>
      </c>
      <c r="B1314" s="3">
        <v>44377.0</v>
      </c>
      <c r="C1314" s="1" t="s">
        <v>696</v>
      </c>
      <c r="D1314" s="1" t="s">
        <v>697</v>
      </c>
      <c r="F1314" s="1">
        <v>2.43E8</v>
      </c>
      <c r="G1314" s="1">
        <v>1.97E8</v>
      </c>
      <c r="H1314" s="1">
        <v>5.7E8</v>
      </c>
      <c r="I1314" s="1">
        <v>8.82E8</v>
      </c>
      <c r="J1314" s="1">
        <v>3.12E8</v>
      </c>
      <c r="K1314" s="1">
        <v>3.12E8</v>
      </c>
      <c r="L1314" s="1">
        <v>-6.5E7</v>
      </c>
      <c r="M1314" s="1">
        <v>4.6E7</v>
      </c>
      <c r="N1314" s="1">
        <v>2.709E9</v>
      </c>
      <c r="O1314" s="1">
        <v>2.397E9</v>
      </c>
      <c r="P1314" s="1">
        <v>1.827E9</v>
      </c>
      <c r="Q1314" s="1">
        <v>-6.9E7</v>
      </c>
      <c r="R1314" s="1">
        <v>1.97E8</v>
      </c>
      <c r="S1314" s="1">
        <v>1.97E8</v>
      </c>
      <c r="W1314" s="4" t="str">
        <f>Raw_Data!C1313&amp;"|"&amp;Raw_Data!D1313&amp;"|"&amp;TEXT(Raw_Data!B1313,"yyyy-mm-dd")</f>
        <v>Netflix|NFLX|2020-06-30</v>
      </c>
    </row>
    <row r="1315">
      <c r="A1315" s="1">
        <v>1313.0</v>
      </c>
      <c r="B1315" s="3">
        <v>44286.0</v>
      </c>
      <c r="C1315" s="1" t="s">
        <v>696</v>
      </c>
      <c r="D1315" s="1" t="s">
        <v>697</v>
      </c>
      <c r="F1315" s="1">
        <v>1.26E8</v>
      </c>
      <c r="G1315" s="1">
        <v>8.9E7</v>
      </c>
      <c r="H1315" s="1">
        <v>5.33E8</v>
      </c>
      <c r="I1315" s="1">
        <v>7.31E8</v>
      </c>
      <c r="J1315" s="1">
        <v>1.98E8</v>
      </c>
      <c r="K1315" s="1">
        <v>1.98E8</v>
      </c>
      <c r="L1315" s="1">
        <v>-6.7E7</v>
      </c>
      <c r="M1315" s="1">
        <v>3.7E7</v>
      </c>
      <c r="N1315" s="1">
        <v>2.288E9</v>
      </c>
      <c r="O1315" s="1">
        <v>2.09E9</v>
      </c>
      <c r="P1315" s="1">
        <v>1.557E9</v>
      </c>
      <c r="Q1315" s="1">
        <v>-7.2E7</v>
      </c>
      <c r="R1315" s="1">
        <v>8.9E7</v>
      </c>
      <c r="S1315" s="1">
        <v>8.9E7</v>
      </c>
      <c r="W1315" s="4" t="str">
        <f>Raw_Data!C1314&amp;"|"&amp;Raw_Data!D1314&amp;"|"&amp;TEXT(Raw_Data!B1314,"yyyy-mm-dd")</f>
        <v>Newell Brands|NWL|2021-06-30</v>
      </c>
    </row>
    <row r="1316">
      <c r="A1316" s="1">
        <v>1314.0</v>
      </c>
      <c r="B1316" s="3">
        <v>44196.0</v>
      </c>
      <c r="C1316" s="1" t="s">
        <v>696</v>
      </c>
      <c r="D1316" s="1" t="s">
        <v>697</v>
      </c>
      <c r="E1316" s="1">
        <v>1.44E8</v>
      </c>
      <c r="F1316" s="1">
        <v>1.01E8</v>
      </c>
      <c r="G1316" s="1">
        <v>1.27E8</v>
      </c>
      <c r="H1316" s="1">
        <v>4.96E8</v>
      </c>
      <c r="I1316" s="1">
        <v>8.88E8</v>
      </c>
      <c r="J1316" s="1">
        <v>2.48E8</v>
      </c>
      <c r="K1316" s="1">
        <v>2.48E8</v>
      </c>
      <c r="L1316" s="1">
        <v>-6.9E7</v>
      </c>
      <c r="M1316" s="1">
        <v>-2.6E7</v>
      </c>
      <c r="N1316" s="1">
        <v>2.689E9</v>
      </c>
      <c r="O1316" s="1">
        <v>2.441E9</v>
      </c>
      <c r="P1316" s="1">
        <v>1.801E9</v>
      </c>
      <c r="Q1316" s="1">
        <v>-1.47E8</v>
      </c>
      <c r="R1316" s="1">
        <v>1.27E8</v>
      </c>
      <c r="S1316" s="1">
        <v>1.27E8</v>
      </c>
      <c r="W1316" s="4" t="str">
        <f>Raw_Data!C1315&amp;"|"&amp;Raw_Data!D1315&amp;"|"&amp;TEXT(Raw_Data!B1315,"yyyy-mm-dd")</f>
        <v>Newell Brands|NWL|2021-03-31</v>
      </c>
    </row>
    <row r="1317">
      <c r="A1317" s="1">
        <v>1315.0</v>
      </c>
      <c r="B1317" s="3">
        <v>44104.0</v>
      </c>
      <c r="C1317" s="1" t="s">
        <v>696</v>
      </c>
      <c r="D1317" s="1" t="s">
        <v>697</v>
      </c>
      <c r="E1317" s="1">
        <v>1.44E8</v>
      </c>
      <c r="F1317" s="1">
        <v>2.83E8</v>
      </c>
      <c r="G1317" s="1">
        <v>3.04E8</v>
      </c>
      <c r="H1317" s="1">
        <v>5.45E8</v>
      </c>
      <c r="I1317" s="1">
        <v>9.14E8</v>
      </c>
      <c r="J1317" s="1">
        <v>3.69E8</v>
      </c>
      <c r="K1317" s="1">
        <v>3.69E8</v>
      </c>
      <c r="L1317" s="1">
        <v>-7.1E7</v>
      </c>
      <c r="M1317" s="1">
        <v>-2.1E7</v>
      </c>
      <c r="N1317" s="1">
        <v>2.699E9</v>
      </c>
      <c r="O1317" s="1">
        <v>2.33E9</v>
      </c>
      <c r="P1317" s="1">
        <v>1.785E9</v>
      </c>
      <c r="Q1317" s="1">
        <v>-8.6E7</v>
      </c>
      <c r="R1317" s="1">
        <v>3.04E8</v>
      </c>
      <c r="S1317" s="1">
        <v>3.04E8</v>
      </c>
      <c r="W1317" s="4" t="str">
        <f>Raw_Data!C1316&amp;"|"&amp;Raw_Data!D1316&amp;"|"&amp;TEXT(Raw_Data!B1316,"yyyy-mm-dd")</f>
        <v>Newell Brands|NWL|2020-12-31</v>
      </c>
    </row>
    <row r="1318">
      <c r="A1318" s="1">
        <v>1316.0</v>
      </c>
      <c r="B1318" s="3">
        <v>44377.0</v>
      </c>
      <c r="C1318" s="1" t="s">
        <v>698</v>
      </c>
      <c r="D1318" s="1" t="s">
        <v>699</v>
      </c>
      <c r="E1318" s="1">
        <v>3.7E7</v>
      </c>
      <c r="F1318" s="1">
        <v>9.92E8</v>
      </c>
      <c r="G1318" s="1">
        <v>6.5E8</v>
      </c>
      <c r="H1318" s="1">
        <v>7.1E7</v>
      </c>
      <c r="I1318" s="1">
        <v>1.732E9</v>
      </c>
      <c r="J1318" s="1">
        <v>1.012E9</v>
      </c>
      <c r="K1318" s="1">
        <v>1.012E9</v>
      </c>
      <c r="L1318" s="1">
        <v>-6.8E7</v>
      </c>
      <c r="M1318" s="1">
        <v>3.41E8</v>
      </c>
      <c r="N1318" s="1">
        <v>3.065E9</v>
      </c>
      <c r="O1318" s="1">
        <v>2.053E9</v>
      </c>
      <c r="P1318" s="1">
        <v>1.333E9</v>
      </c>
      <c r="Q1318" s="1">
        <v>-2.0E7</v>
      </c>
      <c r="R1318" s="1">
        <v>6.51E8</v>
      </c>
      <c r="S1318" s="1">
        <v>6.5E8</v>
      </c>
      <c r="W1318" s="4" t="str">
        <f>Raw_Data!C1317&amp;"|"&amp;Raw_Data!D1317&amp;"|"&amp;TEXT(Raw_Data!B1317,"yyyy-mm-dd")</f>
        <v>Newell Brands|NWL|2020-09-30</v>
      </c>
    </row>
    <row r="1319">
      <c r="A1319" s="1">
        <v>1317.0</v>
      </c>
      <c r="B1319" s="3">
        <v>44286.0</v>
      </c>
      <c r="C1319" s="1" t="s">
        <v>698</v>
      </c>
      <c r="D1319" s="1" t="s">
        <v>699</v>
      </c>
      <c r="E1319" s="1">
        <v>3.1E7</v>
      </c>
      <c r="F1319" s="1">
        <v>7.93E8</v>
      </c>
      <c r="G1319" s="1">
        <v>5.59E8</v>
      </c>
      <c r="H1319" s="1">
        <v>6.5E7</v>
      </c>
      <c r="I1319" s="1">
        <v>1.593E9</v>
      </c>
      <c r="J1319" s="1">
        <v>9.05E8</v>
      </c>
      <c r="K1319" s="1">
        <v>9.05E8</v>
      </c>
      <c r="L1319" s="1">
        <v>-7.4E7</v>
      </c>
      <c r="M1319" s="1">
        <v>2.35E8</v>
      </c>
      <c r="N1319" s="1">
        <v>2.872E9</v>
      </c>
      <c r="O1319" s="1">
        <v>1.967E9</v>
      </c>
      <c r="P1319" s="1">
        <v>1.279E9</v>
      </c>
      <c r="Q1319" s="1">
        <v>-1.12E8</v>
      </c>
      <c r="R1319" s="1">
        <v>5.58E8</v>
      </c>
      <c r="S1319" s="1">
        <v>5.59E8</v>
      </c>
      <c r="W1319" s="4" t="str">
        <f>Raw_Data!C1318&amp;"|"&amp;Raw_Data!D1318&amp;"|"&amp;TEXT(Raw_Data!B1318,"yyyy-mm-dd")</f>
        <v>Newmont|NEM|2021-06-30</v>
      </c>
    </row>
    <row r="1320">
      <c r="A1320" s="1">
        <v>1318.0</v>
      </c>
      <c r="B1320" s="3">
        <v>44196.0</v>
      </c>
      <c r="C1320" s="1" t="s">
        <v>698</v>
      </c>
      <c r="D1320" s="1" t="s">
        <v>699</v>
      </c>
      <c r="E1320" s="1">
        <v>3.0E7</v>
      </c>
      <c r="F1320" s="1">
        <v>1.004E9</v>
      </c>
      <c r="G1320" s="1">
        <v>8.24E8</v>
      </c>
      <c r="H1320" s="1">
        <v>7.1E7</v>
      </c>
      <c r="I1320" s="1">
        <v>1.777E9</v>
      </c>
      <c r="J1320" s="1">
        <v>1.08E9</v>
      </c>
      <c r="K1320" s="1">
        <v>1.08E9</v>
      </c>
      <c r="L1320" s="1">
        <v>-7.3E7</v>
      </c>
      <c r="M1320" s="1">
        <v>2.58E8</v>
      </c>
      <c r="N1320" s="1">
        <v>3.381E9</v>
      </c>
      <c r="O1320" s="1">
        <v>2.301E9</v>
      </c>
      <c r="P1320" s="1">
        <v>1.604E9</v>
      </c>
      <c r="Q1320" s="1">
        <v>-7.6E7</v>
      </c>
      <c r="R1320" s="1">
        <v>7.46E8</v>
      </c>
      <c r="S1320" s="1">
        <v>8.24E8</v>
      </c>
      <c r="W1320" s="4" t="str">
        <f>Raw_Data!C1319&amp;"|"&amp;Raw_Data!D1319&amp;"|"&amp;TEXT(Raw_Data!B1319,"yyyy-mm-dd")</f>
        <v>Newmont|NEM|2021-03-31</v>
      </c>
    </row>
    <row r="1321">
      <c r="A1321" s="1">
        <v>1319.0</v>
      </c>
      <c r="B1321" s="3">
        <v>44104.0</v>
      </c>
      <c r="C1321" s="1" t="s">
        <v>698</v>
      </c>
      <c r="D1321" s="1" t="s">
        <v>699</v>
      </c>
      <c r="E1321" s="1">
        <v>3.9E7</v>
      </c>
      <c r="F1321" s="1">
        <v>9.33E8</v>
      </c>
      <c r="G1321" s="1">
        <v>8.39E8</v>
      </c>
      <c r="H1321" s="1">
        <v>1.51E8</v>
      </c>
      <c r="I1321" s="1">
        <v>1.869E9</v>
      </c>
      <c r="J1321" s="1">
        <v>1.043E9</v>
      </c>
      <c r="K1321" s="1">
        <v>1.043E9</v>
      </c>
      <c r="L1321" s="1">
        <v>-7.5E7</v>
      </c>
      <c r="M1321" s="1">
        <v>3.05E8</v>
      </c>
      <c r="N1321" s="1">
        <v>3.17E9</v>
      </c>
      <c r="O1321" s="1">
        <v>2.127E9</v>
      </c>
      <c r="P1321" s="1">
        <v>1.301E9</v>
      </c>
      <c r="Q1321" s="1">
        <v>-1.1E8</v>
      </c>
      <c r="R1321" s="1">
        <v>6.28E8</v>
      </c>
      <c r="S1321" s="1">
        <v>8.39E8</v>
      </c>
      <c r="W1321" s="4" t="str">
        <f>Raw_Data!C1320&amp;"|"&amp;Raw_Data!D1320&amp;"|"&amp;TEXT(Raw_Data!B1320,"yyyy-mm-dd")</f>
        <v>Newmont|NEM|2020-12-31</v>
      </c>
    </row>
    <row r="1322">
      <c r="A1322" s="1">
        <v>1320.0</v>
      </c>
      <c r="B1322" s="3">
        <v>44377.0</v>
      </c>
      <c r="C1322" s="1" t="s">
        <v>700</v>
      </c>
      <c r="D1322" s="1" t="s">
        <v>701</v>
      </c>
      <c r="F1322" s="1">
        <v>-1.07E8</v>
      </c>
      <c r="G1322" s="1">
        <v>-1.4E7</v>
      </c>
      <c r="H1322" s="1">
        <v>1.046E9</v>
      </c>
      <c r="I1322" s="1">
        <v>1.261E9</v>
      </c>
      <c r="J1322" s="1">
        <v>3.9E7</v>
      </c>
      <c r="K1322" s="1">
        <v>3.9E7</v>
      </c>
      <c r="L1322" s="1">
        <v>-2.8E7</v>
      </c>
      <c r="M1322" s="1">
        <v>-9.2E7</v>
      </c>
      <c r="N1322" s="1">
        <v>2.492E9</v>
      </c>
      <c r="O1322" s="1">
        <v>2.453E9</v>
      </c>
      <c r="P1322" s="1">
        <v>1.231E9</v>
      </c>
      <c r="Q1322" s="1">
        <v>-1.46E8</v>
      </c>
      <c r="R1322" s="1">
        <v>-1.5E7</v>
      </c>
      <c r="S1322" s="1">
        <v>-1.4E7</v>
      </c>
      <c r="W1322" s="4" t="str">
        <f>Raw_Data!C1321&amp;"|"&amp;Raw_Data!D1321&amp;"|"&amp;TEXT(Raw_Data!B1321,"yyyy-mm-dd")</f>
        <v>Newmont|NEM|2020-09-30</v>
      </c>
    </row>
    <row r="1323">
      <c r="A1323" s="1">
        <v>1321.0</v>
      </c>
      <c r="B1323" s="3">
        <v>44286.0</v>
      </c>
      <c r="C1323" s="1" t="s">
        <v>700</v>
      </c>
      <c r="D1323" s="1" t="s">
        <v>701</v>
      </c>
      <c r="F1323" s="1">
        <v>1.39E8</v>
      </c>
      <c r="G1323" s="1">
        <v>7.9E7</v>
      </c>
      <c r="H1323" s="1">
        <v>8.48E8</v>
      </c>
      <c r="I1323" s="1">
        <v>1.149E9</v>
      </c>
      <c r="J1323" s="1">
        <v>1.28E8</v>
      </c>
      <c r="K1323" s="1">
        <v>1.28E8</v>
      </c>
      <c r="L1323" s="1">
        <v>-7000000.0</v>
      </c>
      <c r="M1323" s="1">
        <v>4.3E7</v>
      </c>
      <c r="N1323" s="1">
        <v>2.335E9</v>
      </c>
      <c r="O1323" s="1">
        <v>2.207E9</v>
      </c>
      <c r="P1323" s="1">
        <v>1.186E9</v>
      </c>
      <c r="Q1323" s="1">
        <v>1.1E7</v>
      </c>
      <c r="R1323" s="1">
        <v>9.6E7</v>
      </c>
      <c r="S1323" s="1">
        <v>7.9E7</v>
      </c>
      <c r="W1323" s="4" t="str">
        <f>Raw_Data!C1322&amp;"|"&amp;Raw_Data!D1322&amp;"|"&amp;TEXT(Raw_Data!B1322,"yyyy-mm-dd")</f>
        <v>News Corp (Class A)|NWSA|2021-06-30</v>
      </c>
    </row>
    <row r="1324">
      <c r="A1324" s="1">
        <v>1322.0</v>
      </c>
      <c r="B1324" s="3">
        <v>44196.0</v>
      </c>
      <c r="C1324" s="1" t="s">
        <v>700</v>
      </c>
      <c r="D1324" s="1" t="s">
        <v>701</v>
      </c>
      <c r="F1324" s="1">
        <v>3.46E8</v>
      </c>
      <c r="G1324" s="1">
        <v>2.31E8</v>
      </c>
      <c r="H1324" s="1">
        <v>7.16E8</v>
      </c>
      <c r="I1324" s="1">
        <v>1.216E9</v>
      </c>
      <c r="J1324" s="1">
        <v>3.33E8</v>
      </c>
      <c r="K1324" s="1">
        <v>3.33E8</v>
      </c>
      <c r="L1324" s="1">
        <v>-1.2E7</v>
      </c>
      <c r="M1324" s="1">
        <v>8.5E7</v>
      </c>
      <c r="N1324" s="1">
        <v>2.414E9</v>
      </c>
      <c r="O1324" s="1">
        <v>2.081E9</v>
      </c>
      <c r="P1324" s="1">
        <v>1.198E9</v>
      </c>
      <c r="Q1324" s="1">
        <v>1.3E7</v>
      </c>
      <c r="R1324" s="1">
        <v>2.61E8</v>
      </c>
      <c r="S1324" s="1">
        <v>2.31E8</v>
      </c>
      <c r="W1324" s="4" t="str">
        <f>Raw_Data!C1323&amp;"|"&amp;Raw_Data!D1323&amp;"|"&amp;TEXT(Raw_Data!B1323,"yyyy-mm-dd")</f>
        <v>News Corp (Class A)|NWSA|2021-03-31</v>
      </c>
    </row>
    <row r="1325">
      <c r="A1325" s="1">
        <v>1323.0</v>
      </c>
      <c r="B1325" s="3">
        <v>44104.0</v>
      </c>
      <c r="C1325" s="1" t="s">
        <v>700</v>
      </c>
      <c r="D1325" s="1" t="s">
        <v>701</v>
      </c>
      <c r="F1325" s="1">
        <v>7.2E7</v>
      </c>
      <c r="G1325" s="1">
        <v>3.4E7</v>
      </c>
      <c r="H1325" s="1">
        <v>6.83E8</v>
      </c>
      <c r="I1325" s="1">
        <v>9.53E8</v>
      </c>
      <c r="J1325" s="1">
        <v>1.06E8</v>
      </c>
      <c r="K1325" s="1">
        <v>1.06E8</v>
      </c>
      <c r="L1325" s="1">
        <v>-8000000.0</v>
      </c>
      <c r="M1325" s="1">
        <v>2.5E7</v>
      </c>
      <c r="N1325" s="1">
        <v>2.117E9</v>
      </c>
      <c r="O1325" s="1">
        <v>2.011E9</v>
      </c>
      <c r="P1325" s="1">
        <v>1.164E9</v>
      </c>
      <c r="Q1325" s="1">
        <v>-3.4E7</v>
      </c>
      <c r="R1325" s="1">
        <v>4.7E7</v>
      </c>
      <c r="S1325" s="1">
        <v>3.4E7</v>
      </c>
      <c r="W1325" s="4" t="str">
        <f>Raw_Data!C1324&amp;"|"&amp;Raw_Data!D1324&amp;"|"&amp;TEXT(Raw_Data!B1324,"yyyy-mm-dd")</f>
        <v>News Corp (Class A)|NWSA|2020-12-31</v>
      </c>
    </row>
    <row r="1326">
      <c r="A1326" s="1">
        <v>1324.0</v>
      </c>
      <c r="B1326" s="3">
        <v>44377.0</v>
      </c>
      <c r="C1326" s="1" t="s">
        <v>702</v>
      </c>
      <c r="D1326" s="1" t="s">
        <v>703</v>
      </c>
      <c r="F1326" s="1">
        <v>-1.07E8</v>
      </c>
      <c r="G1326" s="1">
        <v>-1.4E7</v>
      </c>
      <c r="H1326" s="1">
        <v>1.046E9</v>
      </c>
      <c r="I1326" s="1">
        <v>1.261E9</v>
      </c>
      <c r="J1326" s="1">
        <v>3.9E7</v>
      </c>
      <c r="K1326" s="1">
        <v>3.9E7</v>
      </c>
      <c r="L1326" s="1">
        <v>-2.8E7</v>
      </c>
      <c r="M1326" s="1">
        <v>-9.2E7</v>
      </c>
      <c r="N1326" s="1">
        <v>2.492E9</v>
      </c>
      <c r="O1326" s="1">
        <v>2.453E9</v>
      </c>
      <c r="P1326" s="1">
        <v>1.231E9</v>
      </c>
      <c r="Q1326" s="1">
        <v>-1.46E8</v>
      </c>
      <c r="R1326" s="1">
        <v>-1.5E7</v>
      </c>
      <c r="S1326" s="1">
        <v>-1.4E7</v>
      </c>
      <c r="W1326" s="4" t="str">
        <f>Raw_Data!C1325&amp;"|"&amp;Raw_Data!D1325&amp;"|"&amp;TEXT(Raw_Data!B1325,"yyyy-mm-dd")</f>
        <v>News Corp (Class A)|NWSA|2020-09-30</v>
      </c>
    </row>
    <row r="1327">
      <c r="A1327" s="1">
        <v>1325.0</v>
      </c>
      <c r="B1327" s="3">
        <v>44286.0</v>
      </c>
      <c r="C1327" s="1" t="s">
        <v>702</v>
      </c>
      <c r="D1327" s="1" t="s">
        <v>703</v>
      </c>
      <c r="F1327" s="1">
        <v>1.39E8</v>
      </c>
      <c r="G1327" s="1">
        <v>7.9E7</v>
      </c>
      <c r="H1327" s="1">
        <v>8.48E8</v>
      </c>
      <c r="I1327" s="1">
        <v>1.149E9</v>
      </c>
      <c r="J1327" s="1">
        <v>1.28E8</v>
      </c>
      <c r="K1327" s="1">
        <v>1.28E8</v>
      </c>
      <c r="L1327" s="1">
        <v>-7000000.0</v>
      </c>
      <c r="M1327" s="1">
        <v>4.3E7</v>
      </c>
      <c r="N1327" s="1">
        <v>2.335E9</v>
      </c>
      <c r="O1327" s="1">
        <v>2.207E9</v>
      </c>
      <c r="P1327" s="1">
        <v>1.186E9</v>
      </c>
      <c r="Q1327" s="1">
        <v>1.1E7</v>
      </c>
      <c r="R1327" s="1">
        <v>9.6E7</v>
      </c>
      <c r="S1327" s="1">
        <v>7.9E7</v>
      </c>
      <c r="W1327" s="4" t="str">
        <f>Raw_Data!C1326&amp;"|"&amp;Raw_Data!D1326&amp;"|"&amp;TEXT(Raw_Data!B1326,"yyyy-mm-dd")</f>
        <v>News Corp (Class B)|NWS|2021-06-30</v>
      </c>
    </row>
    <row r="1328">
      <c r="A1328" s="1">
        <v>1326.0</v>
      </c>
      <c r="B1328" s="3">
        <v>44196.0</v>
      </c>
      <c r="C1328" s="1" t="s">
        <v>702</v>
      </c>
      <c r="D1328" s="1" t="s">
        <v>703</v>
      </c>
      <c r="F1328" s="1">
        <v>3.46E8</v>
      </c>
      <c r="G1328" s="1">
        <v>2.31E8</v>
      </c>
      <c r="H1328" s="1">
        <v>7.16E8</v>
      </c>
      <c r="I1328" s="1">
        <v>1.216E9</v>
      </c>
      <c r="J1328" s="1">
        <v>3.33E8</v>
      </c>
      <c r="K1328" s="1">
        <v>3.33E8</v>
      </c>
      <c r="L1328" s="1">
        <v>-1.2E7</v>
      </c>
      <c r="M1328" s="1">
        <v>8.5E7</v>
      </c>
      <c r="N1328" s="1">
        <v>2.414E9</v>
      </c>
      <c r="O1328" s="1">
        <v>2.081E9</v>
      </c>
      <c r="P1328" s="1">
        <v>1.198E9</v>
      </c>
      <c r="Q1328" s="1">
        <v>1.3E7</v>
      </c>
      <c r="R1328" s="1">
        <v>2.61E8</v>
      </c>
      <c r="S1328" s="1">
        <v>2.31E8</v>
      </c>
      <c r="W1328" s="4" t="str">
        <f>Raw_Data!C1327&amp;"|"&amp;Raw_Data!D1327&amp;"|"&amp;TEXT(Raw_Data!B1327,"yyyy-mm-dd")</f>
        <v>News Corp (Class B)|NWS|2021-03-31</v>
      </c>
    </row>
    <row r="1329">
      <c r="A1329" s="1">
        <v>1327.0</v>
      </c>
      <c r="B1329" s="3">
        <v>44104.0</v>
      </c>
      <c r="C1329" s="1" t="s">
        <v>702</v>
      </c>
      <c r="D1329" s="1" t="s">
        <v>703</v>
      </c>
      <c r="F1329" s="1">
        <v>7.2E7</v>
      </c>
      <c r="G1329" s="1">
        <v>3.4E7</v>
      </c>
      <c r="H1329" s="1">
        <v>6.83E8</v>
      </c>
      <c r="I1329" s="1">
        <v>9.53E8</v>
      </c>
      <c r="J1329" s="1">
        <v>1.06E8</v>
      </c>
      <c r="K1329" s="1">
        <v>1.06E8</v>
      </c>
      <c r="L1329" s="1">
        <v>-8000000.0</v>
      </c>
      <c r="M1329" s="1">
        <v>2.5E7</v>
      </c>
      <c r="N1329" s="1">
        <v>2.117E9</v>
      </c>
      <c r="O1329" s="1">
        <v>2.011E9</v>
      </c>
      <c r="P1329" s="1">
        <v>1.164E9</v>
      </c>
      <c r="Q1329" s="1">
        <v>-3.4E7</v>
      </c>
      <c r="R1329" s="1">
        <v>4.7E7</v>
      </c>
      <c r="S1329" s="1">
        <v>3.4E7</v>
      </c>
      <c r="W1329" s="4" t="str">
        <f>Raw_Data!C1328&amp;"|"&amp;Raw_Data!D1328&amp;"|"&amp;TEXT(Raw_Data!B1328,"yyyy-mm-dd")</f>
        <v>News Corp (Class B)|NWS|2020-12-31</v>
      </c>
    </row>
    <row r="1330">
      <c r="A1330" s="1">
        <v>1328.0</v>
      </c>
      <c r="B1330" s="3">
        <v>44377.0</v>
      </c>
      <c r="C1330" s="1" t="s">
        <v>704</v>
      </c>
      <c r="D1330" s="1" t="s">
        <v>705</v>
      </c>
      <c r="F1330" s="1">
        <v>-6.8E7</v>
      </c>
      <c r="G1330" s="1">
        <v>2.56E8</v>
      </c>
      <c r="H1330" s="1">
        <v>-6.4E7</v>
      </c>
      <c r="I1330" s="1">
        <v>1.958E9</v>
      </c>
      <c r="J1330" s="1">
        <v>5.81E8</v>
      </c>
      <c r="K1330" s="1">
        <v>5.81E8</v>
      </c>
      <c r="L1330" s="1">
        <v>-7.57E8</v>
      </c>
      <c r="M1330" s="1">
        <v>-1.4E8</v>
      </c>
      <c r="N1330" s="1">
        <v>3.927E9</v>
      </c>
      <c r="O1330" s="1">
        <v>3.346E9</v>
      </c>
      <c r="P1330" s="1">
        <v>1.969E9</v>
      </c>
      <c r="Q1330" s="1">
        <v>-6.49E8</v>
      </c>
      <c r="R1330" s="1">
        <v>7.2E7</v>
      </c>
      <c r="S1330" s="1">
        <v>2.56E8</v>
      </c>
      <c r="W1330" s="4" t="str">
        <f>Raw_Data!C1329&amp;"|"&amp;Raw_Data!D1329&amp;"|"&amp;TEXT(Raw_Data!B1329,"yyyy-mm-dd")</f>
        <v>News Corp (Class B)|NWS|2020-09-30</v>
      </c>
    </row>
    <row r="1331">
      <c r="A1331" s="1">
        <v>1329.0</v>
      </c>
      <c r="B1331" s="3">
        <v>44286.0</v>
      </c>
      <c r="C1331" s="1" t="s">
        <v>704</v>
      </c>
      <c r="D1331" s="1" t="s">
        <v>705</v>
      </c>
      <c r="F1331" s="1">
        <v>1.748E9</v>
      </c>
      <c r="G1331" s="1">
        <v>1.666E9</v>
      </c>
      <c r="H1331" s="1">
        <v>-6.4E7</v>
      </c>
      <c r="I1331" s="1">
        <v>1.831E9</v>
      </c>
      <c r="J1331" s="1">
        <v>7.19E8</v>
      </c>
      <c r="K1331" s="1">
        <v>7.19E8</v>
      </c>
      <c r="L1331" s="1">
        <v>-7.57E8</v>
      </c>
      <c r="M1331" s="1">
        <v>2.5E8</v>
      </c>
      <c r="N1331" s="1">
        <v>3.726E9</v>
      </c>
      <c r="O1331" s="1">
        <v>3.007E9</v>
      </c>
      <c r="P1331" s="1">
        <v>1.895E9</v>
      </c>
      <c r="Q1331" s="1">
        <v>1.029E9</v>
      </c>
      <c r="R1331" s="1">
        <v>1.498E9</v>
      </c>
      <c r="S1331" s="1">
        <v>1.666E9</v>
      </c>
      <c r="W1331" s="4" t="str">
        <f>Raw_Data!C1330&amp;"|"&amp;Raw_Data!D1330&amp;"|"&amp;TEXT(Raw_Data!B1330,"yyyy-mm-dd")</f>
        <v>NextEra Energy|NEE|2021-06-30</v>
      </c>
    </row>
    <row r="1332">
      <c r="A1332" s="1">
        <v>1330.0</v>
      </c>
      <c r="B1332" s="3">
        <v>44196.0</v>
      </c>
      <c r="C1332" s="1" t="s">
        <v>704</v>
      </c>
      <c r="D1332" s="1" t="s">
        <v>705</v>
      </c>
      <c r="F1332" s="1">
        <v>-2.25E8</v>
      </c>
      <c r="G1332" s="1">
        <v>-5000000.0</v>
      </c>
      <c r="H1332" s="1">
        <v>-5.1E7</v>
      </c>
      <c r="I1332" s="1">
        <v>2.424E9</v>
      </c>
      <c r="J1332" s="1">
        <v>1.1E9</v>
      </c>
      <c r="K1332" s="1">
        <v>1.1E9</v>
      </c>
      <c r="L1332" s="1">
        <v>-1.11E8</v>
      </c>
      <c r="M1332" s="1">
        <v>-3.5E7</v>
      </c>
      <c r="N1332" s="1">
        <v>4.395E9</v>
      </c>
      <c r="O1332" s="1">
        <v>3.295E9</v>
      </c>
      <c r="P1332" s="1">
        <v>1.971E9</v>
      </c>
      <c r="Q1332" s="1">
        <v>-1.325E9</v>
      </c>
      <c r="R1332" s="1">
        <v>-1.9E8</v>
      </c>
      <c r="S1332" s="1">
        <v>-5000000.0</v>
      </c>
      <c r="W1332" s="4" t="str">
        <f>Raw_Data!C1331&amp;"|"&amp;Raw_Data!D1331&amp;"|"&amp;TEXT(Raw_Data!B1331,"yyyy-mm-dd")</f>
        <v>NextEra Energy|NEE|2021-03-31</v>
      </c>
    </row>
    <row r="1333">
      <c r="A1333" s="1">
        <v>1331.0</v>
      </c>
      <c r="B1333" s="3">
        <v>44104.0</v>
      </c>
      <c r="C1333" s="1" t="s">
        <v>704</v>
      </c>
      <c r="D1333" s="1" t="s">
        <v>705</v>
      </c>
      <c r="F1333" s="1">
        <v>1.252E9</v>
      </c>
      <c r="G1333" s="1">
        <v>1.229E9</v>
      </c>
      <c r="H1333" s="1">
        <v>-5.0E7</v>
      </c>
      <c r="I1333" s="1">
        <v>2.752E9</v>
      </c>
      <c r="J1333" s="1">
        <v>1.069E9</v>
      </c>
      <c r="K1333" s="1">
        <v>1.069E9</v>
      </c>
      <c r="L1333" s="1">
        <v>-2.08E8</v>
      </c>
      <c r="M1333" s="1">
        <v>1.29E8</v>
      </c>
      <c r="N1333" s="1">
        <v>4.785E9</v>
      </c>
      <c r="O1333" s="1">
        <v>3.716E9</v>
      </c>
      <c r="P1333" s="1">
        <v>2.033E9</v>
      </c>
      <c r="Q1333" s="1">
        <v>1.83E8</v>
      </c>
      <c r="R1333" s="1">
        <v>1.123E9</v>
      </c>
      <c r="S1333" s="1">
        <v>1.229E9</v>
      </c>
      <c r="W1333" s="4" t="str">
        <f>Raw_Data!C1332&amp;"|"&amp;Raw_Data!D1332&amp;"|"&amp;TEXT(Raw_Data!B1332,"yyyy-mm-dd")</f>
        <v>NextEra Energy|NEE|2020-12-31</v>
      </c>
    </row>
    <row r="1334">
      <c r="A1334" s="1">
        <v>1332.0</v>
      </c>
      <c r="B1334" s="3">
        <v>44377.0</v>
      </c>
      <c r="C1334" s="1" t="s">
        <v>706</v>
      </c>
      <c r="D1334" s="1" t="s">
        <v>707</v>
      </c>
      <c r="F1334" s="1">
        <v>1.24E8</v>
      </c>
      <c r="G1334" s="1">
        <v>7.6E7</v>
      </c>
      <c r="H1334" s="1">
        <v>2.18E8</v>
      </c>
      <c r="I1334" s="1">
        <v>5.69E8</v>
      </c>
      <c r="J1334" s="1">
        <v>2.25E8</v>
      </c>
      <c r="K1334" s="1">
        <v>2.25E8</v>
      </c>
      <c r="L1334" s="1">
        <v>-6.9E7</v>
      </c>
      <c r="M1334" s="1">
        <v>3.6E7</v>
      </c>
      <c r="N1334" s="1">
        <v>8.61E8</v>
      </c>
      <c r="O1334" s="1">
        <v>6.36E8</v>
      </c>
      <c r="P1334" s="1">
        <v>2.92E8</v>
      </c>
      <c r="Q1334" s="1">
        <v>-1.01E8</v>
      </c>
      <c r="R1334" s="1">
        <v>8.8E7</v>
      </c>
      <c r="S1334" s="1">
        <v>7.6E7</v>
      </c>
      <c r="W1334" s="4" t="str">
        <f>Raw_Data!C1333&amp;"|"&amp;Raw_Data!D1333&amp;"|"&amp;TEXT(Raw_Data!B1333,"yyyy-mm-dd")</f>
        <v>NextEra Energy|NEE|2020-09-30</v>
      </c>
    </row>
    <row r="1335">
      <c r="A1335" s="1">
        <v>1333.0</v>
      </c>
      <c r="B1335" s="3">
        <v>44286.0</v>
      </c>
      <c r="C1335" s="1" t="s">
        <v>706</v>
      </c>
      <c r="D1335" s="1" t="s">
        <v>707</v>
      </c>
      <c r="F1335" s="1">
        <v>1.69E8</v>
      </c>
      <c r="G1335" s="1">
        <v>5.73E8</v>
      </c>
      <c r="H1335" s="1">
        <v>2.06E8</v>
      </c>
      <c r="I1335" s="1">
        <v>5.86E8</v>
      </c>
      <c r="J1335" s="1">
        <v>2.53E8</v>
      </c>
      <c r="K1335" s="1">
        <v>2.53E8</v>
      </c>
      <c r="L1335" s="1">
        <v>-8.0E7</v>
      </c>
      <c r="M1335" s="1">
        <v>6.0E7</v>
      </c>
      <c r="N1335" s="1">
        <v>8.63E8</v>
      </c>
      <c r="O1335" s="1">
        <v>6.1E8</v>
      </c>
      <c r="P1335" s="1">
        <v>2.77E8</v>
      </c>
      <c r="Q1335" s="1">
        <v>-8.4E7</v>
      </c>
      <c r="R1335" s="1">
        <v>1.09E8</v>
      </c>
      <c r="S1335" s="1">
        <v>5.73E8</v>
      </c>
      <c r="W1335" s="4" t="str">
        <f>Raw_Data!C1334&amp;"|"&amp;Raw_Data!D1334&amp;"|"&amp;TEXT(Raw_Data!B1334,"yyyy-mm-dd")</f>
        <v>Nielsen Holdings|NLSN|2021-06-30</v>
      </c>
    </row>
    <row r="1336">
      <c r="A1336" s="1">
        <v>1334.0</v>
      </c>
      <c r="B1336" s="3">
        <v>44196.0</v>
      </c>
      <c r="C1336" s="1" t="s">
        <v>706</v>
      </c>
      <c r="D1336" s="1" t="s">
        <v>707</v>
      </c>
      <c r="F1336" s="1">
        <v>6.1E7</v>
      </c>
      <c r="G1336" s="1">
        <v>3.5E7</v>
      </c>
      <c r="H1336" s="1">
        <v>4.6E8</v>
      </c>
      <c r="I1336" s="1">
        <v>9.6E8</v>
      </c>
      <c r="J1336" s="1">
        <v>2.91E8</v>
      </c>
      <c r="K1336" s="1">
        <v>2.91E8</v>
      </c>
      <c r="L1336" s="1">
        <v>-9.4E7</v>
      </c>
      <c r="M1336" s="1">
        <v>2.5E7</v>
      </c>
      <c r="N1336" s="1">
        <v>1.672E9</v>
      </c>
      <c r="O1336" s="1">
        <v>1.381E9</v>
      </c>
      <c r="P1336" s="1">
        <v>7.12E8</v>
      </c>
      <c r="Q1336" s="1">
        <v>-2.3E8</v>
      </c>
      <c r="R1336" s="1">
        <v>3.6E7</v>
      </c>
      <c r="S1336" s="1">
        <v>3.5E7</v>
      </c>
      <c r="W1336" s="4" t="str">
        <f>Raw_Data!C1335&amp;"|"&amp;Raw_Data!D1335&amp;"|"&amp;TEXT(Raw_Data!B1335,"yyyy-mm-dd")</f>
        <v>Nielsen Holdings|NLSN|2021-03-31</v>
      </c>
    </row>
    <row r="1337">
      <c r="A1337" s="1">
        <v>1335.0</v>
      </c>
      <c r="B1337" s="3">
        <v>44104.0</v>
      </c>
      <c r="C1337" s="1" t="s">
        <v>706</v>
      </c>
      <c r="D1337" s="1" t="s">
        <v>707</v>
      </c>
      <c r="F1337" s="1">
        <v>7.9E7</v>
      </c>
      <c r="G1337" s="1">
        <v>7000000.0</v>
      </c>
      <c r="H1337" s="1">
        <v>4.51E8</v>
      </c>
      <c r="I1337" s="1">
        <v>9.0E8</v>
      </c>
      <c r="J1337" s="1">
        <v>2.32E8</v>
      </c>
      <c r="K1337" s="1">
        <v>2.32E8</v>
      </c>
      <c r="L1337" s="1">
        <v>-9.2E7</v>
      </c>
      <c r="M1337" s="1">
        <v>6.9E7</v>
      </c>
      <c r="N1337" s="1">
        <v>1.563E9</v>
      </c>
      <c r="O1337" s="1">
        <v>1.331E9</v>
      </c>
      <c r="P1337" s="1">
        <v>6.63E8</v>
      </c>
      <c r="Q1337" s="1">
        <v>-1.53E8</v>
      </c>
      <c r="R1337" s="1">
        <v>1.0E7</v>
      </c>
      <c r="S1337" s="1">
        <v>7000000.0</v>
      </c>
      <c r="W1337" s="4" t="str">
        <f>Raw_Data!C1336&amp;"|"&amp;Raw_Data!D1336&amp;"|"&amp;TEXT(Raw_Data!B1336,"yyyy-mm-dd")</f>
        <v>Nielsen Holdings|NLSN|2020-12-31</v>
      </c>
    </row>
    <row r="1338">
      <c r="A1338" s="1">
        <v>1336.0</v>
      </c>
      <c r="B1338" s="3">
        <v>44255.0</v>
      </c>
      <c r="C1338" s="1" t="s">
        <v>708</v>
      </c>
      <c r="D1338" s="1" t="s">
        <v>709</v>
      </c>
      <c r="F1338" s="1">
        <v>1.636E9</v>
      </c>
      <c r="G1338" s="1">
        <v>1.449E9</v>
      </c>
      <c r="H1338" s="1">
        <v>3.018E9</v>
      </c>
      <c r="I1338" s="1">
        <v>4.725E9</v>
      </c>
      <c r="J1338" s="1">
        <v>1.707E9</v>
      </c>
      <c r="K1338" s="1">
        <v>1.707E9</v>
      </c>
      <c r="L1338" s="1">
        <v>-7.2E7</v>
      </c>
      <c r="M1338" s="1">
        <v>1.87E8</v>
      </c>
      <c r="N1338" s="1">
        <v>1.0357E10</v>
      </c>
      <c r="O1338" s="1">
        <v>8.65E9</v>
      </c>
      <c r="P1338" s="1">
        <v>5.632E9</v>
      </c>
      <c r="Q1338" s="1">
        <v>-7.1E7</v>
      </c>
      <c r="R1338" s="1">
        <v>1.449E9</v>
      </c>
      <c r="S1338" s="1">
        <v>1.449E9</v>
      </c>
      <c r="W1338" s="4" t="str">
        <f>Raw_Data!C1337&amp;"|"&amp;Raw_Data!D1337&amp;"|"&amp;TEXT(Raw_Data!B1337,"yyyy-mm-dd")</f>
        <v>Nielsen Holdings|NLSN|2020-09-30</v>
      </c>
    </row>
    <row r="1339">
      <c r="A1339" s="1">
        <v>1337.0</v>
      </c>
      <c r="B1339" s="3">
        <v>44165.0</v>
      </c>
      <c r="C1339" s="1" t="s">
        <v>708</v>
      </c>
      <c r="D1339" s="1" t="s">
        <v>709</v>
      </c>
      <c r="F1339" s="1">
        <v>1.456E9</v>
      </c>
      <c r="G1339" s="1">
        <v>1.251E9</v>
      </c>
      <c r="H1339" s="1">
        <v>3.16E9</v>
      </c>
      <c r="I1339" s="1">
        <v>4.877E9</v>
      </c>
      <c r="J1339" s="1">
        <v>1.717E9</v>
      </c>
      <c r="K1339" s="1">
        <v>1.717E9</v>
      </c>
      <c r="L1339" s="1">
        <v>-7.6E7</v>
      </c>
      <c r="M1339" s="1">
        <v>2.05E8</v>
      </c>
      <c r="N1339" s="1">
        <v>1.1243E10</v>
      </c>
      <c r="O1339" s="1">
        <v>9.526E9</v>
      </c>
      <c r="P1339" s="1">
        <v>6.366E9</v>
      </c>
      <c r="Q1339" s="1">
        <v>-2.61E8</v>
      </c>
      <c r="R1339" s="1">
        <v>1.251E9</v>
      </c>
      <c r="S1339" s="1">
        <v>1.251E9</v>
      </c>
      <c r="W1339" s="4" t="str">
        <f>Raw_Data!C1338&amp;"|"&amp;Raw_Data!D1338&amp;"|"&amp;TEXT(Raw_Data!B1338,"yyyy-mm-dd")</f>
        <v>Nike|NKE|2021-02-28</v>
      </c>
    </row>
    <row r="1340">
      <c r="A1340" s="1">
        <v>1338.0</v>
      </c>
      <c r="B1340" s="3">
        <v>44074.0</v>
      </c>
      <c r="C1340" s="1" t="s">
        <v>708</v>
      </c>
      <c r="D1340" s="1" t="s">
        <v>709</v>
      </c>
      <c r="F1340" s="1">
        <v>1.715E9</v>
      </c>
      <c r="G1340" s="1">
        <v>1.518E9</v>
      </c>
      <c r="H1340" s="1">
        <v>2.835E9</v>
      </c>
      <c r="I1340" s="1">
        <v>4.741E9</v>
      </c>
      <c r="J1340" s="1">
        <v>1.906E9</v>
      </c>
      <c r="K1340" s="1">
        <v>1.906E9</v>
      </c>
      <c r="L1340" s="1">
        <v>-7.2E7</v>
      </c>
      <c r="M1340" s="1">
        <v>1.97E8</v>
      </c>
      <c r="N1340" s="1">
        <v>1.0594E10</v>
      </c>
      <c r="O1340" s="1">
        <v>8.688E9</v>
      </c>
      <c r="P1340" s="1">
        <v>5.853E9</v>
      </c>
      <c r="Q1340" s="1">
        <v>-1.91E8</v>
      </c>
      <c r="R1340" s="1">
        <v>1.518E9</v>
      </c>
      <c r="S1340" s="1">
        <v>1.518E9</v>
      </c>
      <c r="W1340" s="4" t="str">
        <f>Raw_Data!C1339&amp;"|"&amp;Raw_Data!D1339&amp;"|"&amp;TEXT(Raw_Data!B1339,"yyyy-mm-dd")</f>
        <v>Nike|NKE|2020-11-30</v>
      </c>
    </row>
    <row r="1341">
      <c r="A1341" s="1">
        <v>1339.0</v>
      </c>
      <c r="B1341" s="3">
        <v>43982.0</v>
      </c>
      <c r="C1341" s="1" t="s">
        <v>708</v>
      </c>
      <c r="D1341" s="1" t="s">
        <v>709</v>
      </c>
      <c r="F1341" s="1">
        <v>-8.04E8</v>
      </c>
      <c r="G1341" s="1">
        <v>-7.9E8</v>
      </c>
      <c r="H1341" s="1">
        <v>3.191E9</v>
      </c>
      <c r="I1341" s="1">
        <v>2.353E9</v>
      </c>
      <c r="J1341" s="1">
        <v>-8.38E8</v>
      </c>
      <c r="K1341" s="1">
        <v>-8.38E8</v>
      </c>
      <c r="L1341" s="1">
        <v>-6.1E7</v>
      </c>
      <c r="M1341" s="1">
        <v>-1.4E7</v>
      </c>
      <c r="N1341" s="1">
        <v>6.313E9</v>
      </c>
      <c r="O1341" s="1">
        <v>7.151E9</v>
      </c>
      <c r="P1341" s="1">
        <v>3.96E9</v>
      </c>
      <c r="Q1341" s="1">
        <v>3.4E7</v>
      </c>
      <c r="R1341" s="1">
        <v>-7.9E8</v>
      </c>
      <c r="S1341" s="1">
        <v>-7.9E8</v>
      </c>
      <c r="W1341" s="4" t="str">
        <f>Raw_Data!C1340&amp;"|"&amp;Raw_Data!D1340&amp;"|"&amp;TEXT(Raw_Data!B1340,"yyyy-mm-dd")</f>
        <v>Nike|NKE|2020-08-31</v>
      </c>
    </row>
    <row r="1342">
      <c r="A1342" s="1">
        <v>1340.0</v>
      </c>
      <c r="B1342" s="3">
        <v>44377.0</v>
      </c>
      <c r="C1342" s="1" t="s">
        <v>710</v>
      </c>
      <c r="D1342" s="1" t="s">
        <v>711</v>
      </c>
      <c r="F1342" s="1">
        <v>7.01E7</v>
      </c>
      <c r="G1342" s="1">
        <v>6.03E7</v>
      </c>
      <c r="H1342" s="1">
        <v>-8600000.0</v>
      </c>
      <c r="I1342" s="1">
        <v>3.949E8</v>
      </c>
      <c r="J1342" s="1">
        <v>1.507E8</v>
      </c>
      <c r="K1342" s="1">
        <v>1.507E8</v>
      </c>
      <c r="L1342" s="1">
        <v>-8.45E7</v>
      </c>
      <c r="M1342" s="1">
        <v>1.32E7</v>
      </c>
      <c r="N1342" s="1">
        <v>9.86E8</v>
      </c>
      <c r="O1342" s="1">
        <v>8.353E8</v>
      </c>
      <c r="P1342" s="1">
        <v>5.911E8</v>
      </c>
      <c r="Q1342" s="1">
        <v>-8.06E7</v>
      </c>
      <c r="R1342" s="1">
        <v>5.69E7</v>
      </c>
      <c r="S1342" s="1">
        <v>4.65E7</v>
      </c>
      <c r="W1342" s="4" t="str">
        <f>Raw_Data!C1341&amp;"|"&amp;Raw_Data!D1341&amp;"|"&amp;TEXT(Raw_Data!B1341,"yyyy-mm-dd")</f>
        <v>Nike|NKE|2020-05-31</v>
      </c>
    </row>
    <row r="1343">
      <c r="A1343" s="1">
        <v>1341.0</v>
      </c>
      <c r="B1343" s="3">
        <v>44286.0</v>
      </c>
      <c r="C1343" s="1" t="s">
        <v>710</v>
      </c>
      <c r="D1343" s="1" t="s">
        <v>711</v>
      </c>
      <c r="F1343" s="1">
        <v>3.591E8</v>
      </c>
      <c r="G1343" s="1">
        <v>2.965E8</v>
      </c>
      <c r="H1343" s="1">
        <v>-8500000.0</v>
      </c>
      <c r="I1343" s="1">
        <v>7.119E8</v>
      </c>
      <c r="J1343" s="1">
        <v>4.544E8</v>
      </c>
      <c r="K1343" s="1">
        <v>4.544E8</v>
      </c>
      <c r="L1343" s="1">
        <v>-8.46E7</v>
      </c>
      <c r="M1343" s="1">
        <v>6.26E7</v>
      </c>
      <c r="N1343" s="1">
        <v>1.5456E9</v>
      </c>
      <c r="O1343" s="1">
        <v>1.0912E9</v>
      </c>
      <c r="P1343" s="1">
        <v>8.337E8</v>
      </c>
      <c r="Q1343" s="1">
        <v>-9.53E7</v>
      </c>
      <c r="R1343" s="1">
        <v>2.965E8</v>
      </c>
      <c r="S1343" s="1">
        <v>2.827E8</v>
      </c>
      <c r="W1343" s="4" t="str">
        <f>Raw_Data!C1342&amp;"|"&amp;Raw_Data!D1342&amp;"|"&amp;TEXT(Raw_Data!B1342,"yyyy-mm-dd")</f>
        <v>NiSource|NI|2021-06-30</v>
      </c>
    </row>
    <row r="1344">
      <c r="A1344" s="1">
        <v>1342.0</v>
      </c>
      <c r="B1344" s="3">
        <v>44196.0</v>
      </c>
      <c r="C1344" s="1" t="s">
        <v>710</v>
      </c>
      <c r="D1344" s="1" t="s">
        <v>711</v>
      </c>
      <c r="F1344" s="1">
        <v>1.446E8</v>
      </c>
      <c r="G1344" s="1">
        <v>8.44E7</v>
      </c>
      <c r="H1344" s="1">
        <v>1.74E7</v>
      </c>
      <c r="I1344" s="1">
        <v>5.177E8</v>
      </c>
      <c r="J1344" s="1">
        <v>2.419E8</v>
      </c>
      <c r="K1344" s="1">
        <v>2.419E8</v>
      </c>
      <c r="L1344" s="1">
        <v>-9.29E7</v>
      </c>
      <c r="M1344" s="1">
        <v>5.68E7</v>
      </c>
      <c r="N1344" s="1">
        <v>1.211E9</v>
      </c>
      <c r="O1344" s="1">
        <v>9.691E8</v>
      </c>
      <c r="P1344" s="1">
        <v>6.933E8</v>
      </c>
      <c r="Q1344" s="1">
        <v>-9.73E7</v>
      </c>
      <c r="R1344" s="1">
        <v>8.78E7</v>
      </c>
      <c r="S1344" s="1">
        <v>7.07E7</v>
      </c>
      <c r="W1344" s="4" t="str">
        <f>Raw_Data!C1343&amp;"|"&amp;Raw_Data!D1343&amp;"|"&amp;TEXT(Raw_Data!B1343,"yyyy-mm-dd")</f>
        <v>NiSource|NI|2021-03-31</v>
      </c>
    </row>
    <row r="1345">
      <c r="A1345" s="1">
        <v>1343.0</v>
      </c>
      <c r="B1345" s="3">
        <v>44104.0</v>
      </c>
      <c r="C1345" s="1" t="s">
        <v>710</v>
      </c>
      <c r="D1345" s="1" t="s">
        <v>711</v>
      </c>
      <c r="F1345" s="1">
        <v>-2.378E8</v>
      </c>
      <c r="G1345" s="1">
        <v>-1.729E8</v>
      </c>
      <c r="H1345" s="1">
        <v>-600000.0</v>
      </c>
      <c r="I1345" s="1">
        <v>4.029E8</v>
      </c>
      <c r="J1345" s="1">
        <v>1.527E8</v>
      </c>
      <c r="K1345" s="1">
        <v>1.527E8</v>
      </c>
      <c r="L1345" s="1">
        <v>-9.52E7</v>
      </c>
      <c r="M1345" s="1">
        <v>-6.49E7</v>
      </c>
      <c r="N1345" s="1">
        <v>9.025E8</v>
      </c>
      <c r="O1345" s="1">
        <v>7.498E8</v>
      </c>
      <c r="P1345" s="1">
        <v>4.996E8</v>
      </c>
      <c r="Q1345" s="1">
        <v>-3.905E8</v>
      </c>
      <c r="R1345" s="1">
        <v>-1.729E8</v>
      </c>
      <c r="S1345" s="1">
        <v>-1.867E8</v>
      </c>
      <c r="W1345" s="4" t="str">
        <f>Raw_Data!C1344&amp;"|"&amp;Raw_Data!D1344&amp;"|"&amp;TEXT(Raw_Data!B1344,"yyyy-mm-dd")</f>
        <v>NiSource|NI|2020-12-31</v>
      </c>
    </row>
    <row r="1346">
      <c r="A1346" s="1">
        <v>1344.0</v>
      </c>
      <c r="B1346" s="3">
        <v>44286.0</v>
      </c>
      <c r="C1346" s="1" t="s">
        <v>712</v>
      </c>
      <c r="D1346" s="1" t="s">
        <v>713</v>
      </c>
      <c r="F1346" s="1">
        <v>8.66E8</v>
      </c>
      <c r="G1346" s="1">
        <v>6.73E8</v>
      </c>
      <c r="I1346" s="1">
        <v>1.332E9</v>
      </c>
      <c r="J1346" s="1">
        <v>1.04E9</v>
      </c>
      <c r="K1346" s="1">
        <v>1.04E9</v>
      </c>
      <c r="L1346" s="1">
        <v>-1.56E8</v>
      </c>
      <c r="M1346" s="1">
        <v>1.93E8</v>
      </c>
      <c r="N1346" s="1">
        <v>2.639E9</v>
      </c>
      <c r="O1346" s="1">
        <v>1.599E9</v>
      </c>
      <c r="P1346" s="1">
        <v>1.307E9</v>
      </c>
      <c r="Q1346" s="1">
        <v>-1.74E8</v>
      </c>
      <c r="R1346" s="1">
        <v>6.73E8</v>
      </c>
      <c r="S1346" s="1">
        <v>6.72E8</v>
      </c>
      <c r="W1346" s="4" t="str">
        <f>Raw_Data!C1345&amp;"|"&amp;Raw_Data!D1345&amp;"|"&amp;TEXT(Raw_Data!B1345,"yyyy-mm-dd")</f>
        <v>NiSource|NI|2020-09-30</v>
      </c>
    </row>
    <row r="1347">
      <c r="A1347" s="1">
        <v>1345.0</v>
      </c>
      <c r="B1347" s="3">
        <v>44196.0</v>
      </c>
      <c r="C1347" s="1" t="s">
        <v>712</v>
      </c>
      <c r="D1347" s="1" t="s">
        <v>713</v>
      </c>
      <c r="F1347" s="1">
        <v>8.67E8</v>
      </c>
      <c r="G1347" s="1">
        <v>6.71E8</v>
      </c>
      <c r="I1347" s="1">
        <v>1.294E9</v>
      </c>
      <c r="J1347" s="1">
        <v>1.007E9</v>
      </c>
      <c r="K1347" s="1">
        <v>1.007E9</v>
      </c>
      <c r="L1347" s="1">
        <v>-1.6E8</v>
      </c>
      <c r="M1347" s="1">
        <v>1.96E8</v>
      </c>
      <c r="N1347" s="1">
        <v>2.573E9</v>
      </c>
      <c r="O1347" s="1">
        <v>1.566E9</v>
      </c>
      <c r="P1347" s="1">
        <v>1.279E9</v>
      </c>
      <c r="Q1347" s="1">
        <v>-1.4E8</v>
      </c>
      <c r="R1347" s="1">
        <v>6.71E8</v>
      </c>
      <c r="S1347" s="1">
        <v>6.71E8</v>
      </c>
      <c r="W1347" s="4" t="str">
        <f>Raw_Data!C1346&amp;"|"&amp;Raw_Data!D1346&amp;"|"&amp;TEXT(Raw_Data!B1346,"yyyy-mm-dd")</f>
        <v>Norfolk Southern|NSC|2021-03-31</v>
      </c>
    </row>
    <row r="1348">
      <c r="A1348" s="1">
        <v>1346.0</v>
      </c>
      <c r="B1348" s="3">
        <v>44104.0</v>
      </c>
      <c r="C1348" s="1" t="s">
        <v>712</v>
      </c>
      <c r="D1348" s="1" t="s">
        <v>713</v>
      </c>
      <c r="F1348" s="1">
        <v>7.24E8</v>
      </c>
      <c r="G1348" s="1">
        <v>5.69E8</v>
      </c>
      <c r="I1348" s="1">
        <v>1.156E9</v>
      </c>
      <c r="J1348" s="1">
        <v>8.63E8</v>
      </c>
      <c r="K1348" s="1">
        <v>8.63E8</v>
      </c>
      <c r="L1348" s="1">
        <v>-1.55E8</v>
      </c>
      <c r="M1348" s="1">
        <v>1.55E8</v>
      </c>
      <c r="N1348" s="1">
        <v>2.506E9</v>
      </c>
      <c r="O1348" s="1">
        <v>1.643E9</v>
      </c>
      <c r="P1348" s="1">
        <v>1.35E9</v>
      </c>
      <c r="Q1348" s="1">
        <v>-1.39E8</v>
      </c>
      <c r="R1348" s="1">
        <v>5.69E8</v>
      </c>
      <c r="S1348" s="1">
        <v>5.67E8</v>
      </c>
      <c r="W1348" s="4" t="str">
        <f>Raw_Data!C1347&amp;"|"&amp;Raw_Data!D1347&amp;"|"&amp;TEXT(Raw_Data!B1347,"yyyy-mm-dd")</f>
        <v>Norfolk Southern|NSC|2020-12-31</v>
      </c>
    </row>
    <row r="1349">
      <c r="A1349" s="1">
        <v>1347.0</v>
      </c>
      <c r="B1349" s="3">
        <v>44012.0</v>
      </c>
      <c r="C1349" s="1" t="s">
        <v>712</v>
      </c>
      <c r="D1349" s="1" t="s">
        <v>713</v>
      </c>
      <c r="F1349" s="1">
        <v>5.03E8</v>
      </c>
      <c r="G1349" s="1">
        <v>3.92E8</v>
      </c>
      <c r="I1349" s="1">
        <v>9.15E8</v>
      </c>
      <c r="J1349" s="1">
        <v>6.33E8</v>
      </c>
      <c r="K1349" s="1">
        <v>6.33E8</v>
      </c>
      <c r="L1349" s="1">
        <v>-1.56E8</v>
      </c>
      <c r="M1349" s="1">
        <v>1.11E8</v>
      </c>
      <c r="N1349" s="1">
        <v>2.085E9</v>
      </c>
      <c r="O1349" s="1">
        <v>1.452E9</v>
      </c>
      <c r="P1349" s="1">
        <v>1.17E9</v>
      </c>
      <c r="Q1349" s="1">
        <v>-1.3E8</v>
      </c>
      <c r="R1349" s="1">
        <v>3.92E8</v>
      </c>
      <c r="S1349" s="1">
        <v>3.92E8</v>
      </c>
      <c r="W1349" s="4" t="str">
        <f>Raw_Data!C1348&amp;"|"&amp;Raw_Data!D1348&amp;"|"&amp;TEXT(Raw_Data!B1348,"yyyy-mm-dd")</f>
        <v>Norfolk Southern|NSC|2020-09-30</v>
      </c>
    </row>
    <row r="1350">
      <c r="A1350" s="1">
        <v>1348.0</v>
      </c>
      <c r="B1350" s="3">
        <v>44377.0</v>
      </c>
      <c r="C1350" s="1" t="s">
        <v>714</v>
      </c>
      <c r="D1350" s="1" t="s">
        <v>715</v>
      </c>
      <c r="F1350" s="1">
        <v>4.865E8</v>
      </c>
      <c r="G1350" s="1">
        <v>3.681E8</v>
      </c>
      <c r="H1350" s="1">
        <v>1.0622E9</v>
      </c>
      <c r="I1350" s="1">
        <v>1.6073E9</v>
      </c>
      <c r="J1350" s="1">
        <v>0.0</v>
      </c>
      <c r="K1350" s="1">
        <v>4.865E8</v>
      </c>
      <c r="M1350" s="1">
        <v>1.184E8</v>
      </c>
      <c r="N1350" s="1">
        <v>1.6073E9</v>
      </c>
      <c r="O1350" s="1">
        <v>1.1208E9</v>
      </c>
      <c r="P1350" s="1">
        <v>0.0</v>
      </c>
      <c r="Q1350" s="1">
        <v>0.0</v>
      </c>
      <c r="R1350" s="1">
        <v>3.681E8</v>
      </c>
      <c r="S1350" s="1">
        <v>3.602E8</v>
      </c>
      <c r="W1350" s="4" t="str">
        <f>Raw_Data!C1349&amp;"|"&amp;Raw_Data!D1349&amp;"|"&amp;TEXT(Raw_Data!B1349,"yyyy-mm-dd")</f>
        <v>Norfolk Southern|NSC|2020-06-30</v>
      </c>
    </row>
    <row r="1351">
      <c r="A1351" s="1">
        <v>1349.0</v>
      </c>
      <c r="B1351" s="3">
        <v>44286.0</v>
      </c>
      <c r="C1351" s="1" t="s">
        <v>714</v>
      </c>
      <c r="D1351" s="1" t="s">
        <v>715</v>
      </c>
      <c r="F1351" s="1">
        <v>4.959E8</v>
      </c>
      <c r="G1351" s="1">
        <v>3.751E8</v>
      </c>
      <c r="H1351" s="1">
        <v>1.0537E9</v>
      </c>
      <c r="I1351" s="1">
        <v>1.6134E9</v>
      </c>
      <c r="J1351" s="1">
        <v>0.0</v>
      </c>
      <c r="K1351" s="1">
        <v>4.959E8</v>
      </c>
      <c r="M1351" s="1">
        <v>1.208E8</v>
      </c>
      <c r="N1351" s="1">
        <v>1.6134E9</v>
      </c>
      <c r="O1351" s="1">
        <v>1.1175E9</v>
      </c>
      <c r="P1351" s="1">
        <v>0.0</v>
      </c>
      <c r="Q1351" s="1">
        <v>0.0</v>
      </c>
      <c r="R1351" s="1">
        <v>3.751E8</v>
      </c>
      <c r="S1351" s="1">
        <v>3.552E8</v>
      </c>
      <c r="W1351" s="4" t="str">
        <f>Raw_Data!C1350&amp;"|"&amp;Raw_Data!D1350&amp;"|"&amp;TEXT(Raw_Data!B1350,"yyyy-mm-dd")</f>
        <v>Northern Trust|NTRS|2021-06-30</v>
      </c>
    </row>
    <row r="1352">
      <c r="A1352" s="1">
        <v>1350.0</v>
      </c>
      <c r="B1352" s="3">
        <v>44196.0</v>
      </c>
      <c r="C1352" s="1" t="s">
        <v>714</v>
      </c>
      <c r="D1352" s="1" t="s">
        <v>715</v>
      </c>
      <c r="F1352" s="1">
        <v>3.734E8</v>
      </c>
      <c r="G1352" s="1">
        <v>2.409E8</v>
      </c>
      <c r="H1352" s="1">
        <v>1.0355E9</v>
      </c>
      <c r="I1352" s="1">
        <v>1.5244E9</v>
      </c>
      <c r="J1352" s="1">
        <v>0.0</v>
      </c>
      <c r="K1352" s="1">
        <v>4.259E8</v>
      </c>
      <c r="M1352" s="1">
        <v>1.325E8</v>
      </c>
      <c r="N1352" s="1">
        <v>1.5244E9</v>
      </c>
      <c r="O1352" s="1">
        <v>1.0985E9</v>
      </c>
      <c r="P1352" s="1">
        <v>0.0</v>
      </c>
      <c r="Q1352" s="1">
        <v>-5.25E7</v>
      </c>
      <c r="R1352" s="1">
        <v>2.409E8</v>
      </c>
      <c r="S1352" s="1">
        <v>2.347E8</v>
      </c>
      <c r="W1352" s="4" t="str">
        <f>Raw_Data!C1351&amp;"|"&amp;Raw_Data!D1351&amp;"|"&amp;TEXT(Raw_Data!B1351,"yyyy-mm-dd")</f>
        <v>Northern Trust|NTRS|2021-03-31</v>
      </c>
    </row>
    <row r="1353">
      <c r="A1353" s="1">
        <v>1351.0</v>
      </c>
      <c r="B1353" s="3">
        <v>44104.0</v>
      </c>
      <c r="C1353" s="1" t="s">
        <v>714</v>
      </c>
      <c r="D1353" s="1" t="s">
        <v>715</v>
      </c>
      <c r="F1353" s="1">
        <v>3.899E8</v>
      </c>
      <c r="G1353" s="1">
        <v>2.945E8</v>
      </c>
      <c r="H1353" s="1">
        <v>9.911E8</v>
      </c>
      <c r="I1353" s="1">
        <v>1.4846E9</v>
      </c>
      <c r="J1353" s="1">
        <v>0.0</v>
      </c>
      <c r="K1353" s="1">
        <v>3.899E8</v>
      </c>
      <c r="M1353" s="1">
        <v>9.54E7</v>
      </c>
      <c r="N1353" s="1">
        <v>1.4846E9</v>
      </c>
      <c r="O1353" s="1">
        <v>1.0947E9</v>
      </c>
      <c r="P1353" s="1">
        <v>0.0</v>
      </c>
      <c r="Q1353" s="1">
        <v>0.0</v>
      </c>
      <c r="R1353" s="1">
        <v>2.945E8</v>
      </c>
      <c r="S1353" s="1">
        <v>2.75E8</v>
      </c>
      <c r="W1353" s="4" t="str">
        <f>Raw_Data!C1352&amp;"|"&amp;Raw_Data!D1352&amp;"|"&amp;TEXT(Raw_Data!B1352,"yyyy-mm-dd")</f>
        <v>Northern Trust|NTRS|2020-12-31</v>
      </c>
    </row>
    <row r="1354">
      <c r="A1354" s="1">
        <v>1352.0</v>
      </c>
      <c r="B1354" s="3">
        <v>44377.0</v>
      </c>
      <c r="C1354" s="1" t="s">
        <v>716</v>
      </c>
      <c r="D1354" s="1" t="s">
        <v>717</v>
      </c>
      <c r="F1354" s="1">
        <v>1.302E9</v>
      </c>
      <c r="G1354" s="1">
        <v>1.037E9</v>
      </c>
      <c r="H1354" s="1">
        <v>6.32E8</v>
      </c>
      <c r="I1354" s="1">
        <v>2.043E9</v>
      </c>
      <c r="J1354" s="1">
        <v>1.411E9</v>
      </c>
      <c r="K1354" s="1">
        <v>1.411E9</v>
      </c>
      <c r="L1354" s="1">
        <v>-1.36E8</v>
      </c>
      <c r="M1354" s="1">
        <v>2.65E8</v>
      </c>
      <c r="N1354" s="1">
        <v>9.151E9</v>
      </c>
      <c r="O1354" s="1">
        <v>7.74E9</v>
      </c>
      <c r="P1354" s="1">
        <v>7.108E9</v>
      </c>
      <c r="Q1354" s="1">
        <v>-1.09E8</v>
      </c>
      <c r="R1354" s="1">
        <v>1.037E9</v>
      </c>
      <c r="S1354" s="1">
        <v>1.037E9</v>
      </c>
      <c r="W1354" s="4" t="str">
        <f>Raw_Data!C1353&amp;"|"&amp;Raw_Data!D1353&amp;"|"&amp;TEXT(Raw_Data!B1353,"yyyy-mm-dd")</f>
        <v>Northern Trust|NTRS|2020-09-30</v>
      </c>
    </row>
    <row r="1355">
      <c r="A1355" s="1">
        <v>1353.0</v>
      </c>
      <c r="B1355" s="3">
        <v>44286.0</v>
      </c>
      <c r="C1355" s="1" t="s">
        <v>716</v>
      </c>
      <c r="D1355" s="1" t="s">
        <v>717</v>
      </c>
      <c r="F1355" s="1">
        <v>3.016E9</v>
      </c>
      <c r="G1355" s="1">
        <v>2.195E9</v>
      </c>
      <c r="H1355" s="1">
        <v>5.31E8</v>
      </c>
      <c r="I1355" s="1">
        <v>1.74E9</v>
      </c>
      <c r="J1355" s="1">
        <v>1.209E9</v>
      </c>
      <c r="K1355" s="1">
        <v>1.209E9</v>
      </c>
      <c r="L1355" s="1">
        <v>-1.55E8</v>
      </c>
      <c r="M1355" s="1">
        <v>8.21E8</v>
      </c>
      <c r="N1355" s="1">
        <v>9.157E9</v>
      </c>
      <c r="O1355" s="1">
        <v>7.948E9</v>
      </c>
      <c r="P1355" s="1">
        <v>7.417E9</v>
      </c>
      <c r="Q1355" s="1">
        <v>1.807E9</v>
      </c>
      <c r="R1355" s="1">
        <v>2.195E9</v>
      </c>
      <c r="S1355" s="1">
        <v>2.195E9</v>
      </c>
      <c r="W1355" s="4" t="str">
        <f>Raw_Data!C1354&amp;"|"&amp;Raw_Data!D1354&amp;"|"&amp;TEXT(Raw_Data!B1354,"yyyy-mm-dd")</f>
        <v>Northrop Grumman|NOC|2021-06-30</v>
      </c>
    </row>
    <row r="1356">
      <c r="A1356" s="1">
        <v>1354.0</v>
      </c>
      <c r="B1356" s="3">
        <v>44196.0</v>
      </c>
      <c r="C1356" s="1" t="s">
        <v>716</v>
      </c>
      <c r="D1356" s="1" t="s">
        <v>717</v>
      </c>
      <c r="F1356" s="1">
        <v>3.05E8</v>
      </c>
      <c r="G1356" s="1">
        <v>3.3E8</v>
      </c>
      <c r="H1356" s="1">
        <v>1.681E9</v>
      </c>
      <c r="I1356" s="1">
        <v>2.09E9</v>
      </c>
      <c r="J1356" s="1">
        <v>4.09E8</v>
      </c>
      <c r="K1356" s="1">
        <v>4.09E8</v>
      </c>
      <c r="L1356" s="1">
        <v>-1.6E8</v>
      </c>
      <c r="M1356" s="1">
        <v>-2.5E7</v>
      </c>
      <c r="N1356" s="1">
        <v>1.0212E10</v>
      </c>
      <c r="O1356" s="1">
        <v>9.803E9</v>
      </c>
      <c r="P1356" s="1">
        <v>8.122E9</v>
      </c>
      <c r="Q1356" s="1">
        <v>-1.04E8</v>
      </c>
      <c r="R1356" s="1">
        <v>3.3E8</v>
      </c>
      <c r="S1356" s="1">
        <v>3.3E8</v>
      </c>
      <c r="W1356" s="4" t="str">
        <f>Raw_Data!C1355&amp;"|"&amp;Raw_Data!D1355&amp;"|"&amp;TEXT(Raw_Data!B1355,"yyyy-mm-dd")</f>
        <v>Northrop Grumman|NOC|2021-03-31</v>
      </c>
    </row>
    <row r="1357">
      <c r="A1357" s="1">
        <v>1355.0</v>
      </c>
      <c r="B1357" s="3">
        <v>44104.0</v>
      </c>
      <c r="C1357" s="1" t="s">
        <v>716</v>
      </c>
      <c r="D1357" s="1" t="s">
        <v>717</v>
      </c>
      <c r="F1357" s="1">
        <v>1.167E9</v>
      </c>
      <c r="G1357" s="1">
        <v>9.86E8</v>
      </c>
      <c r="H1357" s="1">
        <v>5.53E8</v>
      </c>
      <c r="I1357" s="1">
        <v>1.84E9</v>
      </c>
      <c r="J1357" s="1">
        <v>1.287E9</v>
      </c>
      <c r="K1357" s="1">
        <v>1.287E9</v>
      </c>
      <c r="L1357" s="1">
        <v>-1.54E8</v>
      </c>
      <c r="M1357" s="1">
        <v>1.81E8</v>
      </c>
      <c r="N1357" s="1">
        <v>9.083E9</v>
      </c>
      <c r="O1357" s="1">
        <v>7.796E9</v>
      </c>
      <c r="P1357" s="1">
        <v>7.243E9</v>
      </c>
      <c r="Q1357" s="1">
        <v>-1.2E8</v>
      </c>
      <c r="R1357" s="1">
        <v>9.86E8</v>
      </c>
      <c r="S1357" s="1">
        <v>9.86E8</v>
      </c>
      <c r="W1357" s="4" t="str">
        <f>Raw_Data!C1356&amp;"|"&amp;Raw_Data!D1356&amp;"|"&amp;TEXT(Raw_Data!B1356,"yyyy-mm-dd")</f>
        <v>Northrop Grumman|NOC|2020-12-31</v>
      </c>
    </row>
    <row r="1358">
      <c r="A1358" s="1">
        <v>1356.0</v>
      </c>
      <c r="B1358" s="3">
        <v>44379.0</v>
      </c>
      <c r="C1358" s="1" t="s">
        <v>718</v>
      </c>
      <c r="D1358" s="1" t="s">
        <v>719</v>
      </c>
      <c r="E1358" s="1">
        <v>6.8E7</v>
      </c>
      <c r="F1358" s="1">
        <v>2.52E8</v>
      </c>
      <c r="G1358" s="1">
        <v>1.81E8</v>
      </c>
      <c r="H1358" s="1">
        <v>2.01E8</v>
      </c>
      <c r="I1358" s="1">
        <v>5.84E8</v>
      </c>
      <c r="J1358" s="1">
        <v>2.94E8</v>
      </c>
      <c r="K1358" s="1">
        <v>2.94E8</v>
      </c>
      <c r="L1358" s="1">
        <v>-3.2E7</v>
      </c>
      <c r="M1358" s="1">
        <v>7.1E7</v>
      </c>
      <c r="N1358" s="1">
        <v>6.86E8</v>
      </c>
      <c r="O1358" s="1">
        <v>3.92E8</v>
      </c>
      <c r="P1358" s="1">
        <v>1.02E8</v>
      </c>
      <c r="Q1358" s="1">
        <v>-4.2E7</v>
      </c>
      <c r="R1358" s="1">
        <v>1.81E8</v>
      </c>
      <c r="S1358" s="1">
        <v>1.81E8</v>
      </c>
      <c r="W1358" s="4" t="str">
        <f>Raw_Data!C1357&amp;"|"&amp;Raw_Data!D1357&amp;"|"&amp;TEXT(Raw_Data!B1357,"yyyy-mm-dd")</f>
        <v>Northrop Grumman|NOC|2020-09-30</v>
      </c>
    </row>
    <row r="1359">
      <c r="A1359" s="1">
        <v>1357.0</v>
      </c>
      <c r="B1359" s="3">
        <v>44288.0</v>
      </c>
      <c r="C1359" s="1" t="s">
        <v>718</v>
      </c>
      <c r="D1359" s="1" t="s">
        <v>719</v>
      </c>
      <c r="E1359" s="1">
        <v>6.8E7</v>
      </c>
      <c r="F1359" s="1">
        <v>2.89E8</v>
      </c>
      <c r="G1359" s="1">
        <v>1.94E8</v>
      </c>
      <c r="H1359" s="1">
        <v>2.0E8</v>
      </c>
      <c r="I1359" s="1">
        <v>5.73E8</v>
      </c>
      <c r="J1359" s="1">
        <v>2.85E8</v>
      </c>
      <c r="K1359" s="1">
        <v>2.85E8</v>
      </c>
      <c r="L1359" s="1">
        <v>-3.5E7</v>
      </c>
      <c r="M1359" s="1">
        <v>8.1E7</v>
      </c>
      <c r="N1359" s="1">
        <v>6.72E8</v>
      </c>
      <c r="O1359" s="1">
        <v>3.87E8</v>
      </c>
      <c r="P1359" s="1">
        <v>9.9E7</v>
      </c>
      <c r="Q1359" s="1">
        <v>4000000.0</v>
      </c>
      <c r="R1359" s="1">
        <v>2.08E8</v>
      </c>
      <c r="S1359" s="1">
        <v>1.94E8</v>
      </c>
      <c r="W1359" s="4" t="str">
        <f>Raw_Data!C1358&amp;"|"&amp;Raw_Data!D1358&amp;"|"&amp;TEXT(Raw_Data!B1358,"yyyy-mm-dd")</f>
        <v>NortonLifeLock|NLOK|2021-07-02</v>
      </c>
    </row>
    <row r="1360">
      <c r="A1360" s="1">
        <v>1358.0</v>
      </c>
      <c r="B1360" s="3">
        <v>44197.0</v>
      </c>
      <c r="C1360" s="1" t="s">
        <v>718</v>
      </c>
      <c r="D1360" s="1" t="s">
        <v>719</v>
      </c>
      <c r="E1360" s="1">
        <v>7.1E7</v>
      </c>
      <c r="F1360" s="1">
        <v>2.53E8</v>
      </c>
      <c r="G1360" s="1">
        <v>1.78E8</v>
      </c>
      <c r="H1360" s="1">
        <v>1.82E8</v>
      </c>
      <c r="I1360" s="1">
        <v>5.52E8</v>
      </c>
      <c r="J1360" s="1">
        <v>2.81E8</v>
      </c>
      <c r="K1360" s="1">
        <v>2.81E8</v>
      </c>
      <c r="L1360" s="1">
        <v>-3.2E7</v>
      </c>
      <c r="M1360" s="1">
        <v>8.0E7</v>
      </c>
      <c r="N1360" s="1">
        <v>6.39E8</v>
      </c>
      <c r="O1360" s="1">
        <v>3.58E8</v>
      </c>
      <c r="P1360" s="1">
        <v>8.7E7</v>
      </c>
      <c r="Q1360" s="1">
        <v>-2.8E7</v>
      </c>
      <c r="R1360" s="1">
        <v>1.73E8</v>
      </c>
      <c r="S1360" s="1">
        <v>1.78E8</v>
      </c>
      <c r="W1360" s="4" t="str">
        <f>Raw_Data!C1359&amp;"|"&amp;Raw_Data!D1359&amp;"|"&amp;TEXT(Raw_Data!B1359,"yyyy-mm-dd")</f>
        <v>NortonLifeLock|NLOK|2021-04-02</v>
      </c>
    </row>
    <row r="1361">
      <c r="A1361" s="1">
        <v>1359.0</v>
      </c>
      <c r="B1361" s="3">
        <v>44106.0</v>
      </c>
      <c r="C1361" s="1" t="s">
        <v>718</v>
      </c>
      <c r="D1361" s="1" t="s">
        <v>719</v>
      </c>
      <c r="E1361" s="1">
        <v>6.3E7</v>
      </c>
      <c r="F1361" s="1">
        <v>2.31E8</v>
      </c>
      <c r="G1361" s="1">
        <v>6.4E7</v>
      </c>
      <c r="H1361" s="1">
        <v>1.86E8</v>
      </c>
      <c r="I1361" s="1">
        <v>5.36E8</v>
      </c>
      <c r="J1361" s="1">
        <v>2.69E8</v>
      </c>
      <c r="K1361" s="1">
        <v>2.69E8</v>
      </c>
      <c r="L1361" s="1">
        <v>-3.7E7</v>
      </c>
      <c r="M1361" s="1">
        <v>6.5E7</v>
      </c>
      <c r="N1361" s="1">
        <v>6.26E8</v>
      </c>
      <c r="O1361" s="1">
        <v>3.57E8</v>
      </c>
      <c r="P1361" s="1">
        <v>9.0E7</v>
      </c>
      <c r="Q1361" s="1">
        <v>-3.8E7</v>
      </c>
      <c r="R1361" s="1">
        <v>1.66E8</v>
      </c>
      <c r="S1361" s="1">
        <v>6.4E7</v>
      </c>
      <c r="W1361" s="4" t="str">
        <f>Raw_Data!C1360&amp;"|"&amp;Raw_Data!D1360&amp;"|"&amp;TEXT(Raw_Data!B1360,"yyyy-mm-dd")</f>
        <v>NortonLifeLock|NLOK|2021-01-01</v>
      </c>
    </row>
    <row r="1362">
      <c r="A1362" s="1">
        <v>1360.0</v>
      </c>
      <c r="B1362" s="3">
        <v>44286.0</v>
      </c>
      <c r="C1362" s="1" t="s">
        <v>720</v>
      </c>
      <c r="D1362" s="1" t="s">
        <v>721</v>
      </c>
      <c r="F1362" s="1">
        <v>-1.368464E9</v>
      </c>
      <c r="G1362" s="1">
        <v>-1.370192E9</v>
      </c>
      <c r="H1362" s="1">
        <v>2.03293E8</v>
      </c>
      <c r="I1362" s="1">
        <v>-1.97755E8</v>
      </c>
      <c r="J1362" s="1">
        <v>-5.71364E8</v>
      </c>
      <c r="K1362" s="1">
        <v>-5.71364E8</v>
      </c>
      <c r="L1362" s="1">
        <v>-1.50422E8</v>
      </c>
      <c r="M1362" s="1">
        <v>1728000.0</v>
      </c>
      <c r="N1362" s="1">
        <v>3100000.0</v>
      </c>
      <c r="O1362" s="1">
        <v>5.74464E8</v>
      </c>
      <c r="P1362" s="1">
        <v>2.00855E8</v>
      </c>
      <c r="Q1362" s="1">
        <v>-7.971E8</v>
      </c>
      <c r="R1362" s="1">
        <v>-1.370192E9</v>
      </c>
      <c r="S1362" s="1">
        <v>-1.370192E9</v>
      </c>
      <c r="W1362" s="4" t="str">
        <f>Raw_Data!C1361&amp;"|"&amp;Raw_Data!D1361&amp;"|"&amp;TEXT(Raw_Data!B1361,"yyyy-mm-dd")</f>
        <v>NortonLifeLock|NLOK|2020-10-02</v>
      </c>
    </row>
    <row r="1363">
      <c r="A1363" s="1">
        <v>1361.0</v>
      </c>
      <c r="B1363" s="3">
        <v>44196.0</v>
      </c>
      <c r="C1363" s="1" t="s">
        <v>720</v>
      </c>
      <c r="D1363" s="1" t="s">
        <v>721</v>
      </c>
      <c r="F1363" s="1">
        <v>-7.07409E8</v>
      </c>
      <c r="G1363" s="1">
        <v>-7.38933E8</v>
      </c>
      <c r="H1363" s="1">
        <v>1.86666E8</v>
      </c>
      <c r="I1363" s="1">
        <v>-1.97413E8</v>
      </c>
      <c r="J1363" s="1">
        <v>-5.46982E8</v>
      </c>
      <c r="K1363" s="1">
        <v>-5.46982E8</v>
      </c>
      <c r="L1363" s="1">
        <v>-1.59205E8</v>
      </c>
      <c r="M1363" s="1">
        <v>3.1524E7</v>
      </c>
      <c r="N1363" s="1">
        <v>9579000.0</v>
      </c>
      <c r="O1363" s="1">
        <v>5.56561E8</v>
      </c>
      <c r="P1363" s="1">
        <v>2.06992E8</v>
      </c>
      <c r="Q1363" s="1">
        <v>-1.60427E8</v>
      </c>
      <c r="R1363" s="1">
        <v>-7.38933E8</v>
      </c>
      <c r="S1363" s="1">
        <v>-7.38933E8</v>
      </c>
      <c r="W1363" s="4" t="str">
        <f>Raw_Data!C1362&amp;"|"&amp;Raw_Data!D1362&amp;"|"&amp;TEXT(Raw_Data!B1362,"yyyy-mm-dd")</f>
        <v>Norwegian Cruise Line Holdings|NCLH|2021-03-31</v>
      </c>
    </row>
    <row r="1364">
      <c r="A1364" s="1">
        <v>1362.0</v>
      </c>
      <c r="B1364" s="3">
        <v>44104.0</v>
      </c>
      <c r="C1364" s="1" t="s">
        <v>720</v>
      </c>
      <c r="D1364" s="1" t="s">
        <v>721</v>
      </c>
      <c r="F1364" s="1">
        <v>-6.81127E8</v>
      </c>
      <c r="G1364" s="1">
        <v>-6.77366E8</v>
      </c>
      <c r="H1364" s="1">
        <v>1.56656E8</v>
      </c>
      <c r="I1364" s="1">
        <v>-1.83639E8</v>
      </c>
      <c r="J1364" s="1">
        <v>-5.17783E8</v>
      </c>
      <c r="K1364" s="1">
        <v>-5.17783E8</v>
      </c>
      <c r="L1364" s="1">
        <v>-1.33028E8</v>
      </c>
      <c r="M1364" s="1">
        <v>-3761000.0</v>
      </c>
      <c r="N1364" s="1">
        <v>6518000.0</v>
      </c>
      <c r="O1364" s="1">
        <v>5.24301E8</v>
      </c>
      <c r="P1364" s="1">
        <v>1.90157E8</v>
      </c>
      <c r="Q1364" s="1">
        <v>-1.63344E8</v>
      </c>
      <c r="R1364" s="1">
        <v>-6.77366E8</v>
      </c>
      <c r="S1364" s="1">
        <v>-6.77366E8</v>
      </c>
      <c r="W1364" s="4" t="str">
        <f>Raw_Data!C1363&amp;"|"&amp;Raw_Data!D1363&amp;"|"&amp;TEXT(Raw_Data!B1363,"yyyy-mm-dd")</f>
        <v>Norwegian Cruise Line Holdings|NCLH|2020-12-31</v>
      </c>
    </row>
    <row r="1365">
      <c r="A1365" s="1">
        <v>1363.0</v>
      </c>
      <c r="B1365" s="3">
        <v>44012.0</v>
      </c>
      <c r="C1365" s="1" t="s">
        <v>720</v>
      </c>
      <c r="D1365" s="1" t="s">
        <v>721</v>
      </c>
      <c r="F1365" s="1">
        <v>-7.24366E8</v>
      </c>
      <c r="G1365" s="1">
        <v>-7.15243E8</v>
      </c>
      <c r="H1365" s="1">
        <v>1.31436E8</v>
      </c>
      <c r="I1365" s="1">
        <v>-2.84723E8</v>
      </c>
      <c r="J1365" s="1">
        <v>-5.95411E8</v>
      </c>
      <c r="K1365" s="1">
        <v>-5.95411E8</v>
      </c>
      <c r="L1365" s="1">
        <v>-9.3378E7</v>
      </c>
      <c r="M1365" s="1">
        <v>-9123000.0</v>
      </c>
      <c r="N1365" s="1">
        <v>1.6929E7</v>
      </c>
      <c r="O1365" s="1">
        <v>6.1234E8</v>
      </c>
      <c r="P1365" s="1">
        <v>3.01652E8</v>
      </c>
      <c r="Q1365" s="1">
        <v>-1.28955E8</v>
      </c>
      <c r="R1365" s="1">
        <v>-7.15243E8</v>
      </c>
      <c r="S1365" s="1">
        <v>-7.15243E8</v>
      </c>
      <c r="W1365" s="4" t="str">
        <f>Raw_Data!C1364&amp;"|"&amp;Raw_Data!D1364&amp;"|"&amp;TEXT(Raw_Data!B1364,"yyyy-mm-dd")</f>
        <v>Norwegian Cruise Line Holdings|NCLH|2020-09-30</v>
      </c>
    </row>
    <row r="1366">
      <c r="A1366" s="1">
        <v>1364.0</v>
      </c>
      <c r="B1366" s="3">
        <v>44286.0</v>
      </c>
      <c r="C1366" s="1" t="s">
        <v>722</v>
      </c>
      <c r="D1366" s="1" t="s">
        <v>723</v>
      </c>
      <c r="F1366" s="1">
        <v>-1.67E8</v>
      </c>
      <c r="G1366" s="1">
        <v>-8.2E7</v>
      </c>
      <c r="H1366" s="1">
        <v>3.3E8</v>
      </c>
      <c r="I1366" s="1">
        <v>1.227E9</v>
      </c>
      <c r="J1366" s="1">
        <v>-3.1E7</v>
      </c>
      <c r="K1366" s="1">
        <v>-3.1E7</v>
      </c>
      <c r="L1366" s="1">
        <v>-1.27E8</v>
      </c>
      <c r="M1366" s="1">
        <v>-8.5E7</v>
      </c>
      <c r="N1366" s="1">
        <v>8.091E9</v>
      </c>
      <c r="O1366" s="1">
        <v>8.122E9</v>
      </c>
      <c r="P1366" s="1">
        <v>6.864E9</v>
      </c>
      <c r="Q1366" s="1">
        <v>-1.36E8</v>
      </c>
      <c r="R1366" s="1">
        <v>-8.2E7</v>
      </c>
      <c r="S1366" s="1">
        <v>-8.2E7</v>
      </c>
      <c r="W1366" s="4" t="str">
        <f>Raw_Data!C1365&amp;"|"&amp;Raw_Data!D1365&amp;"|"&amp;TEXT(Raw_Data!B1365,"yyyy-mm-dd")</f>
        <v>Norwegian Cruise Line Holdings|NCLH|2020-06-30</v>
      </c>
    </row>
    <row r="1367">
      <c r="A1367" s="1">
        <v>1365.0</v>
      </c>
      <c r="B1367" s="3">
        <v>44196.0</v>
      </c>
      <c r="C1367" s="1" t="s">
        <v>722</v>
      </c>
      <c r="D1367" s="1" t="s">
        <v>723</v>
      </c>
      <c r="E1367" s="1">
        <v>2000000.0</v>
      </c>
      <c r="F1367" s="1">
        <v>-1.38E8</v>
      </c>
      <c r="G1367" s="1">
        <v>-1.73E8</v>
      </c>
      <c r="H1367" s="1">
        <v>2.46E8</v>
      </c>
      <c r="I1367" s="1">
        <v>4.12E8</v>
      </c>
      <c r="J1367" s="1">
        <v>4.7E7</v>
      </c>
      <c r="K1367" s="1">
        <v>4.7E7</v>
      </c>
      <c r="L1367" s="1">
        <v>-1.09E8</v>
      </c>
      <c r="M1367" s="1">
        <v>3.5E7</v>
      </c>
      <c r="N1367" s="1">
        <v>2.027E9</v>
      </c>
      <c r="O1367" s="1">
        <v>1.98E9</v>
      </c>
      <c r="P1367" s="1">
        <v>1.615E9</v>
      </c>
      <c r="Q1367" s="1">
        <v>-1.85E8</v>
      </c>
      <c r="R1367" s="1">
        <v>-1.73E8</v>
      </c>
      <c r="S1367" s="1">
        <v>-1.73E8</v>
      </c>
      <c r="W1367" s="4" t="str">
        <f>Raw_Data!C1366&amp;"|"&amp;Raw_Data!D1366&amp;"|"&amp;TEXT(Raw_Data!B1366,"yyyy-mm-dd")</f>
        <v>NRG Energy|NRG|2021-03-31</v>
      </c>
    </row>
    <row r="1368">
      <c r="A1368" s="1">
        <v>1366.0</v>
      </c>
      <c r="B1368" s="3">
        <v>44104.0</v>
      </c>
      <c r="C1368" s="1" t="s">
        <v>722</v>
      </c>
      <c r="D1368" s="1" t="s">
        <v>723</v>
      </c>
      <c r="E1368" s="1">
        <v>1000000.0</v>
      </c>
      <c r="F1368" s="1">
        <v>3.41E8</v>
      </c>
      <c r="G1368" s="1">
        <v>2.49E8</v>
      </c>
      <c r="H1368" s="1">
        <v>2.53E8</v>
      </c>
      <c r="I1368" s="1">
        <v>7.75E8</v>
      </c>
      <c r="J1368" s="1">
        <v>4.22E8</v>
      </c>
      <c r="K1368" s="1">
        <v>4.22E8</v>
      </c>
      <c r="L1368" s="1">
        <v>-9.9E7</v>
      </c>
      <c r="M1368" s="1">
        <v>9.2E7</v>
      </c>
      <c r="N1368" s="1">
        <v>2.809E9</v>
      </c>
      <c r="O1368" s="1">
        <v>2.387E9</v>
      </c>
      <c r="P1368" s="1">
        <v>2.034E9</v>
      </c>
      <c r="Q1368" s="1">
        <v>-8.1E7</v>
      </c>
      <c r="R1368" s="1">
        <v>2.49E8</v>
      </c>
      <c r="S1368" s="1">
        <v>2.49E8</v>
      </c>
      <c r="W1368" s="4" t="str">
        <f>Raw_Data!C1367&amp;"|"&amp;Raw_Data!D1367&amp;"|"&amp;TEXT(Raw_Data!B1367,"yyyy-mm-dd")</f>
        <v>NRG Energy|NRG|2020-12-31</v>
      </c>
    </row>
    <row r="1369">
      <c r="A1369" s="1">
        <v>1367.0</v>
      </c>
      <c r="B1369" s="3">
        <v>44012.0</v>
      </c>
      <c r="C1369" s="1" t="s">
        <v>722</v>
      </c>
      <c r="D1369" s="1" t="s">
        <v>723</v>
      </c>
      <c r="E1369" s="1">
        <v>2000000.0</v>
      </c>
      <c r="F1369" s="1">
        <v>4.14E8</v>
      </c>
      <c r="G1369" s="1">
        <v>3.13E8</v>
      </c>
      <c r="H1369" s="1">
        <v>2.08E8</v>
      </c>
      <c r="I1369" s="1">
        <v>8.04E8</v>
      </c>
      <c r="J1369" s="1">
        <v>4.84E8</v>
      </c>
      <c r="K1369" s="1">
        <v>4.84E8</v>
      </c>
      <c r="L1369" s="1">
        <v>-9.6E7</v>
      </c>
      <c r="M1369" s="1">
        <v>1.01E8</v>
      </c>
      <c r="N1369" s="1">
        <v>2.238E9</v>
      </c>
      <c r="O1369" s="1">
        <v>1.754E9</v>
      </c>
      <c r="P1369" s="1">
        <v>1.434E9</v>
      </c>
      <c r="Q1369" s="1">
        <v>-7.0E7</v>
      </c>
      <c r="R1369" s="1">
        <v>3.13E8</v>
      </c>
      <c r="S1369" s="1">
        <v>3.13E8</v>
      </c>
      <c r="W1369" s="4" t="str">
        <f>Raw_Data!C1368&amp;"|"&amp;Raw_Data!D1368&amp;"|"&amp;TEXT(Raw_Data!B1368,"yyyy-mm-dd")</f>
        <v>NRG Energy|NRG|2020-09-30</v>
      </c>
    </row>
    <row r="1370">
      <c r="A1370" s="1">
        <v>1368.0</v>
      </c>
      <c r="B1370" s="3">
        <v>44380.0</v>
      </c>
      <c r="C1370" s="1" t="s">
        <v>724</v>
      </c>
      <c r="D1370" s="1" t="s">
        <v>725</v>
      </c>
      <c r="F1370" s="1">
        <v>2.025748E9</v>
      </c>
      <c r="G1370" s="1">
        <v>1.506868E9</v>
      </c>
      <c r="H1370" s="1">
        <v>3.8707E8</v>
      </c>
      <c r="I1370" s="1">
        <v>2.473503E9</v>
      </c>
      <c r="J1370" s="1">
        <v>2.086433E9</v>
      </c>
      <c r="K1370" s="1">
        <v>2.086433E9</v>
      </c>
      <c r="L1370" s="1">
        <v>-3.578E7</v>
      </c>
      <c r="M1370" s="1">
        <v>4.54289E8</v>
      </c>
      <c r="N1370" s="1">
        <v>8.789164E9</v>
      </c>
      <c r="O1370" s="1">
        <v>6.702731E9</v>
      </c>
      <c r="P1370" s="1">
        <v>6.315661E9</v>
      </c>
      <c r="Q1370" s="1">
        <v>-6.0685E7</v>
      </c>
      <c r="R1370" s="1">
        <v>1.571459E9</v>
      </c>
      <c r="S1370" s="1">
        <v>1.506868E9</v>
      </c>
      <c r="W1370" s="4" t="str">
        <f>Raw_Data!C1369&amp;"|"&amp;Raw_Data!D1369&amp;"|"&amp;TEXT(Raw_Data!B1369,"yyyy-mm-dd")</f>
        <v>NRG Energy|NRG|2020-06-30</v>
      </c>
    </row>
    <row r="1371">
      <c r="A1371" s="1">
        <v>1369.0</v>
      </c>
      <c r="B1371" s="3">
        <v>44289.0</v>
      </c>
      <c r="C1371" s="1" t="s">
        <v>724</v>
      </c>
      <c r="D1371" s="1" t="s">
        <v>725</v>
      </c>
      <c r="F1371" s="1">
        <v>1.298246E9</v>
      </c>
      <c r="G1371" s="1">
        <v>9.42432E8</v>
      </c>
      <c r="H1371" s="1">
        <v>2.91124E8</v>
      </c>
      <c r="I1371" s="1">
        <v>1.622437E9</v>
      </c>
      <c r="J1371" s="1">
        <v>1.331313E9</v>
      </c>
      <c r="K1371" s="1">
        <v>1.331313E9</v>
      </c>
      <c r="L1371" s="1">
        <v>-4.097E7</v>
      </c>
      <c r="M1371" s="1">
        <v>3.10732E8</v>
      </c>
      <c r="N1371" s="1">
        <v>7.01714E9</v>
      </c>
      <c r="O1371" s="1">
        <v>5.685827E9</v>
      </c>
      <c r="P1371" s="1">
        <v>5.394703E9</v>
      </c>
      <c r="Q1371" s="1">
        <v>-3.3067E7</v>
      </c>
      <c r="R1371" s="1">
        <v>9.87514E8</v>
      </c>
      <c r="S1371" s="1">
        <v>9.37056E8</v>
      </c>
      <c r="W1371" s="4" t="str">
        <f>Raw_Data!C1370&amp;"|"&amp;Raw_Data!D1370&amp;"|"&amp;TEXT(Raw_Data!B1370,"yyyy-mm-dd")</f>
        <v>Nucor|NUE|2021-07-03</v>
      </c>
    </row>
    <row r="1372">
      <c r="A1372" s="1">
        <v>1370.0</v>
      </c>
      <c r="B1372" s="3">
        <v>44196.0</v>
      </c>
      <c r="C1372" s="1" t="s">
        <v>724</v>
      </c>
      <c r="D1372" s="1" t="s">
        <v>725</v>
      </c>
      <c r="F1372" s="1">
        <v>2.17766E8</v>
      </c>
      <c r="G1372" s="1">
        <v>3.98843E8</v>
      </c>
      <c r="H1372" s="1">
        <v>1.75078E8</v>
      </c>
      <c r="I1372" s="1">
        <v>7.39487E8</v>
      </c>
      <c r="J1372" s="1">
        <v>5.37409E8</v>
      </c>
      <c r="K1372" s="1">
        <v>5.37409E8</v>
      </c>
      <c r="L1372" s="1">
        <v>-3.7887E7</v>
      </c>
      <c r="M1372" s="1">
        <v>-2.081E8</v>
      </c>
      <c r="N1372" s="1">
        <v>5.260055E9</v>
      </c>
      <c r="O1372" s="1">
        <v>4.722646E9</v>
      </c>
      <c r="P1372" s="1">
        <v>4.520568E9</v>
      </c>
      <c r="Q1372" s="1">
        <v>-3.19643E8</v>
      </c>
      <c r="R1372" s="1">
        <v>4.25866E8</v>
      </c>
      <c r="S1372" s="1">
        <v>3.96669E8</v>
      </c>
      <c r="W1372" s="4" t="str">
        <f>Raw_Data!C1371&amp;"|"&amp;Raw_Data!D1371&amp;"|"&amp;TEXT(Raw_Data!B1371,"yyyy-mm-dd")</f>
        <v>Nucor|NUE|2021-04-03</v>
      </c>
    </row>
    <row r="1373">
      <c r="A1373" s="1">
        <v>1371.0</v>
      </c>
      <c r="B1373" s="3">
        <v>44107.0</v>
      </c>
      <c r="C1373" s="1" t="s">
        <v>724</v>
      </c>
      <c r="D1373" s="1" t="s">
        <v>725</v>
      </c>
      <c r="F1373" s="1">
        <v>2.90418E8</v>
      </c>
      <c r="G1373" s="1">
        <v>1.93415E8</v>
      </c>
      <c r="H1373" s="1">
        <v>1.49113E8</v>
      </c>
      <c r="I1373" s="1">
        <v>5.02195E8</v>
      </c>
      <c r="J1373" s="1">
        <v>3.53082E8</v>
      </c>
      <c r="K1373" s="1">
        <v>3.53082E8</v>
      </c>
      <c r="L1373" s="1">
        <v>-4.2281E7</v>
      </c>
      <c r="M1373" s="1">
        <v>6.7788E7</v>
      </c>
      <c r="N1373" s="1">
        <v>4.92796E9</v>
      </c>
      <c r="O1373" s="1">
        <v>4.574878E9</v>
      </c>
      <c r="P1373" s="1">
        <v>4.425765E9</v>
      </c>
      <c r="Q1373" s="1">
        <v>-6.2664E7</v>
      </c>
      <c r="R1373" s="1">
        <v>2.2263E8</v>
      </c>
      <c r="S1373" s="1">
        <v>1.92214E8</v>
      </c>
      <c r="W1373" s="4" t="str">
        <f>Raw_Data!C1372&amp;"|"&amp;Raw_Data!D1372&amp;"|"&amp;TEXT(Raw_Data!B1372,"yyyy-mm-dd")</f>
        <v>Nucor|NUE|2020-12-31</v>
      </c>
    </row>
    <row r="1374">
      <c r="A1374" s="1">
        <v>1372.0</v>
      </c>
      <c r="B1374" s="3">
        <v>44409.0</v>
      </c>
      <c r="C1374" s="1" t="s">
        <v>726</v>
      </c>
      <c r="D1374" s="1" t="s">
        <v>727</v>
      </c>
      <c r="E1374" s="1">
        <v>1.245E9</v>
      </c>
      <c r="F1374" s="1">
        <v>2.394E9</v>
      </c>
      <c r="G1374" s="1">
        <v>2.374E9</v>
      </c>
      <c r="H1374" s="1">
        <v>5.26E8</v>
      </c>
      <c r="I1374" s="1">
        <v>4.215E9</v>
      </c>
      <c r="J1374" s="1">
        <v>2.444E9</v>
      </c>
      <c r="K1374" s="1">
        <v>2.444E9</v>
      </c>
      <c r="L1374" s="1">
        <v>-6.0E7</v>
      </c>
      <c r="M1374" s="1">
        <v>2.0E7</v>
      </c>
      <c r="N1374" s="1">
        <v>6.507E9</v>
      </c>
      <c r="O1374" s="1">
        <v>4.063E9</v>
      </c>
      <c r="P1374" s="1">
        <v>2.292E9</v>
      </c>
      <c r="Q1374" s="1">
        <v>-5.0E7</v>
      </c>
      <c r="R1374" s="1">
        <v>2.374E9</v>
      </c>
      <c r="S1374" s="1">
        <v>2.374E9</v>
      </c>
      <c r="W1374" s="4" t="str">
        <f>Raw_Data!C1373&amp;"|"&amp;Raw_Data!D1373&amp;"|"&amp;TEXT(Raw_Data!B1373,"yyyy-mm-dd")</f>
        <v>Nucor|NUE|2020-10-03</v>
      </c>
    </row>
    <row r="1375">
      <c r="A1375" s="1">
        <v>1373.0</v>
      </c>
      <c r="B1375" s="3">
        <v>44318.0</v>
      </c>
      <c r="C1375" s="1" t="s">
        <v>726</v>
      </c>
      <c r="D1375" s="1" t="s">
        <v>727</v>
      </c>
      <c r="E1375" s="1">
        <v>1.153E9</v>
      </c>
      <c r="F1375" s="1">
        <v>2.044E9</v>
      </c>
      <c r="G1375" s="1">
        <v>1.912E9</v>
      </c>
      <c r="H1375" s="1">
        <v>5.2E8</v>
      </c>
      <c r="I1375" s="1">
        <v>3.629E9</v>
      </c>
      <c r="J1375" s="1">
        <v>1.956E9</v>
      </c>
      <c r="K1375" s="1">
        <v>1.956E9</v>
      </c>
      <c r="L1375" s="1">
        <v>-5.3E7</v>
      </c>
      <c r="M1375" s="1">
        <v>1.32E8</v>
      </c>
      <c r="N1375" s="1">
        <v>5.661E9</v>
      </c>
      <c r="O1375" s="1">
        <v>3.705E9</v>
      </c>
      <c r="P1375" s="1">
        <v>2.032E9</v>
      </c>
      <c r="Q1375" s="1">
        <v>8.8E7</v>
      </c>
      <c r="R1375" s="1">
        <v>1.912E9</v>
      </c>
      <c r="S1375" s="1">
        <v>1.912E9</v>
      </c>
      <c r="W1375" s="4" t="str">
        <f>Raw_Data!C1374&amp;"|"&amp;Raw_Data!D1374&amp;"|"&amp;TEXT(Raw_Data!B1374,"yyyy-mm-dd")</f>
        <v>Nvidia|NVDA|2021-08-01</v>
      </c>
    </row>
    <row r="1376">
      <c r="A1376" s="1">
        <v>1374.0</v>
      </c>
      <c r="B1376" s="3">
        <v>44227.0</v>
      </c>
      <c r="C1376" s="1" t="s">
        <v>726</v>
      </c>
      <c r="D1376" s="1" t="s">
        <v>727</v>
      </c>
      <c r="E1376" s="1">
        <v>1.146E9</v>
      </c>
      <c r="F1376" s="1">
        <v>1.47E9</v>
      </c>
      <c r="G1376" s="1">
        <v>1.457E9</v>
      </c>
      <c r="H1376" s="1">
        <v>5.02E8</v>
      </c>
      <c r="I1376" s="1">
        <v>3.156E9</v>
      </c>
      <c r="J1376" s="1">
        <v>1.508E9</v>
      </c>
      <c r="K1376" s="1">
        <v>1.508E9</v>
      </c>
      <c r="L1376" s="1">
        <v>-5.3E7</v>
      </c>
      <c r="M1376" s="1">
        <v>1.3E7</v>
      </c>
      <c r="N1376" s="1">
        <v>5.003E9</v>
      </c>
      <c r="O1376" s="1">
        <v>3.495E9</v>
      </c>
      <c r="P1376" s="1">
        <v>1.847E9</v>
      </c>
      <c r="Q1376" s="1">
        <v>-3.8E7</v>
      </c>
      <c r="R1376" s="1">
        <v>1.457E9</v>
      </c>
      <c r="S1376" s="1">
        <v>1.457E9</v>
      </c>
      <c r="W1376" s="4" t="str">
        <f>Raw_Data!C1375&amp;"|"&amp;Raw_Data!D1375&amp;"|"&amp;TEXT(Raw_Data!B1375,"yyyy-mm-dd")</f>
        <v>Nvidia|NVDA|2021-05-02</v>
      </c>
    </row>
    <row r="1377">
      <c r="A1377" s="1">
        <v>1375.0</v>
      </c>
      <c r="B1377" s="3">
        <v>44129.0</v>
      </c>
      <c r="C1377" s="1" t="s">
        <v>726</v>
      </c>
      <c r="D1377" s="1" t="s">
        <v>727</v>
      </c>
      <c r="E1377" s="1">
        <v>1.047E9</v>
      </c>
      <c r="F1377" s="1">
        <v>1.348E9</v>
      </c>
      <c r="G1377" s="1">
        <v>1.336E9</v>
      </c>
      <c r="H1377" s="1">
        <v>5.15E8</v>
      </c>
      <c r="I1377" s="1">
        <v>2.96E9</v>
      </c>
      <c r="J1377" s="1">
        <v>1.398E9</v>
      </c>
      <c r="K1377" s="1">
        <v>1.398E9</v>
      </c>
      <c r="L1377" s="1">
        <v>-5.3E7</v>
      </c>
      <c r="M1377" s="1">
        <v>1.2E7</v>
      </c>
      <c r="N1377" s="1">
        <v>4.726E9</v>
      </c>
      <c r="O1377" s="1">
        <v>3.328E9</v>
      </c>
      <c r="P1377" s="1">
        <v>1.766E9</v>
      </c>
      <c r="Q1377" s="1">
        <v>-5.0E7</v>
      </c>
      <c r="R1377" s="1">
        <v>1.336E9</v>
      </c>
      <c r="S1377" s="1">
        <v>1.336E9</v>
      </c>
      <c r="W1377" s="4" t="str">
        <f>Raw_Data!C1376&amp;"|"&amp;Raw_Data!D1376&amp;"|"&amp;TEXT(Raw_Data!B1376,"yyyy-mm-dd")</f>
        <v>Nvidia|NVDA|2021-01-31</v>
      </c>
    </row>
    <row r="1378">
      <c r="A1378" s="1">
        <v>1376.0</v>
      </c>
      <c r="B1378" s="3">
        <v>44377.0</v>
      </c>
      <c r="C1378" s="1" t="s">
        <v>728</v>
      </c>
      <c r="D1378" s="1" t="s">
        <v>728</v>
      </c>
      <c r="F1378" s="1">
        <v>4.17465E8</v>
      </c>
      <c r="G1378" s="1">
        <v>3.21295E8</v>
      </c>
      <c r="H1378" s="1">
        <v>1.13406E8</v>
      </c>
      <c r="I1378" s="1">
        <v>5.36521E8</v>
      </c>
      <c r="J1378" s="1">
        <v>4.23115E8</v>
      </c>
      <c r="K1378" s="1">
        <v>4.23115E8</v>
      </c>
      <c r="L1378" s="1">
        <v>-1.285E7</v>
      </c>
      <c r="M1378" s="1">
        <v>9.617E7</v>
      </c>
      <c r="N1378" s="1">
        <v>2.287439E9</v>
      </c>
      <c r="O1378" s="1">
        <v>1.864324E9</v>
      </c>
      <c r="P1378" s="1">
        <v>1.750918E9</v>
      </c>
      <c r="Q1378" s="1">
        <v>-5650000.0</v>
      </c>
      <c r="R1378" s="1">
        <v>3.21295E8</v>
      </c>
      <c r="S1378" s="1">
        <v>3.21295E8</v>
      </c>
      <c r="W1378" s="4" t="str">
        <f>Raw_Data!C1377&amp;"|"&amp;Raw_Data!D1377&amp;"|"&amp;TEXT(Raw_Data!B1377,"yyyy-mm-dd")</f>
        <v>Nvidia|NVDA|2020-10-25</v>
      </c>
    </row>
    <row r="1379">
      <c r="A1379" s="1">
        <v>1377.0</v>
      </c>
      <c r="B1379" s="3">
        <v>44286.0</v>
      </c>
      <c r="C1379" s="1" t="s">
        <v>728</v>
      </c>
      <c r="D1379" s="1" t="s">
        <v>728</v>
      </c>
      <c r="F1379" s="1">
        <v>3.12006E8</v>
      </c>
      <c r="G1379" s="1">
        <v>2.48762E8</v>
      </c>
      <c r="H1379" s="1">
        <v>1.21419E8</v>
      </c>
      <c r="I1379" s="1">
        <v>4.46431E8</v>
      </c>
      <c r="J1379" s="1">
        <v>3.25012E8</v>
      </c>
      <c r="K1379" s="1">
        <v>3.25012E8</v>
      </c>
      <c r="L1379" s="1">
        <v>-1.3006E7</v>
      </c>
      <c r="M1379" s="1">
        <v>6.3244E7</v>
      </c>
      <c r="N1379" s="1">
        <v>2.045064E9</v>
      </c>
      <c r="O1379" s="1">
        <v>1.720052E9</v>
      </c>
      <c r="P1379" s="1">
        <v>1.598633E9</v>
      </c>
      <c r="Q1379" s="1">
        <v>-1.3006E7</v>
      </c>
      <c r="R1379" s="1">
        <v>2.48762E8</v>
      </c>
      <c r="S1379" s="1">
        <v>2.48762E8</v>
      </c>
      <c r="W1379" s="4" t="str">
        <f>Raw_Data!C1378&amp;"|"&amp;Raw_Data!D1378&amp;"|"&amp;TEXT(Raw_Data!B1378,"yyyy-mm-dd")</f>
        <v>NVR|NVR|2021-06-30</v>
      </c>
    </row>
    <row r="1380">
      <c r="A1380" s="1">
        <v>1378.0</v>
      </c>
      <c r="B1380" s="3">
        <v>44196.0</v>
      </c>
      <c r="C1380" s="1" t="s">
        <v>728</v>
      </c>
      <c r="D1380" s="1" t="s">
        <v>728</v>
      </c>
      <c r="F1380" s="1">
        <v>3.8537E8</v>
      </c>
      <c r="G1380" s="1">
        <v>3.05004E8</v>
      </c>
      <c r="H1380" s="1">
        <v>1.12398E8</v>
      </c>
      <c r="I1380" s="1">
        <v>5.03637E8</v>
      </c>
      <c r="J1380" s="1">
        <v>3.91239E8</v>
      </c>
      <c r="K1380" s="1">
        <v>3.91239E8</v>
      </c>
      <c r="L1380" s="1">
        <v>-1.2769E7</v>
      </c>
      <c r="M1380" s="1">
        <v>8.0366E7</v>
      </c>
      <c r="N1380" s="1">
        <v>2.353606E9</v>
      </c>
      <c r="O1380" s="1">
        <v>1.962367E9</v>
      </c>
      <c r="P1380" s="1">
        <v>1.849969E9</v>
      </c>
      <c r="Q1380" s="1">
        <v>-5869000.0</v>
      </c>
      <c r="R1380" s="1">
        <v>3.05004E8</v>
      </c>
      <c r="S1380" s="1">
        <v>3.05004E8</v>
      </c>
      <c r="W1380" s="4" t="str">
        <f>Raw_Data!C1379&amp;"|"&amp;Raw_Data!D1379&amp;"|"&amp;TEXT(Raw_Data!B1379,"yyyy-mm-dd")</f>
        <v>NVR|NVR|2021-03-31</v>
      </c>
    </row>
    <row r="1381">
      <c r="A1381" s="1">
        <v>1379.0</v>
      </c>
      <c r="B1381" s="3">
        <v>44104.0</v>
      </c>
      <c r="C1381" s="1" t="s">
        <v>728</v>
      </c>
      <c r="D1381" s="1" t="s">
        <v>728</v>
      </c>
      <c r="F1381" s="1">
        <v>3.21457E8</v>
      </c>
      <c r="G1381" s="1">
        <v>2.56466E8</v>
      </c>
      <c r="H1381" s="1">
        <v>1.05741E8</v>
      </c>
      <c r="I1381" s="1">
        <v>4.33707E8</v>
      </c>
      <c r="J1381" s="1">
        <v>3.27966E8</v>
      </c>
      <c r="K1381" s="1">
        <v>3.27966E8</v>
      </c>
      <c r="L1381" s="1">
        <v>-1.1309E7</v>
      </c>
      <c r="M1381" s="1">
        <v>6.4991E7</v>
      </c>
      <c r="N1381" s="1">
        <v>1.994222E9</v>
      </c>
      <c r="O1381" s="1">
        <v>1.666256E9</v>
      </c>
      <c r="P1381" s="1">
        <v>1.560515E9</v>
      </c>
      <c r="Q1381" s="1">
        <v>-6509000.0</v>
      </c>
      <c r="R1381" s="1">
        <v>2.56466E8</v>
      </c>
      <c r="S1381" s="1">
        <v>2.56466E8</v>
      </c>
      <c r="W1381" s="4" t="str">
        <f>Raw_Data!C1380&amp;"|"&amp;Raw_Data!D1380&amp;"|"&amp;TEXT(Raw_Data!B1380,"yyyy-mm-dd")</f>
        <v>NVR|NVR|2020-12-31</v>
      </c>
    </row>
    <row r="1382">
      <c r="A1382" s="1">
        <v>1380.0</v>
      </c>
      <c r="B1382" s="3">
        <v>44381.0</v>
      </c>
      <c r="C1382" s="1" t="s">
        <v>729</v>
      </c>
      <c r="D1382" s="1" t="s">
        <v>730</v>
      </c>
      <c r="E1382" s="1">
        <v>4.75E8</v>
      </c>
      <c r="F1382" s="1">
        <v>4.71E8</v>
      </c>
      <c r="G1382" s="1">
        <v>3.97E8</v>
      </c>
      <c r="H1382" s="1">
        <v>2.34E8</v>
      </c>
      <c r="I1382" s="1">
        <v>1.422E9</v>
      </c>
      <c r="J1382" s="1">
        <v>5.74E8</v>
      </c>
      <c r="K1382" s="1">
        <v>5.74E8</v>
      </c>
      <c r="L1382" s="1">
        <v>-9.0E7</v>
      </c>
      <c r="M1382" s="1">
        <v>6.5E7</v>
      </c>
      <c r="N1382" s="1">
        <v>2.596E9</v>
      </c>
      <c r="O1382" s="1">
        <v>2.022E9</v>
      </c>
      <c r="P1382" s="1">
        <v>1.174E9</v>
      </c>
      <c r="Q1382" s="1">
        <v>-1.03E8</v>
      </c>
      <c r="R1382" s="1">
        <v>4.06E8</v>
      </c>
      <c r="S1382" s="1">
        <v>3.97E8</v>
      </c>
      <c r="W1382" s="4" t="str">
        <f>Raw_Data!C1381&amp;"|"&amp;Raw_Data!D1381&amp;"|"&amp;TEXT(Raw_Data!B1381,"yyyy-mm-dd")</f>
        <v>NVR|NVR|2020-09-30</v>
      </c>
    </row>
    <row r="1383">
      <c r="A1383" s="1">
        <v>1381.0</v>
      </c>
      <c r="B1383" s="3">
        <v>44290.0</v>
      </c>
      <c r="C1383" s="1" t="s">
        <v>729</v>
      </c>
      <c r="D1383" s="1" t="s">
        <v>730</v>
      </c>
      <c r="E1383" s="1">
        <v>4.61E8</v>
      </c>
      <c r="F1383" s="1">
        <v>4.04E8</v>
      </c>
      <c r="G1383" s="1">
        <v>3.53E8</v>
      </c>
      <c r="H1383" s="1">
        <v>2.22E8</v>
      </c>
      <c r="I1383" s="1">
        <v>1.355E9</v>
      </c>
      <c r="J1383" s="1">
        <v>4.92E8</v>
      </c>
      <c r="K1383" s="1">
        <v>4.92E8</v>
      </c>
      <c r="L1383" s="1">
        <v>-8.7E7</v>
      </c>
      <c r="M1383" s="1">
        <v>4.0E7</v>
      </c>
      <c r="N1383" s="1">
        <v>2.567E9</v>
      </c>
      <c r="O1383" s="1">
        <v>2.075E9</v>
      </c>
      <c r="P1383" s="1">
        <v>1.212E9</v>
      </c>
      <c r="Q1383" s="1">
        <v>-8.8E7</v>
      </c>
      <c r="R1383" s="1">
        <v>3.64E8</v>
      </c>
      <c r="S1383" s="1">
        <v>3.53E8</v>
      </c>
      <c r="W1383" s="4" t="str">
        <f>Raw_Data!C1382&amp;"|"&amp;Raw_Data!D1382&amp;"|"&amp;TEXT(Raw_Data!B1382,"yyyy-mm-dd")</f>
        <v>NXP|NXPI|2021-07-04</v>
      </c>
    </row>
    <row r="1384">
      <c r="A1384" s="1">
        <v>1382.0</v>
      </c>
      <c r="B1384" s="3">
        <v>44196.0</v>
      </c>
      <c r="C1384" s="1" t="s">
        <v>729</v>
      </c>
      <c r="D1384" s="1" t="s">
        <v>730</v>
      </c>
      <c r="E1384" s="1">
        <v>4.38E8</v>
      </c>
      <c r="F1384" s="1">
        <v>3.25E8</v>
      </c>
      <c r="G1384" s="1">
        <v>3.09E8</v>
      </c>
      <c r="H1384" s="1">
        <v>2.15E8</v>
      </c>
      <c r="I1384" s="1">
        <v>1.288E9</v>
      </c>
      <c r="J1384" s="1">
        <v>5.27E8</v>
      </c>
      <c r="K1384" s="1">
        <v>5.27E8</v>
      </c>
      <c r="L1384" s="1">
        <v>-8.6E7</v>
      </c>
      <c r="M1384" s="1">
        <v>5000000.0</v>
      </c>
      <c r="N1384" s="1">
        <v>2.507E9</v>
      </c>
      <c r="O1384" s="1">
        <v>1.98E9</v>
      </c>
      <c r="P1384" s="1">
        <v>1.219E9</v>
      </c>
      <c r="Q1384" s="1">
        <v>-2.02E8</v>
      </c>
      <c r="R1384" s="1">
        <v>3.2E8</v>
      </c>
      <c r="S1384" s="1">
        <v>3.09E8</v>
      </c>
      <c r="W1384" s="4" t="str">
        <f>Raw_Data!C1383&amp;"|"&amp;Raw_Data!D1383&amp;"|"&amp;TEXT(Raw_Data!B1383,"yyyy-mm-dd")</f>
        <v>NXP|NXPI|2021-04-04</v>
      </c>
    </row>
    <row r="1385">
      <c r="A1385" s="1">
        <v>1383.0</v>
      </c>
      <c r="B1385" s="3">
        <v>44101.0</v>
      </c>
      <c r="C1385" s="1" t="s">
        <v>729</v>
      </c>
      <c r="D1385" s="1" t="s">
        <v>730</v>
      </c>
      <c r="E1385" s="1">
        <v>4.31E8</v>
      </c>
      <c r="F1385" s="1">
        <v>-7.5E7</v>
      </c>
      <c r="G1385" s="1">
        <v>-2.2E7</v>
      </c>
      <c r="H1385" s="1">
        <v>2.01E8</v>
      </c>
      <c r="I1385" s="1">
        <v>1.102E9</v>
      </c>
      <c r="J1385" s="1">
        <v>5.3E7</v>
      </c>
      <c r="K1385" s="1">
        <v>5.3E7</v>
      </c>
      <c r="L1385" s="1">
        <v>-1.0E8</v>
      </c>
      <c r="M1385" s="1">
        <v>-5.7E7</v>
      </c>
      <c r="N1385" s="1">
        <v>2.267E9</v>
      </c>
      <c r="O1385" s="1">
        <v>2.214E9</v>
      </c>
      <c r="P1385" s="1">
        <v>1.165E9</v>
      </c>
      <c r="Q1385" s="1">
        <v>-1.28E8</v>
      </c>
      <c r="R1385" s="1">
        <v>-1.8E7</v>
      </c>
      <c r="S1385" s="1">
        <v>-2.2E7</v>
      </c>
      <c r="W1385" s="4" t="str">
        <f>Raw_Data!C1384&amp;"|"&amp;Raw_Data!D1384&amp;"|"&amp;TEXT(Raw_Data!B1384,"yyyy-mm-dd")</f>
        <v>NXP|NXPI|2020-12-31</v>
      </c>
    </row>
    <row r="1386">
      <c r="A1386" s="1">
        <v>1384.0</v>
      </c>
      <c r="B1386" s="3">
        <v>44286.0</v>
      </c>
      <c r="C1386" s="1" t="s">
        <v>731</v>
      </c>
      <c r="D1386" s="1" t="s">
        <v>732</v>
      </c>
      <c r="F1386" s="1">
        <v>6.55827E8</v>
      </c>
      <c r="G1386" s="1">
        <v>5.01609E8</v>
      </c>
      <c r="H1386" s="1">
        <v>9.4969E8</v>
      </c>
      <c r="I1386" s="1">
        <v>1.640795E9</v>
      </c>
      <c r="J1386" s="1">
        <v>6.91105E8</v>
      </c>
      <c r="K1386" s="1">
        <v>6.91105E8</v>
      </c>
      <c r="L1386" s="1">
        <v>-3.7506E7</v>
      </c>
      <c r="M1386" s="1">
        <v>1.54218E8</v>
      </c>
      <c r="N1386" s="1">
        <v>3.090899E9</v>
      </c>
      <c r="O1386" s="1">
        <v>2.399794E9</v>
      </c>
      <c r="P1386" s="1">
        <v>1.450104E9</v>
      </c>
      <c r="Q1386" s="1">
        <v>-3.5278E7</v>
      </c>
      <c r="R1386" s="1">
        <v>5.01609E8</v>
      </c>
      <c r="S1386" s="1">
        <v>5.01609E8</v>
      </c>
      <c r="W1386" s="4" t="str">
        <f>Raw_Data!C1385&amp;"|"&amp;Raw_Data!D1385&amp;"|"&amp;TEXT(Raw_Data!B1385,"yyyy-mm-dd")</f>
        <v>NXP|NXPI|2020-09-27</v>
      </c>
    </row>
    <row r="1387">
      <c r="A1387" s="1">
        <v>1385.0</v>
      </c>
      <c r="B1387" s="3">
        <v>44196.0</v>
      </c>
      <c r="C1387" s="1" t="s">
        <v>731</v>
      </c>
      <c r="D1387" s="1" t="s">
        <v>732</v>
      </c>
      <c r="F1387" s="1">
        <v>4.99929E8</v>
      </c>
      <c r="G1387" s="1">
        <v>3.92945E8</v>
      </c>
      <c r="H1387" s="1">
        <v>6.31466E8</v>
      </c>
      <c r="I1387" s="1">
        <v>1.472138E9</v>
      </c>
      <c r="J1387" s="1">
        <v>5.37672E8</v>
      </c>
      <c r="K1387" s="1">
        <v>5.37672E8</v>
      </c>
      <c r="L1387" s="1">
        <v>-3.8349E7</v>
      </c>
      <c r="M1387" s="1">
        <v>1.06984E8</v>
      </c>
      <c r="N1387" s="1">
        <v>2.828773E9</v>
      </c>
      <c r="O1387" s="1">
        <v>2.291101E9</v>
      </c>
      <c r="P1387" s="1">
        <v>1.356635E9</v>
      </c>
      <c r="Q1387" s="1">
        <v>-3.7743E7</v>
      </c>
      <c r="R1387" s="1">
        <v>3.92945E8</v>
      </c>
      <c r="S1387" s="1">
        <v>3.92945E8</v>
      </c>
      <c r="W1387" s="4" t="str">
        <f>Raw_Data!C1386&amp;"|"&amp;Raw_Data!D1386&amp;"|"&amp;TEXT(Raw_Data!B1386,"yyyy-mm-dd")</f>
        <v>O'Reilly Automotive|ORLY|2021-03-31</v>
      </c>
    </row>
    <row r="1388">
      <c r="A1388" s="1">
        <v>1386.0</v>
      </c>
      <c r="B1388" s="3">
        <v>44104.0</v>
      </c>
      <c r="C1388" s="1" t="s">
        <v>731</v>
      </c>
      <c r="D1388" s="1" t="s">
        <v>732</v>
      </c>
      <c r="F1388" s="1">
        <v>6.86406E8</v>
      </c>
      <c r="G1388" s="1">
        <v>5.27252E8</v>
      </c>
      <c r="H1388" s="1">
        <v>9.55455E8</v>
      </c>
      <c r="I1388" s="1">
        <v>1.680468E9</v>
      </c>
      <c r="J1388" s="1">
        <v>7.25013E8</v>
      </c>
      <c r="K1388" s="1">
        <v>7.25013E8</v>
      </c>
      <c r="L1388" s="1">
        <v>-4.1668E7</v>
      </c>
      <c r="M1388" s="1">
        <v>1.59154E8</v>
      </c>
      <c r="N1388" s="1">
        <v>3.207638E9</v>
      </c>
      <c r="O1388" s="1">
        <v>2.482625E9</v>
      </c>
      <c r="P1388" s="1">
        <v>1.52717E9</v>
      </c>
      <c r="Q1388" s="1">
        <v>-3.8607E7</v>
      </c>
      <c r="R1388" s="1">
        <v>5.27252E8</v>
      </c>
      <c r="S1388" s="1">
        <v>5.27252E8</v>
      </c>
      <c r="W1388" s="4" t="str">
        <f>Raw_Data!C1387&amp;"|"&amp;Raw_Data!D1387&amp;"|"&amp;TEXT(Raw_Data!B1387,"yyyy-mm-dd")</f>
        <v>O'Reilly Automotive|ORLY|2020-12-31</v>
      </c>
    </row>
    <row r="1389">
      <c r="A1389" s="1">
        <v>1387.0</v>
      </c>
      <c r="B1389" s="3">
        <v>44012.0</v>
      </c>
      <c r="C1389" s="1" t="s">
        <v>731</v>
      </c>
      <c r="D1389" s="1" t="s">
        <v>732</v>
      </c>
      <c r="F1389" s="1">
        <v>7.0041E8</v>
      </c>
      <c r="G1389" s="1">
        <v>5.31667E8</v>
      </c>
      <c r="H1389" s="1">
        <v>9.0069E8</v>
      </c>
      <c r="I1389" s="1">
        <v>1.63718E9</v>
      </c>
      <c r="J1389" s="1">
        <v>7.3649E8</v>
      </c>
      <c r="K1389" s="1">
        <v>7.3649E8</v>
      </c>
      <c r="L1389" s="1">
        <v>-4.1723E7</v>
      </c>
      <c r="M1389" s="1">
        <v>1.68743E8</v>
      </c>
      <c r="N1389" s="1">
        <v>3.091595E9</v>
      </c>
      <c r="O1389" s="1">
        <v>2.355105E9</v>
      </c>
      <c r="P1389" s="1">
        <v>1.454415E9</v>
      </c>
      <c r="Q1389" s="1">
        <v>-3.608E7</v>
      </c>
      <c r="R1389" s="1">
        <v>5.31667E8</v>
      </c>
      <c r="S1389" s="1">
        <v>5.31667E8</v>
      </c>
      <c r="W1389" s="4" t="str">
        <f>Raw_Data!C1388&amp;"|"&amp;Raw_Data!D1388&amp;"|"&amp;TEXT(Raw_Data!B1388,"yyyy-mm-dd")</f>
        <v>O'Reilly Automotive|ORLY|2020-09-30</v>
      </c>
    </row>
    <row r="1390">
      <c r="A1390" s="1">
        <v>1388.0</v>
      </c>
      <c r="B1390" s="3">
        <v>44377.0</v>
      </c>
      <c r="C1390" s="1" t="s">
        <v>733</v>
      </c>
      <c r="D1390" s="1" t="s">
        <v>734</v>
      </c>
      <c r="F1390" s="1">
        <v>1.43E8</v>
      </c>
      <c r="G1390" s="1">
        <v>1.03E8</v>
      </c>
      <c r="H1390" s="1">
        <v>1.77E8</v>
      </c>
      <c r="I1390" s="1">
        <v>3.719E9</v>
      </c>
      <c r="J1390" s="1">
        <v>5.72E8</v>
      </c>
      <c r="K1390" s="1">
        <v>5.72E8</v>
      </c>
      <c r="L1390" s="1">
        <v>-6.08E8</v>
      </c>
      <c r="M1390" s="1">
        <v>4.3E7</v>
      </c>
      <c r="N1390" s="1">
        <v>5.958E9</v>
      </c>
      <c r="O1390" s="1">
        <v>5.386E9</v>
      </c>
      <c r="P1390" s="1">
        <v>2.239E9</v>
      </c>
      <c r="Q1390" s="1">
        <v>-4.29E8</v>
      </c>
      <c r="R1390" s="1">
        <v>1.0E8</v>
      </c>
      <c r="S1390" s="1">
        <v>-9.7E7</v>
      </c>
      <c r="W1390" s="4" t="str">
        <f>Raw_Data!C1389&amp;"|"&amp;Raw_Data!D1389&amp;"|"&amp;TEXT(Raw_Data!B1389,"yyyy-mm-dd")</f>
        <v>O'Reilly Automotive|ORLY|2020-06-30</v>
      </c>
    </row>
    <row r="1391">
      <c r="A1391" s="1">
        <v>1389.0</v>
      </c>
      <c r="B1391" s="3">
        <v>44286.0</v>
      </c>
      <c r="C1391" s="1" t="s">
        <v>733</v>
      </c>
      <c r="D1391" s="1" t="s">
        <v>734</v>
      </c>
      <c r="F1391" s="1">
        <v>3.15E8</v>
      </c>
      <c r="G1391" s="1">
        <v>-1.46E8</v>
      </c>
      <c r="H1391" s="1">
        <v>1.66E8</v>
      </c>
      <c r="I1391" s="1">
        <v>3.036E9</v>
      </c>
      <c r="J1391" s="1">
        <v>4.5E7</v>
      </c>
      <c r="K1391" s="1">
        <v>4.5E7</v>
      </c>
      <c r="L1391" s="1">
        <v>4000000.0</v>
      </c>
      <c r="M1391" s="1">
        <v>1.6E7</v>
      </c>
      <c r="N1391" s="1">
        <v>5.293E9</v>
      </c>
      <c r="O1391" s="1">
        <v>5.248E9</v>
      </c>
      <c r="P1391" s="1">
        <v>2.257E9</v>
      </c>
      <c r="Q1391" s="1">
        <v>2.7E8</v>
      </c>
      <c r="R1391" s="1">
        <v>2.99E8</v>
      </c>
      <c r="S1391" s="1">
        <v>-3.46E8</v>
      </c>
      <c r="W1391" s="4" t="str">
        <f>Raw_Data!C1390&amp;"|"&amp;Raw_Data!D1390&amp;"|"&amp;TEXT(Raw_Data!B1390,"yyyy-mm-dd")</f>
        <v>Occidental Petroleum|OXY|2021-06-30</v>
      </c>
    </row>
    <row r="1392">
      <c r="A1392" s="1">
        <v>1390.0</v>
      </c>
      <c r="B1392" s="3">
        <v>44196.0</v>
      </c>
      <c r="C1392" s="1" t="s">
        <v>733</v>
      </c>
      <c r="D1392" s="1" t="s">
        <v>734</v>
      </c>
      <c r="F1392" s="1">
        <v>-1.425E9</v>
      </c>
      <c r="G1392" s="1">
        <v>-1.112E9</v>
      </c>
      <c r="H1392" s="1">
        <v>2.09E8</v>
      </c>
      <c r="I1392" s="1">
        <v>2.2E9</v>
      </c>
      <c r="J1392" s="1">
        <v>-3.52E8</v>
      </c>
      <c r="K1392" s="1">
        <v>-3.52E8</v>
      </c>
      <c r="L1392" s="1">
        <v>-2.6E8</v>
      </c>
      <c r="M1392" s="1">
        <v>-2.76E8</v>
      </c>
      <c r="N1392" s="1">
        <v>4.16E9</v>
      </c>
      <c r="O1392" s="1">
        <v>4.512E9</v>
      </c>
      <c r="P1392" s="1">
        <v>1.96E9</v>
      </c>
      <c r="Q1392" s="1">
        <v>-1.073E9</v>
      </c>
      <c r="R1392" s="1">
        <v>-1.149E9</v>
      </c>
      <c r="S1392" s="1">
        <v>-1.312E9</v>
      </c>
      <c r="W1392" s="4" t="str">
        <f>Raw_Data!C1391&amp;"|"&amp;Raw_Data!D1391&amp;"|"&amp;TEXT(Raw_Data!B1391,"yyyy-mm-dd")</f>
        <v>Occidental Petroleum|OXY|2021-03-31</v>
      </c>
    </row>
    <row r="1393">
      <c r="A1393" s="1">
        <v>1391.0</v>
      </c>
      <c r="B1393" s="3">
        <v>44104.0</v>
      </c>
      <c r="C1393" s="1" t="s">
        <v>733</v>
      </c>
      <c r="D1393" s="1" t="s">
        <v>734</v>
      </c>
      <c r="F1393" s="1">
        <v>-4.058E9</v>
      </c>
      <c r="G1393" s="1">
        <v>-3.575E9</v>
      </c>
      <c r="H1393" s="1">
        <v>1.66E8</v>
      </c>
      <c r="I1393" s="1">
        <v>2.158E9</v>
      </c>
      <c r="J1393" s="1">
        <v>-3.84E8</v>
      </c>
      <c r="K1393" s="1">
        <v>-3.84E8</v>
      </c>
      <c r="L1393" s="1">
        <v>-2.65E8</v>
      </c>
      <c r="M1393" s="1">
        <v>-4.03E8</v>
      </c>
      <c r="N1393" s="1">
        <v>4.108E9</v>
      </c>
      <c r="O1393" s="1">
        <v>4.492E9</v>
      </c>
      <c r="P1393" s="1">
        <v>1.95E9</v>
      </c>
      <c r="Q1393" s="1">
        <v>-3.674E9</v>
      </c>
      <c r="R1393" s="1">
        <v>-3.655E9</v>
      </c>
      <c r="S1393" s="1">
        <v>-3.778E9</v>
      </c>
      <c r="W1393" s="4" t="str">
        <f>Raw_Data!C1392&amp;"|"&amp;Raw_Data!D1392&amp;"|"&amp;TEXT(Raw_Data!B1392,"yyyy-mm-dd")</f>
        <v>Occidental Petroleum|OXY|2020-12-31</v>
      </c>
    </row>
    <row r="1394">
      <c r="A1394" s="1">
        <v>1392.0</v>
      </c>
      <c r="B1394" s="11">
        <v>44469.0</v>
      </c>
      <c r="C1394" s="1" t="s">
        <v>735</v>
      </c>
      <c r="D1394" s="1" t="s">
        <v>736</v>
      </c>
      <c r="F1394" s="1">
        <v>3.82951E8</v>
      </c>
      <c r="G1394" s="1">
        <v>2.86634E8</v>
      </c>
      <c r="H1394" s="1">
        <v>5.2986E7</v>
      </c>
      <c r="I1394" s="1">
        <v>5.43077E8</v>
      </c>
      <c r="J1394" s="1">
        <v>3.8341E8</v>
      </c>
      <c r="K1394" s="1">
        <v>3.8341E8</v>
      </c>
      <c r="L1394" s="1">
        <v>-371000.0</v>
      </c>
      <c r="M1394" s="1">
        <v>9.6317E7</v>
      </c>
      <c r="N1394" s="1">
        <v>1.400046E9</v>
      </c>
      <c r="O1394" s="1">
        <v>1.016636E9</v>
      </c>
      <c r="P1394" s="1">
        <v>8.56969E8</v>
      </c>
      <c r="Q1394" s="1">
        <v>-459000.0</v>
      </c>
      <c r="R1394" s="1">
        <v>2.86634E8</v>
      </c>
      <c r="S1394" s="1">
        <v>2.86634E8</v>
      </c>
      <c r="W1394" s="4" t="str">
        <f>Raw_Data!C1393&amp;"|"&amp;Raw_Data!D1393&amp;"|"&amp;TEXT(Raw_Data!B1393,"yyyy-mm-dd")</f>
        <v>Occidental Petroleum|OXY|2020-09-30</v>
      </c>
    </row>
    <row r="1395">
      <c r="A1395" s="1">
        <v>1393.0</v>
      </c>
      <c r="B1395" s="11">
        <v>44377.0</v>
      </c>
      <c r="C1395" s="1" t="s">
        <v>735</v>
      </c>
      <c r="D1395" s="1" t="s">
        <v>736</v>
      </c>
      <c r="F1395" s="1">
        <v>3.64388E8</v>
      </c>
      <c r="G1395" s="1">
        <v>2.69576E8</v>
      </c>
      <c r="H1395" s="1">
        <v>4.941E7</v>
      </c>
      <c r="I1395" s="1">
        <v>5.17997E8</v>
      </c>
      <c r="J1395" s="1">
        <v>3.66044E8</v>
      </c>
      <c r="K1395" s="1">
        <v>3.66044E8</v>
      </c>
      <c r="L1395" s="1">
        <v>-465000.0</v>
      </c>
      <c r="M1395" s="1">
        <v>9.4812E7</v>
      </c>
      <c r="N1395" s="1">
        <v>1.319409E9</v>
      </c>
      <c r="O1395" s="1">
        <v>9.53365E8</v>
      </c>
      <c r="P1395" s="1">
        <v>8.01412E8</v>
      </c>
      <c r="Q1395" s="1">
        <v>-1656000.0</v>
      </c>
      <c r="R1395" s="1">
        <v>2.69576E8</v>
      </c>
      <c r="S1395" s="1">
        <v>2.69576E8</v>
      </c>
      <c r="W1395" s="4" t="str">
        <f>Raw_Data!C1394&amp;"|"&amp;Raw_Data!D1394&amp;"|"&amp;TEXT(Raw_Data!B1394,"yyyy-mm-dd")</f>
        <v>Old Dominion Freight Line|ODFL|2021-09-30</v>
      </c>
    </row>
    <row r="1396">
      <c r="A1396" s="1">
        <v>1394.0</v>
      </c>
      <c r="B1396" s="11">
        <v>44286.0</v>
      </c>
      <c r="C1396" s="1" t="s">
        <v>735</v>
      </c>
      <c r="D1396" s="1" t="s">
        <v>736</v>
      </c>
      <c r="F1396" s="1">
        <v>2.69308E8</v>
      </c>
      <c r="G1396" s="1">
        <v>1.99359E8</v>
      </c>
      <c r="H1396" s="1">
        <v>4.409E7</v>
      </c>
      <c r="I1396" s="1">
        <v>4.1379E8</v>
      </c>
      <c r="J1396" s="1">
        <v>2.69657E8</v>
      </c>
      <c r="K1396" s="1">
        <v>2.69657E8</v>
      </c>
      <c r="L1396" s="1">
        <v>-507000.0</v>
      </c>
      <c r="M1396" s="1">
        <v>6.9949E7</v>
      </c>
      <c r="N1396" s="1">
        <v>1.126515E9</v>
      </c>
      <c r="O1396" s="1">
        <v>8.56858E8</v>
      </c>
      <c r="P1396" s="1">
        <v>7.12725E8</v>
      </c>
      <c r="Q1396" s="1">
        <v>-349000.0</v>
      </c>
      <c r="R1396" s="1">
        <v>1.99359E8</v>
      </c>
      <c r="S1396" s="1">
        <v>1.99359E8</v>
      </c>
      <c r="W1396" s="4" t="str">
        <f>Raw_Data!C1395&amp;"|"&amp;Raw_Data!D1395&amp;"|"&amp;TEXT(Raw_Data!B1395,"yyyy-mm-dd")</f>
        <v>Old Dominion Freight Line|ODFL|2021-06-30</v>
      </c>
    </row>
    <row r="1397">
      <c r="A1397" s="1">
        <v>1395.0</v>
      </c>
      <c r="B1397" s="11">
        <v>44196.0</v>
      </c>
      <c r="C1397" s="1" t="s">
        <v>735</v>
      </c>
      <c r="D1397" s="1" t="s">
        <v>736</v>
      </c>
      <c r="F1397" s="1">
        <v>2.53323E8</v>
      </c>
      <c r="G1397" s="1">
        <v>1.89832E8</v>
      </c>
      <c r="H1397" s="1">
        <v>3.319E7</v>
      </c>
      <c r="I1397" s="1">
        <v>3.88259E8</v>
      </c>
      <c r="J1397" s="1">
        <v>2.54302E8</v>
      </c>
      <c r="K1397" s="1">
        <v>2.54302E8</v>
      </c>
      <c r="L1397" s="1">
        <v>-846000.0</v>
      </c>
      <c r="M1397" s="1">
        <v>6.3491E7</v>
      </c>
      <c r="N1397" s="1">
        <v>1.073389E9</v>
      </c>
      <c r="O1397" s="1">
        <v>8.19087E8</v>
      </c>
      <c r="P1397" s="1">
        <v>6.8513E8</v>
      </c>
      <c r="Q1397" s="1">
        <v>-979000.0</v>
      </c>
      <c r="R1397" s="1">
        <v>1.89832E8</v>
      </c>
      <c r="S1397" s="1">
        <v>1.89832E8</v>
      </c>
      <c r="W1397" s="4" t="str">
        <f>Raw_Data!C1396&amp;"|"&amp;Raw_Data!D1396&amp;"|"&amp;TEXT(Raw_Data!B1396,"yyyy-mm-dd")</f>
        <v>Old Dominion Freight Line|ODFL|2021-03-31</v>
      </c>
    </row>
    <row r="1398">
      <c r="A1398" s="1">
        <v>1396.0</v>
      </c>
      <c r="B1398" s="11">
        <v>44469.0</v>
      </c>
      <c r="C1398" s="1" t="s">
        <v>737</v>
      </c>
      <c r="D1398" s="1" t="s">
        <v>738</v>
      </c>
      <c r="F1398" s="1">
        <v>5.001E8</v>
      </c>
      <c r="G1398" s="1">
        <v>3.556E8</v>
      </c>
      <c r="H1398" s="1">
        <v>9.5E7</v>
      </c>
      <c r="I1398" s="1">
        <v>6.877E8</v>
      </c>
      <c r="J1398" s="1">
        <v>5.416E8</v>
      </c>
      <c r="K1398" s="1">
        <v>5.416E8</v>
      </c>
      <c r="L1398" s="1">
        <v>-5.07E7</v>
      </c>
      <c r="M1398" s="1">
        <v>1.2E8</v>
      </c>
      <c r="N1398" s="1">
        <v>3.435E9</v>
      </c>
      <c r="O1398" s="1">
        <v>2.8934E9</v>
      </c>
      <c r="P1398" s="1">
        <v>2.7473E9</v>
      </c>
      <c r="Q1398" s="1">
        <v>-4.15E7</v>
      </c>
      <c r="R1398" s="1">
        <v>3.801E8</v>
      </c>
      <c r="S1398" s="1">
        <v>3.556E8</v>
      </c>
      <c r="W1398" s="4" t="str">
        <f>Raw_Data!C1397&amp;"|"&amp;Raw_Data!D1397&amp;"|"&amp;TEXT(Raw_Data!B1397,"yyyy-mm-dd")</f>
        <v>Old Dominion Freight Line|ODFL|2020-12-31</v>
      </c>
    </row>
    <row r="1399">
      <c r="A1399" s="1">
        <v>1397.0</v>
      </c>
      <c r="B1399" s="11">
        <v>44377.0</v>
      </c>
      <c r="C1399" s="1" t="s">
        <v>737</v>
      </c>
      <c r="D1399" s="1" t="s">
        <v>738</v>
      </c>
      <c r="F1399" s="1">
        <v>4.948E8</v>
      </c>
      <c r="G1399" s="1">
        <v>3.482E8</v>
      </c>
      <c r="H1399" s="1">
        <v>1.032E8</v>
      </c>
      <c r="I1399" s="1">
        <v>6.746E8</v>
      </c>
      <c r="J1399" s="1">
        <v>5.179E8</v>
      </c>
      <c r="K1399" s="1">
        <v>5.179E8</v>
      </c>
      <c r="L1399" s="1">
        <v>-8.03E7</v>
      </c>
      <c r="M1399" s="1">
        <v>1.232E8</v>
      </c>
      <c r="N1399" s="1">
        <v>3.5716E9</v>
      </c>
      <c r="O1399" s="1">
        <v>3.0537E9</v>
      </c>
      <c r="P1399" s="1">
        <v>2.897E9</v>
      </c>
      <c r="Q1399" s="1">
        <v>-2.31E7</v>
      </c>
      <c r="R1399" s="1">
        <v>3.716E8</v>
      </c>
      <c r="S1399" s="1">
        <v>3.482E8</v>
      </c>
      <c r="W1399" s="4" t="str">
        <f>Raw_Data!C1398&amp;"|"&amp;Raw_Data!D1398&amp;"|"&amp;TEXT(Raw_Data!B1398,"yyyy-mm-dd")</f>
        <v>Omnicom Group|OMC|2021-09-30</v>
      </c>
    </row>
    <row r="1400">
      <c r="A1400" s="1">
        <v>1398.0</v>
      </c>
      <c r="B1400" s="11">
        <v>44286.0</v>
      </c>
      <c r="C1400" s="1" t="s">
        <v>737</v>
      </c>
      <c r="D1400" s="1" t="s">
        <v>738</v>
      </c>
      <c r="F1400" s="1">
        <v>4.179E8</v>
      </c>
      <c r="G1400" s="1">
        <v>2.878E8</v>
      </c>
      <c r="H1400" s="1">
        <v>7.16E7</v>
      </c>
      <c r="I1400" s="1">
        <v>5.903E8</v>
      </c>
      <c r="J1400" s="1">
        <v>4.654E8</v>
      </c>
      <c r="K1400" s="1">
        <v>4.654E8</v>
      </c>
      <c r="L1400" s="1">
        <v>-5.38E7</v>
      </c>
      <c r="M1400" s="1">
        <v>1.119E8</v>
      </c>
      <c r="N1400" s="1">
        <v>3.4269E9</v>
      </c>
      <c r="O1400" s="1">
        <v>2.9615E9</v>
      </c>
      <c r="P1400" s="1">
        <v>2.8366E9</v>
      </c>
      <c r="Q1400" s="1">
        <v>-4.75E7</v>
      </c>
      <c r="R1400" s="1">
        <v>3.06E8</v>
      </c>
      <c r="S1400" s="1">
        <v>2.878E8</v>
      </c>
      <c r="W1400" s="4" t="str">
        <f>Raw_Data!C1399&amp;"|"&amp;Raw_Data!D1399&amp;"|"&amp;TEXT(Raw_Data!B1399,"yyyy-mm-dd")</f>
        <v>Omnicom Group|OMC|2021-06-30</v>
      </c>
    </row>
    <row r="1401">
      <c r="A1401" s="1">
        <v>1399.0</v>
      </c>
      <c r="B1401" s="11">
        <v>44196.0</v>
      </c>
      <c r="C1401" s="1" t="s">
        <v>737</v>
      </c>
      <c r="D1401" s="1" t="s">
        <v>738</v>
      </c>
      <c r="F1401" s="1">
        <v>5.7E8</v>
      </c>
      <c r="G1401" s="1">
        <v>3.981E8</v>
      </c>
      <c r="H1401" s="1">
        <v>1.013E8</v>
      </c>
      <c r="I1401" s="1">
        <v>6.269E8</v>
      </c>
      <c r="J1401" s="1">
        <v>4.718E8</v>
      </c>
      <c r="K1401" s="1">
        <v>4.718E8</v>
      </c>
      <c r="L1401" s="1">
        <v>-1.91E7</v>
      </c>
      <c r="M1401" s="1">
        <v>1.415E8</v>
      </c>
      <c r="N1401" s="1">
        <v>3.757E9</v>
      </c>
      <c r="O1401" s="1">
        <v>3.2852E9</v>
      </c>
      <c r="P1401" s="1">
        <v>3.1301E9</v>
      </c>
      <c r="Q1401" s="1">
        <v>9.82E7</v>
      </c>
      <c r="R1401" s="1">
        <v>4.285E8</v>
      </c>
      <c r="S1401" s="1">
        <v>3.981E8</v>
      </c>
      <c r="W1401" s="4" t="str">
        <f>Raw_Data!C1400&amp;"|"&amp;Raw_Data!D1400&amp;"|"&amp;TEXT(Raw_Data!B1400,"yyyy-mm-dd")</f>
        <v>Omnicom Group|OMC|2021-03-31</v>
      </c>
    </row>
    <row r="1402">
      <c r="A1402" s="1">
        <v>1400.0</v>
      </c>
      <c r="B1402" s="11">
        <v>44469.0</v>
      </c>
      <c r="C1402" s="1" t="s">
        <v>739</v>
      </c>
      <c r="D1402" s="1" t="s">
        <v>740</v>
      </c>
      <c r="F1402" s="1">
        <v>5.13917E8</v>
      </c>
      <c r="G1402" s="1">
        <v>3.92018E8</v>
      </c>
      <c r="H1402" s="1">
        <v>2.31226E8</v>
      </c>
      <c r="I1402" s="1">
        <v>1.087048E9</v>
      </c>
      <c r="J1402" s="1">
        <v>6.61527E8</v>
      </c>
      <c r="K1402" s="1">
        <v>6.61527E8</v>
      </c>
      <c r="L1402" s="1">
        <v>-1.84049E8</v>
      </c>
      <c r="M1402" s="1">
        <v>1.21899E8</v>
      </c>
      <c r="N1402" s="1">
        <v>4.536175E9</v>
      </c>
      <c r="O1402" s="1">
        <v>3.874648E9</v>
      </c>
      <c r="P1402" s="1">
        <v>3.449127E9</v>
      </c>
      <c r="Q1402" s="1">
        <v>-1.4761E8</v>
      </c>
      <c r="R1402" s="1">
        <v>3.92018E8</v>
      </c>
      <c r="S1402" s="1">
        <v>3.91743E8</v>
      </c>
      <c r="W1402" s="4" t="str">
        <f>Raw_Data!C1401&amp;"|"&amp;Raw_Data!D1401&amp;"|"&amp;TEXT(Raw_Data!B1401,"yyyy-mm-dd")</f>
        <v>Omnicom Group|OMC|2020-12-31</v>
      </c>
    </row>
    <row r="1403">
      <c r="A1403" s="1">
        <v>1401.0</v>
      </c>
      <c r="B1403" s="11">
        <v>44377.0</v>
      </c>
      <c r="C1403" s="1" t="s">
        <v>739</v>
      </c>
      <c r="D1403" s="1" t="s">
        <v>740</v>
      </c>
      <c r="F1403" s="1">
        <v>4.52208E8</v>
      </c>
      <c r="G1403" s="1">
        <v>3.42139E8</v>
      </c>
      <c r="H1403" s="1">
        <v>2.19101E8</v>
      </c>
      <c r="I1403" s="1">
        <v>1.021985E9</v>
      </c>
      <c r="J1403" s="1">
        <v>6.04023E8</v>
      </c>
      <c r="K1403" s="1">
        <v>6.04023E8</v>
      </c>
      <c r="L1403" s="1">
        <v>-1.84957E8</v>
      </c>
      <c r="M1403" s="1">
        <v>1.10069E8</v>
      </c>
      <c r="N1403" s="1">
        <v>3.388964E9</v>
      </c>
      <c r="O1403" s="1">
        <v>2.784941E9</v>
      </c>
      <c r="P1403" s="1">
        <v>2.366979E9</v>
      </c>
      <c r="Q1403" s="1">
        <v>-1.51815E8</v>
      </c>
      <c r="R1403" s="1">
        <v>3.42139E8</v>
      </c>
      <c r="S1403" s="1">
        <v>3.41864E8</v>
      </c>
      <c r="W1403" s="4" t="str">
        <f>Raw_Data!C1402&amp;"|"&amp;Raw_Data!D1402&amp;"|"&amp;TEXT(Raw_Data!B1402,"yyyy-mm-dd")</f>
        <v>Oneok|OKE|2021-09-30</v>
      </c>
    </row>
    <row r="1404">
      <c r="A1404" s="1">
        <v>1402.0</v>
      </c>
      <c r="B1404" s="11">
        <v>44286.0</v>
      </c>
      <c r="C1404" s="1" t="s">
        <v>739</v>
      </c>
      <c r="D1404" s="1" t="s">
        <v>740</v>
      </c>
      <c r="F1404" s="1">
        <v>5.08308E8</v>
      </c>
      <c r="G1404" s="1">
        <v>3.86176E8</v>
      </c>
      <c r="H1404" s="1">
        <v>2.121E8</v>
      </c>
      <c r="I1404" s="1">
        <v>1.073169E9</v>
      </c>
      <c r="J1404" s="1">
        <v>6.5951E8</v>
      </c>
      <c r="K1404" s="1">
        <v>6.5951E8</v>
      </c>
      <c r="L1404" s="1">
        <v>-1.85523E8</v>
      </c>
      <c r="M1404" s="1">
        <v>1.22132E8</v>
      </c>
      <c r="N1404" s="1">
        <v>3.194679E9</v>
      </c>
      <c r="O1404" s="1">
        <v>2.535169E9</v>
      </c>
      <c r="P1404" s="1">
        <v>2.12151E9</v>
      </c>
      <c r="Q1404" s="1">
        <v>-1.51202E8</v>
      </c>
      <c r="R1404" s="1">
        <v>3.86176E8</v>
      </c>
      <c r="S1404" s="1">
        <v>3.85901E8</v>
      </c>
      <c r="W1404" s="4" t="str">
        <f>Raw_Data!C1403&amp;"|"&amp;Raw_Data!D1403&amp;"|"&amp;TEXT(Raw_Data!B1403,"yyyy-mm-dd")</f>
        <v>Oneok|OKE|2021-06-30</v>
      </c>
    </row>
    <row r="1405">
      <c r="A1405" s="1">
        <v>1403.0</v>
      </c>
      <c r="B1405" s="11">
        <v>44196.0</v>
      </c>
      <c r="C1405" s="1" t="s">
        <v>739</v>
      </c>
      <c r="D1405" s="1" t="s">
        <v>740</v>
      </c>
      <c r="F1405" s="1">
        <v>4.03236E8</v>
      </c>
      <c r="G1405" s="1">
        <v>3.08029E8</v>
      </c>
      <c r="H1405" s="1">
        <v>2.27019E8</v>
      </c>
      <c r="I1405" s="1">
        <v>9.43491E8</v>
      </c>
      <c r="J1405" s="1">
        <v>5.36447E8</v>
      </c>
      <c r="K1405" s="1">
        <v>5.36447E8</v>
      </c>
      <c r="L1405" s="1">
        <v>-1.76931E8</v>
      </c>
      <c r="M1405" s="1">
        <v>9.5207E7</v>
      </c>
      <c r="N1405" s="1">
        <v>2.570577E9</v>
      </c>
      <c r="O1405" s="1">
        <v>2.03413E9</v>
      </c>
      <c r="P1405" s="1">
        <v>1.627086E9</v>
      </c>
      <c r="Q1405" s="1">
        <v>-1.33211E8</v>
      </c>
      <c r="R1405" s="1">
        <v>3.08029E8</v>
      </c>
      <c r="S1405" s="1">
        <v>3.07754E8</v>
      </c>
      <c r="W1405" s="4" t="str">
        <f>Raw_Data!C1404&amp;"|"&amp;Raw_Data!D1404&amp;"|"&amp;TEXT(Raw_Data!B1404,"yyyy-mm-dd")</f>
        <v>Oneok|OKE|2021-03-31</v>
      </c>
    </row>
    <row r="1406">
      <c r="A1406" s="1">
        <v>1404.0</v>
      </c>
      <c r="B1406" s="11">
        <v>44439.0</v>
      </c>
      <c r="C1406" s="1" t="s">
        <v>741</v>
      </c>
      <c r="D1406" s="1" t="s">
        <v>742</v>
      </c>
      <c r="E1406" s="1">
        <v>1.684E9</v>
      </c>
      <c r="F1406" s="1">
        <v>2.681E9</v>
      </c>
      <c r="G1406" s="1">
        <v>2.457E9</v>
      </c>
      <c r="H1406" s="1">
        <v>2.152E9</v>
      </c>
      <c r="I1406" s="1">
        <v>7.625E9</v>
      </c>
      <c r="J1406" s="1">
        <v>3.47E9</v>
      </c>
      <c r="K1406" s="1">
        <v>3.47E9</v>
      </c>
      <c r="L1406" s="1">
        <v>-7.05E8</v>
      </c>
      <c r="M1406" s="1">
        <v>2.24E8</v>
      </c>
      <c r="N1406" s="1">
        <v>9.728E9</v>
      </c>
      <c r="O1406" s="1">
        <v>6.258E9</v>
      </c>
      <c r="P1406" s="1">
        <v>2.103E9</v>
      </c>
      <c r="Q1406" s="1">
        <v>-7.89E8</v>
      </c>
      <c r="R1406" s="1">
        <v>2.457E9</v>
      </c>
      <c r="S1406" s="1">
        <v>2.457E9</v>
      </c>
      <c r="W1406" s="4" t="str">
        <f>Raw_Data!C1405&amp;"|"&amp;Raw_Data!D1405&amp;"|"&amp;TEXT(Raw_Data!B1405,"yyyy-mm-dd")</f>
        <v>Oneok|OKE|2020-12-31</v>
      </c>
    </row>
    <row r="1407">
      <c r="A1407" s="1">
        <v>1405.0</v>
      </c>
      <c r="B1407" s="11">
        <v>44347.0</v>
      </c>
      <c r="C1407" s="1" t="s">
        <v>741</v>
      </c>
      <c r="D1407" s="1" t="s">
        <v>742</v>
      </c>
      <c r="E1407" s="1">
        <v>1.715E9</v>
      </c>
      <c r="F1407" s="1">
        <v>4.156E9</v>
      </c>
      <c r="G1407" s="1">
        <v>4.032E9</v>
      </c>
      <c r="H1407" s="1">
        <v>2.382E9</v>
      </c>
      <c r="I1407" s="1">
        <v>9.105E9</v>
      </c>
      <c r="J1407" s="1">
        <v>4.637E9</v>
      </c>
      <c r="K1407" s="1">
        <v>4.637E9</v>
      </c>
      <c r="L1407" s="1">
        <v>-6.94E8</v>
      </c>
      <c r="M1407" s="1">
        <v>1.24E8</v>
      </c>
      <c r="N1407" s="1">
        <v>1.1227E10</v>
      </c>
      <c r="O1407" s="1">
        <v>6.59E9</v>
      </c>
      <c r="P1407" s="1">
        <v>2.122E9</v>
      </c>
      <c r="Q1407" s="1">
        <v>-4.81E8</v>
      </c>
      <c r="R1407" s="1">
        <v>4.032E9</v>
      </c>
      <c r="S1407" s="1">
        <v>4.032E9</v>
      </c>
      <c r="W1407" s="4" t="str">
        <f>Raw_Data!C1406&amp;"|"&amp;Raw_Data!D1406&amp;"|"&amp;TEXT(Raw_Data!B1406,"yyyy-mm-dd")</f>
        <v>Oracle|ORCL|2021-08-31</v>
      </c>
    </row>
    <row r="1408">
      <c r="A1408" s="1">
        <v>1406.0</v>
      </c>
      <c r="B1408" s="11">
        <v>44255.0</v>
      </c>
      <c r="C1408" s="1" t="s">
        <v>741</v>
      </c>
      <c r="D1408" s="1" t="s">
        <v>742</v>
      </c>
      <c r="E1408" s="1">
        <v>1.621E9</v>
      </c>
      <c r="F1408" s="1">
        <v>3.276E9</v>
      </c>
      <c r="G1408" s="1">
        <v>5.021E9</v>
      </c>
      <c r="H1408" s="1">
        <v>2.245E9</v>
      </c>
      <c r="I1408" s="1">
        <v>8.17E9</v>
      </c>
      <c r="J1408" s="1">
        <v>3.947E9</v>
      </c>
      <c r="K1408" s="1">
        <v>3.947E9</v>
      </c>
      <c r="L1408" s="1">
        <v>-5.8E8</v>
      </c>
      <c r="M1408" s="1">
        <v>-1.745E9</v>
      </c>
      <c r="N1408" s="1">
        <v>1.0085E10</v>
      </c>
      <c r="O1408" s="1">
        <v>6.138E9</v>
      </c>
      <c r="P1408" s="1">
        <v>1.915E9</v>
      </c>
      <c r="Q1408" s="1">
        <v>-6.71E8</v>
      </c>
      <c r="R1408" s="1">
        <v>5.021E9</v>
      </c>
      <c r="S1408" s="1">
        <v>5.021E9</v>
      </c>
      <c r="W1408" s="4" t="str">
        <f>Raw_Data!C1407&amp;"|"&amp;Raw_Data!D1407&amp;"|"&amp;TEXT(Raw_Data!B1407,"yyyy-mm-dd")</f>
        <v>Oracle|ORCL|2021-05-31</v>
      </c>
    </row>
    <row r="1409">
      <c r="A1409" s="1">
        <v>1407.0</v>
      </c>
      <c r="B1409" s="11">
        <v>44165.0</v>
      </c>
      <c r="C1409" s="1" t="s">
        <v>741</v>
      </c>
      <c r="D1409" s="1" t="s">
        <v>742</v>
      </c>
      <c r="E1409" s="1">
        <v>1.601E9</v>
      </c>
      <c r="F1409" s="1">
        <v>2.972E9</v>
      </c>
      <c r="G1409" s="1">
        <v>2.442E9</v>
      </c>
      <c r="H1409" s="1">
        <v>2.16E9</v>
      </c>
      <c r="I1409" s="1">
        <v>7.861E9</v>
      </c>
      <c r="J1409" s="1">
        <v>3.68E9</v>
      </c>
      <c r="K1409" s="1">
        <v>3.68E9</v>
      </c>
      <c r="L1409" s="1">
        <v>-6.01E8</v>
      </c>
      <c r="M1409" s="1">
        <v>5.3E8</v>
      </c>
      <c r="N1409" s="1">
        <v>9.8E9</v>
      </c>
      <c r="O1409" s="1">
        <v>6.12E9</v>
      </c>
      <c r="P1409" s="1">
        <v>1.939E9</v>
      </c>
      <c r="Q1409" s="1">
        <v>-7.08E8</v>
      </c>
      <c r="R1409" s="1">
        <v>2.442E9</v>
      </c>
      <c r="S1409" s="1">
        <v>2.442E9</v>
      </c>
      <c r="W1409" s="4" t="str">
        <f>Raw_Data!C1408&amp;"|"&amp;Raw_Data!D1408&amp;"|"&amp;TEXT(Raw_Data!B1408,"yyyy-mm-dd")</f>
        <v>Oracle|ORCL|2021-02-28</v>
      </c>
    </row>
    <row r="1410">
      <c r="A1410" s="1">
        <v>1408.0</v>
      </c>
      <c r="B1410" s="11">
        <v>44377.0</v>
      </c>
      <c r="C1410" s="1" t="s">
        <v>743</v>
      </c>
      <c r="D1410" s="1" t="s">
        <v>744</v>
      </c>
      <c r="E1410" s="1">
        <v>7.6E7</v>
      </c>
      <c r="F1410" s="1">
        <v>4.37E8</v>
      </c>
      <c r="G1410" s="1">
        <v>4.27E8</v>
      </c>
      <c r="H1410" s="1">
        <v>4.16E8</v>
      </c>
      <c r="I1410" s="1">
        <v>1.012E9</v>
      </c>
      <c r="J1410" s="1">
        <v>5.2E8</v>
      </c>
      <c r="K1410" s="1">
        <v>5.2E8</v>
      </c>
      <c r="L1410" s="1">
        <v>-6.2E7</v>
      </c>
      <c r="M1410" s="1">
        <v>6000000.0</v>
      </c>
      <c r="N1410" s="1">
        <v>1.595E9</v>
      </c>
      <c r="O1410" s="1">
        <v>1.075E9</v>
      </c>
      <c r="P1410" s="1">
        <v>5.83E8</v>
      </c>
      <c r="Q1410" s="1">
        <v>-8.3E7</v>
      </c>
      <c r="R1410" s="1">
        <v>4.31E8</v>
      </c>
      <c r="S1410" s="1">
        <v>4.27E8</v>
      </c>
      <c r="W1410" s="4" t="str">
        <f>Raw_Data!C1409&amp;"|"&amp;Raw_Data!D1409&amp;"|"&amp;TEXT(Raw_Data!B1409,"yyyy-mm-dd")</f>
        <v>Oracle|ORCL|2020-11-30</v>
      </c>
    </row>
    <row r="1411">
      <c r="A1411" s="1">
        <v>1409.0</v>
      </c>
      <c r="B1411" s="11">
        <v>44286.0</v>
      </c>
      <c r="C1411" s="1" t="s">
        <v>743</v>
      </c>
      <c r="D1411" s="1" t="s">
        <v>744</v>
      </c>
      <c r="E1411" s="1">
        <v>6.7E7</v>
      </c>
      <c r="F1411" s="1">
        <v>4.67E8</v>
      </c>
      <c r="G1411" s="1">
        <v>3.99E8</v>
      </c>
      <c r="H1411" s="1">
        <v>3.82E8</v>
      </c>
      <c r="I1411" s="1">
        <v>9.15E8</v>
      </c>
      <c r="J1411" s="1">
        <v>4.66E8</v>
      </c>
      <c r="K1411" s="1">
        <v>4.66E8</v>
      </c>
      <c r="L1411" s="1">
        <v>-6.2E7</v>
      </c>
      <c r="M1411" s="1">
        <v>7.2E7</v>
      </c>
      <c r="N1411" s="1">
        <v>1.506E9</v>
      </c>
      <c r="O1411" s="1">
        <v>1.04E9</v>
      </c>
      <c r="P1411" s="1">
        <v>5.91E8</v>
      </c>
      <c r="Q1411" s="1">
        <v>1000000.0</v>
      </c>
      <c r="R1411" s="1">
        <v>3.95E8</v>
      </c>
      <c r="S1411" s="1">
        <v>3.99E8</v>
      </c>
      <c r="W1411" s="4" t="str">
        <f>Raw_Data!C1410&amp;"|"&amp;Raw_Data!D1410&amp;"|"&amp;TEXT(Raw_Data!B1410,"yyyy-mm-dd")</f>
        <v>Organon &amp; Co.|OGN|2021-06-30</v>
      </c>
    </row>
    <row r="1412">
      <c r="A1412" s="1">
        <v>1410.0</v>
      </c>
      <c r="B1412" s="11">
        <v>44012.0</v>
      </c>
      <c r="C1412" s="1" t="s">
        <v>743</v>
      </c>
      <c r="D1412" s="1" t="s">
        <v>744</v>
      </c>
      <c r="E1412" s="1">
        <v>5.1E7</v>
      </c>
      <c r="F1412" s="1">
        <v>7.02E8</v>
      </c>
      <c r="G1412" s="1">
        <v>5.42E8</v>
      </c>
      <c r="H1412" s="1">
        <v>2.84E8</v>
      </c>
      <c r="I1412" s="1">
        <v>1.066E9</v>
      </c>
      <c r="J1412" s="1">
        <v>7.31E8</v>
      </c>
      <c r="K1412" s="1">
        <v>7.31E8</v>
      </c>
      <c r="L1412" s="1">
        <v>-6.2E7</v>
      </c>
      <c r="M1412" s="1">
        <v>1.16E8</v>
      </c>
      <c r="N1412" s="1">
        <v>1.526E9</v>
      </c>
      <c r="O1412" s="1">
        <v>7.95E8</v>
      </c>
      <c r="P1412" s="1">
        <v>4.6E8</v>
      </c>
      <c r="Q1412" s="1">
        <v>-2.9E7</v>
      </c>
      <c r="R1412" s="1">
        <v>5.86E8</v>
      </c>
      <c r="S1412" s="1">
        <v>5.42E8</v>
      </c>
      <c r="W1412" s="4" t="str">
        <f>Raw_Data!C1411&amp;"|"&amp;Raw_Data!D1411&amp;"|"&amp;TEXT(Raw_Data!B1411,"yyyy-mm-dd")</f>
        <v>Organon &amp; Co.|OGN|2021-03-31</v>
      </c>
    </row>
    <row r="1413">
      <c r="A1413" s="1">
        <v>1411.0</v>
      </c>
      <c r="B1413" s="11">
        <v>43921.0</v>
      </c>
      <c r="C1413" s="1" t="s">
        <v>743</v>
      </c>
      <c r="D1413" s="1" t="s">
        <v>744</v>
      </c>
      <c r="E1413" s="1">
        <v>4.5E7</v>
      </c>
      <c r="F1413" s="1">
        <v>8.44E8</v>
      </c>
      <c r="G1413" s="1">
        <v>7.03E8</v>
      </c>
      <c r="H1413" s="1">
        <v>3.17E8</v>
      </c>
      <c r="I1413" s="1">
        <v>1.242E9</v>
      </c>
      <c r="J1413" s="1">
        <v>8.8E8</v>
      </c>
      <c r="K1413" s="1">
        <v>8.8E8</v>
      </c>
      <c r="L1413" s="1">
        <v>-6.2E7</v>
      </c>
      <c r="M1413" s="1">
        <v>1.1E8</v>
      </c>
      <c r="N1413" s="1">
        <v>1.78E9</v>
      </c>
      <c r="O1413" s="1">
        <v>9.0E8</v>
      </c>
      <c r="P1413" s="1">
        <v>5.38E8</v>
      </c>
      <c r="Q1413" s="1">
        <v>-3.6E7</v>
      </c>
      <c r="R1413" s="1">
        <v>7.34E8</v>
      </c>
      <c r="S1413" s="1">
        <v>7.03E8</v>
      </c>
      <c r="W1413" s="4" t="str">
        <f>Raw_Data!C1412&amp;"|"&amp;Raw_Data!D1412&amp;"|"&amp;TEXT(Raw_Data!B1412,"yyyy-mm-dd")</f>
        <v>Organon &amp; Co.|OGN|2020-06-30</v>
      </c>
    </row>
    <row r="1414">
      <c r="A1414" s="1">
        <v>1412.0</v>
      </c>
      <c r="B1414" s="11">
        <v>44469.0</v>
      </c>
      <c r="C1414" s="1" t="s">
        <v>745</v>
      </c>
      <c r="D1414" s="1" t="s">
        <v>746</v>
      </c>
      <c r="E1414" s="1">
        <v>3.9E7</v>
      </c>
      <c r="F1414" s="1">
        <v>5.07E8</v>
      </c>
      <c r="G1414" s="1">
        <v>3.31E8</v>
      </c>
      <c r="H1414" s="1">
        <v>4.77E8</v>
      </c>
      <c r="I1414" s="1">
        <v>1.065E9</v>
      </c>
      <c r="J1414" s="1">
        <v>5.45E8</v>
      </c>
      <c r="K1414" s="1">
        <v>5.45E8</v>
      </c>
      <c r="L1414" s="1">
        <v>-3.4E7</v>
      </c>
      <c r="M1414" s="1">
        <v>1.28E8</v>
      </c>
      <c r="N1414" s="1">
        <v>3.62E9</v>
      </c>
      <c r="O1414" s="1">
        <v>3.075E9</v>
      </c>
      <c r="P1414" s="1">
        <v>2.555E9</v>
      </c>
      <c r="Q1414" s="1">
        <v>-3.8E7</v>
      </c>
      <c r="R1414" s="1">
        <v>3.79E8</v>
      </c>
      <c r="S1414" s="1">
        <v>3.31E8</v>
      </c>
      <c r="W1414" s="4" t="str">
        <f>Raw_Data!C1413&amp;"|"&amp;Raw_Data!D1413&amp;"|"&amp;TEXT(Raw_Data!B1413,"yyyy-mm-dd")</f>
        <v>Organon &amp; Co.|OGN|2020-03-31</v>
      </c>
    </row>
    <row r="1415">
      <c r="A1415" s="1">
        <v>1413.0</v>
      </c>
      <c r="B1415" s="11">
        <v>44377.0</v>
      </c>
      <c r="C1415" s="1" t="s">
        <v>745</v>
      </c>
      <c r="D1415" s="1" t="s">
        <v>746</v>
      </c>
      <c r="E1415" s="1">
        <v>3.9E7</v>
      </c>
      <c r="F1415" s="1">
        <v>5.32E8</v>
      </c>
      <c r="G1415" s="1">
        <v>3.26E8</v>
      </c>
      <c r="H1415" s="1">
        <v>4.85E8</v>
      </c>
      <c r="I1415" s="1">
        <v>1.085E9</v>
      </c>
      <c r="J1415" s="1">
        <v>5.7E8</v>
      </c>
      <c r="K1415" s="1">
        <v>5.7E8</v>
      </c>
      <c r="L1415" s="1">
        <v>-2.7E7</v>
      </c>
      <c r="M1415" s="1">
        <v>1.53E8</v>
      </c>
      <c r="N1415" s="1">
        <v>3.701E9</v>
      </c>
      <c r="O1415" s="1">
        <v>3.131E9</v>
      </c>
      <c r="P1415" s="1">
        <v>2.616E9</v>
      </c>
      <c r="Q1415" s="1">
        <v>-3.8E7</v>
      </c>
      <c r="R1415" s="1">
        <v>3.79E8</v>
      </c>
      <c r="S1415" s="1">
        <v>3.26E8</v>
      </c>
      <c r="W1415" s="4" t="str">
        <f>Raw_Data!C1414&amp;"|"&amp;Raw_Data!D1414&amp;"|"&amp;TEXT(Raw_Data!B1414,"yyyy-mm-dd")</f>
        <v>Otis Worldwide|OTIS|2021-09-30</v>
      </c>
    </row>
    <row r="1416">
      <c r="A1416" s="1">
        <v>1414.0</v>
      </c>
      <c r="B1416" s="11">
        <v>44286.0</v>
      </c>
      <c r="C1416" s="1" t="s">
        <v>745</v>
      </c>
      <c r="D1416" s="1" t="s">
        <v>746</v>
      </c>
      <c r="E1416" s="1">
        <v>3.5E7</v>
      </c>
      <c r="F1416" s="1">
        <v>4.75E8</v>
      </c>
      <c r="G1416" s="1">
        <v>3.08E8</v>
      </c>
      <c r="H1416" s="1">
        <v>4.64E8</v>
      </c>
      <c r="I1416" s="1">
        <v>1.023E9</v>
      </c>
      <c r="J1416" s="1">
        <v>5.32E8</v>
      </c>
      <c r="K1416" s="1">
        <v>5.32E8</v>
      </c>
      <c r="L1416" s="1">
        <v>-3.2E7</v>
      </c>
      <c r="M1416" s="1">
        <v>1.23E8</v>
      </c>
      <c r="N1416" s="1">
        <v>3.408E9</v>
      </c>
      <c r="O1416" s="1">
        <v>2.876E9</v>
      </c>
      <c r="P1416" s="1">
        <v>2.385E9</v>
      </c>
      <c r="Q1416" s="1">
        <v>-5.7E7</v>
      </c>
      <c r="R1416" s="1">
        <v>3.52E8</v>
      </c>
      <c r="S1416" s="1">
        <v>3.08E8</v>
      </c>
      <c r="W1416" s="4" t="str">
        <f>Raw_Data!C1415&amp;"|"&amp;Raw_Data!D1415&amp;"|"&amp;TEXT(Raw_Data!B1415,"yyyy-mm-dd")</f>
        <v>Otis Worldwide|OTIS|2021-06-30</v>
      </c>
    </row>
    <row r="1417">
      <c r="A1417" s="1">
        <v>1415.0</v>
      </c>
      <c r="B1417" s="11">
        <v>44196.0</v>
      </c>
      <c r="C1417" s="1" t="s">
        <v>745</v>
      </c>
      <c r="D1417" s="1" t="s">
        <v>746</v>
      </c>
      <c r="E1417" s="1">
        <v>4.0E7</v>
      </c>
      <c r="F1417" s="1">
        <v>3.97E8</v>
      </c>
      <c r="G1417" s="1">
        <v>2.51E8</v>
      </c>
      <c r="H1417" s="1">
        <v>4.81E8</v>
      </c>
      <c r="I1417" s="1">
        <v>9.93E8</v>
      </c>
      <c r="J1417" s="1">
        <v>4.75E8</v>
      </c>
      <c r="K1417" s="1">
        <v>4.75E8</v>
      </c>
      <c r="L1417" s="1">
        <v>-3.7E7</v>
      </c>
      <c r="M1417" s="1">
        <v>1.18E8</v>
      </c>
      <c r="N1417" s="1">
        <v>3.493E9</v>
      </c>
      <c r="O1417" s="1">
        <v>3.018E9</v>
      </c>
      <c r="P1417" s="1">
        <v>2.5E9</v>
      </c>
      <c r="Q1417" s="1">
        <v>-7.8E7</v>
      </c>
      <c r="R1417" s="1">
        <v>2.79E8</v>
      </c>
      <c r="S1417" s="1">
        <v>2.51E8</v>
      </c>
      <c r="W1417" s="4" t="str">
        <f>Raw_Data!C1416&amp;"|"&amp;Raw_Data!D1416&amp;"|"&amp;TEXT(Raw_Data!B1416,"yyyy-mm-dd")</f>
        <v>Otis Worldwide|OTIS|2021-03-31</v>
      </c>
    </row>
    <row r="1418">
      <c r="A1418" s="1">
        <v>1416.0</v>
      </c>
      <c r="B1418" s="11">
        <v>44469.0</v>
      </c>
      <c r="C1418" s="1" t="s">
        <v>747</v>
      </c>
      <c r="D1418" s="1" t="s">
        <v>748</v>
      </c>
      <c r="E1418" s="1">
        <v>7.25E7</v>
      </c>
      <c r="F1418" s="1">
        <v>4.833E8</v>
      </c>
      <c r="G1418" s="1">
        <v>3.777E8</v>
      </c>
      <c r="H1418" s="1">
        <v>1.152E8</v>
      </c>
      <c r="I1418" s="1">
        <v>6.777E8</v>
      </c>
      <c r="J1418" s="1">
        <v>4.9E8</v>
      </c>
      <c r="K1418" s="1">
        <v>4.9E8</v>
      </c>
      <c r="L1418" s="1">
        <v>-9400000.0</v>
      </c>
      <c r="M1418" s="1">
        <v>1.056E8</v>
      </c>
      <c r="N1418" s="1">
        <v>5.1468E9</v>
      </c>
      <c r="O1418" s="1">
        <v>4.6568E9</v>
      </c>
      <c r="P1418" s="1">
        <v>4.4691E9</v>
      </c>
      <c r="Q1418" s="1">
        <v>-6700000.0</v>
      </c>
      <c r="R1418" s="1">
        <v>3.777E8</v>
      </c>
      <c r="S1418" s="1">
        <v>3.777E8</v>
      </c>
      <c r="W1418" s="4" t="str">
        <f>Raw_Data!C1417&amp;"|"&amp;Raw_Data!D1417&amp;"|"&amp;TEXT(Raw_Data!B1417,"yyyy-mm-dd")</f>
        <v>Otis Worldwide|OTIS|2020-12-31</v>
      </c>
    </row>
    <row r="1419">
      <c r="A1419" s="1">
        <v>1417.0</v>
      </c>
      <c r="B1419" s="11">
        <v>44377.0</v>
      </c>
      <c r="C1419" s="1" t="s">
        <v>747</v>
      </c>
      <c r="D1419" s="1" t="s">
        <v>748</v>
      </c>
      <c r="E1419" s="1">
        <v>8.44E7</v>
      </c>
      <c r="F1419" s="1">
        <v>6.37E8</v>
      </c>
      <c r="G1419" s="1">
        <v>4.929E8</v>
      </c>
      <c r="H1419" s="1">
        <v>1.132E8</v>
      </c>
      <c r="I1419" s="1">
        <v>8.314E8</v>
      </c>
      <c r="J1419" s="1">
        <v>6.338E8</v>
      </c>
      <c r="K1419" s="1">
        <v>6.338E8</v>
      </c>
      <c r="L1419" s="1">
        <v>-9400000.0</v>
      </c>
      <c r="M1419" s="1">
        <v>1.441E8</v>
      </c>
      <c r="N1419" s="1">
        <v>5.8439E9</v>
      </c>
      <c r="O1419" s="1">
        <v>5.2101E9</v>
      </c>
      <c r="P1419" s="1">
        <v>5.0125E9</v>
      </c>
      <c r="Q1419" s="1">
        <v>3200000.0</v>
      </c>
      <c r="R1419" s="1">
        <v>4.929E8</v>
      </c>
      <c r="S1419" s="1">
        <v>4.929E8</v>
      </c>
      <c r="W1419" s="4" t="str">
        <f>Raw_Data!C1418&amp;"|"&amp;Raw_Data!D1418&amp;"|"&amp;TEXT(Raw_Data!B1418,"yyyy-mm-dd")</f>
        <v>Paccar|PCAR|2021-09-30</v>
      </c>
    </row>
    <row r="1420">
      <c r="A1420" s="1">
        <v>1418.0</v>
      </c>
      <c r="B1420" s="11">
        <v>44286.0</v>
      </c>
      <c r="C1420" s="1" t="s">
        <v>747</v>
      </c>
      <c r="D1420" s="1" t="s">
        <v>748</v>
      </c>
      <c r="E1420" s="1">
        <v>8.01E7</v>
      </c>
      <c r="F1420" s="1">
        <v>6.073E8</v>
      </c>
      <c r="G1420" s="1">
        <v>4.701E8</v>
      </c>
      <c r="H1420" s="1">
        <v>1.098E8</v>
      </c>
      <c r="I1420" s="1">
        <v>7.992E8</v>
      </c>
      <c r="J1420" s="1">
        <v>6.093E8</v>
      </c>
      <c r="K1420" s="1">
        <v>6.093E8</v>
      </c>
      <c r="L1420" s="1">
        <v>-1.04E7</v>
      </c>
      <c r="M1420" s="1">
        <v>1.372E8</v>
      </c>
      <c r="N1420" s="1">
        <v>5.8455E9</v>
      </c>
      <c r="O1420" s="1">
        <v>5.2362E9</v>
      </c>
      <c r="P1420" s="1">
        <v>5.0463E9</v>
      </c>
      <c r="Q1420" s="1">
        <v>-2000000.0</v>
      </c>
      <c r="R1420" s="1">
        <v>4.701E8</v>
      </c>
      <c r="S1420" s="1">
        <v>4.701E8</v>
      </c>
      <c r="W1420" s="4" t="str">
        <f>Raw_Data!C1419&amp;"|"&amp;Raw_Data!D1419&amp;"|"&amp;TEXT(Raw_Data!B1419,"yyyy-mm-dd")</f>
        <v>Paccar|PCAR|2021-06-30</v>
      </c>
    </row>
    <row r="1421">
      <c r="A1421" s="1">
        <v>1419.0</v>
      </c>
      <c r="B1421" s="11">
        <v>44196.0</v>
      </c>
      <c r="C1421" s="1" t="s">
        <v>747</v>
      </c>
      <c r="D1421" s="1" t="s">
        <v>748</v>
      </c>
      <c r="E1421" s="1">
        <v>7.17E7</v>
      </c>
      <c r="F1421" s="1">
        <v>5.218E8</v>
      </c>
      <c r="G1421" s="1">
        <v>4.058E8</v>
      </c>
      <c r="H1421" s="1">
        <v>1.207E8</v>
      </c>
      <c r="I1421" s="1">
        <v>7.128E8</v>
      </c>
      <c r="J1421" s="1">
        <v>5.204E8</v>
      </c>
      <c r="K1421" s="1">
        <v>5.204E8</v>
      </c>
      <c r="L1421" s="1">
        <v>-1.04E7</v>
      </c>
      <c r="M1421" s="1">
        <v>1.16E8</v>
      </c>
      <c r="N1421" s="1">
        <v>5.5686E9</v>
      </c>
      <c r="O1421" s="1">
        <v>5.0482E9</v>
      </c>
      <c r="P1421" s="1">
        <v>4.8558E9</v>
      </c>
      <c r="Q1421" s="1">
        <v>1400000.0</v>
      </c>
      <c r="R1421" s="1">
        <v>4.058E8</v>
      </c>
      <c r="S1421" s="1">
        <v>4.058E8</v>
      </c>
      <c r="W1421" s="4" t="str">
        <f>Raw_Data!C1420&amp;"|"&amp;Raw_Data!D1420&amp;"|"&amp;TEXT(Raw_Data!B1420,"yyyy-mm-dd")</f>
        <v>Paccar|PCAR|2021-03-31</v>
      </c>
    </row>
    <row r="1422">
      <c r="A1422" s="1">
        <v>1420.0</v>
      </c>
      <c r="B1422" s="11">
        <v>44469.0</v>
      </c>
      <c r="C1422" s="1" t="s">
        <v>749</v>
      </c>
      <c r="D1422" s="1" t="s">
        <v>750</v>
      </c>
      <c r="F1422" s="1">
        <v>3.339E8</v>
      </c>
      <c r="G1422" s="1">
        <v>2.507E8</v>
      </c>
      <c r="H1422" s="1">
        <v>1.395E8</v>
      </c>
      <c r="I1422" s="1">
        <v>5.137E8</v>
      </c>
      <c r="J1422" s="1">
        <v>3.711E8</v>
      </c>
      <c r="K1422" s="1">
        <v>3.711E8</v>
      </c>
      <c r="L1422" s="1">
        <v>-2.39E7</v>
      </c>
      <c r="M1422" s="1">
        <v>8.32E7</v>
      </c>
      <c r="N1422" s="1">
        <v>2.0001E9</v>
      </c>
      <c r="O1422" s="1">
        <v>1.629E9</v>
      </c>
      <c r="P1422" s="1">
        <v>1.4864E9</v>
      </c>
      <c r="Q1422" s="1">
        <v>-3.72E7</v>
      </c>
      <c r="R1422" s="1">
        <v>2.507E8</v>
      </c>
      <c r="S1422" s="1">
        <v>2.49E8</v>
      </c>
      <c r="W1422" s="4" t="str">
        <f>Raw_Data!C1421&amp;"|"&amp;Raw_Data!D1421&amp;"|"&amp;TEXT(Raw_Data!B1421,"yyyy-mm-dd")</f>
        <v>Paccar|PCAR|2020-12-31</v>
      </c>
    </row>
    <row r="1423">
      <c r="A1423" s="1">
        <v>1421.0</v>
      </c>
      <c r="B1423" s="11">
        <v>44377.0</v>
      </c>
      <c r="C1423" s="1" t="s">
        <v>749</v>
      </c>
      <c r="D1423" s="1" t="s">
        <v>750</v>
      </c>
      <c r="F1423" s="1">
        <v>2.747E8</v>
      </c>
      <c r="G1423" s="1">
        <v>2.073E8</v>
      </c>
      <c r="H1423" s="1">
        <v>1.413E8</v>
      </c>
      <c r="I1423" s="1">
        <v>4.508E8</v>
      </c>
      <c r="J1423" s="1">
        <v>3.075E8</v>
      </c>
      <c r="K1423" s="1">
        <v>3.075E8</v>
      </c>
      <c r="L1423" s="1">
        <v>-2.49E7</v>
      </c>
      <c r="M1423" s="1">
        <v>6.74E7</v>
      </c>
      <c r="N1423" s="1">
        <v>1.8799E9</v>
      </c>
      <c r="O1423" s="1">
        <v>1.5724E9</v>
      </c>
      <c r="P1423" s="1">
        <v>1.4291E9</v>
      </c>
      <c r="Q1423" s="1">
        <v>-3.28E7</v>
      </c>
      <c r="R1423" s="1">
        <v>2.073E8</v>
      </c>
      <c r="S1423" s="1">
        <v>2.055E8</v>
      </c>
      <c r="W1423" s="4" t="str">
        <f>Raw_Data!C1422&amp;"|"&amp;Raw_Data!D1422&amp;"|"&amp;TEXT(Raw_Data!B1422,"yyyy-mm-dd")</f>
        <v>Packaging Corporation of America|PKG|2021-09-30</v>
      </c>
    </row>
    <row r="1424">
      <c r="A1424" s="1">
        <v>1422.0</v>
      </c>
      <c r="B1424" s="11">
        <v>44286.0</v>
      </c>
      <c r="C1424" s="1" t="s">
        <v>749</v>
      </c>
      <c r="D1424" s="1" t="s">
        <v>750</v>
      </c>
      <c r="F1424" s="1">
        <v>2.196E8</v>
      </c>
      <c r="G1424" s="1">
        <v>1.665E8</v>
      </c>
      <c r="H1424" s="1">
        <v>1.402E8</v>
      </c>
      <c r="I1424" s="1">
        <v>4.042E8</v>
      </c>
      <c r="J1424" s="1">
        <v>2.609E8</v>
      </c>
      <c r="K1424" s="1">
        <v>2.609E8</v>
      </c>
      <c r="L1424" s="1">
        <v>-2.35E7</v>
      </c>
      <c r="M1424" s="1">
        <v>5.31E7</v>
      </c>
      <c r="N1424" s="1">
        <v>1.8072E9</v>
      </c>
      <c r="O1424" s="1">
        <v>1.5463E9</v>
      </c>
      <c r="P1424" s="1">
        <v>1.403E9</v>
      </c>
      <c r="Q1424" s="1">
        <v>-4.13E7</v>
      </c>
      <c r="R1424" s="1">
        <v>1.665E8</v>
      </c>
      <c r="S1424" s="1">
        <v>1.652E8</v>
      </c>
      <c r="W1424" s="4" t="str">
        <f>Raw_Data!C1423&amp;"|"&amp;Raw_Data!D1423&amp;"|"&amp;TEXT(Raw_Data!B1423,"yyyy-mm-dd")</f>
        <v>Packaging Corporation of America|PKG|2021-06-30</v>
      </c>
    </row>
    <row r="1425">
      <c r="A1425" s="1">
        <v>1423.0</v>
      </c>
      <c r="B1425" s="11">
        <v>44196.0</v>
      </c>
      <c r="C1425" s="1" t="s">
        <v>749</v>
      </c>
      <c r="D1425" s="1" t="s">
        <v>750</v>
      </c>
      <c r="F1425" s="1">
        <v>1.654E8</v>
      </c>
      <c r="G1425" s="1">
        <v>1.236E8</v>
      </c>
      <c r="H1425" s="1">
        <v>1.297E8</v>
      </c>
      <c r="I1425" s="1">
        <v>3.343E8</v>
      </c>
      <c r="J1425" s="1">
        <v>2.033E8</v>
      </c>
      <c r="K1425" s="1">
        <v>2.033E8</v>
      </c>
      <c r="L1425" s="1">
        <v>-2.44E7</v>
      </c>
      <c r="M1425" s="1">
        <v>4.18E7</v>
      </c>
      <c r="N1425" s="1">
        <v>1.7142E9</v>
      </c>
      <c r="O1425" s="1">
        <v>1.5109E9</v>
      </c>
      <c r="P1425" s="1">
        <v>1.3799E9</v>
      </c>
      <c r="Q1425" s="1">
        <v>-3.79E7</v>
      </c>
      <c r="R1425" s="1">
        <v>1.236E8</v>
      </c>
      <c r="S1425" s="1">
        <v>1.227E8</v>
      </c>
      <c r="W1425" s="4" t="str">
        <f>Raw_Data!C1424&amp;"|"&amp;Raw_Data!D1424&amp;"|"&amp;TEXT(Raw_Data!B1424,"yyyy-mm-dd")</f>
        <v>Packaging Corporation of America|PKG|2021-03-31</v>
      </c>
    </row>
    <row r="1426">
      <c r="A1426" s="1">
        <v>1424.0</v>
      </c>
      <c r="B1426" s="11">
        <v>44469.0</v>
      </c>
      <c r="C1426" s="1" t="s">
        <v>751</v>
      </c>
      <c r="D1426" s="1" t="s">
        <v>752</v>
      </c>
      <c r="F1426" s="1">
        <v>5.71745E8</v>
      </c>
      <c r="G1426" s="1">
        <v>4.51157E8</v>
      </c>
      <c r="H1426" s="1">
        <v>3.90633E8</v>
      </c>
      <c r="I1426" s="1">
        <v>1.050912E9</v>
      </c>
      <c r="J1426" s="1">
        <v>6.60279E8</v>
      </c>
      <c r="K1426" s="1">
        <v>6.60279E8</v>
      </c>
      <c r="L1426" s="1">
        <v>-5.935E7</v>
      </c>
      <c r="M1426" s="1">
        <v>1.20282E8</v>
      </c>
      <c r="N1426" s="1">
        <v>3.762809E9</v>
      </c>
      <c r="O1426" s="1">
        <v>3.10253E9</v>
      </c>
      <c r="P1426" s="1">
        <v>2.711897E9</v>
      </c>
      <c r="Q1426" s="1">
        <v>-8.8534E7</v>
      </c>
      <c r="R1426" s="1">
        <v>4.51463E8</v>
      </c>
      <c r="S1426" s="1">
        <v>4.51157E8</v>
      </c>
      <c r="W1426" s="4" t="str">
        <f>Raw_Data!C1425&amp;"|"&amp;Raw_Data!D1425&amp;"|"&amp;TEXT(Raw_Data!B1425,"yyyy-mm-dd")</f>
        <v>Packaging Corporation of America|PKG|2020-12-31</v>
      </c>
    </row>
    <row r="1427">
      <c r="A1427" s="1">
        <v>1425.0</v>
      </c>
      <c r="B1427" s="11">
        <v>44377.0</v>
      </c>
      <c r="C1427" s="1" t="s">
        <v>751</v>
      </c>
      <c r="D1427" s="1" t="s">
        <v>752</v>
      </c>
      <c r="F1427" s="1">
        <v>6.57798E8</v>
      </c>
      <c r="G1427" s="1">
        <v>5.05738E8</v>
      </c>
      <c r="H1427" s="1">
        <v>4.21864E8</v>
      </c>
      <c r="I1427" s="1">
        <v>1.131835E9</v>
      </c>
      <c r="J1427" s="1">
        <v>7.09971E8</v>
      </c>
      <c r="K1427" s="1">
        <v>7.09971E8</v>
      </c>
      <c r="L1427" s="1">
        <v>-6.0258E7</v>
      </c>
      <c r="M1427" s="1">
        <v>1.51884E8</v>
      </c>
      <c r="N1427" s="1">
        <v>3.958869E9</v>
      </c>
      <c r="O1427" s="1">
        <v>3.248898E9</v>
      </c>
      <c r="P1427" s="1">
        <v>2.827034E9</v>
      </c>
      <c r="Q1427" s="1">
        <v>-5.2173E7</v>
      </c>
      <c r="R1427" s="1">
        <v>5.05914E8</v>
      </c>
      <c r="S1427" s="1">
        <v>5.05738E8</v>
      </c>
      <c r="W1427" s="4" t="str">
        <f>Raw_Data!C1426&amp;"|"&amp;Raw_Data!D1426&amp;"|"&amp;TEXT(Raw_Data!B1426,"yyyy-mm-dd")</f>
        <v>Parker-Hannifin|PH|2021-09-30</v>
      </c>
    </row>
    <row r="1428">
      <c r="A1428" s="1">
        <v>1426.0</v>
      </c>
      <c r="B1428" s="11">
        <v>44286.0</v>
      </c>
      <c r="C1428" s="1" t="s">
        <v>751</v>
      </c>
      <c r="D1428" s="1" t="s">
        <v>752</v>
      </c>
      <c r="F1428" s="1">
        <v>5.97352E8</v>
      </c>
      <c r="G1428" s="1">
        <v>4.71647E8</v>
      </c>
      <c r="H1428" s="1">
        <v>3.92824E8</v>
      </c>
      <c r="I1428" s="1">
        <v>1.034609E9</v>
      </c>
      <c r="J1428" s="1">
        <v>6.41785E8</v>
      </c>
      <c r="K1428" s="1">
        <v>6.41785E8</v>
      </c>
      <c r="L1428" s="1">
        <v>-6.083E7</v>
      </c>
      <c r="M1428" s="1">
        <v>1.25619E8</v>
      </c>
      <c r="N1428" s="1">
        <v>3.746326E9</v>
      </c>
      <c r="O1428" s="1">
        <v>3.104541E9</v>
      </c>
      <c r="P1428" s="1">
        <v>2.711717E9</v>
      </c>
      <c r="Q1428" s="1">
        <v>-4.4433E7</v>
      </c>
      <c r="R1428" s="1">
        <v>4.71733E8</v>
      </c>
      <c r="S1428" s="1">
        <v>4.71647E8</v>
      </c>
      <c r="W1428" s="4" t="str">
        <f>Raw_Data!C1427&amp;"|"&amp;Raw_Data!D1427&amp;"|"&amp;TEXT(Raw_Data!B1427,"yyyy-mm-dd")</f>
        <v>Parker-Hannifin|PH|2021-06-30</v>
      </c>
    </row>
    <row r="1429">
      <c r="A1429" s="1">
        <v>1427.0</v>
      </c>
      <c r="B1429" s="11">
        <v>44196.0</v>
      </c>
      <c r="C1429" s="1" t="s">
        <v>751</v>
      </c>
      <c r="D1429" s="1" t="s">
        <v>752</v>
      </c>
      <c r="F1429" s="1">
        <v>5.76512E8</v>
      </c>
      <c r="G1429" s="1">
        <v>4.47306E8</v>
      </c>
      <c r="H1429" s="1">
        <v>3.63184E8</v>
      </c>
      <c r="I1429" s="1">
        <v>9.0736E8</v>
      </c>
      <c r="J1429" s="1">
        <v>5.44176E8</v>
      </c>
      <c r="K1429" s="1">
        <v>5.44176E8</v>
      </c>
      <c r="L1429" s="1">
        <v>-6.299E7</v>
      </c>
      <c r="M1429" s="1">
        <v>1.29015E8</v>
      </c>
      <c r="N1429" s="1">
        <v>3.411905E9</v>
      </c>
      <c r="O1429" s="1">
        <v>2.867729E9</v>
      </c>
      <c r="P1429" s="1">
        <v>2.504545E9</v>
      </c>
      <c r="Q1429" s="1">
        <v>3.2336E7</v>
      </c>
      <c r="R1429" s="1">
        <v>4.47497E8</v>
      </c>
      <c r="S1429" s="1">
        <v>4.47306E8</v>
      </c>
      <c r="W1429" s="4" t="str">
        <f>Raw_Data!C1428&amp;"|"&amp;Raw_Data!D1428&amp;"|"&amp;TEXT(Raw_Data!B1428,"yyyy-mm-dd")</f>
        <v>Parker-Hannifin|PH|2021-03-31</v>
      </c>
    </row>
    <row r="1430">
      <c r="A1430" s="1">
        <v>1428.0</v>
      </c>
      <c r="B1430" s="11">
        <v>44439.0</v>
      </c>
      <c r="C1430" s="1" t="s">
        <v>753</v>
      </c>
      <c r="D1430" s="1" t="s">
        <v>754</v>
      </c>
      <c r="F1430" s="1">
        <v>4.439E8</v>
      </c>
      <c r="G1430" s="1">
        <v>3.336E8</v>
      </c>
      <c r="H1430" s="1">
        <v>3.275E8</v>
      </c>
      <c r="I1430" s="1">
        <v>7.704E8</v>
      </c>
      <c r="J1430" s="1">
        <v>4.429E8</v>
      </c>
      <c r="K1430" s="1">
        <v>4.429E8</v>
      </c>
      <c r="L1430" s="1">
        <v>-9200000.0</v>
      </c>
      <c r="M1430" s="1">
        <v>1.103E8</v>
      </c>
      <c r="N1430" s="1">
        <v>1.0829E9</v>
      </c>
      <c r="O1430" s="1">
        <v>6.4E8</v>
      </c>
      <c r="P1430" s="1">
        <v>3.125E8</v>
      </c>
      <c r="Q1430" s="1">
        <v>1000000.0</v>
      </c>
      <c r="R1430" s="1">
        <v>3.336E8</v>
      </c>
      <c r="S1430" s="1">
        <v>3.336E8</v>
      </c>
      <c r="W1430" s="4" t="str">
        <f>Raw_Data!C1429&amp;"|"&amp;Raw_Data!D1429&amp;"|"&amp;TEXT(Raw_Data!B1429,"yyyy-mm-dd")</f>
        <v>Parker-Hannifin|PH|2020-12-31</v>
      </c>
    </row>
    <row r="1431">
      <c r="A1431" s="1">
        <v>1429.0</v>
      </c>
      <c r="B1431" s="11">
        <v>44347.0</v>
      </c>
      <c r="C1431" s="1" t="s">
        <v>753</v>
      </c>
      <c r="D1431" s="1" t="s">
        <v>754</v>
      </c>
      <c r="F1431" s="1">
        <v>3.459E8</v>
      </c>
      <c r="G1431" s="1">
        <v>2.63E8</v>
      </c>
      <c r="H1431" s="1">
        <v>3.596E8</v>
      </c>
      <c r="I1431" s="1">
        <v>7.134E8</v>
      </c>
      <c r="J1431" s="1">
        <v>3.538E8</v>
      </c>
      <c r="K1431" s="1">
        <v>3.538E8</v>
      </c>
      <c r="L1431" s="1">
        <v>-8100000.0</v>
      </c>
      <c r="M1431" s="1">
        <v>8.29E7</v>
      </c>
      <c r="N1431" s="1">
        <v>1.0292E9</v>
      </c>
      <c r="O1431" s="1">
        <v>6.754E8</v>
      </c>
      <c r="P1431" s="1">
        <v>3.158E8</v>
      </c>
      <c r="Q1431" s="1">
        <v>-7700000.0</v>
      </c>
      <c r="R1431" s="1">
        <v>2.63E8</v>
      </c>
      <c r="S1431" s="1">
        <v>2.63E8</v>
      </c>
      <c r="W1431" s="4" t="str">
        <f>Raw_Data!C1430&amp;"|"&amp;Raw_Data!D1430&amp;"|"&amp;TEXT(Raw_Data!B1430,"yyyy-mm-dd")</f>
        <v>Paychex|PAYX|2021-08-31</v>
      </c>
    </row>
    <row r="1432">
      <c r="A1432" s="1">
        <v>1430.0</v>
      </c>
      <c r="B1432" s="11">
        <v>44255.0</v>
      </c>
      <c r="C1432" s="1" t="s">
        <v>753</v>
      </c>
      <c r="D1432" s="1" t="s">
        <v>754</v>
      </c>
      <c r="F1432" s="1">
        <v>4.626E8</v>
      </c>
      <c r="G1432" s="1">
        <v>3.505E8</v>
      </c>
      <c r="H1432" s="1">
        <v>3.147E8</v>
      </c>
      <c r="I1432" s="1">
        <v>7.833E8</v>
      </c>
      <c r="J1432" s="1">
        <v>4.686E8</v>
      </c>
      <c r="K1432" s="1">
        <v>4.686E8</v>
      </c>
      <c r="L1432" s="1">
        <v>-8800000.0</v>
      </c>
      <c r="M1432" s="1">
        <v>1.121E8</v>
      </c>
      <c r="N1432" s="1">
        <v>1.1117E9</v>
      </c>
      <c r="O1432" s="1">
        <v>6.431E8</v>
      </c>
      <c r="P1432" s="1">
        <v>3.284E8</v>
      </c>
      <c r="Q1432" s="1">
        <v>-6000000.0</v>
      </c>
      <c r="R1432" s="1">
        <v>3.505E8</v>
      </c>
      <c r="S1432" s="1">
        <v>3.505E8</v>
      </c>
      <c r="W1432" s="4" t="str">
        <f>Raw_Data!C1431&amp;"|"&amp;Raw_Data!D1431&amp;"|"&amp;TEXT(Raw_Data!B1431,"yyyy-mm-dd")</f>
        <v>Paychex|PAYX|2021-05-31</v>
      </c>
    </row>
    <row r="1433">
      <c r="A1433" s="1">
        <v>1431.0</v>
      </c>
      <c r="B1433" s="11">
        <v>44165.0</v>
      </c>
      <c r="C1433" s="1" t="s">
        <v>753</v>
      </c>
      <c r="D1433" s="1" t="s">
        <v>754</v>
      </c>
      <c r="F1433" s="1">
        <v>3.496E8</v>
      </c>
      <c r="G1433" s="1">
        <v>2.724E8</v>
      </c>
      <c r="H1433" s="1">
        <v>3.095E8</v>
      </c>
      <c r="I1433" s="1">
        <v>6.638E8</v>
      </c>
      <c r="J1433" s="1">
        <v>3.543E8</v>
      </c>
      <c r="K1433" s="1">
        <v>3.543E8</v>
      </c>
      <c r="L1433" s="1">
        <v>-9000000.0</v>
      </c>
      <c r="M1433" s="1">
        <v>7.72E7</v>
      </c>
      <c r="N1433" s="1">
        <v>9.837E8</v>
      </c>
      <c r="O1433" s="1">
        <v>6.294E8</v>
      </c>
      <c r="P1433" s="1">
        <v>3.199E8</v>
      </c>
      <c r="Q1433" s="1">
        <v>-4700000.0</v>
      </c>
      <c r="R1433" s="1">
        <v>2.724E8</v>
      </c>
      <c r="S1433" s="1">
        <v>2.724E8</v>
      </c>
      <c r="W1433" s="4" t="str">
        <f>Raw_Data!C1432&amp;"|"&amp;Raw_Data!D1432&amp;"|"&amp;TEXT(Raw_Data!B1432,"yyyy-mm-dd")</f>
        <v>Paychex|PAYX|2021-02-28</v>
      </c>
    </row>
    <row r="1434">
      <c r="A1434" s="1">
        <v>1432.0</v>
      </c>
      <c r="B1434" s="11">
        <v>44469.0</v>
      </c>
      <c r="C1434" s="1" t="s">
        <v>755</v>
      </c>
      <c r="D1434" s="1" t="s">
        <v>756</v>
      </c>
      <c r="E1434" s="1">
        <v>3.1077E7</v>
      </c>
      <c r="F1434" s="1">
        <v>4.3549E7</v>
      </c>
      <c r="G1434" s="1">
        <v>3.0379E7</v>
      </c>
      <c r="H1434" s="1">
        <v>1.29725E8</v>
      </c>
      <c r="I1434" s="1">
        <v>2.21428E8</v>
      </c>
      <c r="J1434" s="1">
        <v>4.3305E7</v>
      </c>
      <c r="K1434" s="1">
        <v>4.3305E7</v>
      </c>
      <c r="L1434" s="1">
        <v>158000.0</v>
      </c>
      <c r="M1434" s="1">
        <v>1.317E7</v>
      </c>
      <c r="N1434" s="1">
        <v>2.56194E8</v>
      </c>
      <c r="O1434" s="1">
        <v>2.12889E8</v>
      </c>
      <c r="P1434" s="1">
        <v>3.4766E7</v>
      </c>
      <c r="Q1434" s="1">
        <v>244000.0</v>
      </c>
      <c r="R1434" s="1">
        <v>3.0379E7</v>
      </c>
      <c r="S1434" s="1">
        <v>3.0379E7</v>
      </c>
      <c r="W1434" s="4" t="str">
        <f>Raw_Data!C1433&amp;"|"&amp;Raw_Data!D1433&amp;"|"&amp;TEXT(Raw_Data!B1433,"yyyy-mm-dd")</f>
        <v>Paychex|PAYX|2020-11-30</v>
      </c>
    </row>
    <row r="1435">
      <c r="A1435" s="1">
        <v>1433.0</v>
      </c>
      <c r="B1435" s="11">
        <v>44377.0</v>
      </c>
      <c r="C1435" s="1" t="s">
        <v>755</v>
      </c>
      <c r="D1435" s="1" t="s">
        <v>756</v>
      </c>
      <c r="E1435" s="1">
        <v>2.8224E7</v>
      </c>
      <c r="F1435" s="1">
        <v>4.7236E7</v>
      </c>
      <c r="G1435" s="1">
        <v>5.2278E7</v>
      </c>
      <c r="H1435" s="1">
        <v>1.22042E8</v>
      </c>
      <c r="I1435" s="1">
        <v>2.13373E8</v>
      </c>
      <c r="J1435" s="1">
        <v>4.709E7</v>
      </c>
      <c r="K1435" s="1">
        <v>4.709E7</v>
      </c>
      <c r="L1435" s="1">
        <v>49000.0</v>
      </c>
      <c r="M1435" s="1">
        <v>-5042000.0</v>
      </c>
      <c r="N1435" s="1">
        <v>2.42146E8</v>
      </c>
      <c r="O1435" s="1">
        <v>1.95056E8</v>
      </c>
      <c r="P1435" s="1">
        <v>2.8773E7</v>
      </c>
      <c r="Q1435" s="1">
        <v>146000.0</v>
      </c>
      <c r="R1435" s="1">
        <v>5.2278E7</v>
      </c>
      <c r="S1435" s="1">
        <v>5.2278E7</v>
      </c>
      <c r="W1435" s="4" t="str">
        <f>Raw_Data!C1434&amp;"|"&amp;Raw_Data!D1434&amp;"|"&amp;TEXT(Raw_Data!B1434,"yyyy-mm-dd")</f>
        <v>Paycom|PAYC|2021-09-30</v>
      </c>
    </row>
    <row r="1436">
      <c r="A1436" s="1">
        <v>1434.0</v>
      </c>
      <c r="B1436" s="11">
        <v>44286.0</v>
      </c>
      <c r="C1436" s="1" t="s">
        <v>755</v>
      </c>
      <c r="D1436" s="1" t="s">
        <v>756</v>
      </c>
      <c r="E1436" s="1">
        <v>2.4711E7</v>
      </c>
      <c r="F1436" s="1">
        <v>9.5175E7</v>
      </c>
      <c r="G1436" s="1">
        <v>6.4616E7</v>
      </c>
      <c r="H1436" s="1">
        <v>1.08952E8</v>
      </c>
      <c r="I1436" s="1">
        <v>2.43125E8</v>
      </c>
      <c r="J1436" s="1">
        <v>9.4546E7</v>
      </c>
      <c r="K1436" s="1">
        <v>9.4546E7</v>
      </c>
      <c r="L1436" s="1">
        <v>656000.0</v>
      </c>
      <c r="M1436" s="1">
        <v>3.0559E7</v>
      </c>
      <c r="N1436" s="1">
        <v>2.72198E8</v>
      </c>
      <c r="O1436" s="1">
        <v>1.77652E8</v>
      </c>
      <c r="P1436" s="1">
        <v>2.9073E7</v>
      </c>
      <c r="Q1436" s="1">
        <v>629000.0</v>
      </c>
      <c r="R1436" s="1">
        <v>6.4616E7</v>
      </c>
      <c r="S1436" s="1">
        <v>6.4616E7</v>
      </c>
      <c r="W1436" s="4" t="str">
        <f>Raw_Data!C1435&amp;"|"&amp;Raw_Data!D1435&amp;"|"&amp;TEXT(Raw_Data!B1435,"yyyy-mm-dd")</f>
        <v>Paycom|PAYC|2021-06-30</v>
      </c>
    </row>
    <row r="1437">
      <c r="A1437" s="1">
        <v>1435.0</v>
      </c>
      <c r="B1437" s="11">
        <v>44196.0</v>
      </c>
      <c r="C1437" s="1" t="s">
        <v>755</v>
      </c>
      <c r="D1437" s="1" t="s">
        <v>756</v>
      </c>
      <c r="E1437" s="1">
        <v>2.5073E7</v>
      </c>
      <c r="F1437" s="1">
        <v>3.6601E7</v>
      </c>
      <c r="G1437" s="1">
        <v>2.4367E7</v>
      </c>
      <c r="H1437" s="1">
        <v>1.19201E8</v>
      </c>
      <c r="I1437" s="1">
        <v>1.9482E8</v>
      </c>
      <c r="J1437" s="1">
        <v>3.6247E7</v>
      </c>
      <c r="K1437" s="1">
        <v>3.6247E7</v>
      </c>
      <c r="L1437" s="1">
        <v>656000.0</v>
      </c>
      <c r="M1437" s="1">
        <v>1.2234E7</v>
      </c>
      <c r="N1437" s="1">
        <v>2.20947E8</v>
      </c>
      <c r="O1437" s="1">
        <v>1.847E8</v>
      </c>
      <c r="P1437" s="1">
        <v>2.6127E7</v>
      </c>
      <c r="Q1437" s="1">
        <v>354000.0</v>
      </c>
      <c r="R1437" s="1">
        <v>2.4367E7</v>
      </c>
      <c r="S1437" s="1">
        <v>2.4367E7</v>
      </c>
      <c r="W1437" s="4" t="str">
        <f>Raw_Data!C1436&amp;"|"&amp;Raw_Data!D1436&amp;"|"&amp;TEXT(Raw_Data!B1436,"yyyy-mm-dd")</f>
        <v>Paycom|PAYC|2021-03-31</v>
      </c>
    </row>
    <row r="1438">
      <c r="A1438" s="1">
        <v>1436.0</v>
      </c>
      <c r="B1438" s="11">
        <v>44469.0</v>
      </c>
      <c r="C1438" s="1" t="s">
        <v>757</v>
      </c>
      <c r="D1438" s="1" t="s">
        <v>758</v>
      </c>
      <c r="E1438" s="1">
        <v>7.55E8</v>
      </c>
      <c r="F1438" s="1">
        <v>1.165E9</v>
      </c>
      <c r="G1438" s="1">
        <v>1.087E9</v>
      </c>
      <c r="H1438" s="1">
        <v>1.047E9</v>
      </c>
      <c r="I1438" s="1">
        <v>2.846E9</v>
      </c>
      <c r="J1438" s="1">
        <v>1.043E9</v>
      </c>
      <c r="K1438" s="1">
        <v>1.043E9</v>
      </c>
      <c r="M1438" s="1">
        <v>7.8E7</v>
      </c>
      <c r="N1438" s="1">
        <v>6.182E9</v>
      </c>
      <c r="O1438" s="1">
        <v>5.139E9</v>
      </c>
      <c r="P1438" s="1">
        <v>3.336E9</v>
      </c>
      <c r="Q1438" s="1">
        <v>1.22E8</v>
      </c>
      <c r="R1438" s="1">
        <v>1.087E9</v>
      </c>
      <c r="S1438" s="1">
        <v>1.087E9</v>
      </c>
      <c r="W1438" s="4" t="str">
        <f>Raw_Data!C1437&amp;"|"&amp;Raw_Data!D1437&amp;"|"&amp;TEXT(Raw_Data!B1437,"yyyy-mm-dd")</f>
        <v>Paycom|PAYC|2020-12-31</v>
      </c>
    </row>
    <row r="1439">
      <c r="A1439" s="1">
        <v>1437.0</v>
      </c>
      <c r="B1439" s="11">
        <v>44377.0</v>
      </c>
      <c r="C1439" s="1" t="s">
        <v>757</v>
      </c>
      <c r="D1439" s="1" t="s">
        <v>758</v>
      </c>
      <c r="E1439" s="1">
        <v>7.46E8</v>
      </c>
      <c r="F1439" s="1">
        <v>1.356E9</v>
      </c>
      <c r="G1439" s="1">
        <v>1.184E9</v>
      </c>
      <c r="H1439" s="1">
        <v>1.15E9</v>
      </c>
      <c r="I1439" s="1">
        <v>3.024E9</v>
      </c>
      <c r="J1439" s="1">
        <v>1.128E9</v>
      </c>
      <c r="K1439" s="1">
        <v>1.128E9</v>
      </c>
      <c r="L1439" s="1">
        <v>-5.7E7</v>
      </c>
      <c r="M1439" s="1">
        <v>1.72E8</v>
      </c>
      <c r="N1439" s="1">
        <v>6.238E9</v>
      </c>
      <c r="O1439" s="1">
        <v>5.11E9</v>
      </c>
      <c r="P1439" s="1">
        <v>3.214E9</v>
      </c>
      <c r="Q1439" s="1">
        <v>2.28E8</v>
      </c>
      <c r="R1439" s="1">
        <v>1.184E9</v>
      </c>
      <c r="S1439" s="1">
        <v>1.184E9</v>
      </c>
      <c r="W1439" s="4" t="str">
        <f>Raw_Data!C1438&amp;"|"&amp;Raw_Data!D1438&amp;"|"&amp;TEXT(Raw_Data!B1438,"yyyy-mm-dd")</f>
        <v>PayPal|PYPL|2021-09-30</v>
      </c>
    </row>
    <row r="1440">
      <c r="A1440" s="1">
        <v>1438.0</v>
      </c>
      <c r="B1440" s="11">
        <v>44286.0</v>
      </c>
      <c r="C1440" s="1" t="s">
        <v>757</v>
      </c>
      <c r="D1440" s="1" t="s">
        <v>758</v>
      </c>
      <c r="E1440" s="1">
        <v>7.41E8</v>
      </c>
      <c r="F1440" s="1">
        <v>8.72E8</v>
      </c>
      <c r="G1440" s="1">
        <v>1.097E9</v>
      </c>
      <c r="H1440" s="1">
        <v>1.126E9</v>
      </c>
      <c r="I1440" s="1">
        <v>2.967E9</v>
      </c>
      <c r="J1440" s="1">
        <v>1.1E9</v>
      </c>
      <c r="K1440" s="1">
        <v>1.1E9</v>
      </c>
      <c r="L1440" s="1">
        <v>-5.8E7</v>
      </c>
      <c r="M1440" s="1">
        <v>-2.25E8</v>
      </c>
      <c r="N1440" s="1">
        <v>6.033E9</v>
      </c>
      <c r="O1440" s="1">
        <v>4.933E9</v>
      </c>
      <c r="P1440" s="1">
        <v>3.066E9</v>
      </c>
      <c r="Q1440" s="1">
        <v>-2.28E8</v>
      </c>
      <c r="R1440" s="1">
        <v>1.097E9</v>
      </c>
      <c r="S1440" s="1">
        <v>1.097E9</v>
      </c>
      <c r="W1440" s="4" t="str">
        <f>Raw_Data!C1439&amp;"|"&amp;Raw_Data!D1439&amp;"|"&amp;TEXT(Raw_Data!B1439,"yyyy-mm-dd")</f>
        <v>PayPal|PYPL|2021-06-30</v>
      </c>
    </row>
    <row r="1441">
      <c r="A1441" s="1">
        <v>1439.0</v>
      </c>
      <c r="B1441" s="11">
        <v>44196.0</v>
      </c>
      <c r="C1441" s="1" t="s">
        <v>757</v>
      </c>
      <c r="D1441" s="1" t="s">
        <v>758</v>
      </c>
      <c r="E1441" s="1">
        <v>7.32E8</v>
      </c>
      <c r="F1441" s="1">
        <v>1.859E9</v>
      </c>
      <c r="G1441" s="1">
        <v>1.567E9</v>
      </c>
      <c r="H1441" s="1">
        <v>1.174E9</v>
      </c>
      <c r="I1441" s="1">
        <v>2.913E9</v>
      </c>
      <c r="J1441" s="1">
        <v>1.007E9</v>
      </c>
      <c r="K1441" s="1">
        <v>1.007E9</v>
      </c>
      <c r="L1441" s="1">
        <v>-5.9E7</v>
      </c>
      <c r="M1441" s="1">
        <v>2.92E8</v>
      </c>
      <c r="N1441" s="1">
        <v>6.116E9</v>
      </c>
      <c r="O1441" s="1">
        <v>5.109E9</v>
      </c>
      <c r="P1441" s="1">
        <v>3.203E9</v>
      </c>
      <c r="Q1441" s="1">
        <v>8.52E8</v>
      </c>
      <c r="R1441" s="1">
        <v>1.567E9</v>
      </c>
      <c r="S1441" s="1">
        <v>1.567E9</v>
      </c>
      <c r="W1441" s="4" t="str">
        <f>Raw_Data!C1440&amp;"|"&amp;Raw_Data!D1440&amp;"|"&amp;TEXT(Raw_Data!B1440,"yyyy-mm-dd")</f>
        <v>PayPal|PYPL|2021-03-31</v>
      </c>
    </row>
    <row r="1442">
      <c r="A1442" s="1">
        <v>1440.0</v>
      </c>
      <c r="B1442" s="11">
        <v>44469.0</v>
      </c>
      <c r="C1442" s="1" t="s">
        <v>759</v>
      </c>
      <c r="D1442" s="1" t="s">
        <v>760</v>
      </c>
      <c r="F1442" s="1">
        <v>1.225E8</v>
      </c>
      <c r="G1442" s="1">
        <v>8.61E7</v>
      </c>
      <c r="H1442" s="1">
        <v>3.627E8</v>
      </c>
      <c r="I1442" s="1">
        <v>7.433E8</v>
      </c>
      <c r="J1442" s="1">
        <v>2.529E8</v>
      </c>
      <c r="K1442" s="1">
        <v>2.529E8</v>
      </c>
      <c r="L1442" s="1">
        <v>-1.452E8</v>
      </c>
      <c r="M1442" s="1">
        <v>3.64E7</v>
      </c>
      <c r="N1442" s="1">
        <v>1.5118E9</v>
      </c>
      <c r="O1442" s="1">
        <v>1.2589E9</v>
      </c>
      <c r="P1442" s="1">
        <v>7.685E8</v>
      </c>
      <c r="Q1442" s="1">
        <v>-1.304E8</v>
      </c>
      <c r="R1442" s="1">
        <v>8.61E7</v>
      </c>
      <c r="S1442" s="1">
        <v>8.57E7</v>
      </c>
      <c r="W1442" s="4" t="str">
        <f>Raw_Data!C1441&amp;"|"&amp;Raw_Data!D1441&amp;"|"&amp;TEXT(Raw_Data!B1441,"yyyy-mm-dd")</f>
        <v>PayPal|PYPL|2020-12-31</v>
      </c>
    </row>
    <row r="1443">
      <c r="A1443" s="1">
        <v>1441.0</v>
      </c>
      <c r="B1443" s="11">
        <v>44377.0</v>
      </c>
      <c r="C1443" s="1" t="s">
        <v>759</v>
      </c>
      <c r="D1443" s="1" t="s">
        <v>760</v>
      </c>
      <c r="F1443" s="1">
        <v>2.518E8</v>
      </c>
      <c r="G1443" s="1">
        <v>1.987E8</v>
      </c>
      <c r="H1443" s="1">
        <v>3.13E8</v>
      </c>
      <c r="I1443" s="1">
        <v>7.763E8</v>
      </c>
      <c r="J1443" s="1">
        <v>3.814E8</v>
      </c>
      <c r="K1443" s="1">
        <v>3.814E8</v>
      </c>
      <c r="L1443" s="1">
        <v>-1.382E8</v>
      </c>
      <c r="M1443" s="1">
        <v>5.31E7</v>
      </c>
      <c r="N1443" s="1">
        <v>1.5458E9</v>
      </c>
      <c r="O1443" s="1">
        <v>1.1644E9</v>
      </c>
      <c r="P1443" s="1">
        <v>7.695E8</v>
      </c>
      <c r="Q1443" s="1">
        <v>-1.296E8</v>
      </c>
      <c r="R1443" s="1">
        <v>1.987E8</v>
      </c>
      <c r="S1443" s="1">
        <v>1.977E8</v>
      </c>
      <c r="W1443" s="4" t="str">
        <f>Raw_Data!C1442&amp;"|"&amp;Raw_Data!D1442&amp;"|"&amp;TEXT(Raw_Data!B1442,"yyyy-mm-dd")</f>
        <v>Penn National Gaming|PENN|2021-09-30</v>
      </c>
    </row>
    <row r="1444">
      <c r="A1444" s="1">
        <v>1442.0</v>
      </c>
      <c r="B1444" s="11">
        <v>44286.0</v>
      </c>
      <c r="C1444" s="1" t="s">
        <v>759</v>
      </c>
      <c r="D1444" s="1" t="s">
        <v>760</v>
      </c>
      <c r="F1444" s="1">
        <v>1.115E8</v>
      </c>
      <c r="G1444" s="1">
        <v>9.1E7</v>
      </c>
      <c r="H1444" s="1">
        <v>3.261E8</v>
      </c>
      <c r="I1444" s="1">
        <v>6.24E8</v>
      </c>
      <c r="J1444" s="1">
        <v>2.166E8</v>
      </c>
      <c r="K1444" s="1">
        <v>2.166E8</v>
      </c>
      <c r="L1444" s="1">
        <v>-1.359E8</v>
      </c>
      <c r="M1444" s="1">
        <v>2.06E7</v>
      </c>
      <c r="N1444" s="1">
        <v>1.2749E9</v>
      </c>
      <c r="O1444" s="1">
        <v>1.0583E9</v>
      </c>
      <c r="P1444" s="1">
        <v>6.509E8</v>
      </c>
      <c r="Q1444" s="1">
        <v>-1.051E8</v>
      </c>
      <c r="R1444" s="1">
        <v>9.09E7</v>
      </c>
      <c r="S1444" s="1">
        <v>9.05E7</v>
      </c>
      <c r="W1444" s="4" t="str">
        <f>Raw_Data!C1443&amp;"|"&amp;Raw_Data!D1443&amp;"|"&amp;TEXT(Raw_Data!B1443,"yyyy-mm-dd")</f>
        <v>Penn National Gaming|PENN|2021-06-30</v>
      </c>
    </row>
    <row r="1445">
      <c r="A1445" s="1">
        <v>1443.0</v>
      </c>
      <c r="B1445" s="11">
        <v>44196.0</v>
      </c>
      <c r="C1445" s="1" t="s">
        <v>759</v>
      </c>
      <c r="D1445" s="1" t="s">
        <v>760</v>
      </c>
      <c r="F1445" s="1">
        <v>1.98E7</v>
      </c>
      <c r="G1445" s="1">
        <v>1.11E7</v>
      </c>
      <c r="H1445" s="1">
        <v>3.008E8</v>
      </c>
      <c r="I1445" s="1">
        <v>5.204E8</v>
      </c>
      <c r="J1445" s="1">
        <v>1.282E8</v>
      </c>
      <c r="K1445" s="1">
        <v>1.282E8</v>
      </c>
      <c r="L1445" s="1">
        <v>-1.363E8</v>
      </c>
      <c r="M1445" s="1">
        <v>7100000.0</v>
      </c>
      <c r="N1445" s="1">
        <v>1.0274E9</v>
      </c>
      <c r="O1445" s="1">
        <v>8.992E8</v>
      </c>
      <c r="P1445" s="1">
        <v>5.07E8</v>
      </c>
      <c r="Q1445" s="1">
        <v>-1.084E8</v>
      </c>
      <c r="R1445" s="1">
        <v>1.27E7</v>
      </c>
      <c r="S1445" s="1">
        <v>1.11E7</v>
      </c>
      <c r="W1445" s="4" t="str">
        <f>Raw_Data!C1444&amp;"|"&amp;Raw_Data!D1444&amp;"|"&amp;TEXT(Raw_Data!B1444,"yyyy-mm-dd")</f>
        <v>Penn National Gaming|PENN|2021-03-31</v>
      </c>
    </row>
    <row r="1446">
      <c r="A1446" s="1">
        <v>1444.0</v>
      </c>
      <c r="B1446" s="11">
        <v>44469.0</v>
      </c>
      <c r="C1446" s="1" t="s">
        <v>761</v>
      </c>
      <c r="D1446" s="1" t="s">
        <v>762</v>
      </c>
      <c r="E1446" s="1">
        <v>2.19E7</v>
      </c>
      <c r="F1446" s="1">
        <v>1.658E8</v>
      </c>
      <c r="G1446" s="1">
        <v>1.436E8</v>
      </c>
      <c r="H1446" s="1">
        <v>1.416E8</v>
      </c>
      <c r="I1446" s="1">
        <v>3.348E8</v>
      </c>
      <c r="J1446" s="1">
        <v>1.713E8</v>
      </c>
      <c r="K1446" s="1">
        <v>1.713E8</v>
      </c>
      <c r="L1446" s="1">
        <v>-2600000.0</v>
      </c>
      <c r="M1446" s="1">
        <v>2.21E7</v>
      </c>
      <c r="N1446" s="1">
        <v>9.692E8</v>
      </c>
      <c r="O1446" s="1">
        <v>7.979E8</v>
      </c>
      <c r="P1446" s="1">
        <v>6.344E8</v>
      </c>
      <c r="Q1446" s="1">
        <v>-5500000.0</v>
      </c>
      <c r="R1446" s="1">
        <v>1.437E8</v>
      </c>
      <c r="S1446" s="1">
        <v>1.436E8</v>
      </c>
      <c r="W1446" s="4" t="str">
        <f>Raw_Data!C1445&amp;"|"&amp;Raw_Data!D1445&amp;"|"&amp;TEXT(Raw_Data!B1445,"yyyy-mm-dd")</f>
        <v>Penn National Gaming|PENN|2020-12-31</v>
      </c>
    </row>
    <row r="1447">
      <c r="A1447" s="1">
        <v>1445.0</v>
      </c>
      <c r="B1447" s="11">
        <v>44377.0</v>
      </c>
      <c r="C1447" s="1" t="s">
        <v>761</v>
      </c>
      <c r="D1447" s="1" t="s">
        <v>762</v>
      </c>
      <c r="E1447" s="1">
        <v>2.1E7</v>
      </c>
      <c r="F1447" s="1">
        <v>1.577E8</v>
      </c>
      <c r="G1447" s="1">
        <v>1.321E8</v>
      </c>
      <c r="H1447" s="1">
        <v>1.521E8</v>
      </c>
      <c r="I1447" s="1">
        <v>3.41E8</v>
      </c>
      <c r="J1447" s="1">
        <v>1.679E8</v>
      </c>
      <c r="K1447" s="1">
        <v>1.679E8</v>
      </c>
      <c r="L1447" s="1">
        <v>-3800000.0</v>
      </c>
      <c r="M1447" s="1">
        <v>2.51E7</v>
      </c>
      <c r="N1447" s="1">
        <v>9.411E8</v>
      </c>
      <c r="O1447" s="1">
        <v>7.732E8</v>
      </c>
      <c r="P1447" s="1">
        <v>6.001E8</v>
      </c>
      <c r="Q1447" s="1">
        <v>-1.02E7</v>
      </c>
      <c r="R1447" s="1">
        <v>1.326E8</v>
      </c>
      <c r="S1447" s="1">
        <v>1.321E8</v>
      </c>
      <c r="W1447" s="4" t="str">
        <f>Raw_Data!C1446&amp;"|"&amp;Raw_Data!D1446&amp;"|"&amp;TEXT(Raw_Data!B1446,"yyyy-mm-dd")</f>
        <v>Pentair|PNR|2021-09-30</v>
      </c>
    </row>
    <row r="1448">
      <c r="A1448" s="1">
        <v>1446.0</v>
      </c>
      <c r="B1448" s="11">
        <v>44286.0</v>
      </c>
      <c r="C1448" s="1" t="s">
        <v>761</v>
      </c>
      <c r="D1448" s="1" t="s">
        <v>762</v>
      </c>
      <c r="E1448" s="1">
        <v>2.15E7</v>
      </c>
      <c r="F1448" s="1">
        <v>1.516E8</v>
      </c>
      <c r="G1448" s="1">
        <v>1.286E8</v>
      </c>
      <c r="H1448" s="1">
        <v>1.355E8</v>
      </c>
      <c r="I1448" s="1">
        <v>3.152E8</v>
      </c>
      <c r="J1448" s="1">
        <v>1.582E8</v>
      </c>
      <c r="K1448" s="1">
        <v>1.582E8</v>
      </c>
      <c r="L1448" s="1">
        <v>-5100000.0</v>
      </c>
      <c r="M1448" s="1">
        <v>2.05E7</v>
      </c>
      <c r="N1448" s="1">
        <v>8.659E8</v>
      </c>
      <c r="O1448" s="1">
        <v>7.077E8</v>
      </c>
      <c r="P1448" s="1">
        <v>5.507E8</v>
      </c>
      <c r="Q1448" s="1">
        <v>-6600000.0</v>
      </c>
      <c r="R1448" s="1">
        <v>1.311E8</v>
      </c>
      <c r="S1448" s="1">
        <v>1.286E8</v>
      </c>
      <c r="W1448" s="4" t="str">
        <f>Raw_Data!C1447&amp;"|"&amp;Raw_Data!D1447&amp;"|"&amp;TEXT(Raw_Data!B1447,"yyyy-mm-dd")</f>
        <v>Pentair|PNR|2021-06-30</v>
      </c>
    </row>
    <row r="1449">
      <c r="A1449" s="1">
        <v>1447.0</v>
      </c>
      <c r="B1449" s="11">
        <v>44196.0</v>
      </c>
      <c r="C1449" s="1" t="s">
        <v>761</v>
      </c>
      <c r="D1449" s="1" t="s">
        <v>762</v>
      </c>
      <c r="E1449" s="1">
        <v>2.01E7</v>
      </c>
      <c r="F1449" s="1">
        <v>1.107E8</v>
      </c>
      <c r="G1449" s="1">
        <v>1.03E8</v>
      </c>
      <c r="H1449" s="1">
        <v>1.423E8</v>
      </c>
      <c r="I1449" s="1">
        <v>2.855E8</v>
      </c>
      <c r="J1449" s="1">
        <v>1.231E8</v>
      </c>
      <c r="K1449" s="1">
        <v>1.231E8</v>
      </c>
      <c r="L1449" s="1">
        <v>-3900000.0</v>
      </c>
      <c r="M1449" s="1">
        <v>1.09E7</v>
      </c>
      <c r="N1449" s="1">
        <v>7.96E8</v>
      </c>
      <c r="O1449" s="1">
        <v>6.729E8</v>
      </c>
      <c r="P1449" s="1">
        <v>5.105E8</v>
      </c>
      <c r="Q1449" s="1">
        <v>-1.24E7</v>
      </c>
      <c r="R1449" s="1">
        <v>9.98E7</v>
      </c>
      <c r="S1449" s="1">
        <v>1.03E8</v>
      </c>
      <c r="W1449" s="4" t="str">
        <f>Raw_Data!C1448&amp;"|"&amp;Raw_Data!D1448&amp;"|"&amp;TEXT(Raw_Data!B1448,"yyyy-mm-dd")</f>
        <v>Pentair|PNR|2021-03-31</v>
      </c>
    </row>
    <row r="1450">
      <c r="A1450" s="1">
        <v>1448.0</v>
      </c>
      <c r="B1450" s="11">
        <v>44469.0</v>
      </c>
      <c r="C1450" s="1" t="s">
        <v>763</v>
      </c>
      <c r="D1450" s="1" t="s">
        <v>764</v>
      </c>
      <c r="F1450" s="1">
        <v>1.694E8</v>
      </c>
      <c r="G1450" s="1">
        <v>1.397E8</v>
      </c>
      <c r="H1450" s="1">
        <v>2.525E8</v>
      </c>
      <c r="I1450" s="1">
        <v>4.586E8</v>
      </c>
      <c r="J1450" s="1">
        <v>0.0</v>
      </c>
      <c r="K1450" s="1">
        <v>1.849E8</v>
      </c>
      <c r="M1450" s="1">
        <v>2.97E7</v>
      </c>
      <c r="N1450" s="1">
        <v>4.586E8</v>
      </c>
      <c r="O1450" s="1">
        <v>2.737E8</v>
      </c>
      <c r="P1450" s="1">
        <v>0.0</v>
      </c>
      <c r="Q1450" s="1">
        <v>-1.55E7</v>
      </c>
      <c r="R1450" s="1">
        <v>1.397E8</v>
      </c>
      <c r="S1450" s="1">
        <v>1.362E8</v>
      </c>
      <c r="W1450" s="4" t="str">
        <f>Raw_Data!C1449&amp;"|"&amp;Raw_Data!D1449&amp;"|"&amp;TEXT(Raw_Data!B1449,"yyyy-mm-dd")</f>
        <v>Pentair|PNR|2020-12-31</v>
      </c>
    </row>
    <row r="1451">
      <c r="A1451" s="1">
        <v>1449.0</v>
      </c>
      <c r="B1451" s="11">
        <v>44377.0</v>
      </c>
      <c r="C1451" s="1" t="s">
        <v>763</v>
      </c>
      <c r="D1451" s="1" t="s">
        <v>764</v>
      </c>
      <c r="F1451" s="1">
        <v>2.157E8</v>
      </c>
      <c r="G1451" s="1">
        <v>1.708E8</v>
      </c>
      <c r="H1451" s="1">
        <v>2.619E8</v>
      </c>
      <c r="I1451" s="1">
        <v>5.187E8</v>
      </c>
      <c r="J1451" s="1">
        <v>0.0</v>
      </c>
      <c r="K1451" s="1">
        <v>2.413E8</v>
      </c>
      <c r="M1451" s="1">
        <v>4.49E7</v>
      </c>
      <c r="N1451" s="1">
        <v>5.187E8</v>
      </c>
      <c r="O1451" s="1">
        <v>2.774E8</v>
      </c>
      <c r="P1451" s="1">
        <v>0.0</v>
      </c>
      <c r="Q1451" s="1">
        <v>-2.56E7</v>
      </c>
      <c r="R1451" s="1">
        <v>1.708E8</v>
      </c>
      <c r="S1451" s="1">
        <v>1.673E8</v>
      </c>
      <c r="W1451" s="4" t="str">
        <f>Raw_Data!C1450&amp;"|"&amp;Raw_Data!D1450&amp;"|"&amp;TEXT(Raw_Data!B1450,"yyyy-mm-dd")</f>
        <v>People's United Financial|PBCT|2021-09-30</v>
      </c>
    </row>
    <row r="1452">
      <c r="A1452" s="1">
        <v>1450.0</v>
      </c>
      <c r="B1452" s="11">
        <v>44286.0</v>
      </c>
      <c r="C1452" s="1" t="s">
        <v>763</v>
      </c>
      <c r="D1452" s="1" t="s">
        <v>764</v>
      </c>
      <c r="F1452" s="1">
        <v>1.822E8</v>
      </c>
      <c r="G1452" s="1">
        <v>1.445E8</v>
      </c>
      <c r="H1452" s="1">
        <v>2.57E8</v>
      </c>
      <c r="I1452" s="1">
        <v>4.959E8</v>
      </c>
      <c r="J1452" s="1">
        <v>0.0</v>
      </c>
      <c r="K1452" s="1">
        <v>2.216E8</v>
      </c>
      <c r="M1452" s="1">
        <v>3.77E7</v>
      </c>
      <c r="N1452" s="1">
        <v>4.959E8</v>
      </c>
      <c r="O1452" s="1">
        <v>2.743E8</v>
      </c>
      <c r="P1452" s="1">
        <v>0.0</v>
      </c>
      <c r="Q1452" s="1">
        <v>-3.94E7</v>
      </c>
      <c r="R1452" s="1">
        <v>1.445E8</v>
      </c>
      <c r="S1452" s="1">
        <v>1.41E8</v>
      </c>
      <c r="W1452" s="4" t="str">
        <f>Raw_Data!C1451&amp;"|"&amp;Raw_Data!D1451&amp;"|"&amp;TEXT(Raw_Data!B1451,"yyyy-mm-dd")</f>
        <v>People's United Financial|PBCT|2021-06-30</v>
      </c>
    </row>
    <row r="1453">
      <c r="A1453" s="1">
        <v>1451.0</v>
      </c>
      <c r="B1453" s="11">
        <v>44196.0</v>
      </c>
      <c r="C1453" s="1" t="s">
        <v>763</v>
      </c>
      <c r="D1453" s="1" t="s">
        <v>764</v>
      </c>
      <c r="F1453" s="1">
        <v>-1.001E8</v>
      </c>
      <c r="G1453" s="1">
        <v>-1.453E8</v>
      </c>
      <c r="H1453" s="1">
        <v>2.329E8</v>
      </c>
      <c r="I1453" s="1">
        <v>5.454E8</v>
      </c>
      <c r="J1453" s="1">
        <v>0.0</v>
      </c>
      <c r="K1453" s="1">
        <v>3.118E8</v>
      </c>
      <c r="M1453" s="1">
        <v>4.52E7</v>
      </c>
      <c r="N1453" s="1">
        <v>5.454E8</v>
      </c>
      <c r="O1453" s="1">
        <v>2.336E8</v>
      </c>
      <c r="P1453" s="1">
        <v>0.0</v>
      </c>
      <c r="Q1453" s="1">
        <v>-4.119E8</v>
      </c>
      <c r="R1453" s="1">
        <v>-1.453E8</v>
      </c>
      <c r="S1453" s="1">
        <v>-1.489E8</v>
      </c>
      <c r="W1453" s="4" t="str">
        <f>Raw_Data!C1452&amp;"|"&amp;Raw_Data!D1452&amp;"|"&amp;TEXT(Raw_Data!B1452,"yyyy-mm-dd")</f>
        <v>People's United Financial|PBCT|2021-03-31</v>
      </c>
    </row>
    <row r="1454">
      <c r="A1454" s="1">
        <v>1452.0</v>
      </c>
      <c r="B1454" s="11">
        <v>44443.0</v>
      </c>
      <c r="C1454" s="1" t="s">
        <v>765</v>
      </c>
      <c r="D1454" s="1" t="s">
        <v>766</v>
      </c>
      <c r="F1454" s="1">
        <v>3.045E9</v>
      </c>
      <c r="G1454" s="1">
        <v>2.224E9</v>
      </c>
      <c r="H1454" s="1">
        <v>7.464E9</v>
      </c>
      <c r="I1454" s="1">
        <v>1.0804E10</v>
      </c>
      <c r="J1454" s="1">
        <v>3.34E9</v>
      </c>
      <c r="K1454" s="1">
        <v>3.34E9</v>
      </c>
      <c r="L1454" s="1">
        <v>-2.32E8</v>
      </c>
      <c r="M1454" s="1">
        <v>8.02E8</v>
      </c>
      <c r="N1454" s="1">
        <v>2.0189E10</v>
      </c>
      <c r="O1454" s="1">
        <v>1.6849E10</v>
      </c>
      <c r="P1454" s="1">
        <v>9.385E9</v>
      </c>
      <c r="Q1454" s="1">
        <v>-2.95E8</v>
      </c>
      <c r="R1454" s="1">
        <v>2.243E9</v>
      </c>
      <c r="S1454" s="1">
        <v>2.224E9</v>
      </c>
      <c r="W1454" s="4" t="str">
        <f>Raw_Data!C1453&amp;"|"&amp;Raw_Data!D1453&amp;"|"&amp;TEXT(Raw_Data!B1453,"yyyy-mm-dd")</f>
        <v>People's United Financial|PBCT|2020-12-31</v>
      </c>
    </row>
    <row r="1455">
      <c r="A1455" s="1">
        <v>1453.0</v>
      </c>
      <c r="B1455" s="11">
        <v>44359.0</v>
      </c>
      <c r="C1455" s="1" t="s">
        <v>765</v>
      </c>
      <c r="D1455" s="1" t="s">
        <v>766</v>
      </c>
      <c r="F1455" s="1">
        <v>3.014E9</v>
      </c>
      <c r="G1455" s="1">
        <v>2.358E9</v>
      </c>
      <c r="H1455" s="1">
        <v>7.049E9</v>
      </c>
      <c r="I1455" s="1">
        <v>1.034E10</v>
      </c>
      <c r="J1455" s="1">
        <v>3.292E9</v>
      </c>
      <c r="K1455" s="1">
        <v>3.292E9</v>
      </c>
      <c r="L1455" s="1">
        <v>-1.94E8</v>
      </c>
      <c r="M1455" s="1">
        <v>6.42E8</v>
      </c>
      <c r="N1455" s="1">
        <v>1.9217E10</v>
      </c>
      <c r="O1455" s="1">
        <v>1.5925E10</v>
      </c>
      <c r="P1455" s="1">
        <v>8.877E9</v>
      </c>
      <c r="Q1455" s="1">
        <v>-2.78E8</v>
      </c>
      <c r="R1455" s="1">
        <v>2.372E9</v>
      </c>
      <c r="S1455" s="1">
        <v>2.358E9</v>
      </c>
      <c r="W1455" s="4" t="str">
        <f>Raw_Data!C1454&amp;"|"&amp;Raw_Data!D1454&amp;"|"&amp;TEXT(Raw_Data!B1454,"yyyy-mm-dd")</f>
        <v>PepsiCo|PEP|2021-09-04</v>
      </c>
    </row>
    <row r="1456">
      <c r="A1456" s="1">
        <v>1454.0</v>
      </c>
      <c r="B1456" s="11">
        <v>44275.0</v>
      </c>
      <c r="C1456" s="1" t="s">
        <v>765</v>
      </c>
      <c r="D1456" s="1" t="s">
        <v>766</v>
      </c>
      <c r="F1456" s="1">
        <v>2.174E9</v>
      </c>
      <c r="G1456" s="1">
        <v>1.714E9</v>
      </c>
      <c r="H1456" s="1">
        <v>5.852E9</v>
      </c>
      <c r="I1456" s="1">
        <v>8.151E9</v>
      </c>
      <c r="J1456" s="1">
        <v>2.3E9</v>
      </c>
      <c r="K1456" s="1">
        <v>2.3E9</v>
      </c>
      <c r="L1456" s="1">
        <v>-2.58E8</v>
      </c>
      <c r="M1456" s="1">
        <v>4.51E8</v>
      </c>
      <c r="N1456" s="1">
        <v>1.482E10</v>
      </c>
      <c r="O1456" s="1">
        <v>1.252E10</v>
      </c>
      <c r="P1456" s="1">
        <v>6.669E9</v>
      </c>
      <c r="Q1456" s="1">
        <v>-1.26E8</v>
      </c>
      <c r="R1456" s="1">
        <v>1.723E9</v>
      </c>
      <c r="S1456" s="1">
        <v>1.714E9</v>
      </c>
      <c r="W1456" s="4" t="str">
        <f>Raw_Data!C1455&amp;"|"&amp;Raw_Data!D1455&amp;"|"&amp;TEXT(Raw_Data!B1455,"yyyy-mm-dd")</f>
        <v>PepsiCo|PEP|2021-06-12</v>
      </c>
    </row>
    <row r="1457">
      <c r="A1457" s="1">
        <v>1455.0</v>
      </c>
      <c r="B1457" s="11">
        <v>44191.0</v>
      </c>
      <c r="C1457" s="1" t="s">
        <v>765</v>
      </c>
      <c r="D1457" s="1" t="s">
        <v>766</v>
      </c>
      <c r="E1457" s="1">
        <v>7.19E8</v>
      </c>
      <c r="F1457" s="1">
        <v>2.357E9</v>
      </c>
      <c r="G1457" s="1">
        <v>1.845E9</v>
      </c>
      <c r="H1457" s="1">
        <v>8.492E9</v>
      </c>
      <c r="I1457" s="1">
        <v>1.2057E10</v>
      </c>
      <c r="J1457" s="1">
        <v>2.856E9</v>
      </c>
      <c r="K1457" s="1">
        <v>2.856E9</v>
      </c>
      <c r="L1457" s="1">
        <v>-3.39E8</v>
      </c>
      <c r="M1457" s="1">
        <v>4.98E8</v>
      </c>
      <c r="N1457" s="1">
        <v>2.2455E10</v>
      </c>
      <c r="O1457" s="1">
        <v>1.9599E10</v>
      </c>
      <c r="P1457" s="1">
        <v>1.0398E10</v>
      </c>
      <c r="Q1457" s="1">
        <v>-4.99E8</v>
      </c>
      <c r="R1457" s="1">
        <v>1.859E9</v>
      </c>
      <c r="S1457" s="1">
        <v>1.845E9</v>
      </c>
      <c r="W1457" s="4" t="str">
        <f>Raw_Data!C1456&amp;"|"&amp;Raw_Data!D1456&amp;"|"&amp;TEXT(Raw_Data!B1456,"yyyy-mm-dd")</f>
        <v>PepsiCo|PEP|2021-03-20</v>
      </c>
    </row>
    <row r="1458">
      <c r="A1458" s="1">
        <v>1456.0</v>
      </c>
      <c r="B1458" s="11">
        <v>44472.0</v>
      </c>
      <c r="C1458" s="1" t="s">
        <v>767</v>
      </c>
      <c r="D1458" s="1" t="s">
        <v>768</v>
      </c>
      <c r="E1458" s="1">
        <v>6.8608E7</v>
      </c>
      <c r="F1458" s="1">
        <v>1.61668E8</v>
      </c>
      <c r="G1458" s="1">
        <v>1.27738E8</v>
      </c>
      <c r="H1458" s="1">
        <v>2.86097E8</v>
      </c>
      <c r="I1458" s="1">
        <v>6.41261E8</v>
      </c>
      <c r="J1458" s="1">
        <v>2.86556E8</v>
      </c>
      <c r="K1458" s="1">
        <v>2.86556E8</v>
      </c>
      <c r="L1458" s="1">
        <v>-4.3531E7</v>
      </c>
      <c r="M1458" s="1">
        <v>3.3883E7</v>
      </c>
      <c r="N1458" s="1">
        <v>1.166684E9</v>
      </c>
      <c r="O1458" s="1">
        <v>8.80128E8</v>
      </c>
      <c r="P1458" s="1">
        <v>5.25423E8</v>
      </c>
      <c r="Q1458" s="1">
        <v>-1.24888E8</v>
      </c>
      <c r="R1458" s="1">
        <v>1.27785E8</v>
      </c>
      <c r="S1458" s="1">
        <v>1.27738E8</v>
      </c>
      <c r="W1458" s="4" t="str">
        <f>Raw_Data!C1457&amp;"|"&amp;Raw_Data!D1457&amp;"|"&amp;TEXT(Raw_Data!B1457,"yyyy-mm-dd")</f>
        <v>PepsiCo|PEP|2020-12-26</v>
      </c>
    </row>
    <row r="1459">
      <c r="A1459" s="1">
        <v>1457.0</v>
      </c>
      <c r="B1459" s="11">
        <v>44381.0</v>
      </c>
      <c r="C1459" s="1" t="s">
        <v>767</v>
      </c>
      <c r="D1459" s="1" t="s">
        <v>768</v>
      </c>
      <c r="E1459" s="1">
        <v>6.5824E7</v>
      </c>
      <c r="F1459" s="1">
        <v>3.26057E8</v>
      </c>
      <c r="G1459" s="1">
        <v>2.4593E8</v>
      </c>
      <c r="H1459" s="1">
        <v>2.67182E8</v>
      </c>
      <c r="I1459" s="1">
        <v>6.87494E8</v>
      </c>
      <c r="J1459" s="1">
        <v>3.54488E8</v>
      </c>
      <c r="K1459" s="1">
        <v>3.54488E8</v>
      </c>
      <c r="L1459" s="1">
        <v>-1.675E7</v>
      </c>
      <c r="M1459" s="1">
        <v>8.0089E7</v>
      </c>
      <c r="N1459" s="1">
        <v>1.228471E9</v>
      </c>
      <c r="O1459" s="1">
        <v>8.73983E8</v>
      </c>
      <c r="P1459" s="1">
        <v>5.40977E8</v>
      </c>
      <c r="Q1459" s="1">
        <v>-2.8431E7</v>
      </c>
      <c r="R1459" s="1">
        <v>2.45968E8</v>
      </c>
      <c r="S1459" s="1">
        <v>2.4593E8</v>
      </c>
      <c r="W1459" s="4" t="str">
        <f>Raw_Data!C1458&amp;"|"&amp;Raw_Data!D1458&amp;"|"&amp;TEXT(Raw_Data!B1458,"yyyy-mm-dd")</f>
        <v>PerkinElmer|PKI|2021-10-03</v>
      </c>
    </row>
    <row r="1460">
      <c r="A1460" s="1">
        <v>1458.0</v>
      </c>
      <c r="B1460" s="11">
        <v>44290.0</v>
      </c>
      <c r="C1460" s="1" t="s">
        <v>767</v>
      </c>
      <c r="D1460" s="1" t="s">
        <v>768</v>
      </c>
      <c r="E1460" s="1">
        <v>6.0216E7</v>
      </c>
      <c r="F1460" s="1">
        <v>4.80482E8</v>
      </c>
      <c r="G1460" s="1">
        <v>3.79305E8</v>
      </c>
      <c r="H1460" s="1">
        <v>2.3777E8</v>
      </c>
      <c r="I1460" s="1">
        <v>7.88127E8</v>
      </c>
      <c r="J1460" s="1">
        <v>4.90141E8</v>
      </c>
      <c r="K1460" s="1">
        <v>4.90141E8</v>
      </c>
      <c r="L1460" s="1">
        <v>-1.4126E7</v>
      </c>
      <c r="M1460" s="1">
        <v>1.01139E8</v>
      </c>
      <c r="N1460" s="1">
        <v>1.307689E9</v>
      </c>
      <c r="O1460" s="1">
        <v>8.17548E8</v>
      </c>
      <c r="P1460" s="1">
        <v>5.19562E8</v>
      </c>
      <c r="Q1460" s="1">
        <v>-9659000.0</v>
      </c>
      <c r="R1460" s="1">
        <v>3.79343E8</v>
      </c>
      <c r="S1460" s="1">
        <v>3.79305E8</v>
      </c>
      <c r="W1460" s="4" t="str">
        <f>Raw_Data!C1459&amp;"|"&amp;Raw_Data!D1459&amp;"|"&amp;TEXT(Raw_Data!B1459,"yyyy-mm-dd")</f>
        <v>PerkinElmer|PKI|2021-07-04</v>
      </c>
    </row>
    <row r="1461">
      <c r="A1461" s="1">
        <v>1459.0</v>
      </c>
      <c r="B1461" s="11">
        <v>44199.0</v>
      </c>
      <c r="C1461" s="1" t="s">
        <v>767</v>
      </c>
      <c r="D1461" s="1" t="s">
        <v>768</v>
      </c>
      <c r="E1461" s="1">
        <v>5.6823E7</v>
      </c>
      <c r="F1461" s="1">
        <v>4.73091E8</v>
      </c>
      <c r="G1461" s="1">
        <v>3.80361E8</v>
      </c>
      <c r="H1461" s="1">
        <v>2.8197E8</v>
      </c>
      <c r="I1461" s="1">
        <v>8.36038E8</v>
      </c>
      <c r="J1461" s="1">
        <v>4.97245E8</v>
      </c>
      <c r="K1461" s="1">
        <v>4.97245E8</v>
      </c>
      <c r="L1461" s="1">
        <v>-1.1904E7</v>
      </c>
      <c r="M1461" s="1">
        <v>9.2657E7</v>
      </c>
      <c r="N1461" s="1">
        <v>1.354606E9</v>
      </c>
      <c r="O1461" s="1">
        <v>8.57361E8</v>
      </c>
      <c r="P1461" s="1">
        <v>5.18568E8</v>
      </c>
      <c r="Q1461" s="1">
        <v>-2.4154E7</v>
      </c>
      <c r="R1461" s="1">
        <v>3.80434E8</v>
      </c>
      <c r="S1461" s="1">
        <v>3.80361E8</v>
      </c>
      <c r="W1461" s="4" t="str">
        <f>Raw_Data!C1460&amp;"|"&amp;Raw_Data!D1460&amp;"|"&amp;TEXT(Raw_Data!B1460,"yyyy-mm-dd")</f>
        <v>PerkinElmer|PKI|2021-04-04</v>
      </c>
    </row>
    <row r="1462">
      <c r="A1462" s="1">
        <v>1460.0</v>
      </c>
      <c r="B1462" s="11">
        <v>44472.0</v>
      </c>
      <c r="C1462" s="1" t="s">
        <v>769</v>
      </c>
      <c r="D1462" s="1" t="s">
        <v>770</v>
      </c>
      <c r="E1462" s="1">
        <v>2.739E9</v>
      </c>
      <c r="F1462" s="1">
        <v>7.836E9</v>
      </c>
      <c r="G1462" s="1">
        <v>8.146E9</v>
      </c>
      <c r="H1462" s="1">
        <v>1.6E9</v>
      </c>
      <c r="I1462" s="1">
        <v>1.4163E10</v>
      </c>
      <c r="J1462" s="1">
        <v>8.843E9</v>
      </c>
      <c r="K1462" s="1">
        <v>8.843E9</v>
      </c>
      <c r="L1462" s="1">
        <v>-3.25E8</v>
      </c>
      <c r="M1462" s="1">
        <v>-3.31E8</v>
      </c>
      <c r="N1462" s="1">
        <v>2.4094E10</v>
      </c>
      <c r="O1462" s="1">
        <v>1.5251E10</v>
      </c>
      <c r="P1462" s="1">
        <v>9.931E9</v>
      </c>
      <c r="Q1462" s="1">
        <v>-1.007E9</v>
      </c>
      <c r="R1462" s="1">
        <v>8.167E9</v>
      </c>
      <c r="S1462" s="1">
        <v>8.146E9</v>
      </c>
      <c r="W1462" s="4" t="str">
        <f>Raw_Data!C1461&amp;"|"&amp;Raw_Data!D1461&amp;"|"&amp;TEXT(Raw_Data!B1461,"yyyy-mm-dd")</f>
        <v>PerkinElmer|PKI|2021-01-03</v>
      </c>
    </row>
    <row r="1463">
      <c r="A1463" s="1">
        <v>1461.0</v>
      </c>
      <c r="B1463" s="11">
        <v>44381.0</v>
      </c>
      <c r="C1463" s="1" t="s">
        <v>769</v>
      </c>
      <c r="D1463" s="1" t="s">
        <v>770</v>
      </c>
      <c r="E1463" s="1">
        <v>2.271E9</v>
      </c>
      <c r="F1463" s="1">
        <v>6.608E9</v>
      </c>
      <c r="G1463" s="1">
        <v>5.563E9</v>
      </c>
      <c r="H1463" s="1">
        <v>2.552E9</v>
      </c>
      <c r="I1463" s="1">
        <v>1.1985E10</v>
      </c>
      <c r="J1463" s="1">
        <v>6.231E9</v>
      </c>
      <c r="K1463" s="1">
        <v>6.231E9</v>
      </c>
      <c r="L1463" s="1">
        <v>-3.16E8</v>
      </c>
      <c r="M1463" s="1">
        <v>1.043E9</v>
      </c>
      <c r="N1463" s="1">
        <v>1.8977E10</v>
      </c>
      <c r="O1463" s="1">
        <v>1.2746E10</v>
      </c>
      <c r="P1463" s="1">
        <v>6.992E9</v>
      </c>
      <c r="Q1463" s="1">
        <v>3.77E8</v>
      </c>
      <c r="R1463" s="1">
        <v>5.565E9</v>
      </c>
      <c r="S1463" s="1">
        <v>5.563E9</v>
      </c>
      <c r="W1463" s="4" t="str">
        <f>Raw_Data!C1462&amp;"|"&amp;Raw_Data!D1462&amp;"|"&amp;TEXT(Raw_Data!B1462,"yyyy-mm-dd")</f>
        <v>Pfizer|PFE|2021-10-03</v>
      </c>
    </row>
    <row r="1464">
      <c r="A1464" s="1">
        <v>1462.0</v>
      </c>
      <c r="B1464" s="11">
        <v>44290.0</v>
      </c>
      <c r="C1464" s="1" t="s">
        <v>769</v>
      </c>
      <c r="D1464" s="1" t="s">
        <v>770</v>
      </c>
      <c r="E1464" s="1">
        <v>2.011E9</v>
      </c>
      <c r="F1464" s="1">
        <v>5.682E9</v>
      </c>
      <c r="G1464" s="1">
        <v>4.877E9</v>
      </c>
      <c r="H1464" s="1">
        <v>2.385E9</v>
      </c>
      <c r="I1464" s="1">
        <v>1.041E10</v>
      </c>
      <c r="J1464" s="1">
        <v>5.142E9</v>
      </c>
      <c r="K1464" s="1">
        <v>5.142E9</v>
      </c>
      <c r="L1464" s="1">
        <v>-3.36E8</v>
      </c>
      <c r="M1464" s="1">
        <v>8.05E8</v>
      </c>
      <c r="N1464" s="1">
        <v>1.4582E10</v>
      </c>
      <c r="O1464" s="1">
        <v>9.44E9</v>
      </c>
      <c r="P1464" s="1">
        <v>4.172E9</v>
      </c>
      <c r="Q1464" s="1">
        <v>5.4E8</v>
      </c>
      <c r="R1464" s="1">
        <v>4.877E9</v>
      </c>
      <c r="S1464" s="1">
        <v>4.877E9</v>
      </c>
      <c r="W1464" s="4" t="str">
        <f>Raw_Data!C1463&amp;"|"&amp;Raw_Data!D1463&amp;"|"&amp;TEXT(Raw_Data!B1463,"yyyy-mm-dd")</f>
        <v>Pfizer|PFE|2021-07-04</v>
      </c>
    </row>
    <row r="1465">
      <c r="A1465" s="1">
        <v>1463.0</v>
      </c>
      <c r="B1465" s="11">
        <v>44196.0</v>
      </c>
      <c r="C1465" s="1" t="s">
        <v>769</v>
      </c>
      <c r="D1465" s="1" t="s">
        <v>770</v>
      </c>
      <c r="E1465" s="1">
        <v>2.828E9</v>
      </c>
      <c r="F1465" s="1">
        <v>1.78E8</v>
      </c>
      <c r="G1465" s="1">
        <v>5.94E8</v>
      </c>
      <c r="H1465" s="1">
        <v>3.481E9</v>
      </c>
      <c r="I1465" s="1">
        <v>8.797E9</v>
      </c>
      <c r="J1465" s="1">
        <v>1.632E9</v>
      </c>
      <c r="K1465" s="1">
        <v>1.632E9</v>
      </c>
      <c r="L1465" s="1">
        <v>-3.47E8</v>
      </c>
      <c r="M1465" s="1">
        <v>-1.7E8</v>
      </c>
      <c r="N1465" s="1">
        <v>1.1684E10</v>
      </c>
      <c r="O1465" s="1">
        <v>1.0052E10</v>
      </c>
      <c r="P1465" s="1">
        <v>2.887E9</v>
      </c>
      <c r="Q1465" s="1">
        <v>-1.454E9</v>
      </c>
      <c r="R1465" s="1">
        <v>3.48E8</v>
      </c>
      <c r="S1465" s="1">
        <v>5.94E8</v>
      </c>
      <c r="W1465" s="4" t="str">
        <f>Raw_Data!C1464&amp;"|"&amp;Raw_Data!D1464&amp;"|"&amp;TEXT(Raw_Data!B1464,"yyyy-mm-dd")</f>
        <v>Pfizer|PFE|2021-04-04</v>
      </c>
    </row>
    <row r="1466">
      <c r="A1466" s="1">
        <v>1464.0</v>
      </c>
      <c r="B1466" s="11">
        <v>44469.0</v>
      </c>
      <c r="C1466" s="1" t="s">
        <v>771</v>
      </c>
      <c r="D1466" s="1" t="s">
        <v>772</v>
      </c>
      <c r="F1466" s="1">
        <v>3.323E9</v>
      </c>
      <c r="G1466" s="1">
        <v>2.426E9</v>
      </c>
      <c r="H1466" s="1">
        <v>2.037E9</v>
      </c>
      <c r="I1466" s="1">
        <v>5.526E9</v>
      </c>
      <c r="J1466" s="1">
        <v>3.471E9</v>
      </c>
      <c r="K1466" s="1">
        <v>3.471E9</v>
      </c>
      <c r="L1466" s="1">
        <v>-2.01E8</v>
      </c>
      <c r="M1466" s="1">
        <v>7.35E8</v>
      </c>
      <c r="N1466" s="1">
        <v>8.122E9</v>
      </c>
      <c r="O1466" s="1">
        <v>4.651E9</v>
      </c>
      <c r="P1466" s="1">
        <v>2.596E9</v>
      </c>
      <c r="Q1466" s="1">
        <v>-1.48E8</v>
      </c>
      <c r="R1466" s="1">
        <v>2.588E9</v>
      </c>
      <c r="S1466" s="1">
        <v>2.419E9</v>
      </c>
      <c r="W1466" s="4" t="str">
        <f>Raw_Data!C1465&amp;"|"&amp;Raw_Data!D1465&amp;"|"&amp;TEXT(Raw_Data!B1465,"yyyy-mm-dd")</f>
        <v>Pfizer|PFE|2020-12-31</v>
      </c>
    </row>
    <row r="1467">
      <c r="A1467" s="1">
        <v>1465.0</v>
      </c>
      <c r="B1467" s="11">
        <v>44377.0</v>
      </c>
      <c r="C1467" s="1" t="s">
        <v>771</v>
      </c>
      <c r="D1467" s="1" t="s">
        <v>772</v>
      </c>
      <c r="F1467" s="1">
        <v>2.944E9</v>
      </c>
      <c r="G1467" s="1">
        <v>2.172E9</v>
      </c>
      <c r="H1467" s="1">
        <v>2.041E9</v>
      </c>
      <c r="I1467" s="1">
        <v>5.241E9</v>
      </c>
      <c r="J1467" s="1">
        <v>3.181E9</v>
      </c>
      <c r="K1467" s="1">
        <v>3.181E9</v>
      </c>
      <c r="L1467" s="1">
        <v>-2.11E8</v>
      </c>
      <c r="M1467" s="1">
        <v>6.46E8</v>
      </c>
      <c r="N1467" s="1">
        <v>7.594E9</v>
      </c>
      <c r="O1467" s="1">
        <v>4.413E9</v>
      </c>
      <c r="P1467" s="1">
        <v>2.353E9</v>
      </c>
      <c r="Q1467" s="1">
        <v>-2.37E8</v>
      </c>
      <c r="R1467" s="1">
        <v>2.298E9</v>
      </c>
      <c r="S1467" s="1">
        <v>2.166E9</v>
      </c>
      <c r="W1467" s="4" t="str">
        <f>Raw_Data!C1466&amp;"|"&amp;Raw_Data!D1466&amp;"|"&amp;TEXT(Raw_Data!B1466,"yyyy-mm-dd")</f>
        <v>Philip Morris International|PM|2021-09-30</v>
      </c>
    </row>
    <row r="1468">
      <c r="A1468" s="1">
        <v>1466.0</v>
      </c>
      <c r="B1468" s="11">
        <v>44286.0</v>
      </c>
      <c r="C1468" s="1" t="s">
        <v>771</v>
      </c>
      <c r="D1468" s="1" t="s">
        <v>772</v>
      </c>
      <c r="F1468" s="1">
        <v>3.292E9</v>
      </c>
      <c r="G1468" s="1">
        <v>2.418E9</v>
      </c>
      <c r="H1468" s="1">
        <v>1.829E9</v>
      </c>
      <c r="I1468" s="1">
        <v>5.311E9</v>
      </c>
      <c r="J1468" s="1">
        <v>3.464E9</v>
      </c>
      <c r="K1468" s="1">
        <v>3.464E9</v>
      </c>
      <c r="L1468" s="1">
        <v>-2.09E8</v>
      </c>
      <c r="M1468" s="1">
        <v>6.97E8</v>
      </c>
      <c r="N1468" s="1">
        <v>7.585E9</v>
      </c>
      <c r="O1468" s="1">
        <v>4.121E9</v>
      </c>
      <c r="P1468" s="1">
        <v>2.274E9</v>
      </c>
      <c r="Q1468" s="1">
        <v>-1.72E8</v>
      </c>
      <c r="R1468" s="1">
        <v>2.595E9</v>
      </c>
      <c r="S1468" s="1">
        <v>2.411E9</v>
      </c>
      <c r="W1468" s="4" t="str">
        <f>Raw_Data!C1467&amp;"|"&amp;Raw_Data!D1467&amp;"|"&amp;TEXT(Raw_Data!B1467,"yyyy-mm-dd")</f>
        <v>Philip Morris International|PM|2021-06-30</v>
      </c>
    </row>
    <row r="1469">
      <c r="A1469" s="1">
        <v>1467.0</v>
      </c>
      <c r="B1469" s="11">
        <v>44196.0</v>
      </c>
      <c r="C1469" s="1" t="s">
        <v>771</v>
      </c>
      <c r="D1469" s="1" t="s">
        <v>772</v>
      </c>
      <c r="F1469" s="1">
        <v>2.732E9</v>
      </c>
      <c r="G1469" s="1">
        <v>1.976E9</v>
      </c>
      <c r="H1469" s="1">
        <v>1.9E9</v>
      </c>
      <c r="I1469" s="1">
        <v>4.872E9</v>
      </c>
      <c r="J1469" s="1">
        <v>2.954E9</v>
      </c>
      <c r="K1469" s="1">
        <v>2.954E9</v>
      </c>
      <c r="L1469" s="1">
        <v>-7.3E7</v>
      </c>
      <c r="M1469" s="1">
        <v>6.13E8</v>
      </c>
      <c r="N1469" s="1">
        <v>7.444E9</v>
      </c>
      <c r="O1469" s="1">
        <v>4.49E9</v>
      </c>
      <c r="P1469" s="1">
        <v>2.572E9</v>
      </c>
      <c r="Q1469" s="1">
        <v>-2.22E8</v>
      </c>
      <c r="R1469" s="1">
        <v>2.119E9</v>
      </c>
      <c r="S1469" s="1">
        <v>1.971E9</v>
      </c>
      <c r="W1469" s="4" t="str">
        <f>Raw_Data!C1468&amp;"|"&amp;Raw_Data!D1468&amp;"|"&amp;TEXT(Raw_Data!B1468,"yyyy-mm-dd")</f>
        <v>Philip Morris International|PM|2021-03-31</v>
      </c>
    </row>
    <row r="1470">
      <c r="A1470" s="1">
        <v>1468.0</v>
      </c>
      <c r="B1470" s="11">
        <v>44469.0</v>
      </c>
      <c r="C1470" s="1" t="s">
        <v>773</v>
      </c>
      <c r="D1470" s="1" t="s">
        <v>774</v>
      </c>
      <c r="F1470" s="1">
        <v>4.48E8</v>
      </c>
      <c r="G1470" s="1">
        <v>4.02E8</v>
      </c>
      <c r="H1470" s="1">
        <v>1.59E9</v>
      </c>
      <c r="I1470" s="1">
        <v>2.717E9</v>
      </c>
      <c r="J1470" s="1">
        <v>6.86E8</v>
      </c>
      <c r="K1470" s="1">
        <v>6.86E8</v>
      </c>
      <c r="L1470" s="1">
        <v>-1.51E8</v>
      </c>
      <c r="M1470" s="1">
        <v>-4.0E7</v>
      </c>
      <c r="N1470" s="1">
        <v>3.0246E10</v>
      </c>
      <c r="O1470" s="1">
        <v>2.956E10</v>
      </c>
      <c r="P1470" s="1">
        <v>2.7529E10</v>
      </c>
      <c r="Q1470" s="1">
        <v>-2.38E8</v>
      </c>
      <c r="R1470" s="1">
        <v>4.88E8</v>
      </c>
      <c r="S1470" s="1">
        <v>4.0E8</v>
      </c>
      <c r="W1470" s="4" t="str">
        <f>Raw_Data!C1469&amp;"|"&amp;Raw_Data!D1469&amp;"|"&amp;TEXT(Raw_Data!B1469,"yyyy-mm-dd")</f>
        <v>Philip Morris International|PM|2020-12-31</v>
      </c>
    </row>
    <row r="1471">
      <c r="A1471" s="1">
        <v>1469.0</v>
      </c>
      <c r="B1471" s="11">
        <v>44377.0</v>
      </c>
      <c r="C1471" s="1" t="s">
        <v>773</v>
      </c>
      <c r="D1471" s="1" t="s">
        <v>774</v>
      </c>
      <c r="F1471" s="1">
        <v>4.36E8</v>
      </c>
      <c r="G1471" s="1">
        <v>2.96E8</v>
      </c>
      <c r="H1471" s="1">
        <v>1.608E9</v>
      </c>
      <c r="I1471" s="1">
        <v>1.817E9</v>
      </c>
      <c r="J1471" s="1">
        <v>-2.62E8</v>
      </c>
      <c r="K1471" s="1">
        <v>-2.62E8</v>
      </c>
      <c r="L1471" s="1">
        <v>-1.43E8</v>
      </c>
      <c r="M1471" s="1">
        <v>6.2E7</v>
      </c>
      <c r="N1471" s="1">
        <v>2.7035E10</v>
      </c>
      <c r="O1471" s="1">
        <v>2.7297E10</v>
      </c>
      <c r="P1471" s="1">
        <v>2.5218E10</v>
      </c>
      <c r="Q1471" s="1">
        <v>6.98E8</v>
      </c>
      <c r="R1471" s="1">
        <v>3.74E8</v>
      </c>
      <c r="S1471" s="1">
        <v>2.91E8</v>
      </c>
      <c r="W1471" s="4" t="str">
        <f>Raw_Data!C1470&amp;"|"&amp;Raw_Data!D1470&amp;"|"&amp;TEXT(Raw_Data!B1470,"yyyy-mm-dd")</f>
        <v>Phillips 66|PSX|2021-09-30</v>
      </c>
    </row>
    <row r="1472">
      <c r="A1472" s="1">
        <v>1470.0</v>
      </c>
      <c r="B1472" s="11">
        <v>44286.0</v>
      </c>
      <c r="C1472" s="1" t="s">
        <v>773</v>
      </c>
      <c r="D1472" s="1" t="s">
        <v>774</v>
      </c>
      <c r="F1472" s="1">
        <v>-7.71E8</v>
      </c>
      <c r="G1472" s="1">
        <v>-6.54E8</v>
      </c>
      <c r="H1472" s="1">
        <v>1.788E9</v>
      </c>
      <c r="I1472" s="1">
        <v>1.577E9</v>
      </c>
      <c r="J1472" s="1">
        <v>-7.12E8</v>
      </c>
      <c r="K1472" s="1">
        <v>-7.12E8</v>
      </c>
      <c r="L1472" s="1">
        <v>-1.46E8</v>
      </c>
      <c r="M1472" s="1">
        <v>-1.32E8</v>
      </c>
      <c r="N1472" s="1">
        <v>2.1642E10</v>
      </c>
      <c r="O1472" s="1">
        <v>2.2354E10</v>
      </c>
      <c r="P1472" s="1">
        <v>2.0065E10</v>
      </c>
      <c r="Q1472" s="1">
        <v>-5.9E7</v>
      </c>
      <c r="R1472" s="1">
        <v>-6.39E8</v>
      </c>
      <c r="S1472" s="1">
        <v>-6.56E8</v>
      </c>
      <c r="W1472" s="4" t="str">
        <f>Raw_Data!C1471&amp;"|"&amp;Raw_Data!D1471&amp;"|"&amp;TEXT(Raw_Data!B1471,"yyyy-mm-dd")</f>
        <v>Phillips 66|PSX|2021-06-30</v>
      </c>
    </row>
    <row r="1473">
      <c r="A1473" s="1">
        <v>1471.0</v>
      </c>
      <c r="B1473" s="11">
        <v>44196.0</v>
      </c>
      <c r="C1473" s="1" t="s">
        <v>773</v>
      </c>
      <c r="D1473" s="1" t="s">
        <v>774</v>
      </c>
      <c r="F1473" s="1">
        <v>-6.91E8</v>
      </c>
      <c r="G1473" s="1">
        <v>-5.39E8</v>
      </c>
      <c r="H1473" s="1">
        <v>1.612E9</v>
      </c>
      <c r="I1473" s="1">
        <v>1.262E9</v>
      </c>
      <c r="J1473" s="1">
        <v>-7.99E8</v>
      </c>
      <c r="K1473" s="1">
        <v>-7.99E8</v>
      </c>
      <c r="L1473" s="1">
        <v>-1.39E8</v>
      </c>
      <c r="M1473" s="1">
        <v>-1.97E8</v>
      </c>
      <c r="N1473" s="1">
        <v>1.6412E10</v>
      </c>
      <c r="O1473" s="1">
        <v>1.7211E10</v>
      </c>
      <c r="P1473" s="1">
        <v>1.515E10</v>
      </c>
      <c r="Q1473" s="1">
        <v>1.08E8</v>
      </c>
      <c r="R1473" s="1">
        <v>-4.94E8</v>
      </c>
      <c r="S1473" s="1">
        <v>-5.41E8</v>
      </c>
      <c r="W1473" s="4" t="str">
        <f>Raw_Data!C1472&amp;"|"&amp;Raw_Data!D1472&amp;"|"&amp;TEXT(Raw_Data!B1472,"yyyy-mm-dd")</f>
        <v>Phillips 66|PSX|2021-03-31</v>
      </c>
    </row>
    <row r="1474">
      <c r="A1474" s="1">
        <v>1472.0</v>
      </c>
      <c r="B1474" s="11">
        <v>44469.0</v>
      </c>
      <c r="C1474" s="1" t="s">
        <v>775</v>
      </c>
      <c r="D1474" s="1" t="s">
        <v>776</v>
      </c>
      <c r="F1474" s="1">
        <v>4.15967E8</v>
      </c>
      <c r="G1474" s="1">
        <v>3.39798E8</v>
      </c>
      <c r="H1474" s="1">
        <v>7.9553E7</v>
      </c>
      <c r="I1474" s="1">
        <v>7.56104E8</v>
      </c>
      <c r="J1474" s="1">
        <v>4.57508E8</v>
      </c>
      <c r="K1474" s="1">
        <v>4.57508E8</v>
      </c>
      <c r="L1474" s="1">
        <v>-6.4067E7</v>
      </c>
      <c r="M1474" s="1">
        <v>7.1863E7</v>
      </c>
      <c r="N1474" s="1">
        <v>1.308254E9</v>
      </c>
      <c r="O1474" s="1">
        <v>8.50746E8</v>
      </c>
      <c r="P1474" s="1">
        <v>5.5215E8</v>
      </c>
      <c r="Q1474" s="1">
        <v>-4.1541E7</v>
      </c>
      <c r="R1474" s="1">
        <v>3.44104E8</v>
      </c>
      <c r="S1474" s="1">
        <v>3.39798E8</v>
      </c>
      <c r="W1474" s="4" t="str">
        <f>Raw_Data!C1473&amp;"|"&amp;Raw_Data!D1473&amp;"|"&amp;TEXT(Raw_Data!B1473,"yyyy-mm-dd")</f>
        <v>Phillips 66|PSX|2020-12-31</v>
      </c>
    </row>
    <row r="1475">
      <c r="A1475" s="1">
        <v>1473.0</v>
      </c>
      <c r="B1475" s="11">
        <v>44377.0</v>
      </c>
      <c r="C1475" s="1" t="s">
        <v>775</v>
      </c>
      <c r="D1475" s="1" t="s">
        <v>776</v>
      </c>
      <c r="F1475" s="1">
        <v>2.65996E8</v>
      </c>
      <c r="G1475" s="1">
        <v>2.15697E8</v>
      </c>
      <c r="H1475" s="1">
        <v>-2.8175E7</v>
      </c>
      <c r="I1475" s="1">
        <v>5.00724E8</v>
      </c>
      <c r="J1475" s="1">
        <v>3.06561E8</v>
      </c>
      <c r="K1475" s="1">
        <v>3.06561E8</v>
      </c>
      <c r="L1475" s="1">
        <v>-6.2777E7</v>
      </c>
      <c r="M1475" s="1">
        <v>4.656E7</v>
      </c>
      <c r="N1475" s="1">
        <v>1.000249E9</v>
      </c>
      <c r="O1475" s="1">
        <v>6.93688E8</v>
      </c>
      <c r="P1475" s="1">
        <v>4.99525E8</v>
      </c>
      <c r="Q1475" s="1">
        <v>-4.0565E7</v>
      </c>
      <c r="R1475" s="1">
        <v>2.19436E8</v>
      </c>
      <c r="S1475" s="1">
        <v>2.15697E8</v>
      </c>
      <c r="W1475" s="4" t="str">
        <f>Raw_Data!C1474&amp;"|"&amp;Raw_Data!D1474&amp;"|"&amp;TEXT(Raw_Data!B1474,"yyyy-mm-dd")</f>
        <v>Pinnacle West Capital|PNW|2021-09-30</v>
      </c>
    </row>
    <row r="1476">
      <c r="A1476" s="1">
        <v>1474.0</v>
      </c>
      <c r="B1476" s="11">
        <v>44286.0</v>
      </c>
      <c r="C1476" s="1" t="s">
        <v>775</v>
      </c>
      <c r="D1476" s="1" t="s">
        <v>776</v>
      </c>
      <c r="F1476" s="1">
        <v>3.6164E7</v>
      </c>
      <c r="G1476" s="1">
        <v>3.5641E7</v>
      </c>
      <c r="H1476" s="1">
        <v>-2.7791E7</v>
      </c>
      <c r="I1476" s="1">
        <v>2.68193E8</v>
      </c>
      <c r="J1476" s="1">
        <v>7.5325E7</v>
      </c>
      <c r="K1476" s="1">
        <v>7.5325E7</v>
      </c>
      <c r="L1476" s="1">
        <v>-6.1938E7</v>
      </c>
      <c r="M1476" s="1">
        <v>-4350000.0</v>
      </c>
      <c r="N1476" s="1">
        <v>6.96475E8</v>
      </c>
      <c r="O1476" s="1">
        <v>6.2115E8</v>
      </c>
      <c r="P1476" s="1">
        <v>4.28282E8</v>
      </c>
      <c r="Q1476" s="1">
        <v>-3.9161E7</v>
      </c>
      <c r="R1476" s="1">
        <v>4.0514E7</v>
      </c>
      <c r="S1476" s="1">
        <v>3.5641E7</v>
      </c>
      <c r="W1476" s="4" t="str">
        <f>Raw_Data!C1475&amp;"|"&amp;Raw_Data!D1475&amp;"|"&amp;TEXT(Raw_Data!B1475,"yyyy-mm-dd")</f>
        <v>Pinnacle West Capital|PNW|2021-06-30</v>
      </c>
    </row>
    <row r="1477">
      <c r="A1477" s="1">
        <v>1475.0</v>
      </c>
      <c r="B1477" s="11">
        <v>44196.0</v>
      </c>
      <c r="C1477" s="1" t="s">
        <v>775</v>
      </c>
      <c r="D1477" s="1" t="s">
        <v>776</v>
      </c>
      <c r="F1477" s="1">
        <v>-3.4431E7</v>
      </c>
      <c r="G1477" s="1">
        <v>-1.9391E7</v>
      </c>
      <c r="H1477" s="1">
        <v>-1.85105E8</v>
      </c>
      <c r="I1477" s="1">
        <v>7.5452E7</v>
      </c>
      <c r="J1477" s="1">
        <v>4.5018E7</v>
      </c>
      <c r="K1477" s="1">
        <v>4.5018E7</v>
      </c>
      <c r="L1477" s="1">
        <v>-6.408E7</v>
      </c>
      <c r="M1477" s="1">
        <v>-1.9913E7</v>
      </c>
      <c r="N1477" s="1">
        <v>7.40961E8</v>
      </c>
      <c r="O1477" s="1">
        <v>6.95943E8</v>
      </c>
      <c r="P1477" s="1">
        <v>6.65509E8</v>
      </c>
      <c r="Q1477" s="1">
        <v>-7.9449E7</v>
      </c>
      <c r="R1477" s="1">
        <v>-1.4518E7</v>
      </c>
      <c r="S1477" s="1">
        <v>-1.9391E7</v>
      </c>
      <c r="W1477" s="4" t="str">
        <f>Raw_Data!C1476&amp;"|"&amp;Raw_Data!D1476&amp;"|"&amp;TEXT(Raw_Data!B1476,"yyyy-mm-dd")</f>
        <v>Pinnacle West Capital|PNW|2021-03-31</v>
      </c>
    </row>
    <row r="1478">
      <c r="A1478" s="1">
        <v>1476.0</v>
      </c>
      <c r="B1478" s="11">
        <v>44469.0</v>
      </c>
      <c r="C1478" s="1" t="s">
        <v>777</v>
      </c>
      <c r="D1478" s="1" t="s">
        <v>778</v>
      </c>
      <c r="F1478" s="1">
        <v>1.336E9</v>
      </c>
      <c r="G1478" s="1">
        <v>1.045E9</v>
      </c>
      <c r="H1478" s="1">
        <v>7.2E7</v>
      </c>
      <c r="I1478" s="1">
        <v>2.697E9</v>
      </c>
      <c r="J1478" s="1">
        <v>1.384E9</v>
      </c>
      <c r="K1478" s="1">
        <v>1.384E9</v>
      </c>
      <c r="L1478" s="1">
        <v>-4.1E7</v>
      </c>
      <c r="M1478" s="1">
        <v>2.91E8</v>
      </c>
      <c r="N1478" s="1">
        <v>4.961E9</v>
      </c>
      <c r="O1478" s="1">
        <v>3.577E9</v>
      </c>
      <c r="P1478" s="1">
        <v>2.264E9</v>
      </c>
      <c r="Q1478" s="1">
        <v>-4.8E7</v>
      </c>
      <c r="R1478" s="1">
        <v>1.045E9</v>
      </c>
      <c r="S1478" s="1">
        <v>1.042E9</v>
      </c>
      <c r="W1478" s="4" t="str">
        <f>Raw_Data!C1477&amp;"|"&amp;Raw_Data!D1477&amp;"|"&amp;TEXT(Raw_Data!B1477,"yyyy-mm-dd")</f>
        <v>Pinnacle West Capital|PNW|2020-12-31</v>
      </c>
    </row>
    <row r="1479">
      <c r="A1479" s="1">
        <v>1477.0</v>
      </c>
      <c r="B1479" s="11">
        <v>44377.0</v>
      </c>
      <c r="C1479" s="1" t="s">
        <v>777</v>
      </c>
      <c r="D1479" s="1" t="s">
        <v>778</v>
      </c>
      <c r="F1479" s="1">
        <v>5.0E8</v>
      </c>
      <c r="G1479" s="1">
        <v>3.8E8</v>
      </c>
      <c r="H1479" s="1">
        <v>7.5E7</v>
      </c>
      <c r="I1479" s="1">
        <v>2.173E9</v>
      </c>
      <c r="J1479" s="1">
        <v>5.92E8</v>
      </c>
      <c r="K1479" s="1">
        <v>5.92E8</v>
      </c>
      <c r="L1479" s="1">
        <v>-4.1E7</v>
      </c>
      <c r="M1479" s="1">
        <v>1.2E8</v>
      </c>
      <c r="N1479" s="1">
        <v>4.269E9</v>
      </c>
      <c r="O1479" s="1">
        <v>3.677E9</v>
      </c>
      <c r="P1479" s="1">
        <v>2.096E9</v>
      </c>
      <c r="Q1479" s="1">
        <v>-9.2E7</v>
      </c>
      <c r="R1479" s="1">
        <v>3.8E8</v>
      </c>
      <c r="S1479" s="1">
        <v>3.79E8</v>
      </c>
      <c r="W1479" s="4" t="str">
        <f>Raw_Data!C1478&amp;"|"&amp;Raw_Data!D1478&amp;"|"&amp;TEXT(Raw_Data!B1478,"yyyy-mm-dd")</f>
        <v>Pioneer Natural Resources|PXD|2021-09-30</v>
      </c>
    </row>
    <row r="1480">
      <c r="A1480" s="1">
        <v>1478.0</v>
      </c>
      <c r="B1480" s="11">
        <v>44286.0</v>
      </c>
      <c r="C1480" s="1" t="s">
        <v>777</v>
      </c>
      <c r="D1480" s="1" t="s">
        <v>778</v>
      </c>
      <c r="F1480" s="1">
        <v>-8.1E7</v>
      </c>
      <c r="G1480" s="1">
        <v>-7.0E7</v>
      </c>
      <c r="H1480" s="1">
        <v>6.8E7</v>
      </c>
      <c r="I1480" s="1">
        <v>1.444E9</v>
      </c>
      <c r="J1480" s="1">
        <v>1.69E8</v>
      </c>
      <c r="K1480" s="1">
        <v>1.69E8</v>
      </c>
      <c r="L1480" s="1">
        <v>-3.9E7</v>
      </c>
      <c r="M1480" s="1">
        <v>-1.1E7</v>
      </c>
      <c r="N1480" s="1">
        <v>3.064E9</v>
      </c>
      <c r="O1480" s="1">
        <v>2.895E9</v>
      </c>
      <c r="P1480" s="1">
        <v>1.62E9</v>
      </c>
      <c r="Q1480" s="1">
        <v>-2.5E8</v>
      </c>
      <c r="R1480" s="1">
        <v>-7.0E7</v>
      </c>
      <c r="S1480" s="1">
        <v>-7.0E7</v>
      </c>
      <c r="W1480" s="4" t="str">
        <f>Raw_Data!C1479&amp;"|"&amp;Raw_Data!D1479&amp;"|"&amp;TEXT(Raw_Data!B1479,"yyyy-mm-dd")</f>
        <v>Pioneer Natural Resources|PXD|2021-06-30</v>
      </c>
    </row>
    <row r="1481">
      <c r="A1481" s="1">
        <v>1479.0</v>
      </c>
      <c r="B1481" s="11">
        <v>44196.0</v>
      </c>
      <c r="C1481" s="1" t="s">
        <v>777</v>
      </c>
      <c r="D1481" s="1" t="s">
        <v>778</v>
      </c>
      <c r="F1481" s="1">
        <v>-7.3E7</v>
      </c>
      <c r="G1481" s="1">
        <v>-3.0E7</v>
      </c>
      <c r="H1481" s="1">
        <v>6.4E7</v>
      </c>
      <c r="I1481" s="1">
        <v>7.45E8</v>
      </c>
      <c r="J1481" s="1">
        <v>-1.0E8</v>
      </c>
      <c r="K1481" s="1">
        <v>-1.0E8</v>
      </c>
      <c r="L1481" s="1">
        <v>-3.5E7</v>
      </c>
      <c r="M1481" s="1">
        <v>-4.3E7</v>
      </c>
      <c r="N1481" s="1">
        <v>2.016E9</v>
      </c>
      <c r="O1481" s="1">
        <v>2.116E9</v>
      </c>
      <c r="P1481" s="1">
        <v>1.271E9</v>
      </c>
      <c r="Q1481" s="1">
        <v>2.7E7</v>
      </c>
      <c r="R1481" s="1">
        <v>-3.0E7</v>
      </c>
      <c r="S1481" s="1">
        <v>-3.0E7</v>
      </c>
      <c r="W1481" s="4" t="str">
        <f>Raw_Data!C1480&amp;"|"&amp;Raw_Data!D1480&amp;"|"&amp;TEXT(Raw_Data!B1480,"yyyy-mm-dd")</f>
        <v>Pioneer Natural Resources|PXD|2021-03-31</v>
      </c>
    </row>
    <row r="1482">
      <c r="A1482" s="1">
        <v>1480.0</v>
      </c>
      <c r="B1482" s="11">
        <v>44469.0</v>
      </c>
      <c r="C1482" s="1" t="s">
        <v>779</v>
      </c>
      <c r="D1482" s="1" t="s">
        <v>780</v>
      </c>
      <c r="F1482" s="1">
        <v>1.813E9</v>
      </c>
      <c r="G1482" s="1">
        <v>1.474E9</v>
      </c>
      <c r="H1482" s="1">
        <v>2.692E9</v>
      </c>
      <c r="I1482" s="1">
        <v>5.4E9</v>
      </c>
      <c r="J1482" s="1">
        <v>0.0</v>
      </c>
      <c r="K1482" s="1">
        <v>1.813E9</v>
      </c>
      <c r="M1482" s="1">
        <v>3.23E8</v>
      </c>
      <c r="N1482" s="1">
        <v>5.4E9</v>
      </c>
      <c r="O1482" s="1">
        <v>3.587E9</v>
      </c>
      <c r="P1482" s="1">
        <v>0.0</v>
      </c>
      <c r="Q1482" s="1">
        <v>0.0</v>
      </c>
      <c r="R1482" s="1">
        <v>1.49E9</v>
      </c>
      <c r="S1482" s="1">
        <v>1.408E9</v>
      </c>
      <c r="W1482" s="4" t="str">
        <f>Raw_Data!C1481&amp;"|"&amp;Raw_Data!D1481&amp;"|"&amp;TEXT(Raw_Data!B1481,"yyyy-mm-dd")</f>
        <v>Pioneer Natural Resources|PXD|2020-12-31</v>
      </c>
    </row>
    <row r="1483">
      <c r="A1483" s="1">
        <v>1481.0</v>
      </c>
      <c r="B1483" s="11">
        <v>44377.0</v>
      </c>
      <c r="C1483" s="1" t="s">
        <v>779</v>
      </c>
      <c r="D1483" s="1" t="s">
        <v>780</v>
      </c>
      <c r="F1483" s="1">
        <v>1.315E9</v>
      </c>
      <c r="G1483" s="1">
        <v>1.091E9</v>
      </c>
      <c r="H1483" s="1">
        <v>2.257E9</v>
      </c>
      <c r="I1483" s="1">
        <v>4.365E9</v>
      </c>
      <c r="J1483" s="1">
        <v>0.0</v>
      </c>
      <c r="K1483" s="1">
        <v>1.315E9</v>
      </c>
      <c r="M1483" s="1">
        <v>2.12E8</v>
      </c>
      <c r="N1483" s="1">
        <v>4.365E9</v>
      </c>
      <c r="O1483" s="1">
        <v>3.05E9</v>
      </c>
      <c r="P1483" s="1">
        <v>0.0</v>
      </c>
      <c r="Q1483" s="1">
        <v>0.0</v>
      </c>
      <c r="R1483" s="1">
        <v>1.103E9</v>
      </c>
      <c r="S1483" s="1">
        <v>1.037E9</v>
      </c>
      <c r="W1483" s="4" t="str">
        <f>Raw_Data!C1482&amp;"|"&amp;Raw_Data!D1482&amp;"|"&amp;TEXT(Raw_Data!B1482,"yyyy-mm-dd")</f>
        <v>PNC Financial Services|PNC|2021-09-30</v>
      </c>
    </row>
    <row r="1484">
      <c r="A1484" s="1">
        <v>1482.0</v>
      </c>
      <c r="B1484" s="11">
        <v>44286.0</v>
      </c>
      <c r="C1484" s="1" t="s">
        <v>779</v>
      </c>
      <c r="D1484" s="1" t="s">
        <v>780</v>
      </c>
      <c r="F1484" s="1">
        <v>2.197E9</v>
      </c>
      <c r="G1484" s="1">
        <v>1.816E9</v>
      </c>
      <c r="H1484" s="1">
        <v>2.03E9</v>
      </c>
      <c r="I1484" s="1">
        <v>4.771E9</v>
      </c>
      <c r="J1484" s="1">
        <v>0.0</v>
      </c>
      <c r="K1484" s="1">
        <v>2.197E9</v>
      </c>
      <c r="M1484" s="1">
        <v>3.71E8</v>
      </c>
      <c r="N1484" s="1">
        <v>4.771E9</v>
      </c>
      <c r="O1484" s="1">
        <v>2.574E9</v>
      </c>
      <c r="P1484" s="1">
        <v>0.0</v>
      </c>
      <c r="Q1484" s="1">
        <v>0.0</v>
      </c>
      <c r="R1484" s="1">
        <v>1.826E9</v>
      </c>
      <c r="S1484" s="1">
        <v>1.75E9</v>
      </c>
      <c r="W1484" s="4" t="str">
        <f>Raw_Data!C1483&amp;"|"&amp;Raw_Data!D1483&amp;"|"&amp;TEXT(Raw_Data!B1483,"yyyy-mm-dd")</f>
        <v>PNC Financial Services|PNC|2021-06-30</v>
      </c>
    </row>
    <row r="1485">
      <c r="A1485" s="1">
        <v>1483.0</v>
      </c>
      <c r="B1485" s="11">
        <v>44196.0</v>
      </c>
      <c r="C1485" s="1" t="s">
        <v>779</v>
      </c>
      <c r="D1485" s="1" t="s">
        <v>780</v>
      </c>
      <c r="F1485" s="1">
        <v>1.754E9</v>
      </c>
      <c r="G1485" s="1">
        <v>2.2E8</v>
      </c>
      <c r="H1485" s="1">
        <v>2.096E9</v>
      </c>
      <c r="I1485" s="1">
        <v>4.462E9</v>
      </c>
      <c r="J1485" s="1">
        <v>0.0</v>
      </c>
      <c r="K1485" s="1">
        <v>1.754E9</v>
      </c>
      <c r="M1485" s="1">
        <v>2.98E8</v>
      </c>
      <c r="N1485" s="1">
        <v>4.462E9</v>
      </c>
      <c r="O1485" s="1">
        <v>2.708E9</v>
      </c>
      <c r="P1485" s="1">
        <v>0.0</v>
      </c>
      <c r="Q1485" s="1">
        <v>0.0</v>
      </c>
      <c r="R1485" s="1">
        <v>1.456E9</v>
      </c>
      <c r="S1485" s="1">
        <v>1.65E8</v>
      </c>
      <c r="W1485" s="4" t="str">
        <f>Raw_Data!C1484&amp;"|"&amp;Raw_Data!D1484&amp;"|"&amp;TEXT(Raw_Data!B1484,"yyyy-mm-dd")</f>
        <v>PNC Financial Services|PNC|2021-03-31</v>
      </c>
    </row>
    <row r="1486">
      <c r="A1486" s="1">
        <v>1484.0</v>
      </c>
      <c r="B1486" s="11">
        <v>44469.0</v>
      </c>
      <c r="C1486" s="1" t="s">
        <v>781</v>
      </c>
      <c r="D1486" s="1" t="s">
        <v>782</v>
      </c>
      <c r="F1486" s="1">
        <v>2.35051E8</v>
      </c>
      <c r="G1486" s="1">
        <v>1.84665E8</v>
      </c>
      <c r="H1486" s="1">
        <v>2.06023E8</v>
      </c>
      <c r="I1486" s="1">
        <v>4.41899E8</v>
      </c>
      <c r="J1486" s="1">
        <v>2.35876E8</v>
      </c>
      <c r="K1486" s="1">
        <v>2.35876E8</v>
      </c>
      <c r="L1486" s="1">
        <v>-2317000.0</v>
      </c>
      <c r="M1486" s="1">
        <v>5.0386E7</v>
      </c>
      <c r="N1486" s="1">
        <v>1.411448E9</v>
      </c>
      <c r="O1486" s="1">
        <v>1.175572E9</v>
      </c>
      <c r="P1486" s="1">
        <v>9.69549E8</v>
      </c>
      <c r="Q1486" s="1">
        <v>-825000.0</v>
      </c>
      <c r="R1486" s="1">
        <v>1.84665E8</v>
      </c>
      <c r="S1486" s="1">
        <v>1.84665E8</v>
      </c>
      <c r="W1486" s="4" t="str">
        <f>Raw_Data!C1485&amp;"|"&amp;Raw_Data!D1485&amp;"|"&amp;TEXT(Raw_Data!B1485,"yyyy-mm-dd")</f>
        <v>PNC Financial Services|PNC|2020-12-31</v>
      </c>
    </row>
    <row r="1487">
      <c r="A1487" s="1">
        <v>1485.0</v>
      </c>
      <c r="B1487" s="11">
        <v>44377.0</v>
      </c>
      <c r="C1487" s="1" t="s">
        <v>781</v>
      </c>
      <c r="D1487" s="1" t="s">
        <v>782</v>
      </c>
      <c r="F1487" s="1">
        <v>3.3668E8</v>
      </c>
      <c r="G1487" s="1">
        <v>2.59695E8</v>
      </c>
      <c r="H1487" s="1">
        <v>2.13099E8</v>
      </c>
      <c r="I1487" s="1">
        <v>5.51685E8</v>
      </c>
      <c r="J1487" s="1">
        <v>3.38586E8</v>
      </c>
      <c r="K1487" s="1">
        <v>3.38586E8</v>
      </c>
      <c r="L1487" s="1">
        <v>-1963000.0</v>
      </c>
      <c r="M1487" s="1">
        <v>7.6985E7</v>
      </c>
      <c r="N1487" s="1">
        <v>1.787833E9</v>
      </c>
      <c r="O1487" s="1">
        <v>1.449247E9</v>
      </c>
      <c r="P1487" s="1">
        <v>1.236148E9</v>
      </c>
      <c r="Q1487" s="1">
        <v>-1906000.0</v>
      </c>
      <c r="R1487" s="1">
        <v>2.59695E8</v>
      </c>
      <c r="S1487" s="1">
        <v>2.59695E8</v>
      </c>
      <c r="W1487" s="4" t="str">
        <f>Raw_Data!C1486&amp;"|"&amp;Raw_Data!D1486&amp;"|"&amp;TEXT(Raw_Data!B1486,"yyyy-mm-dd")</f>
        <v>Pool Corporation|POOL|2021-09-30</v>
      </c>
    </row>
    <row r="1488">
      <c r="A1488" s="1">
        <v>1486.0</v>
      </c>
      <c r="B1488" s="11">
        <v>44286.0</v>
      </c>
      <c r="C1488" s="1" t="s">
        <v>781</v>
      </c>
      <c r="D1488" s="1" t="s">
        <v>782</v>
      </c>
      <c r="F1488" s="1">
        <v>1.26524E8</v>
      </c>
      <c r="G1488" s="1">
        <v>9.8655E7</v>
      </c>
      <c r="H1488" s="1">
        <v>1.721E8</v>
      </c>
      <c r="I1488" s="1">
        <v>3.01131E8</v>
      </c>
      <c r="J1488" s="1">
        <v>1.29031E8</v>
      </c>
      <c r="K1488" s="1">
        <v>1.29031E8</v>
      </c>
      <c r="L1488" s="1">
        <v>-2582000.0</v>
      </c>
      <c r="M1488" s="1">
        <v>2.7869E7</v>
      </c>
      <c r="N1488" s="1">
        <v>1.060745E9</v>
      </c>
      <c r="O1488" s="1">
        <v>9.31714E8</v>
      </c>
      <c r="P1488" s="1">
        <v>7.59614E8</v>
      </c>
      <c r="Q1488" s="1">
        <v>-2507000.0</v>
      </c>
      <c r="R1488" s="1">
        <v>9.8655E7</v>
      </c>
      <c r="S1488" s="1">
        <v>9.8655E7</v>
      </c>
      <c r="W1488" s="4" t="str">
        <f>Raw_Data!C1487&amp;"|"&amp;Raw_Data!D1487&amp;"|"&amp;TEXT(Raw_Data!B1487,"yyyy-mm-dd")</f>
        <v>Pool Corporation|POOL|2021-06-30</v>
      </c>
    </row>
    <row r="1489">
      <c r="A1489" s="1">
        <v>1487.0</v>
      </c>
      <c r="B1489" s="11">
        <v>44196.0</v>
      </c>
      <c r="C1489" s="1" t="s">
        <v>781</v>
      </c>
      <c r="D1489" s="1" t="s">
        <v>782</v>
      </c>
      <c r="F1489" s="1">
        <v>7.1336E7</v>
      </c>
      <c r="G1489" s="1">
        <v>5.9173E7</v>
      </c>
      <c r="H1489" s="1">
        <v>1.64745E8</v>
      </c>
      <c r="I1489" s="1">
        <v>2.39095E8</v>
      </c>
      <c r="J1489" s="1">
        <v>7.435E7</v>
      </c>
      <c r="K1489" s="1">
        <v>7.435E7</v>
      </c>
      <c r="L1489" s="1">
        <v>-1361000.0</v>
      </c>
      <c r="M1489" s="1">
        <v>1.2163E7</v>
      </c>
      <c r="N1489" s="1">
        <v>8.39261E8</v>
      </c>
      <c r="O1489" s="1">
        <v>7.64911E8</v>
      </c>
      <c r="P1489" s="1">
        <v>6.00166E8</v>
      </c>
      <c r="Q1489" s="1">
        <v>-3014000.0</v>
      </c>
      <c r="R1489" s="1">
        <v>5.9173E7</v>
      </c>
      <c r="S1489" s="1">
        <v>5.9173E7</v>
      </c>
      <c r="W1489" s="4" t="str">
        <f>Raw_Data!C1488&amp;"|"&amp;Raw_Data!D1488&amp;"|"&amp;TEXT(Raw_Data!B1488,"yyyy-mm-dd")</f>
        <v>Pool Corporation|POOL|2021-03-31</v>
      </c>
    </row>
    <row r="1490">
      <c r="A1490" s="1">
        <v>1488.0</v>
      </c>
      <c r="B1490" s="11">
        <v>44469.0</v>
      </c>
      <c r="C1490" s="1" t="s">
        <v>783</v>
      </c>
      <c r="D1490" s="1" t="s">
        <v>784</v>
      </c>
      <c r="E1490" s="1">
        <v>1.14E8</v>
      </c>
      <c r="F1490" s="1">
        <v>4.41E8</v>
      </c>
      <c r="G1490" s="1">
        <v>3.44E8</v>
      </c>
      <c r="H1490" s="1">
        <v>9.07E8</v>
      </c>
      <c r="I1490" s="1">
        <v>1.639E9</v>
      </c>
      <c r="J1490" s="1">
        <v>4.72E8</v>
      </c>
      <c r="K1490" s="1">
        <v>4.72E8</v>
      </c>
      <c r="L1490" s="1">
        <v>-3.0E7</v>
      </c>
      <c r="M1490" s="1">
        <v>9.6E7</v>
      </c>
      <c r="N1490" s="1">
        <v>4.372E9</v>
      </c>
      <c r="O1490" s="1">
        <v>3.9E9</v>
      </c>
      <c r="P1490" s="1">
        <v>2.733E9</v>
      </c>
      <c r="Q1490" s="1">
        <v>-3.1E7</v>
      </c>
      <c r="R1490" s="1">
        <v>3.45E8</v>
      </c>
      <c r="S1490" s="1">
        <v>3.44E8</v>
      </c>
      <c r="W1490" s="4" t="str">
        <f>Raw_Data!C1489&amp;"|"&amp;Raw_Data!D1489&amp;"|"&amp;TEXT(Raw_Data!B1489,"yyyy-mm-dd")</f>
        <v>Pool Corporation|POOL|2020-12-31</v>
      </c>
    </row>
    <row r="1491">
      <c r="A1491" s="1">
        <v>1489.0</v>
      </c>
      <c r="B1491" s="11">
        <v>44377.0</v>
      </c>
      <c r="C1491" s="1" t="s">
        <v>783</v>
      </c>
      <c r="D1491" s="1" t="s">
        <v>784</v>
      </c>
      <c r="E1491" s="1">
        <v>1.07E8</v>
      </c>
      <c r="F1491" s="1">
        <v>5.93E8</v>
      </c>
      <c r="G1491" s="1">
        <v>4.31E8</v>
      </c>
      <c r="H1491" s="1">
        <v>9.55E8</v>
      </c>
      <c r="I1491" s="1">
        <v>1.73E9</v>
      </c>
      <c r="J1491" s="1">
        <v>5.2E8</v>
      </c>
      <c r="K1491" s="1">
        <v>5.2E8</v>
      </c>
      <c r="L1491" s="1">
        <v>-3.1E7</v>
      </c>
      <c r="M1491" s="1">
        <v>1.6E8</v>
      </c>
      <c r="N1491" s="1">
        <v>4.359E9</v>
      </c>
      <c r="O1491" s="1">
        <v>3.839E9</v>
      </c>
      <c r="P1491" s="1">
        <v>2.629E9</v>
      </c>
      <c r="Q1491" s="1">
        <v>7.3E7</v>
      </c>
      <c r="R1491" s="1">
        <v>4.33E8</v>
      </c>
      <c r="S1491" s="1">
        <v>4.31E8</v>
      </c>
      <c r="W1491" s="4" t="str">
        <f>Raw_Data!C1490&amp;"|"&amp;Raw_Data!D1490&amp;"|"&amp;TEXT(Raw_Data!B1490,"yyyy-mm-dd")</f>
        <v>PPG Industries|PPG|2021-09-30</v>
      </c>
    </row>
    <row r="1492">
      <c r="A1492" s="1">
        <v>1490.0</v>
      </c>
      <c r="B1492" s="11">
        <v>44286.0</v>
      </c>
      <c r="C1492" s="1" t="s">
        <v>783</v>
      </c>
      <c r="D1492" s="1" t="s">
        <v>784</v>
      </c>
      <c r="E1492" s="1">
        <v>1.02E8</v>
      </c>
      <c r="F1492" s="1">
        <v>4.99E8</v>
      </c>
      <c r="G1492" s="1">
        <v>3.78E8</v>
      </c>
      <c r="H1492" s="1">
        <v>8.91E8</v>
      </c>
      <c r="I1492" s="1">
        <v>1.649E9</v>
      </c>
      <c r="J1492" s="1">
        <v>5.13E8</v>
      </c>
      <c r="K1492" s="1">
        <v>5.13E8</v>
      </c>
      <c r="L1492" s="1">
        <v>-3.0E7</v>
      </c>
      <c r="M1492" s="1">
        <v>1.14E8</v>
      </c>
      <c r="N1492" s="1">
        <v>3.881E9</v>
      </c>
      <c r="O1492" s="1">
        <v>3.368E9</v>
      </c>
      <c r="P1492" s="1">
        <v>2.232E9</v>
      </c>
      <c r="Q1492" s="1">
        <v>-1.4E7</v>
      </c>
      <c r="R1492" s="1">
        <v>3.85E8</v>
      </c>
      <c r="S1492" s="1">
        <v>3.78E8</v>
      </c>
      <c r="W1492" s="4" t="str">
        <f>Raw_Data!C1491&amp;"|"&amp;Raw_Data!D1491&amp;"|"&amp;TEXT(Raw_Data!B1491,"yyyy-mm-dd")</f>
        <v>PPG Industries|PPG|2021-06-30</v>
      </c>
    </row>
    <row r="1493">
      <c r="A1493" s="1">
        <v>1491.0</v>
      </c>
      <c r="B1493" s="11">
        <v>44196.0</v>
      </c>
      <c r="C1493" s="1" t="s">
        <v>783</v>
      </c>
      <c r="D1493" s="1" t="s">
        <v>784</v>
      </c>
      <c r="E1493" s="1">
        <v>1.0E8</v>
      </c>
      <c r="F1493" s="1">
        <v>3.45E8</v>
      </c>
      <c r="G1493" s="1">
        <v>2.72E8</v>
      </c>
      <c r="H1493" s="1">
        <v>9.16E8</v>
      </c>
      <c r="I1493" s="1">
        <v>1.651E9</v>
      </c>
      <c r="J1493" s="1">
        <v>4.14E8</v>
      </c>
      <c r="K1493" s="1">
        <v>4.14E8</v>
      </c>
      <c r="L1493" s="1">
        <v>-3.1E7</v>
      </c>
      <c r="M1493" s="1">
        <v>6.7E7</v>
      </c>
      <c r="N1493" s="1">
        <v>3.757E9</v>
      </c>
      <c r="O1493" s="1">
        <v>3.343E9</v>
      </c>
      <c r="P1493" s="1">
        <v>2.106E9</v>
      </c>
      <c r="Q1493" s="1">
        <v>-6.9E7</v>
      </c>
      <c r="R1493" s="1">
        <v>2.78E8</v>
      </c>
      <c r="S1493" s="1">
        <v>2.72E8</v>
      </c>
      <c r="W1493" s="4" t="str">
        <f>Raw_Data!C1492&amp;"|"&amp;Raw_Data!D1492&amp;"|"&amp;TEXT(Raw_Data!B1492,"yyyy-mm-dd")</f>
        <v>PPG Industries|PPG|2021-03-31</v>
      </c>
    </row>
    <row r="1494">
      <c r="A1494" s="1">
        <v>1492.0</v>
      </c>
      <c r="B1494" s="11">
        <v>44469.0</v>
      </c>
      <c r="C1494" s="1" t="s">
        <v>785</v>
      </c>
      <c r="D1494" s="1" t="s">
        <v>785</v>
      </c>
      <c r="F1494" s="1">
        <v>2.6E8</v>
      </c>
      <c r="G1494" s="1">
        <v>2.07E8</v>
      </c>
      <c r="I1494" s="1">
        <v>7.57E8</v>
      </c>
      <c r="J1494" s="1">
        <v>4.31E8</v>
      </c>
      <c r="K1494" s="1">
        <v>4.31E8</v>
      </c>
      <c r="L1494" s="1">
        <v>-1.83E8</v>
      </c>
      <c r="M1494" s="1">
        <v>5.1E7</v>
      </c>
      <c r="N1494" s="1">
        <v>1.512E9</v>
      </c>
      <c r="O1494" s="1">
        <v>1.081E9</v>
      </c>
      <c r="P1494" s="1">
        <v>7.55E8</v>
      </c>
      <c r="Q1494" s="1">
        <v>-1.71E8</v>
      </c>
      <c r="R1494" s="1">
        <v>2.09E8</v>
      </c>
      <c r="S1494" s="1">
        <v>2.07E8</v>
      </c>
      <c r="W1494" s="4" t="str">
        <f>Raw_Data!C1493&amp;"|"&amp;Raw_Data!D1493&amp;"|"&amp;TEXT(Raw_Data!B1493,"yyyy-mm-dd")</f>
        <v>PPG Industries|PPG|2020-12-31</v>
      </c>
    </row>
    <row r="1495">
      <c r="A1495" s="1">
        <v>1493.0</v>
      </c>
      <c r="B1495" s="11">
        <v>44377.0</v>
      </c>
      <c r="C1495" s="1" t="s">
        <v>785</v>
      </c>
      <c r="D1495" s="1" t="s">
        <v>785</v>
      </c>
      <c r="F1495" s="1">
        <v>-1.91E8</v>
      </c>
      <c r="G1495" s="1">
        <v>1.9E7</v>
      </c>
      <c r="H1495" s="1">
        <v>-8000000.0</v>
      </c>
      <c r="I1495" s="1">
        <v>5.88E8</v>
      </c>
      <c r="J1495" s="1">
        <v>2.78E8</v>
      </c>
      <c r="K1495" s="1">
        <v>2.78E8</v>
      </c>
      <c r="L1495" s="1">
        <v>-4.74E8</v>
      </c>
      <c r="M1495" s="1">
        <v>3.45E8</v>
      </c>
      <c r="N1495" s="1">
        <v>1.288E9</v>
      </c>
      <c r="O1495" s="1">
        <v>1.01E9</v>
      </c>
      <c r="P1495" s="1">
        <v>7.0E8</v>
      </c>
      <c r="Q1495" s="1">
        <v>-4.69E8</v>
      </c>
      <c r="R1495" s="1">
        <v>-5.36E8</v>
      </c>
      <c r="S1495" s="1">
        <v>1.9E7</v>
      </c>
      <c r="W1495" s="4" t="str">
        <f>Raw_Data!C1494&amp;"|"&amp;Raw_Data!D1494&amp;"|"&amp;TEXT(Raw_Data!B1494,"yyyy-mm-dd")</f>
        <v>PPL|PPL|2021-09-30</v>
      </c>
    </row>
    <row r="1496">
      <c r="A1496" s="1">
        <v>1494.0</v>
      </c>
      <c r="B1496" s="11">
        <v>44286.0</v>
      </c>
      <c r="C1496" s="1" t="s">
        <v>785</v>
      </c>
      <c r="D1496" s="1" t="s">
        <v>785</v>
      </c>
      <c r="F1496" s="1">
        <v>2.62E8</v>
      </c>
      <c r="G1496" s="1">
        <v>-1.84E9</v>
      </c>
      <c r="H1496" s="1">
        <v>-4000000.0</v>
      </c>
      <c r="I1496" s="1">
        <v>7.34E8</v>
      </c>
      <c r="J1496" s="1">
        <v>4.19E8</v>
      </c>
      <c r="K1496" s="1">
        <v>4.19E8</v>
      </c>
      <c r="L1496" s="1">
        <v>-1.53E8</v>
      </c>
      <c r="M1496" s="1">
        <v>5.9E7</v>
      </c>
      <c r="N1496" s="1">
        <v>1.498E9</v>
      </c>
      <c r="O1496" s="1">
        <v>1.079E9</v>
      </c>
      <c r="P1496" s="1">
        <v>7.64E8</v>
      </c>
      <c r="Q1496" s="1">
        <v>-1.57E8</v>
      </c>
      <c r="R1496" s="1">
        <v>2.03E8</v>
      </c>
      <c r="S1496" s="1">
        <v>-1.84E9</v>
      </c>
      <c r="W1496" s="4" t="str">
        <f>Raw_Data!C1495&amp;"|"&amp;Raw_Data!D1495&amp;"|"&amp;TEXT(Raw_Data!B1495,"yyyy-mm-dd")</f>
        <v>PPL|PPL|2021-06-30</v>
      </c>
    </row>
    <row r="1497">
      <c r="A1497" s="1">
        <v>1495.0</v>
      </c>
      <c r="B1497" s="11">
        <v>44196.0</v>
      </c>
      <c r="C1497" s="1" t="s">
        <v>785</v>
      </c>
      <c r="D1497" s="1" t="s">
        <v>785</v>
      </c>
      <c r="F1497" s="1">
        <v>3.69E8</v>
      </c>
      <c r="G1497" s="1">
        <v>2.9E8</v>
      </c>
      <c r="H1497" s="1">
        <v>-6.0E7</v>
      </c>
      <c r="I1497" s="1">
        <v>1.115E9</v>
      </c>
      <c r="J1497" s="1">
        <v>7.66E8</v>
      </c>
      <c r="K1497" s="1">
        <v>7.66E8</v>
      </c>
      <c r="L1497" s="1">
        <v>-2.51E8</v>
      </c>
      <c r="M1497" s="1">
        <v>7.9E7</v>
      </c>
      <c r="N1497" s="1">
        <v>1.929E9</v>
      </c>
      <c r="O1497" s="1">
        <v>1.163E9</v>
      </c>
      <c r="P1497" s="1">
        <v>8.14E8</v>
      </c>
      <c r="Q1497" s="1">
        <v>-3.97E8</v>
      </c>
      <c r="R1497" s="1">
        <v>2.9E8</v>
      </c>
      <c r="S1497" s="1">
        <v>2.9E8</v>
      </c>
      <c r="W1497" s="4" t="str">
        <f>Raw_Data!C1496&amp;"|"&amp;Raw_Data!D1496&amp;"|"&amp;TEXT(Raw_Data!B1496,"yyyy-mm-dd")</f>
        <v>PPL|PPL|2021-03-31</v>
      </c>
    </row>
    <row r="1498">
      <c r="A1498" s="1">
        <v>1496.0</v>
      </c>
      <c r="B1498" s="11">
        <v>44469.0</v>
      </c>
      <c r="C1498" s="1" t="s">
        <v>786</v>
      </c>
      <c r="D1498" s="1" t="s">
        <v>787</v>
      </c>
      <c r="F1498" s="1">
        <v>4.281E8</v>
      </c>
      <c r="G1498" s="1">
        <v>3.599E8</v>
      </c>
      <c r="H1498" s="1">
        <v>1.1965E9</v>
      </c>
      <c r="I1498" s="1">
        <v>1.6246E9</v>
      </c>
      <c r="J1498" s="1">
        <v>4.281E8</v>
      </c>
      <c r="K1498" s="1">
        <v>4.281E8</v>
      </c>
      <c r="M1498" s="1">
        <v>6.38E7</v>
      </c>
      <c r="N1498" s="1">
        <v>3.4237E9</v>
      </c>
      <c r="O1498" s="1">
        <v>2.9956E9</v>
      </c>
      <c r="P1498" s="1">
        <v>1.7991E9</v>
      </c>
      <c r="Q1498" s="1">
        <v>0.0</v>
      </c>
      <c r="R1498" s="1">
        <v>3.643E8</v>
      </c>
      <c r="S1498" s="1">
        <v>3.599E8</v>
      </c>
      <c r="W1498" s="4" t="str">
        <f>Raw_Data!C1497&amp;"|"&amp;Raw_Data!D1497&amp;"|"&amp;TEXT(Raw_Data!B1497,"yyyy-mm-dd")</f>
        <v>PPL|PPL|2020-12-31</v>
      </c>
    </row>
    <row r="1499">
      <c r="A1499" s="1">
        <v>1497.0</v>
      </c>
      <c r="B1499" s="11">
        <v>44377.0</v>
      </c>
      <c r="C1499" s="1" t="s">
        <v>786</v>
      </c>
      <c r="D1499" s="1" t="s">
        <v>787</v>
      </c>
      <c r="F1499" s="1">
        <v>4.326E8</v>
      </c>
      <c r="G1499" s="1">
        <v>3.618E8</v>
      </c>
      <c r="H1499" s="1">
        <v>1.2651E9</v>
      </c>
      <c r="I1499" s="1">
        <v>1.6977E9</v>
      </c>
      <c r="J1499" s="1">
        <v>4.326E8</v>
      </c>
      <c r="K1499" s="1">
        <v>4.326E8</v>
      </c>
      <c r="M1499" s="1">
        <v>6.1E7</v>
      </c>
      <c r="N1499" s="1">
        <v>3.5394E9</v>
      </c>
      <c r="O1499" s="1">
        <v>3.1068E9</v>
      </c>
      <c r="P1499" s="1">
        <v>1.8417E9</v>
      </c>
      <c r="Q1499" s="1">
        <v>0.0</v>
      </c>
      <c r="R1499" s="1">
        <v>3.716E8</v>
      </c>
      <c r="S1499" s="1">
        <v>3.637E8</v>
      </c>
      <c r="W1499" s="4" t="str">
        <f>Raw_Data!C1498&amp;"|"&amp;Raw_Data!D1498&amp;"|"&amp;TEXT(Raw_Data!B1498,"yyyy-mm-dd")</f>
        <v>Principal Financial Group|PFG|2021-09-30</v>
      </c>
    </row>
    <row r="1500">
      <c r="A1500" s="1">
        <v>1498.0</v>
      </c>
      <c r="B1500" s="11">
        <v>44286.0</v>
      </c>
      <c r="C1500" s="1" t="s">
        <v>786</v>
      </c>
      <c r="D1500" s="1" t="s">
        <v>787</v>
      </c>
      <c r="F1500" s="1">
        <v>6.139E8</v>
      </c>
      <c r="G1500" s="1">
        <v>5.171E8</v>
      </c>
      <c r="H1500" s="1">
        <v>1.2017E9</v>
      </c>
      <c r="I1500" s="1">
        <v>1.8156E9</v>
      </c>
      <c r="J1500" s="1">
        <v>6.139E8</v>
      </c>
      <c r="K1500" s="1">
        <v>6.139E8</v>
      </c>
      <c r="M1500" s="1">
        <v>9.76E7</v>
      </c>
      <c r="N1500" s="1">
        <v>3.2085E9</v>
      </c>
      <c r="O1500" s="1">
        <v>2.5946E9</v>
      </c>
      <c r="P1500" s="1">
        <v>1.3929E9</v>
      </c>
      <c r="Q1500" s="1">
        <v>0.0</v>
      </c>
      <c r="R1500" s="1">
        <v>5.163E8</v>
      </c>
      <c r="S1500" s="1">
        <v>5.152E8</v>
      </c>
      <c r="W1500" s="4" t="str">
        <f>Raw_Data!C1499&amp;"|"&amp;Raw_Data!D1499&amp;"|"&amp;TEXT(Raw_Data!B1499,"yyyy-mm-dd")</f>
        <v>Principal Financial Group|PFG|2021-06-30</v>
      </c>
    </row>
    <row r="1501">
      <c r="A1501" s="1">
        <v>1499.0</v>
      </c>
      <c r="B1501" s="11">
        <v>44196.0</v>
      </c>
      <c r="C1501" s="1" t="s">
        <v>786</v>
      </c>
      <c r="D1501" s="1" t="s">
        <v>787</v>
      </c>
      <c r="F1501" s="1">
        <v>5.916E8</v>
      </c>
      <c r="G1501" s="1">
        <v>4.726E8</v>
      </c>
      <c r="H1501" s="1">
        <v>1.1618E9</v>
      </c>
      <c r="I1501" s="1">
        <v>1.7534E9</v>
      </c>
      <c r="J1501" s="1">
        <v>5.916E8</v>
      </c>
      <c r="K1501" s="1">
        <v>5.916E8</v>
      </c>
      <c r="M1501" s="1">
        <v>1.001E8</v>
      </c>
      <c r="N1501" s="1">
        <v>3.7651E9</v>
      </c>
      <c r="O1501" s="1">
        <v>3.1735E9</v>
      </c>
      <c r="P1501" s="1">
        <v>2.0117E9</v>
      </c>
      <c r="Q1501" s="1">
        <v>0.0</v>
      </c>
      <c r="R1501" s="1">
        <v>4.915E8</v>
      </c>
      <c r="S1501" s="1">
        <v>4.726E8</v>
      </c>
      <c r="W1501" s="4" t="str">
        <f>Raw_Data!C1500&amp;"|"&amp;Raw_Data!D1500&amp;"|"&amp;TEXT(Raw_Data!B1500,"yyyy-mm-dd")</f>
        <v>Principal Financial Group|PFG|2021-03-31</v>
      </c>
    </row>
    <row r="1502">
      <c r="A1502" s="1">
        <v>1500.0</v>
      </c>
      <c r="B1502" s="11">
        <v>44469.0</v>
      </c>
      <c r="C1502" s="1" t="s">
        <v>788</v>
      </c>
      <c r="D1502" s="1" t="s">
        <v>789</v>
      </c>
      <c r="F1502" s="1">
        <v>5.035E9</v>
      </c>
      <c r="G1502" s="1">
        <v>4.112E9</v>
      </c>
      <c r="H1502" s="1">
        <v>5.012E9</v>
      </c>
      <c r="I1502" s="1">
        <v>9.973E9</v>
      </c>
      <c r="J1502" s="1">
        <v>4.961E9</v>
      </c>
      <c r="K1502" s="1">
        <v>4.961E9</v>
      </c>
      <c r="L1502" s="1">
        <v>-1.09E8</v>
      </c>
      <c r="M1502" s="1">
        <v>9.09E8</v>
      </c>
      <c r="N1502" s="1">
        <v>2.0338E10</v>
      </c>
      <c r="O1502" s="1">
        <v>1.5377E10</v>
      </c>
      <c r="P1502" s="1">
        <v>1.0365E10</v>
      </c>
      <c r="Q1502" s="1">
        <v>7.4E7</v>
      </c>
      <c r="R1502" s="1">
        <v>4.126E9</v>
      </c>
      <c r="S1502" s="1">
        <v>4.042E9</v>
      </c>
      <c r="W1502" s="4" t="str">
        <f>Raw_Data!C1501&amp;"|"&amp;Raw_Data!D1501&amp;"|"&amp;TEXT(Raw_Data!B1501,"yyyy-mm-dd")</f>
        <v>Principal Financial Group|PFG|2020-12-31</v>
      </c>
    </row>
    <row r="1503">
      <c r="A1503" s="1">
        <v>1501.0</v>
      </c>
      <c r="B1503" s="11">
        <v>44377.0</v>
      </c>
      <c r="C1503" s="1" t="s">
        <v>788</v>
      </c>
      <c r="D1503" s="1" t="s">
        <v>789</v>
      </c>
      <c r="F1503" s="1">
        <v>3.564E9</v>
      </c>
      <c r="G1503" s="1">
        <v>2.906E9</v>
      </c>
      <c r="H1503" s="1">
        <v>4.616E9</v>
      </c>
      <c r="I1503" s="1">
        <v>9.289E9</v>
      </c>
      <c r="J1503" s="1">
        <v>4.673E9</v>
      </c>
      <c r="K1503" s="1">
        <v>4.673E9</v>
      </c>
      <c r="L1503" s="1">
        <v>-1.17E8</v>
      </c>
      <c r="M1503" s="1">
        <v>6.56E8</v>
      </c>
      <c r="N1503" s="1">
        <v>1.8946E10</v>
      </c>
      <c r="O1503" s="1">
        <v>1.4273E10</v>
      </c>
      <c r="P1503" s="1">
        <v>9.657E9</v>
      </c>
      <c r="Q1503" s="1">
        <v>-1.109E9</v>
      </c>
      <c r="R1503" s="1">
        <v>2.908E9</v>
      </c>
      <c r="S1503" s="1">
        <v>2.832E9</v>
      </c>
      <c r="W1503" s="4" t="str">
        <f>Raw_Data!C1502&amp;"|"&amp;Raw_Data!D1502&amp;"|"&amp;TEXT(Raw_Data!B1502,"yyyy-mm-dd")</f>
        <v>Procter &amp; Gamble|PG|2021-09-30</v>
      </c>
    </row>
    <row r="1504">
      <c r="A1504" s="1">
        <v>1502.0</v>
      </c>
      <c r="B1504" s="11">
        <v>44286.0</v>
      </c>
      <c r="C1504" s="1" t="s">
        <v>788</v>
      </c>
      <c r="D1504" s="1" t="s">
        <v>789</v>
      </c>
      <c r="F1504" s="1">
        <v>3.877E9</v>
      </c>
      <c r="G1504" s="1">
        <v>3.269E9</v>
      </c>
      <c r="H1504" s="1">
        <v>5.402E9</v>
      </c>
      <c r="I1504" s="1">
        <v>9.187E9</v>
      </c>
      <c r="J1504" s="1">
        <v>3.785E9</v>
      </c>
      <c r="K1504" s="1">
        <v>3.785E9</v>
      </c>
      <c r="L1504" s="1">
        <v>-1.06E8</v>
      </c>
      <c r="M1504" s="1">
        <v>6.28E8</v>
      </c>
      <c r="N1504" s="1">
        <v>1.8109E10</v>
      </c>
      <c r="O1504" s="1">
        <v>1.4324E10</v>
      </c>
      <c r="P1504" s="1">
        <v>8.922E9</v>
      </c>
      <c r="Q1504" s="1">
        <v>9.2E7</v>
      </c>
      <c r="R1504" s="1">
        <v>3.249E9</v>
      </c>
      <c r="S1504" s="1">
        <v>3.204E9</v>
      </c>
      <c r="W1504" s="4" t="str">
        <f>Raw_Data!C1503&amp;"|"&amp;Raw_Data!D1503&amp;"|"&amp;TEXT(Raw_Data!B1503,"yyyy-mm-dd")</f>
        <v>Procter &amp; Gamble|PG|2021-06-30</v>
      </c>
    </row>
    <row r="1505">
      <c r="A1505" s="1">
        <v>1503.0</v>
      </c>
      <c r="B1505" s="11">
        <v>44196.0</v>
      </c>
      <c r="C1505" s="1" t="s">
        <v>788</v>
      </c>
      <c r="D1505" s="1" t="s">
        <v>789</v>
      </c>
      <c r="F1505" s="1">
        <v>4.877E9</v>
      </c>
      <c r="G1505" s="1">
        <v>3.854E9</v>
      </c>
      <c r="H1505" s="1">
        <v>5.112E9</v>
      </c>
      <c r="I1505" s="1">
        <v>1.0492E10</v>
      </c>
      <c r="J1505" s="1">
        <v>5.38E9</v>
      </c>
      <c r="K1505" s="1">
        <v>5.38E9</v>
      </c>
      <c r="L1505" s="1">
        <v>-1.43E8</v>
      </c>
      <c r="M1505" s="1">
        <v>9.9E8</v>
      </c>
      <c r="N1505" s="1">
        <v>1.9745E10</v>
      </c>
      <c r="O1505" s="1">
        <v>1.4365E10</v>
      </c>
      <c r="P1505" s="1">
        <v>9.253E9</v>
      </c>
      <c r="Q1505" s="1">
        <v>-5.03E8</v>
      </c>
      <c r="R1505" s="1">
        <v>3.887E9</v>
      </c>
      <c r="S1505" s="1">
        <v>3.788E9</v>
      </c>
      <c r="W1505" s="4" t="str">
        <f>Raw_Data!C1504&amp;"|"&amp;Raw_Data!D1504&amp;"|"&amp;TEXT(Raw_Data!B1504,"yyyy-mm-dd")</f>
        <v>Procter &amp; Gamble|PG|2021-03-31</v>
      </c>
    </row>
    <row r="1506">
      <c r="A1506" s="1">
        <v>1504.0</v>
      </c>
      <c r="B1506" s="11">
        <v>44469.0</v>
      </c>
      <c r="C1506" s="1" t="s">
        <v>790</v>
      </c>
      <c r="D1506" s="1" t="s">
        <v>791</v>
      </c>
      <c r="F1506" s="1">
        <v>1.39E8</v>
      </c>
      <c r="G1506" s="1">
        <v>1.185E8</v>
      </c>
      <c r="I1506" s="1">
        <v>2.66E8</v>
      </c>
      <c r="J1506" s="1">
        <v>1.932E8</v>
      </c>
      <c r="K1506" s="1">
        <v>1.932E8</v>
      </c>
      <c r="L1506" s="1">
        <v>-5.42E7</v>
      </c>
      <c r="M1506" s="1">
        <v>2.05E7</v>
      </c>
      <c r="N1506" s="1">
        <v>1.18526E10</v>
      </c>
      <c r="O1506" s="1">
        <v>1.16594E10</v>
      </c>
      <c r="P1506" s="1">
        <v>1.15866E10</v>
      </c>
      <c r="Q1506" s="1">
        <v>-5.42E7</v>
      </c>
      <c r="R1506" s="1">
        <v>1.185E8</v>
      </c>
      <c r="S1506" s="1">
        <v>1.118E8</v>
      </c>
      <c r="W1506" s="4" t="str">
        <f>Raw_Data!C1505&amp;"|"&amp;Raw_Data!D1505&amp;"|"&amp;TEXT(Raw_Data!B1505,"yyyy-mm-dd")</f>
        <v>Procter &amp; Gamble|PG|2020-12-31</v>
      </c>
    </row>
    <row r="1507">
      <c r="A1507" s="1">
        <v>1505.0</v>
      </c>
      <c r="B1507" s="11">
        <v>44377.0</v>
      </c>
      <c r="C1507" s="1" t="s">
        <v>790</v>
      </c>
      <c r="D1507" s="1" t="s">
        <v>791</v>
      </c>
      <c r="F1507" s="1">
        <v>9.992E8</v>
      </c>
      <c r="G1507" s="1">
        <v>7.901E8</v>
      </c>
      <c r="I1507" s="1">
        <v>1.1235E9</v>
      </c>
      <c r="J1507" s="1">
        <v>1.0556E9</v>
      </c>
      <c r="K1507" s="1">
        <v>1.0556E9</v>
      </c>
      <c r="L1507" s="1">
        <v>-5.64E7</v>
      </c>
      <c r="M1507" s="1">
        <v>2.091E8</v>
      </c>
      <c r="N1507" s="1">
        <v>1.18992E10</v>
      </c>
      <c r="O1507" s="1">
        <v>1.08436E10</v>
      </c>
      <c r="P1507" s="1">
        <v>1.07757E10</v>
      </c>
      <c r="Q1507" s="1">
        <v>-5.64E7</v>
      </c>
      <c r="R1507" s="1">
        <v>7.901E8</v>
      </c>
      <c r="S1507" s="1">
        <v>7.834E8</v>
      </c>
      <c r="W1507" s="4" t="str">
        <f>Raw_Data!C1506&amp;"|"&amp;Raw_Data!D1506&amp;"|"&amp;TEXT(Raw_Data!B1506,"yyyy-mm-dd")</f>
        <v>Progressive Corporation|PGR|2021-09-30</v>
      </c>
    </row>
    <row r="1508">
      <c r="A1508" s="1">
        <v>1506.0</v>
      </c>
      <c r="B1508" s="11">
        <v>44286.0</v>
      </c>
      <c r="C1508" s="1" t="s">
        <v>790</v>
      </c>
      <c r="D1508" s="1" t="s">
        <v>791</v>
      </c>
      <c r="F1508" s="1">
        <v>1.8679E9</v>
      </c>
      <c r="G1508" s="1">
        <v>1.48E9</v>
      </c>
      <c r="I1508" s="1">
        <v>1.9736E9</v>
      </c>
      <c r="J1508" s="1">
        <v>1.9243E9</v>
      </c>
      <c r="K1508" s="1">
        <v>1.9243E9</v>
      </c>
      <c r="L1508" s="1">
        <v>-5.64E7</v>
      </c>
      <c r="M1508" s="1">
        <v>3.879E8</v>
      </c>
      <c r="N1508" s="1">
        <v>1.14396E10</v>
      </c>
      <c r="O1508" s="1">
        <v>9.5153E9</v>
      </c>
      <c r="P1508" s="1">
        <v>9.466E9</v>
      </c>
      <c r="Q1508" s="1">
        <v>-5.64E7</v>
      </c>
      <c r="R1508" s="1">
        <v>1.48E9</v>
      </c>
      <c r="S1508" s="1">
        <v>1.4733E9</v>
      </c>
      <c r="W1508" s="4" t="str">
        <f>Raw_Data!C1507&amp;"|"&amp;Raw_Data!D1507&amp;"|"&amp;TEXT(Raw_Data!B1507,"yyyy-mm-dd")</f>
        <v>Progressive Corporation|PGR|2021-06-30</v>
      </c>
    </row>
    <row r="1509">
      <c r="A1509" s="1">
        <v>1507.0</v>
      </c>
      <c r="B1509" s="11">
        <v>44196.0</v>
      </c>
      <c r="C1509" s="1" t="s">
        <v>790</v>
      </c>
      <c r="D1509" s="1" t="s">
        <v>791</v>
      </c>
      <c r="F1509" s="1">
        <v>2.1062E9</v>
      </c>
      <c r="G1509" s="1">
        <v>1.6843E9</v>
      </c>
      <c r="I1509" s="1">
        <v>2.2282E9</v>
      </c>
      <c r="J1509" s="1">
        <v>2.1624E9</v>
      </c>
      <c r="K1509" s="1">
        <v>2.1624E9</v>
      </c>
      <c r="L1509" s="1">
        <v>-5.62E7</v>
      </c>
      <c r="M1509" s="1">
        <v>4.219E8</v>
      </c>
      <c r="N1509" s="1">
        <v>1.14103E10</v>
      </c>
      <c r="O1509" s="1">
        <v>9.2479E9</v>
      </c>
      <c r="P1509" s="1">
        <v>9.1821E9</v>
      </c>
      <c r="Q1509" s="1">
        <v>-5.62E7</v>
      </c>
      <c r="R1509" s="1">
        <v>1.6843E9</v>
      </c>
      <c r="S1509" s="1">
        <v>1.6775E9</v>
      </c>
      <c r="W1509" s="4" t="str">
        <f>Raw_Data!C1508&amp;"|"&amp;Raw_Data!D1508&amp;"|"&amp;TEXT(Raw_Data!B1508,"yyyy-mm-dd")</f>
        <v>Progressive Corporation|PGR|2021-03-31</v>
      </c>
    </row>
    <row r="1510">
      <c r="A1510" s="1">
        <v>1508.0</v>
      </c>
      <c r="B1510" s="11">
        <v>44469.0</v>
      </c>
      <c r="C1510" s="1" t="s">
        <v>792</v>
      </c>
      <c r="D1510" s="1" t="s">
        <v>793</v>
      </c>
      <c r="F1510" s="1">
        <v>8.57166E8</v>
      </c>
      <c r="G1510" s="1">
        <v>7.23538E8</v>
      </c>
      <c r="H1510" s="1">
        <v>6.697E7</v>
      </c>
      <c r="I1510" s="1">
        <v>9.65871E8</v>
      </c>
      <c r="J1510" s="1">
        <v>5.03682E8</v>
      </c>
      <c r="K1510" s="1">
        <v>5.03682E8</v>
      </c>
      <c r="L1510" s="1">
        <v>-6.3638E7</v>
      </c>
      <c r="M1510" s="1">
        <v>5.9435E7</v>
      </c>
      <c r="N1510" s="1">
        <v>1.274867E9</v>
      </c>
      <c r="O1510" s="1">
        <v>7.71185E8</v>
      </c>
      <c r="P1510" s="1">
        <v>3.08996E8</v>
      </c>
      <c r="Q1510" s="1">
        <v>3.53484E8</v>
      </c>
      <c r="R1510" s="1">
        <v>7.97731E8</v>
      </c>
      <c r="S1510" s="1">
        <v>7.22007E8</v>
      </c>
      <c r="W1510" s="4" t="str">
        <f>Raw_Data!C1509&amp;"|"&amp;Raw_Data!D1509&amp;"|"&amp;TEXT(Raw_Data!B1509,"yyyy-mm-dd")</f>
        <v>Progressive Corporation|PGR|2020-12-31</v>
      </c>
    </row>
    <row r="1511">
      <c r="A1511" s="1">
        <v>1509.0</v>
      </c>
      <c r="B1511" s="11">
        <v>44377.0</v>
      </c>
      <c r="C1511" s="1" t="s">
        <v>792</v>
      </c>
      <c r="D1511" s="1" t="s">
        <v>793</v>
      </c>
      <c r="F1511" s="1">
        <v>6.99508E8</v>
      </c>
      <c r="G1511" s="1">
        <v>6.00176E8</v>
      </c>
      <c r="H1511" s="1">
        <v>7.4342E7</v>
      </c>
      <c r="I1511" s="1">
        <v>9.33029E8</v>
      </c>
      <c r="J1511" s="1">
        <v>4.58757E8</v>
      </c>
      <c r="K1511" s="1">
        <v>4.58757E8</v>
      </c>
      <c r="L1511" s="1">
        <v>-6.8412E7</v>
      </c>
      <c r="M1511" s="1">
        <v>4.9195E7</v>
      </c>
      <c r="N1511" s="1">
        <v>1.223261E9</v>
      </c>
      <c r="O1511" s="1">
        <v>7.64504E8</v>
      </c>
      <c r="P1511" s="1">
        <v>2.90232E8</v>
      </c>
      <c r="Q1511" s="1">
        <v>2.40751E8</v>
      </c>
      <c r="R1511" s="1">
        <v>6.50313E8</v>
      </c>
      <c r="S1511" s="1">
        <v>5.98625E8</v>
      </c>
      <c r="W1511" s="4" t="str">
        <f>Raw_Data!C1510&amp;"|"&amp;Raw_Data!D1510&amp;"|"&amp;TEXT(Raw_Data!B1510,"yyyy-mm-dd")</f>
        <v>Prologis|PLD|2021-09-30</v>
      </c>
    </row>
    <row r="1512">
      <c r="A1512" s="1">
        <v>1510.0</v>
      </c>
      <c r="B1512" s="11">
        <v>44286.0</v>
      </c>
      <c r="C1512" s="1" t="s">
        <v>792</v>
      </c>
      <c r="D1512" s="1" t="s">
        <v>793</v>
      </c>
      <c r="F1512" s="1">
        <v>4.2541E8</v>
      </c>
      <c r="G1512" s="1">
        <v>3.67347E8</v>
      </c>
      <c r="H1512" s="1">
        <v>7.8032E7</v>
      </c>
      <c r="I1512" s="1">
        <v>8.88031E8</v>
      </c>
      <c r="J1512" s="1">
        <v>4.0898E8</v>
      </c>
      <c r="K1512" s="1">
        <v>4.0898E8</v>
      </c>
      <c r="L1512" s="1">
        <v>-7.1281E7</v>
      </c>
      <c r="M1512" s="1">
        <v>2.5717E7</v>
      </c>
      <c r="N1512" s="1">
        <v>1.215365E9</v>
      </c>
      <c r="O1512" s="1">
        <v>8.06385E8</v>
      </c>
      <c r="P1512" s="1">
        <v>3.27334E8</v>
      </c>
      <c r="Q1512" s="1">
        <v>1.643E7</v>
      </c>
      <c r="R1512" s="1">
        <v>3.99693E8</v>
      </c>
      <c r="S1512" s="1">
        <v>3.65815E8</v>
      </c>
      <c r="W1512" s="4" t="str">
        <f>Raw_Data!C1511&amp;"|"&amp;Raw_Data!D1511&amp;"|"&amp;TEXT(Raw_Data!B1511,"yyyy-mm-dd")</f>
        <v>Prologis|PLD|2021-06-30</v>
      </c>
    </row>
    <row r="1513">
      <c r="A1513" s="1">
        <v>1511.0</v>
      </c>
      <c r="B1513" s="11">
        <v>44196.0</v>
      </c>
      <c r="C1513" s="1" t="s">
        <v>792</v>
      </c>
      <c r="D1513" s="1" t="s">
        <v>793</v>
      </c>
      <c r="F1513" s="1">
        <v>3.48887E8</v>
      </c>
      <c r="G1513" s="1">
        <v>2.81894E8</v>
      </c>
      <c r="H1513" s="1">
        <v>6.6144E7</v>
      </c>
      <c r="I1513" s="1">
        <v>9.01146E8</v>
      </c>
      <c r="J1513" s="1">
        <v>4.13499E8</v>
      </c>
      <c r="K1513" s="1">
        <v>4.13499E8</v>
      </c>
      <c r="L1513" s="1">
        <v>-7.6856E7</v>
      </c>
      <c r="M1513" s="1">
        <v>4.088E7</v>
      </c>
      <c r="N1513" s="1">
        <v>1.192123E9</v>
      </c>
      <c r="O1513" s="1">
        <v>7.78624E8</v>
      </c>
      <c r="P1513" s="1">
        <v>2.90977E8</v>
      </c>
      <c r="Q1513" s="1">
        <v>-6.4612E7</v>
      </c>
      <c r="R1513" s="1">
        <v>3.08007E8</v>
      </c>
      <c r="S1513" s="1">
        <v>2.8047E8</v>
      </c>
      <c r="W1513" s="4" t="str">
        <f>Raw_Data!C1512&amp;"|"&amp;Raw_Data!D1512&amp;"|"&amp;TEXT(Raw_Data!B1512,"yyyy-mm-dd")</f>
        <v>Prologis|PLD|2021-03-31</v>
      </c>
    </row>
    <row r="1514">
      <c r="A1514" s="1">
        <v>1512.0</v>
      </c>
      <c r="B1514" s="11">
        <v>44469.0</v>
      </c>
      <c r="C1514" s="1" t="s">
        <v>794</v>
      </c>
      <c r="D1514" s="1" t="s">
        <v>795</v>
      </c>
      <c r="F1514" s="1">
        <v>1.824E9</v>
      </c>
      <c r="G1514" s="1">
        <v>1.53E9</v>
      </c>
      <c r="H1514" s="1">
        <v>3.386E9</v>
      </c>
      <c r="I1514" s="1">
        <v>5.192E9</v>
      </c>
      <c r="J1514" s="1">
        <v>1.806E9</v>
      </c>
      <c r="K1514" s="1">
        <v>1.806E9</v>
      </c>
      <c r="M1514" s="1">
        <v>2.59E8</v>
      </c>
      <c r="N1514" s="1">
        <v>2.1641E10</v>
      </c>
      <c r="O1514" s="1">
        <v>1.9835E10</v>
      </c>
      <c r="P1514" s="1">
        <v>1.6449E10</v>
      </c>
      <c r="Q1514" s="1">
        <v>1.8E7</v>
      </c>
      <c r="R1514" s="1">
        <v>1.565E9</v>
      </c>
      <c r="S1514" s="1">
        <v>1.506E9</v>
      </c>
      <c r="W1514" s="4" t="str">
        <f>Raw_Data!C1513&amp;"|"&amp;Raw_Data!D1513&amp;"|"&amp;TEXT(Raw_Data!B1513,"yyyy-mm-dd")</f>
        <v>Prologis|PLD|2020-12-31</v>
      </c>
    </row>
    <row r="1515">
      <c r="A1515" s="1">
        <v>1513.0</v>
      </c>
      <c r="B1515" s="11">
        <v>44377.0</v>
      </c>
      <c r="C1515" s="1" t="s">
        <v>794</v>
      </c>
      <c r="D1515" s="1" t="s">
        <v>795</v>
      </c>
      <c r="F1515" s="1">
        <v>2.792E9</v>
      </c>
      <c r="G1515" s="1">
        <v>2.158E9</v>
      </c>
      <c r="H1515" s="1">
        <v>3.23E9</v>
      </c>
      <c r="I1515" s="1">
        <v>5.943E9</v>
      </c>
      <c r="J1515" s="1">
        <v>2.713E9</v>
      </c>
      <c r="K1515" s="1">
        <v>2.713E9</v>
      </c>
      <c r="M1515" s="1">
        <v>6.09E8</v>
      </c>
      <c r="N1515" s="1">
        <v>1.5857E10</v>
      </c>
      <c r="O1515" s="1">
        <v>1.3144E10</v>
      </c>
      <c r="P1515" s="1">
        <v>9.914E9</v>
      </c>
      <c r="Q1515" s="1">
        <v>7.9E7</v>
      </c>
      <c r="R1515" s="1">
        <v>2.183E9</v>
      </c>
      <c r="S1515" s="1">
        <v>2.127E9</v>
      </c>
      <c r="W1515" s="4" t="str">
        <f>Raw_Data!C1514&amp;"|"&amp;Raw_Data!D1514&amp;"|"&amp;TEXT(Raw_Data!B1514,"yyyy-mm-dd")</f>
        <v>Prudential Financial|PRU|2021-09-30</v>
      </c>
    </row>
    <row r="1516">
      <c r="A1516" s="1">
        <v>1514.0</v>
      </c>
      <c r="B1516" s="11">
        <v>44286.0</v>
      </c>
      <c r="C1516" s="1" t="s">
        <v>794</v>
      </c>
      <c r="D1516" s="1" t="s">
        <v>795</v>
      </c>
      <c r="F1516" s="1">
        <v>3.44E9</v>
      </c>
      <c r="G1516" s="1">
        <v>2.828E9</v>
      </c>
      <c r="H1516" s="1">
        <v>3.314E9</v>
      </c>
      <c r="I1516" s="1">
        <v>6.726E9</v>
      </c>
      <c r="J1516" s="1">
        <v>3.412E9</v>
      </c>
      <c r="K1516" s="1">
        <v>3.412E9</v>
      </c>
      <c r="M1516" s="1">
        <v>6.36E8</v>
      </c>
      <c r="N1516" s="1">
        <v>1.6949E10</v>
      </c>
      <c r="O1516" s="1">
        <v>1.3537E10</v>
      </c>
      <c r="P1516" s="1">
        <v>1.0223E10</v>
      </c>
      <c r="Q1516" s="1">
        <v>2.8E7</v>
      </c>
      <c r="R1516" s="1">
        <v>2.804E9</v>
      </c>
      <c r="S1516" s="1">
        <v>2.784E9</v>
      </c>
      <c r="W1516" s="4" t="str">
        <f>Raw_Data!C1515&amp;"|"&amp;Raw_Data!D1515&amp;"|"&amp;TEXT(Raw_Data!B1515,"yyyy-mm-dd")</f>
        <v>Prudential Financial|PRU|2021-06-30</v>
      </c>
    </row>
    <row r="1517">
      <c r="A1517" s="1">
        <v>1515.0</v>
      </c>
      <c r="B1517" s="11">
        <v>44196.0</v>
      </c>
      <c r="C1517" s="1" t="s">
        <v>794</v>
      </c>
      <c r="D1517" s="1" t="s">
        <v>795</v>
      </c>
      <c r="F1517" s="1">
        <v>9.34E8</v>
      </c>
      <c r="G1517" s="1">
        <v>8.19E8</v>
      </c>
      <c r="H1517" s="1">
        <v>3.719E9</v>
      </c>
      <c r="I1517" s="1">
        <v>4.638E9</v>
      </c>
      <c r="J1517" s="1">
        <v>9.19E8</v>
      </c>
      <c r="K1517" s="1">
        <v>9.19E8</v>
      </c>
      <c r="M1517" s="1">
        <v>-8.8E7</v>
      </c>
      <c r="N1517" s="1">
        <v>1.6048E10</v>
      </c>
      <c r="O1517" s="1">
        <v>1.5129E10</v>
      </c>
      <c r="P1517" s="1">
        <v>1.141E10</v>
      </c>
      <c r="Q1517" s="1">
        <v>1.5E7</v>
      </c>
      <c r="R1517" s="1">
        <v>1.022E9</v>
      </c>
      <c r="S1517" s="1">
        <v>8.14E8</v>
      </c>
      <c r="W1517" s="4" t="str">
        <f>Raw_Data!C1516&amp;"|"&amp;Raw_Data!D1516&amp;"|"&amp;TEXT(Raw_Data!B1516,"yyyy-mm-dd")</f>
        <v>Prudential Financial|PRU|2021-03-31</v>
      </c>
    </row>
    <row r="1518">
      <c r="A1518" s="1">
        <v>1516.0</v>
      </c>
      <c r="B1518" s="11">
        <v>44469.0</v>
      </c>
      <c r="C1518" s="1" t="s">
        <v>796</v>
      </c>
      <c r="D1518" s="1" t="s">
        <v>796</v>
      </c>
      <c r="E1518" s="1">
        <v>7.8403E7</v>
      </c>
      <c r="F1518" s="1">
        <v>1.69522E8</v>
      </c>
      <c r="G1518" s="1">
        <v>2.92943E8</v>
      </c>
      <c r="H1518" s="1">
        <v>1.77887E8</v>
      </c>
      <c r="I1518" s="1">
        <v>3.80908E8</v>
      </c>
      <c r="J1518" s="1">
        <v>1.1693E8</v>
      </c>
      <c r="K1518" s="1">
        <v>1.1693E8</v>
      </c>
      <c r="M1518" s="1">
        <v>-1.23421E8</v>
      </c>
      <c r="N1518" s="1">
        <v>4.80656E8</v>
      </c>
      <c r="O1518" s="1">
        <v>3.63726E8</v>
      </c>
      <c r="P1518" s="1">
        <v>9.9748E7</v>
      </c>
      <c r="Q1518" s="1">
        <v>5.2592E7</v>
      </c>
      <c r="R1518" s="1">
        <v>2.92943E8</v>
      </c>
      <c r="S1518" s="1">
        <v>2.92943E8</v>
      </c>
      <c r="W1518" s="4" t="str">
        <f>Raw_Data!C1517&amp;"|"&amp;Raw_Data!D1517&amp;"|"&amp;TEXT(Raw_Data!B1517,"yyyy-mm-dd")</f>
        <v>Prudential Financial|PRU|2020-12-31</v>
      </c>
    </row>
    <row r="1519">
      <c r="A1519" s="1">
        <v>1517.0</v>
      </c>
      <c r="B1519" s="11">
        <v>44377.0</v>
      </c>
      <c r="C1519" s="1" t="s">
        <v>796</v>
      </c>
      <c r="D1519" s="1" t="s">
        <v>796</v>
      </c>
      <c r="E1519" s="1">
        <v>7.8134E7</v>
      </c>
      <c r="F1519" s="1">
        <v>5.8469E7</v>
      </c>
      <c r="G1519" s="1">
        <v>5.1203E7</v>
      </c>
      <c r="H1519" s="1">
        <v>1.80878E8</v>
      </c>
      <c r="I1519" s="1">
        <v>3.40591E8</v>
      </c>
      <c r="J1519" s="1">
        <v>7.4068E7</v>
      </c>
      <c r="K1519" s="1">
        <v>7.4068E7</v>
      </c>
      <c r="L1519" s="1">
        <v>-1.3178E7</v>
      </c>
      <c r="M1519" s="1">
        <v>7266000.0</v>
      </c>
      <c r="N1519" s="1">
        <v>4.35668E8</v>
      </c>
      <c r="O1519" s="1">
        <v>3.616E8</v>
      </c>
      <c r="P1519" s="1">
        <v>9.5077E7</v>
      </c>
      <c r="Q1519" s="1">
        <v>-1.5599E7</v>
      </c>
      <c r="R1519" s="1">
        <v>5.1203E7</v>
      </c>
      <c r="S1519" s="1">
        <v>5.1203E7</v>
      </c>
      <c r="W1519" s="4" t="str">
        <f>Raw_Data!C1518&amp;"|"&amp;Raw_Data!D1518&amp;"|"&amp;TEXT(Raw_Data!B1518,"yyyy-mm-dd")</f>
        <v>PTC|PTC|2021-09-30</v>
      </c>
    </row>
    <row r="1520">
      <c r="A1520" s="1">
        <v>1518.0</v>
      </c>
      <c r="B1520" s="11">
        <v>44286.0</v>
      </c>
      <c r="C1520" s="1" t="s">
        <v>796</v>
      </c>
      <c r="D1520" s="1" t="s">
        <v>796</v>
      </c>
      <c r="E1520" s="1">
        <v>7.2545E7</v>
      </c>
      <c r="F1520" s="1">
        <v>8.6357E7</v>
      </c>
      <c r="G1520" s="1">
        <v>1.09262E8</v>
      </c>
      <c r="H1520" s="1">
        <v>1.79673E8</v>
      </c>
      <c r="I1520" s="1">
        <v>3.72337E8</v>
      </c>
      <c r="J1520" s="1">
        <v>1.12469E8</v>
      </c>
      <c r="K1520" s="1">
        <v>1.12469E8</v>
      </c>
      <c r="L1520" s="1">
        <v>-1.2925E7</v>
      </c>
      <c r="M1520" s="1">
        <v>-2.2905E7</v>
      </c>
      <c r="N1520" s="1">
        <v>4.61785E8</v>
      </c>
      <c r="O1520" s="1">
        <v>3.49316E8</v>
      </c>
      <c r="P1520" s="1">
        <v>8.9448E7</v>
      </c>
      <c r="Q1520" s="1">
        <v>-2.6112E7</v>
      </c>
      <c r="R1520" s="1">
        <v>1.09262E8</v>
      </c>
      <c r="S1520" s="1">
        <v>1.09262E8</v>
      </c>
      <c r="W1520" s="4" t="str">
        <f>Raw_Data!C1519&amp;"|"&amp;Raw_Data!D1519&amp;"|"&amp;TEXT(Raw_Data!B1519,"yyyy-mm-dd")</f>
        <v>PTC|PTC|2021-06-30</v>
      </c>
    </row>
    <row r="1521">
      <c r="A1521" s="1">
        <v>1519.0</v>
      </c>
      <c r="B1521" s="11">
        <v>44196.0</v>
      </c>
      <c r="C1521" s="1" t="s">
        <v>796</v>
      </c>
      <c r="D1521" s="1" t="s">
        <v>796</v>
      </c>
      <c r="E1521" s="1">
        <v>7.0835E7</v>
      </c>
      <c r="F1521" s="1">
        <v>7.7407E7</v>
      </c>
      <c r="G1521" s="1">
        <v>2.3515E7</v>
      </c>
      <c r="H1521" s="1">
        <v>1.70337E8</v>
      </c>
      <c r="I1521" s="1">
        <v>3.4222E8</v>
      </c>
      <c r="J1521" s="1">
        <v>9.4485E7</v>
      </c>
      <c r="K1521" s="1">
        <v>9.4485E7</v>
      </c>
      <c r="L1521" s="1">
        <v>-1.1518E7</v>
      </c>
      <c r="M1521" s="1">
        <v>5.3892E7</v>
      </c>
      <c r="N1521" s="1">
        <v>4.2905E8</v>
      </c>
      <c r="O1521" s="1">
        <v>3.34565E8</v>
      </c>
      <c r="P1521" s="1">
        <v>8.683E7</v>
      </c>
      <c r="Q1521" s="1">
        <v>-1.7078E7</v>
      </c>
      <c r="R1521" s="1">
        <v>2.3515E7</v>
      </c>
      <c r="S1521" s="1">
        <v>2.3515E7</v>
      </c>
      <c r="W1521" s="4" t="str">
        <f>Raw_Data!C1520&amp;"|"&amp;Raw_Data!D1520&amp;"|"&amp;TEXT(Raw_Data!B1520,"yyyy-mm-dd")</f>
        <v>PTC|PTC|2021-03-31</v>
      </c>
    </row>
    <row r="1522">
      <c r="A1522" s="1">
        <v>1520.0</v>
      </c>
      <c r="B1522" s="11">
        <v>44469.0</v>
      </c>
      <c r="C1522" s="1" t="s">
        <v>797</v>
      </c>
      <c r="D1522" s="1" t="s">
        <v>798</v>
      </c>
      <c r="F1522" s="1">
        <v>-2.246E9</v>
      </c>
      <c r="G1522" s="1">
        <v>-1.564E9</v>
      </c>
      <c r="H1522" s="1">
        <v>-8.2E7</v>
      </c>
      <c r="I1522" s="1">
        <v>2.49E8</v>
      </c>
      <c r="J1522" s="1">
        <v>4.8E7</v>
      </c>
      <c r="K1522" s="1">
        <v>4.8E7</v>
      </c>
      <c r="L1522" s="1">
        <v>-1.44E8</v>
      </c>
      <c r="M1522" s="1">
        <v>-6.82E8</v>
      </c>
      <c r="N1522" s="1">
        <v>1.903E9</v>
      </c>
      <c r="O1522" s="1">
        <v>1.855E9</v>
      </c>
      <c r="P1522" s="1">
        <v>1.654E9</v>
      </c>
      <c r="Q1522" s="1">
        <v>-2.294E9</v>
      </c>
      <c r="R1522" s="1">
        <v>-1.564E9</v>
      </c>
      <c r="S1522" s="1">
        <v>-1.564E9</v>
      </c>
      <c r="W1522" s="4" t="str">
        <f>Raw_Data!C1521&amp;"|"&amp;Raw_Data!D1521&amp;"|"&amp;TEXT(Raw_Data!B1521,"yyyy-mm-dd")</f>
        <v>PTC|PTC|2020-12-31</v>
      </c>
    </row>
    <row r="1523">
      <c r="A1523" s="1">
        <v>1521.0</v>
      </c>
      <c r="B1523" s="11">
        <v>44377.0</v>
      </c>
      <c r="C1523" s="1" t="s">
        <v>797</v>
      </c>
      <c r="D1523" s="1" t="s">
        <v>798</v>
      </c>
      <c r="F1523" s="1">
        <v>-2.39E8</v>
      </c>
      <c r="G1523" s="1">
        <v>-1.77E8</v>
      </c>
      <c r="H1523" s="1">
        <v>-8.2E7</v>
      </c>
      <c r="I1523" s="1">
        <v>4.85E8</v>
      </c>
      <c r="J1523" s="1">
        <v>2.45E8</v>
      </c>
      <c r="K1523" s="1">
        <v>2.45E8</v>
      </c>
      <c r="L1523" s="1">
        <v>-1.47E8</v>
      </c>
      <c r="M1523" s="1">
        <v>-6.2E7</v>
      </c>
      <c r="N1523" s="1">
        <v>1.874E9</v>
      </c>
      <c r="O1523" s="1">
        <v>1.629E9</v>
      </c>
      <c r="P1523" s="1">
        <v>1.389E9</v>
      </c>
      <c r="Q1523" s="1">
        <v>-4.84E8</v>
      </c>
      <c r="R1523" s="1">
        <v>-1.77E8</v>
      </c>
      <c r="S1523" s="1">
        <v>-1.77E8</v>
      </c>
      <c r="W1523" s="4" t="str">
        <f>Raw_Data!C1522&amp;"|"&amp;Raw_Data!D1522&amp;"|"&amp;TEXT(Raw_Data!B1522,"yyyy-mm-dd")</f>
        <v>Public Service Enterprise Group|PEG|2021-09-30</v>
      </c>
    </row>
    <row r="1524">
      <c r="A1524" s="1">
        <v>1522.0</v>
      </c>
      <c r="B1524" s="11">
        <v>44286.0</v>
      </c>
      <c r="C1524" s="1" t="s">
        <v>797</v>
      </c>
      <c r="D1524" s="1" t="s">
        <v>798</v>
      </c>
      <c r="F1524" s="1">
        <v>7.65E8</v>
      </c>
      <c r="G1524" s="1">
        <v>6.48E8</v>
      </c>
      <c r="H1524" s="1">
        <v>-8.2E7</v>
      </c>
      <c r="I1524" s="1">
        <v>1.082E9</v>
      </c>
      <c r="J1524" s="1">
        <v>8.23E8</v>
      </c>
      <c r="K1524" s="1">
        <v>8.23E8</v>
      </c>
      <c r="L1524" s="1">
        <v>-1.46E8</v>
      </c>
      <c r="M1524" s="1">
        <v>1.17E8</v>
      </c>
      <c r="N1524" s="1">
        <v>2.889E9</v>
      </c>
      <c r="O1524" s="1">
        <v>2.066E9</v>
      </c>
      <c r="P1524" s="1">
        <v>1.807E9</v>
      </c>
      <c r="Q1524" s="1">
        <v>-5.8E7</v>
      </c>
      <c r="R1524" s="1">
        <v>6.48E8</v>
      </c>
      <c r="S1524" s="1">
        <v>6.48E8</v>
      </c>
      <c r="W1524" s="4" t="str">
        <f>Raw_Data!C1523&amp;"|"&amp;Raw_Data!D1523&amp;"|"&amp;TEXT(Raw_Data!B1523,"yyyy-mm-dd")</f>
        <v>Public Service Enterprise Group|PEG|2021-06-30</v>
      </c>
    </row>
    <row r="1525">
      <c r="A1525" s="1">
        <v>1523.0</v>
      </c>
      <c r="B1525" s="11">
        <v>44196.0</v>
      </c>
      <c r="C1525" s="1" t="s">
        <v>797</v>
      </c>
      <c r="D1525" s="1" t="s">
        <v>798</v>
      </c>
      <c r="F1525" s="1">
        <v>5.53E8</v>
      </c>
      <c r="G1525" s="1">
        <v>4.31E8</v>
      </c>
      <c r="H1525" s="1">
        <v>-6.3E7</v>
      </c>
      <c r="I1525" s="1">
        <v>7.61E8</v>
      </c>
      <c r="J1525" s="1">
        <v>4.95E8</v>
      </c>
      <c r="K1525" s="1">
        <v>4.95E8</v>
      </c>
      <c r="L1525" s="1">
        <v>-1.47E8</v>
      </c>
      <c r="M1525" s="1">
        <v>1.22E8</v>
      </c>
      <c r="N1525" s="1">
        <v>2.402E9</v>
      </c>
      <c r="O1525" s="1">
        <v>1.907E9</v>
      </c>
      <c r="P1525" s="1">
        <v>1.641E9</v>
      </c>
      <c r="Q1525" s="1">
        <v>5.8E7</v>
      </c>
      <c r="R1525" s="1">
        <v>4.31E8</v>
      </c>
      <c r="S1525" s="1">
        <v>4.31E8</v>
      </c>
      <c r="W1525" s="4" t="str">
        <f>Raw_Data!C1524&amp;"|"&amp;Raw_Data!D1524&amp;"|"&amp;TEXT(Raw_Data!B1524,"yyyy-mm-dd")</f>
        <v>Public Service Enterprise Group|PEG|2021-03-31</v>
      </c>
    </row>
    <row r="1526">
      <c r="A1526" s="1">
        <v>1524.0</v>
      </c>
      <c r="B1526" s="11">
        <v>44469.0</v>
      </c>
      <c r="C1526" s="1" t="s">
        <v>799</v>
      </c>
      <c r="D1526" s="1" t="s">
        <v>800</v>
      </c>
      <c r="F1526" s="1">
        <v>4.91628E8</v>
      </c>
      <c r="G1526" s="1">
        <v>4.90091E8</v>
      </c>
      <c r="H1526" s="1">
        <v>3.1682E7</v>
      </c>
      <c r="I1526" s="1">
        <v>6.91057E8</v>
      </c>
      <c r="J1526" s="1">
        <v>4.70823E8</v>
      </c>
      <c r="K1526" s="1">
        <v>4.70823E8</v>
      </c>
      <c r="L1526" s="1">
        <v>-2.3736E7</v>
      </c>
      <c r="M1526" s="1">
        <v>0.0</v>
      </c>
      <c r="N1526" s="1">
        <v>9.27791E8</v>
      </c>
      <c r="O1526" s="1">
        <v>4.56968E8</v>
      </c>
      <c r="P1526" s="1">
        <v>2.36734E8</v>
      </c>
      <c r="Q1526" s="1">
        <v>2.0805E7</v>
      </c>
      <c r="R1526" s="1">
        <v>4.91628E8</v>
      </c>
      <c r="S1526" s="1">
        <v>4.42327E8</v>
      </c>
      <c r="W1526" s="4" t="str">
        <f>Raw_Data!C1525&amp;"|"&amp;Raw_Data!D1525&amp;"|"&amp;TEXT(Raw_Data!B1525,"yyyy-mm-dd")</f>
        <v>Public Service Enterprise Group|PEG|2020-12-31</v>
      </c>
    </row>
    <row r="1527">
      <c r="A1527" s="1">
        <v>1525.0</v>
      </c>
      <c r="B1527" s="11">
        <v>44377.0</v>
      </c>
      <c r="C1527" s="1" t="s">
        <v>799</v>
      </c>
      <c r="D1527" s="1" t="s">
        <v>800</v>
      </c>
      <c r="F1527" s="1">
        <v>4.1173E8</v>
      </c>
      <c r="G1527" s="1">
        <v>4.10426E8</v>
      </c>
      <c r="H1527" s="1">
        <v>2.764E7</v>
      </c>
      <c r="I1527" s="1">
        <v>6.39795E8</v>
      </c>
      <c r="J1527" s="1">
        <v>4.39327E8</v>
      </c>
      <c r="K1527" s="1">
        <v>4.39327E8</v>
      </c>
      <c r="L1527" s="1">
        <v>-2.1994E7</v>
      </c>
      <c r="M1527" s="1">
        <v>0.0</v>
      </c>
      <c r="N1527" s="1">
        <v>8.58381E8</v>
      </c>
      <c r="O1527" s="1">
        <v>4.19054E8</v>
      </c>
      <c r="P1527" s="1">
        <v>2.18586E8</v>
      </c>
      <c r="Q1527" s="1">
        <v>-2.7597E7</v>
      </c>
      <c r="R1527" s="1">
        <v>4.1173E8</v>
      </c>
      <c r="S1527" s="1">
        <v>3.46249E8</v>
      </c>
      <c r="W1527" s="4" t="str">
        <f>Raw_Data!C1526&amp;"|"&amp;Raw_Data!D1526&amp;"|"&amp;TEXT(Raw_Data!B1526,"yyyy-mm-dd")</f>
        <v>Public Storage|PSA|2021-09-30</v>
      </c>
    </row>
    <row r="1528">
      <c r="A1528" s="1">
        <v>1526.0</v>
      </c>
      <c r="B1528" s="11">
        <v>44286.0</v>
      </c>
      <c r="C1528" s="1" t="s">
        <v>799</v>
      </c>
      <c r="D1528" s="1" t="s">
        <v>800</v>
      </c>
      <c r="F1528" s="1">
        <v>4.34262E8</v>
      </c>
      <c r="G1528" s="1">
        <v>4.33036E8</v>
      </c>
      <c r="H1528" s="1">
        <v>1.8374E7</v>
      </c>
      <c r="I1528" s="1">
        <v>5.58295E8</v>
      </c>
      <c r="J1528" s="1">
        <v>3.91862E8</v>
      </c>
      <c r="K1528" s="1">
        <v>3.91862E8</v>
      </c>
      <c r="L1528" s="1">
        <v>-1.525E7</v>
      </c>
      <c r="M1528" s="1">
        <v>0.0</v>
      </c>
      <c r="N1528" s="1">
        <v>7.86718E8</v>
      </c>
      <c r="O1528" s="1">
        <v>3.94856E8</v>
      </c>
      <c r="P1528" s="1">
        <v>2.28423E8</v>
      </c>
      <c r="Q1528" s="1">
        <v>4.24E7</v>
      </c>
      <c r="R1528" s="1">
        <v>4.34262E8</v>
      </c>
      <c r="S1528" s="1">
        <v>3.8581E8</v>
      </c>
      <c r="W1528" s="4" t="str">
        <f>Raw_Data!C1527&amp;"|"&amp;Raw_Data!D1527&amp;"|"&amp;TEXT(Raw_Data!B1527,"yyyy-mm-dd")</f>
        <v>Public Storage|PSA|2021-06-30</v>
      </c>
    </row>
    <row r="1529">
      <c r="A1529" s="1">
        <v>1527.0</v>
      </c>
      <c r="B1529" s="11">
        <v>44196.0</v>
      </c>
      <c r="C1529" s="1" t="s">
        <v>799</v>
      </c>
      <c r="D1529" s="1" t="s">
        <v>800</v>
      </c>
      <c r="F1529" s="1">
        <v>3.52432E8</v>
      </c>
      <c r="G1529" s="1">
        <v>3.51267E8</v>
      </c>
      <c r="H1529" s="1">
        <v>2.0453E7</v>
      </c>
      <c r="I1529" s="1">
        <v>5.59854E8</v>
      </c>
      <c r="J1529" s="1">
        <v>3.97895E8</v>
      </c>
      <c r="K1529" s="1">
        <v>3.97895E8</v>
      </c>
      <c r="L1529" s="1">
        <v>-1.6036E7</v>
      </c>
      <c r="M1529" s="1">
        <v>0.0</v>
      </c>
      <c r="N1529" s="1">
        <v>7.65378E8</v>
      </c>
      <c r="O1529" s="1">
        <v>3.67483E8</v>
      </c>
      <c r="P1529" s="1">
        <v>2.05524E8</v>
      </c>
      <c r="Q1529" s="1">
        <v>-4.5463E7</v>
      </c>
      <c r="R1529" s="1">
        <v>3.52432E8</v>
      </c>
      <c r="S1529" s="1">
        <v>2.92166E8</v>
      </c>
      <c r="W1529" s="4" t="str">
        <f>Raw_Data!C1528&amp;"|"&amp;Raw_Data!D1528&amp;"|"&amp;TEXT(Raw_Data!B1528,"yyyy-mm-dd")</f>
        <v>Public Storage|PSA|2021-03-31</v>
      </c>
    </row>
    <row r="1530">
      <c r="A1530" s="1">
        <v>1528.0</v>
      </c>
      <c r="B1530" s="11">
        <v>44469.0</v>
      </c>
      <c r="C1530" s="1" t="s">
        <v>801</v>
      </c>
      <c r="D1530" s="1" t="s">
        <v>802</v>
      </c>
      <c r="F1530" s="1">
        <v>6.20402E8</v>
      </c>
      <c r="G1530" s="1">
        <v>4.75549E8</v>
      </c>
      <c r="H1530" s="1">
        <v>3.20506E8</v>
      </c>
      <c r="I1530" s="1">
        <v>9.4565E8</v>
      </c>
      <c r="J1530" s="1">
        <v>6.23044E8</v>
      </c>
      <c r="K1530" s="1">
        <v>6.23044E8</v>
      </c>
      <c r="L1530" s="1">
        <v>-115000.0</v>
      </c>
      <c r="M1530" s="1">
        <v>1.44853E8</v>
      </c>
      <c r="N1530" s="1">
        <v>3.47905E9</v>
      </c>
      <c r="O1530" s="1">
        <v>2.856006E9</v>
      </c>
      <c r="P1530" s="1">
        <v>2.5334E9</v>
      </c>
      <c r="Q1530" s="1">
        <v>-2642000.0</v>
      </c>
      <c r="R1530" s="1">
        <v>4.75549E8</v>
      </c>
      <c r="S1530" s="1">
        <v>4.71707E8</v>
      </c>
      <c r="W1530" s="4" t="str">
        <f>Raw_Data!C1529&amp;"|"&amp;Raw_Data!D1529&amp;"|"&amp;TEXT(Raw_Data!B1529,"yyyy-mm-dd")</f>
        <v>Public Storage|PSA|2020-12-31</v>
      </c>
    </row>
    <row r="1531">
      <c r="A1531" s="1">
        <v>1529.0</v>
      </c>
      <c r="B1531" s="11">
        <v>44377.0</v>
      </c>
      <c r="C1531" s="1" t="s">
        <v>801</v>
      </c>
      <c r="D1531" s="1" t="s">
        <v>802</v>
      </c>
      <c r="F1531" s="1">
        <v>6.39473E8</v>
      </c>
      <c r="G1531" s="1">
        <v>5.03399E8</v>
      </c>
      <c r="H1531" s="1">
        <v>2.72286E8</v>
      </c>
      <c r="I1531" s="1">
        <v>9.13238E8</v>
      </c>
      <c r="J1531" s="1">
        <v>6.36833E8</v>
      </c>
      <c r="K1531" s="1">
        <v>6.36833E8</v>
      </c>
      <c r="L1531" s="1">
        <v>-138000.0</v>
      </c>
      <c r="M1531" s="1">
        <v>1.36074E8</v>
      </c>
      <c r="N1531" s="1">
        <v>3.359484E9</v>
      </c>
      <c r="O1531" s="1">
        <v>2.722651E9</v>
      </c>
      <c r="P1531" s="1">
        <v>2.446246E9</v>
      </c>
      <c r="Q1531" s="1">
        <v>2640000.0</v>
      </c>
      <c r="R1531" s="1">
        <v>5.03399E8</v>
      </c>
      <c r="S1531" s="1">
        <v>4.99374E8</v>
      </c>
      <c r="W1531" s="4" t="str">
        <f>Raw_Data!C1530&amp;"|"&amp;Raw_Data!D1530&amp;"|"&amp;TEXT(Raw_Data!B1530,"yyyy-mm-dd")</f>
        <v>PulteGroup|PHM|2021-09-30</v>
      </c>
    </row>
    <row r="1532">
      <c r="A1532" s="1">
        <v>1530.0</v>
      </c>
      <c r="B1532" s="11">
        <v>44286.0</v>
      </c>
      <c r="C1532" s="1" t="s">
        <v>801</v>
      </c>
      <c r="D1532" s="1" t="s">
        <v>802</v>
      </c>
      <c r="F1532" s="1">
        <v>3.94052E8</v>
      </c>
      <c r="G1532" s="1">
        <v>3.04107E8</v>
      </c>
      <c r="H1532" s="1">
        <v>2.71686E8</v>
      </c>
      <c r="I1532" s="1">
        <v>7.29746E8</v>
      </c>
      <c r="J1532" s="1">
        <v>4.55566E8</v>
      </c>
      <c r="K1532" s="1">
        <v>4.55566E8</v>
      </c>
      <c r="L1532" s="1">
        <v>-135000.0</v>
      </c>
      <c r="M1532" s="1">
        <v>8.9945E7</v>
      </c>
      <c r="N1532" s="1">
        <v>2.729791E9</v>
      </c>
      <c r="O1532" s="1">
        <v>2.274225E9</v>
      </c>
      <c r="P1532" s="1">
        <v>2.000045E9</v>
      </c>
      <c r="Q1532" s="1">
        <v>-6.1514E7</v>
      </c>
      <c r="R1532" s="1">
        <v>3.04107E8</v>
      </c>
      <c r="S1532" s="1">
        <v>3.01655E8</v>
      </c>
      <c r="W1532" s="4" t="str">
        <f>Raw_Data!C1531&amp;"|"&amp;Raw_Data!D1531&amp;"|"&amp;TEXT(Raw_Data!B1531,"yyyy-mm-dd")</f>
        <v>PulteGroup|PHM|2021-06-30</v>
      </c>
    </row>
    <row r="1533">
      <c r="A1533" s="1">
        <v>1531.0</v>
      </c>
      <c r="B1533" s="11">
        <v>44196.0</v>
      </c>
      <c r="C1533" s="1" t="s">
        <v>801</v>
      </c>
      <c r="D1533" s="1" t="s">
        <v>802</v>
      </c>
      <c r="F1533" s="1">
        <v>5.2375E8</v>
      </c>
      <c r="G1533" s="1">
        <v>4.38111E8</v>
      </c>
      <c r="H1533" s="1">
        <v>2.79757E8</v>
      </c>
      <c r="I1533" s="1">
        <v>8.11261E8</v>
      </c>
      <c r="J1533" s="1">
        <v>5.28796E8</v>
      </c>
      <c r="K1533" s="1">
        <v>5.28796E8</v>
      </c>
      <c r="L1533" s="1">
        <v>-226000.0</v>
      </c>
      <c r="M1533" s="1">
        <v>8.5639E7</v>
      </c>
      <c r="N1533" s="1">
        <v>3.192364E9</v>
      </c>
      <c r="O1533" s="1">
        <v>2.663568E9</v>
      </c>
      <c r="P1533" s="1">
        <v>2.381103E9</v>
      </c>
      <c r="Q1533" s="1">
        <v>-5046000.0</v>
      </c>
      <c r="R1533" s="1">
        <v>4.38111E8</v>
      </c>
      <c r="S1533" s="1">
        <v>4.34234E8</v>
      </c>
      <c r="W1533" s="4" t="str">
        <f>Raw_Data!C1532&amp;"|"&amp;Raw_Data!D1532&amp;"|"&amp;TEXT(Raw_Data!B1532,"yyyy-mm-dd")</f>
        <v>PulteGroup|PHM|2021-03-31</v>
      </c>
    </row>
    <row r="1534">
      <c r="A1534" s="1">
        <v>1532.0</v>
      </c>
      <c r="B1534" s="11">
        <v>44409.0</v>
      </c>
      <c r="C1534" s="1" t="s">
        <v>803</v>
      </c>
      <c r="D1534" s="1" t="s">
        <v>803</v>
      </c>
      <c r="F1534" s="1">
        <v>2.527E8</v>
      </c>
      <c r="G1534" s="1">
        <v>1.819E8</v>
      </c>
      <c r="H1534" s="1">
        <v>1.048E9</v>
      </c>
      <c r="I1534" s="1">
        <v>1.3336E9</v>
      </c>
      <c r="J1534" s="1">
        <v>2.856E8</v>
      </c>
      <c r="K1534" s="1">
        <v>2.856E8</v>
      </c>
      <c r="L1534" s="1">
        <v>-2.73E7</v>
      </c>
      <c r="M1534" s="1">
        <v>7.09E7</v>
      </c>
      <c r="N1534" s="1">
        <v>2.3132E9</v>
      </c>
      <c r="O1534" s="1">
        <v>2.0276E9</v>
      </c>
      <c r="P1534" s="1">
        <v>9.796E8</v>
      </c>
      <c r="Q1534" s="1">
        <v>-3.29E7</v>
      </c>
      <c r="R1534" s="1">
        <v>1.818E8</v>
      </c>
      <c r="S1534" s="1">
        <v>1.819E8</v>
      </c>
      <c r="W1534" s="4" t="str">
        <f>Raw_Data!C1533&amp;"|"&amp;Raw_Data!D1533&amp;"|"&amp;TEXT(Raw_Data!B1533,"yyyy-mm-dd")</f>
        <v>PulteGroup|PHM|2020-12-31</v>
      </c>
    </row>
    <row r="1535">
      <c r="A1535" s="1">
        <v>1533.0</v>
      </c>
      <c r="B1535" s="11">
        <v>44318.0</v>
      </c>
      <c r="C1535" s="1" t="s">
        <v>803</v>
      </c>
      <c r="D1535" s="1" t="s">
        <v>803</v>
      </c>
      <c r="F1535" s="1">
        <v>1.68E8</v>
      </c>
      <c r="G1535" s="1">
        <v>9.99E7</v>
      </c>
      <c r="H1535" s="1">
        <v>9.841E8</v>
      </c>
      <c r="I1535" s="1">
        <v>1.2291E9</v>
      </c>
      <c r="J1535" s="1">
        <v>2.45E8</v>
      </c>
      <c r="K1535" s="1">
        <v>2.45E8</v>
      </c>
      <c r="L1535" s="1">
        <v>-3.05E7</v>
      </c>
      <c r="M1535" s="1">
        <v>6.83E7</v>
      </c>
      <c r="N1535" s="1">
        <v>2.0793E9</v>
      </c>
      <c r="O1535" s="1">
        <v>1.8343E9</v>
      </c>
      <c r="P1535" s="1">
        <v>8.502E8</v>
      </c>
      <c r="Q1535" s="1">
        <v>-7.7E7</v>
      </c>
      <c r="R1535" s="1">
        <v>9.97E7</v>
      </c>
      <c r="S1535" s="1">
        <v>9.99E7</v>
      </c>
      <c r="W1535" s="4" t="str">
        <f>Raw_Data!C1534&amp;"|"&amp;Raw_Data!D1534&amp;"|"&amp;TEXT(Raw_Data!B1534,"yyyy-mm-dd")</f>
        <v>PVH|PVH|2021-08-01</v>
      </c>
    </row>
    <row r="1536">
      <c r="A1536" s="1">
        <v>1534.0</v>
      </c>
      <c r="B1536" s="11">
        <v>44227.0</v>
      </c>
      <c r="C1536" s="1" t="s">
        <v>803</v>
      </c>
      <c r="D1536" s="1" t="s">
        <v>803</v>
      </c>
      <c r="F1536" s="1">
        <v>-8200000.0</v>
      </c>
      <c r="G1536" s="1">
        <v>-5.77E7</v>
      </c>
      <c r="H1536" s="1">
        <v>1.1112E9</v>
      </c>
      <c r="I1536" s="1">
        <v>1.0583E9</v>
      </c>
      <c r="J1536" s="1">
        <v>-5.29E7</v>
      </c>
      <c r="K1536" s="1">
        <v>-5.29E7</v>
      </c>
      <c r="L1536" s="1">
        <v>-3.59E7</v>
      </c>
      <c r="M1536" s="1">
        <v>4.99E7</v>
      </c>
      <c r="N1536" s="1">
        <v>2.0898E9</v>
      </c>
      <c r="O1536" s="1">
        <v>2.1427E9</v>
      </c>
      <c r="P1536" s="1">
        <v>1.0315E9</v>
      </c>
      <c r="Q1536" s="1">
        <v>4.47E7</v>
      </c>
      <c r="R1536" s="1">
        <v>-5.81E7</v>
      </c>
      <c r="S1536" s="1">
        <v>-5.77E7</v>
      </c>
      <c r="W1536" s="4" t="str">
        <f>Raw_Data!C1535&amp;"|"&amp;Raw_Data!D1535&amp;"|"&amp;TEXT(Raw_Data!B1535,"yyyy-mm-dd")</f>
        <v>PVH|PVH|2021-05-02</v>
      </c>
    </row>
    <row r="1537">
      <c r="A1537" s="1">
        <v>1535.0</v>
      </c>
      <c r="B1537" s="11">
        <v>44136.0</v>
      </c>
      <c r="C1537" s="1" t="s">
        <v>803</v>
      </c>
      <c r="D1537" s="1" t="s">
        <v>803</v>
      </c>
      <c r="F1537" s="1">
        <v>8.86E7</v>
      </c>
      <c r="G1537" s="1">
        <v>6.98E7</v>
      </c>
      <c r="H1537" s="1">
        <v>9.829E8</v>
      </c>
      <c r="I1537" s="1">
        <v>1.1013E9</v>
      </c>
      <c r="J1537" s="1">
        <v>1.184E8</v>
      </c>
      <c r="K1537" s="1">
        <v>1.184E8</v>
      </c>
      <c r="L1537" s="1">
        <v>-3.44E7</v>
      </c>
      <c r="M1537" s="1">
        <v>1.91E7</v>
      </c>
      <c r="N1537" s="1">
        <v>2.1181E9</v>
      </c>
      <c r="O1537" s="1">
        <v>1.9997E9</v>
      </c>
      <c r="P1537" s="1">
        <v>1.0168E9</v>
      </c>
      <c r="Q1537" s="1">
        <v>-2.98E7</v>
      </c>
      <c r="R1537" s="1">
        <v>6.95E7</v>
      </c>
      <c r="S1537" s="1">
        <v>6.98E7</v>
      </c>
      <c r="W1537" s="4" t="str">
        <f>Raw_Data!C1536&amp;"|"&amp;Raw_Data!D1536&amp;"|"&amp;TEXT(Raw_Data!B1536,"yyyy-mm-dd")</f>
        <v>PVH|PVH|2021-01-31</v>
      </c>
    </row>
    <row r="1538">
      <c r="A1538" s="1">
        <v>1536.0</v>
      </c>
      <c r="B1538" s="11">
        <v>44471.0</v>
      </c>
      <c r="C1538" s="1" t="s">
        <v>804</v>
      </c>
      <c r="D1538" s="1" t="s">
        <v>805</v>
      </c>
      <c r="E1538" s="1">
        <v>1.58377E8</v>
      </c>
      <c r="F1538" s="1">
        <v>3.51787E8</v>
      </c>
      <c r="G1538" s="1">
        <v>3.19189E8</v>
      </c>
      <c r="H1538" s="1">
        <v>9.3489E7</v>
      </c>
      <c r="I1538" s="1">
        <v>6.21553E8</v>
      </c>
      <c r="J1538" s="1">
        <v>3.6286E8</v>
      </c>
      <c r="K1538" s="1">
        <v>3.6286E8</v>
      </c>
      <c r="L1538" s="1">
        <v>-1.5327E7</v>
      </c>
      <c r="M1538" s="1">
        <v>3.2598E7</v>
      </c>
      <c r="N1538" s="1">
        <v>1.255248E9</v>
      </c>
      <c r="O1538" s="1">
        <v>8.92388E8</v>
      </c>
      <c r="P1538" s="1">
        <v>6.33695E8</v>
      </c>
      <c r="Q1538" s="1">
        <v>-1.1073E7</v>
      </c>
      <c r="R1538" s="1">
        <v>3.19189E8</v>
      </c>
      <c r="S1538" s="1">
        <v>3.19189E8</v>
      </c>
      <c r="W1538" s="4" t="str">
        <f>Raw_Data!C1537&amp;"|"&amp;Raw_Data!D1537&amp;"|"&amp;TEXT(Raw_Data!B1537,"yyyy-mm-dd")</f>
        <v>PVH|PVH|2020-11-01</v>
      </c>
    </row>
    <row r="1539">
      <c r="A1539" s="1">
        <v>1537.0</v>
      </c>
      <c r="B1539" s="11">
        <v>44380.0</v>
      </c>
      <c r="C1539" s="1" t="s">
        <v>804</v>
      </c>
      <c r="D1539" s="1" t="s">
        <v>805</v>
      </c>
      <c r="E1539" s="1">
        <v>1.52079E8</v>
      </c>
      <c r="F1539" s="1">
        <v>2.98614E8</v>
      </c>
      <c r="G1539" s="1">
        <v>2.85626E8</v>
      </c>
      <c r="H1539" s="1">
        <v>9.0299E7</v>
      </c>
      <c r="I1539" s="1">
        <v>5.46183E8</v>
      </c>
      <c r="J1539" s="1">
        <v>2.98302E8</v>
      </c>
      <c r="K1539" s="1">
        <v>2.98302E8</v>
      </c>
      <c r="L1539" s="1">
        <v>-1.5279E7</v>
      </c>
      <c r="M1539" s="1">
        <v>1.2988E7</v>
      </c>
      <c r="N1539" s="1">
        <v>1.110351E9</v>
      </c>
      <c r="O1539" s="1">
        <v>8.12049E8</v>
      </c>
      <c r="P1539" s="1">
        <v>5.64168E8</v>
      </c>
      <c r="Q1539" s="1">
        <v>312000.0</v>
      </c>
      <c r="R1539" s="1">
        <v>2.85626E8</v>
      </c>
      <c r="S1539" s="1">
        <v>2.85626E8</v>
      </c>
      <c r="W1539" s="4" t="str">
        <f>Raw_Data!C1538&amp;"|"&amp;Raw_Data!D1538&amp;"|"&amp;TEXT(Raw_Data!B1538,"yyyy-mm-dd")</f>
        <v>Qorvo|QRVO|2021-10-02</v>
      </c>
    </row>
    <row r="1540">
      <c r="A1540" s="1">
        <v>1538.0</v>
      </c>
      <c r="B1540" s="11">
        <v>44289.0</v>
      </c>
      <c r="C1540" s="1" t="s">
        <v>804</v>
      </c>
      <c r="D1540" s="1" t="s">
        <v>805</v>
      </c>
      <c r="E1540" s="1">
        <v>1.47285E8</v>
      </c>
      <c r="F1540" s="1">
        <v>2.86786E8</v>
      </c>
      <c r="G1540" s="1">
        <v>2.98737E8</v>
      </c>
      <c r="H1540" s="1">
        <v>7.8123E7</v>
      </c>
      <c r="I1540" s="1">
        <v>5.28475E8</v>
      </c>
      <c r="J1540" s="1">
        <v>3.22258E8</v>
      </c>
      <c r="K1540" s="1">
        <v>3.22258E8</v>
      </c>
      <c r="L1540" s="1">
        <v>-1.8339E7</v>
      </c>
      <c r="M1540" s="1">
        <v>-1.1951E7</v>
      </c>
      <c r="N1540" s="1">
        <v>1.07273E9</v>
      </c>
      <c r="O1540" s="1">
        <v>7.50472E8</v>
      </c>
      <c r="P1540" s="1">
        <v>5.44255E8</v>
      </c>
      <c r="Q1540" s="1">
        <v>-3.5472E7</v>
      </c>
      <c r="R1540" s="1">
        <v>2.98737E8</v>
      </c>
      <c r="S1540" s="1">
        <v>2.98737E8</v>
      </c>
      <c r="W1540" s="4" t="str">
        <f>Raw_Data!C1539&amp;"|"&amp;Raw_Data!D1539&amp;"|"&amp;TEXT(Raw_Data!B1539,"yyyy-mm-dd")</f>
        <v>Qorvo|QRVO|2021-07-03</v>
      </c>
    </row>
    <row r="1541">
      <c r="A1541" s="1">
        <v>1539.0</v>
      </c>
      <c r="B1541" s="11">
        <v>44198.0</v>
      </c>
      <c r="C1541" s="1" t="s">
        <v>804</v>
      </c>
      <c r="D1541" s="1" t="s">
        <v>805</v>
      </c>
      <c r="E1541" s="1">
        <v>1.36697E8</v>
      </c>
      <c r="F1541" s="1">
        <v>2.23516E8</v>
      </c>
      <c r="G1541" s="1">
        <v>2.01035E8</v>
      </c>
      <c r="H1541" s="1">
        <v>9.3139E7</v>
      </c>
      <c r="I1541" s="1">
        <v>5.37752E8</v>
      </c>
      <c r="J1541" s="1">
        <v>3.00198E8</v>
      </c>
      <c r="K1541" s="1">
        <v>3.00198E8</v>
      </c>
      <c r="L1541" s="1">
        <v>-1.7453E7</v>
      </c>
      <c r="M1541" s="1">
        <v>2.2481E7</v>
      </c>
      <c r="N1541" s="1">
        <v>1.094834E9</v>
      </c>
      <c r="O1541" s="1">
        <v>7.94636E8</v>
      </c>
      <c r="P1541" s="1">
        <v>5.57082E8</v>
      </c>
      <c r="Q1541" s="1">
        <v>-7.6682E7</v>
      </c>
      <c r="R1541" s="1">
        <v>2.01035E8</v>
      </c>
      <c r="S1541" s="1">
        <v>2.01035E8</v>
      </c>
      <c r="W1541" s="4" t="str">
        <f>Raw_Data!C1540&amp;"|"&amp;Raw_Data!D1540&amp;"|"&amp;TEXT(Raw_Data!B1540,"yyyy-mm-dd")</f>
        <v>Qorvo|QRVO|2021-04-03</v>
      </c>
    </row>
    <row r="1542">
      <c r="A1542" s="1">
        <v>1540.0</v>
      </c>
      <c r="B1542" s="11">
        <v>44465.0</v>
      </c>
      <c r="C1542" s="1" t="s">
        <v>806</v>
      </c>
      <c r="D1542" s="1" t="s">
        <v>807</v>
      </c>
      <c r="E1542" s="1">
        <v>1.879E9</v>
      </c>
      <c r="F1542" s="1">
        <v>3.285E9</v>
      </c>
      <c r="G1542" s="1">
        <v>2.798E9</v>
      </c>
      <c r="H1542" s="1">
        <v>6.18E8</v>
      </c>
      <c r="I1542" s="1">
        <v>5.399E9</v>
      </c>
      <c r="J1542" s="1">
        <v>2.902E9</v>
      </c>
      <c r="K1542" s="1">
        <v>2.902E9</v>
      </c>
      <c r="L1542" s="1">
        <v>-1.38E8</v>
      </c>
      <c r="M1542" s="1">
        <v>4.87E8</v>
      </c>
      <c r="N1542" s="1">
        <v>9.336E9</v>
      </c>
      <c r="O1542" s="1">
        <v>6.434E9</v>
      </c>
      <c r="P1542" s="1">
        <v>3.937E9</v>
      </c>
      <c r="Q1542" s="1">
        <v>3.83E8</v>
      </c>
      <c r="R1542" s="1">
        <v>2.798E9</v>
      </c>
      <c r="S1542" s="1">
        <v>2.798E9</v>
      </c>
      <c r="W1542" s="4" t="str">
        <f>Raw_Data!C1541&amp;"|"&amp;Raw_Data!D1541&amp;"|"&amp;TEXT(Raw_Data!B1541,"yyyy-mm-dd")</f>
        <v>Qorvo|QRVO|2021-01-02</v>
      </c>
    </row>
    <row r="1543">
      <c r="A1543" s="1">
        <v>1541.0</v>
      </c>
      <c r="B1543" s="11">
        <v>44374.0</v>
      </c>
      <c r="C1543" s="1" t="s">
        <v>806</v>
      </c>
      <c r="D1543" s="1" t="s">
        <v>807</v>
      </c>
      <c r="E1543" s="1">
        <v>1.864E9</v>
      </c>
      <c r="F1543" s="1">
        <v>2.257E9</v>
      </c>
      <c r="G1543" s="1">
        <v>2.027E9</v>
      </c>
      <c r="H1543" s="1">
        <v>5.97E8</v>
      </c>
      <c r="I1543" s="1">
        <v>4.656E9</v>
      </c>
      <c r="J1543" s="1">
        <v>2.195E9</v>
      </c>
      <c r="K1543" s="1">
        <v>2.195E9</v>
      </c>
      <c r="L1543" s="1">
        <v>-1.38E8</v>
      </c>
      <c r="M1543" s="1">
        <v>2.3E8</v>
      </c>
      <c r="N1543" s="1">
        <v>8.06E9</v>
      </c>
      <c r="O1543" s="1">
        <v>5.865E9</v>
      </c>
      <c r="P1543" s="1">
        <v>3.404E9</v>
      </c>
      <c r="Q1543" s="1">
        <v>6.2E7</v>
      </c>
      <c r="R1543" s="1">
        <v>2.027E9</v>
      </c>
      <c r="S1543" s="1">
        <v>2.027E9</v>
      </c>
      <c r="W1543" s="4" t="str">
        <f>Raw_Data!C1542&amp;"|"&amp;Raw_Data!D1542&amp;"|"&amp;TEXT(Raw_Data!B1542,"yyyy-mm-dd")</f>
        <v>Qualcomm|QCOM|2021-09-26</v>
      </c>
    </row>
    <row r="1544">
      <c r="A1544" s="1">
        <v>1542.0</v>
      </c>
      <c r="B1544" s="11">
        <v>44283.0</v>
      </c>
      <c r="C1544" s="1" t="s">
        <v>806</v>
      </c>
      <c r="D1544" s="1" t="s">
        <v>807</v>
      </c>
      <c r="E1544" s="1">
        <v>1.78E9</v>
      </c>
      <c r="F1544" s="1">
        <v>2.129E9</v>
      </c>
      <c r="G1544" s="1">
        <v>1.762E9</v>
      </c>
      <c r="H1544" s="1">
        <v>5.57E8</v>
      </c>
      <c r="I1544" s="1">
        <v>4.503E9</v>
      </c>
      <c r="J1544" s="1">
        <v>2.166E9</v>
      </c>
      <c r="K1544" s="1">
        <v>2.166E9</v>
      </c>
      <c r="L1544" s="1">
        <v>-1.41E8</v>
      </c>
      <c r="M1544" s="1">
        <v>3.67E8</v>
      </c>
      <c r="N1544" s="1">
        <v>7.935E9</v>
      </c>
      <c r="O1544" s="1">
        <v>5.769E9</v>
      </c>
      <c r="P1544" s="1">
        <v>3.432E9</v>
      </c>
      <c r="Q1544" s="1">
        <v>-3.7E7</v>
      </c>
      <c r="R1544" s="1">
        <v>1.762E9</v>
      </c>
      <c r="S1544" s="1">
        <v>1.762E9</v>
      </c>
      <c r="W1544" s="4" t="str">
        <f>Raw_Data!C1543&amp;"|"&amp;Raw_Data!D1543&amp;"|"&amp;TEXT(Raw_Data!B1543,"yyyy-mm-dd")</f>
        <v>Qualcomm|QCOM|2021-06-27</v>
      </c>
    </row>
    <row r="1545">
      <c r="A1545" s="1">
        <v>1543.0</v>
      </c>
      <c r="B1545" s="11">
        <v>44192.0</v>
      </c>
      <c r="C1545" s="1" t="s">
        <v>806</v>
      </c>
      <c r="D1545" s="1" t="s">
        <v>807</v>
      </c>
      <c r="E1545" s="1">
        <v>1.653E9</v>
      </c>
      <c r="F1545" s="1">
        <v>2.604E9</v>
      </c>
      <c r="G1545" s="1">
        <v>2.455E9</v>
      </c>
      <c r="H1545" s="1">
        <v>5.67E8</v>
      </c>
      <c r="I1545" s="1">
        <v>4.746E9</v>
      </c>
      <c r="J1545" s="1">
        <v>2.526E9</v>
      </c>
      <c r="K1545" s="1">
        <v>2.526E9</v>
      </c>
      <c r="L1545" s="1">
        <v>-1.41E8</v>
      </c>
      <c r="M1545" s="1">
        <v>1.49E8</v>
      </c>
      <c r="N1545" s="1">
        <v>8.235E9</v>
      </c>
      <c r="O1545" s="1">
        <v>5.709E9</v>
      </c>
      <c r="P1545" s="1">
        <v>3.489E9</v>
      </c>
      <c r="Q1545" s="1">
        <v>7.8E7</v>
      </c>
      <c r="R1545" s="1">
        <v>2.455E9</v>
      </c>
      <c r="S1545" s="1">
        <v>2.455E9</v>
      </c>
      <c r="W1545" s="4" t="str">
        <f>Raw_Data!C1544&amp;"|"&amp;Raw_Data!D1544&amp;"|"&amp;TEXT(Raw_Data!B1544,"yyyy-mm-dd")</f>
        <v>Qualcomm|QCOM|2021-03-28</v>
      </c>
    </row>
    <row r="1546">
      <c r="A1546" s="1">
        <v>1544.0</v>
      </c>
      <c r="B1546" s="11">
        <v>44469.0</v>
      </c>
      <c r="C1546" s="1" t="s">
        <v>808</v>
      </c>
      <c r="D1546" s="1" t="s">
        <v>809</v>
      </c>
      <c r="F1546" s="1">
        <v>2.36979E8</v>
      </c>
      <c r="G1546" s="1">
        <v>1.74365E8</v>
      </c>
      <c r="H1546" s="1">
        <v>2.74846E8</v>
      </c>
      <c r="I1546" s="1">
        <v>5.34676E8</v>
      </c>
      <c r="J1546" s="1">
        <v>2.37058E8</v>
      </c>
      <c r="K1546" s="1">
        <v>2.37058E8</v>
      </c>
      <c r="L1546" s="1">
        <v>-1.7259E7</v>
      </c>
      <c r="M1546" s="1">
        <v>6.1581E7</v>
      </c>
      <c r="N1546" s="1">
        <v>3.353278E9</v>
      </c>
      <c r="O1546" s="1">
        <v>3.11622E9</v>
      </c>
      <c r="P1546" s="1">
        <v>2.818602E9</v>
      </c>
      <c r="Q1546" s="1">
        <v>-78999.0</v>
      </c>
      <c r="R1546" s="1">
        <v>1.75398E8</v>
      </c>
      <c r="S1546" s="1">
        <v>1.74365E8</v>
      </c>
      <c r="W1546" s="4" t="str">
        <f>Raw_Data!C1545&amp;"|"&amp;Raw_Data!D1545&amp;"|"&amp;TEXT(Raw_Data!B1545,"yyyy-mm-dd")</f>
        <v>Qualcomm|QCOM|2020-12-27</v>
      </c>
    </row>
    <row r="1547">
      <c r="A1547" s="1">
        <v>1545.0</v>
      </c>
      <c r="B1547" s="11">
        <v>44377.0</v>
      </c>
      <c r="C1547" s="1" t="s">
        <v>808</v>
      </c>
      <c r="D1547" s="1" t="s">
        <v>809</v>
      </c>
      <c r="F1547" s="1">
        <v>1.59922E8</v>
      </c>
      <c r="G1547" s="1">
        <v>1.17033E8</v>
      </c>
      <c r="H1547" s="1">
        <v>2.7011E8</v>
      </c>
      <c r="I1547" s="1">
        <v>4.47711E8</v>
      </c>
      <c r="J1547" s="1">
        <v>1.5631E8</v>
      </c>
      <c r="K1547" s="1">
        <v>1.5631E8</v>
      </c>
      <c r="L1547" s="1">
        <v>-1.3109E7</v>
      </c>
      <c r="M1547" s="1">
        <v>4.0951E7</v>
      </c>
      <c r="N1547" s="1">
        <v>2.999816E9</v>
      </c>
      <c r="O1547" s="1">
        <v>2.843506E9</v>
      </c>
      <c r="P1547" s="1">
        <v>2.552105E9</v>
      </c>
      <c r="Q1547" s="1">
        <v>3612000.0</v>
      </c>
      <c r="R1547" s="1">
        <v>1.18971E8</v>
      </c>
      <c r="S1547" s="1">
        <v>1.17033E8</v>
      </c>
      <c r="W1547" s="4" t="str">
        <f>Raw_Data!C1546&amp;"|"&amp;Raw_Data!D1546&amp;"|"&amp;TEXT(Raw_Data!B1546,"yyyy-mm-dd")</f>
        <v>Quanta Services|PWR|2021-09-30</v>
      </c>
    </row>
    <row r="1548">
      <c r="A1548" s="1">
        <v>1546.0</v>
      </c>
      <c r="B1548" s="11">
        <v>44286.0</v>
      </c>
      <c r="C1548" s="1" t="s">
        <v>808</v>
      </c>
      <c r="D1548" s="1" t="s">
        <v>809</v>
      </c>
      <c r="F1548" s="1">
        <v>1.05043E8</v>
      </c>
      <c r="G1548" s="1">
        <v>8.9761E7</v>
      </c>
      <c r="H1548" s="1">
        <v>2.43352E8</v>
      </c>
      <c r="I1548" s="1">
        <v>3.7289E8</v>
      </c>
      <c r="J1548" s="1">
        <v>1.08183E8</v>
      </c>
      <c r="K1548" s="1">
        <v>1.08183E8</v>
      </c>
      <c r="L1548" s="1">
        <v>-1.2475E7</v>
      </c>
      <c r="M1548" s="1">
        <v>1.3724E7</v>
      </c>
      <c r="N1548" s="1">
        <v>2.703581E9</v>
      </c>
      <c r="O1548" s="1">
        <v>2.595398E9</v>
      </c>
      <c r="P1548" s="1">
        <v>2.330691E9</v>
      </c>
      <c r="Q1548" s="1">
        <v>-3140000.0</v>
      </c>
      <c r="R1548" s="1">
        <v>9.1319E7</v>
      </c>
      <c r="S1548" s="1">
        <v>8.9761E7</v>
      </c>
      <c r="W1548" s="4" t="str">
        <f>Raw_Data!C1547&amp;"|"&amp;Raw_Data!D1547&amp;"|"&amp;TEXT(Raw_Data!B1547,"yyyy-mm-dd")</f>
        <v>Quanta Services|PWR|2021-06-30</v>
      </c>
    </row>
    <row r="1549">
      <c r="A1549" s="1">
        <v>1547.0</v>
      </c>
      <c r="B1549" s="11">
        <v>44196.0</v>
      </c>
      <c r="C1549" s="1" t="s">
        <v>808</v>
      </c>
      <c r="D1549" s="1" t="s">
        <v>809</v>
      </c>
      <c r="F1549" s="1">
        <v>1.71722E8</v>
      </c>
      <c r="G1549" s="1">
        <v>1.70051E8</v>
      </c>
      <c r="H1549" s="1">
        <v>2.65775E8</v>
      </c>
      <c r="I1549" s="1">
        <v>4.65873E8</v>
      </c>
      <c r="J1549" s="1">
        <v>1.78768E8</v>
      </c>
      <c r="K1549" s="1">
        <v>1.78768E8</v>
      </c>
      <c r="L1549" s="1">
        <v>-1.1304E7</v>
      </c>
      <c r="M1549" s="1">
        <v>-239000.0</v>
      </c>
      <c r="N1549" s="1">
        <v>2.912185E9</v>
      </c>
      <c r="O1549" s="1">
        <v>2.733417E9</v>
      </c>
      <c r="P1549" s="1">
        <v>2.446312E9</v>
      </c>
      <c r="Q1549" s="1">
        <v>-7046000.0</v>
      </c>
      <c r="R1549" s="1">
        <v>1.71961E8</v>
      </c>
      <c r="S1549" s="1">
        <v>1.70051E8</v>
      </c>
      <c r="W1549" s="4" t="str">
        <f>Raw_Data!C1548&amp;"|"&amp;Raw_Data!D1548&amp;"|"&amp;TEXT(Raw_Data!B1548,"yyyy-mm-dd")</f>
        <v>Quanta Services|PWR|2021-03-31</v>
      </c>
    </row>
    <row r="1550">
      <c r="A1550" s="1">
        <v>1548.0</v>
      </c>
      <c r="B1550" s="11">
        <v>44469.0</v>
      </c>
      <c r="C1550" s="1" t="s">
        <v>810</v>
      </c>
      <c r="D1550" s="1" t="s">
        <v>811</v>
      </c>
      <c r="F1550" s="1">
        <v>6.8E8</v>
      </c>
      <c r="G1550" s="1">
        <v>5.05E8</v>
      </c>
      <c r="H1550" s="1">
        <v>4.21E8</v>
      </c>
      <c r="I1550" s="1">
        <v>1.111E9</v>
      </c>
      <c r="J1550" s="1">
        <v>6.65E8</v>
      </c>
      <c r="K1550" s="1">
        <v>6.65E8</v>
      </c>
      <c r="L1550" s="1">
        <v>-3.8E7</v>
      </c>
      <c r="M1550" s="1">
        <v>1.53E8</v>
      </c>
      <c r="N1550" s="1">
        <v>2.774E9</v>
      </c>
      <c r="O1550" s="1">
        <v>2.109E9</v>
      </c>
      <c r="P1550" s="1">
        <v>1.663E9</v>
      </c>
      <c r="Q1550" s="1">
        <v>1.5E7</v>
      </c>
      <c r="R1550" s="1">
        <v>5.27E8</v>
      </c>
      <c r="S1550" s="1">
        <v>5.03E8</v>
      </c>
      <c r="W1550" s="4" t="str">
        <f>Raw_Data!C1549&amp;"|"&amp;Raw_Data!D1549&amp;"|"&amp;TEXT(Raw_Data!B1549,"yyyy-mm-dd")</f>
        <v>Quanta Services|PWR|2020-12-31</v>
      </c>
    </row>
    <row r="1551">
      <c r="A1551" s="1">
        <v>1549.0</v>
      </c>
      <c r="B1551" s="11">
        <v>44377.0</v>
      </c>
      <c r="C1551" s="1" t="s">
        <v>810</v>
      </c>
      <c r="D1551" s="1" t="s">
        <v>811</v>
      </c>
      <c r="F1551" s="1">
        <v>8.27E8</v>
      </c>
      <c r="G1551" s="1">
        <v>6.31E8</v>
      </c>
      <c r="H1551" s="1">
        <v>4.2E8</v>
      </c>
      <c r="I1551" s="1">
        <v>9.97E8</v>
      </c>
      <c r="J1551" s="1">
        <v>5.54E8</v>
      </c>
      <c r="K1551" s="1">
        <v>5.54E8</v>
      </c>
      <c r="L1551" s="1">
        <v>-3.8E7</v>
      </c>
      <c r="M1551" s="1">
        <v>1.77E8</v>
      </c>
      <c r="N1551" s="1">
        <v>2.55E9</v>
      </c>
      <c r="O1551" s="1">
        <v>1.996E9</v>
      </c>
      <c r="P1551" s="1">
        <v>1.553E9</v>
      </c>
      <c r="Q1551" s="1">
        <v>2.73E8</v>
      </c>
      <c r="R1551" s="1">
        <v>6.5E8</v>
      </c>
      <c r="S1551" s="1">
        <v>6.28E8</v>
      </c>
      <c r="W1551" s="4" t="str">
        <f>Raw_Data!C1550&amp;"|"&amp;Raw_Data!D1550&amp;"|"&amp;TEXT(Raw_Data!B1550,"yyyy-mm-dd")</f>
        <v>Quest Diagnostics|DGX|2021-09-30</v>
      </c>
    </row>
    <row r="1552">
      <c r="A1552" s="1">
        <v>1550.0</v>
      </c>
      <c r="B1552" s="11">
        <v>44286.0</v>
      </c>
      <c r="C1552" s="1" t="s">
        <v>810</v>
      </c>
      <c r="D1552" s="1" t="s">
        <v>811</v>
      </c>
      <c r="F1552" s="1">
        <v>6.43E8</v>
      </c>
      <c r="G1552" s="1">
        <v>4.69E8</v>
      </c>
      <c r="H1552" s="1">
        <v>3.97E8</v>
      </c>
      <c r="I1552" s="1">
        <v>1.105E9</v>
      </c>
      <c r="J1552" s="1">
        <v>6.81E8</v>
      </c>
      <c r="K1552" s="1">
        <v>6.81E8</v>
      </c>
      <c r="L1552" s="1">
        <v>-3.8E7</v>
      </c>
      <c r="M1552" s="1">
        <v>1.53E8</v>
      </c>
      <c r="N1552" s="1">
        <v>2.72E9</v>
      </c>
      <c r="O1552" s="1">
        <v>2.039E9</v>
      </c>
      <c r="P1552" s="1">
        <v>1.615E9</v>
      </c>
      <c r="Q1552" s="1">
        <v>-3.8E7</v>
      </c>
      <c r="R1552" s="1">
        <v>4.9E8</v>
      </c>
      <c r="S1552" s="1">
        <v>4.68E8</v>
      </c>
      <c r="W1552" s="4" t="str">
        <f>Raw_Data!C1551&amp;"|"&amp;Raw_Data!D1551&amp;"|"&amp;TEXT(Raw_Data!B1551,"yyyy-mm-dd")</f>
        <v>Quest Diagnostics|DGX|2021-06-30</v>
      </c>
    </row>
    <row r="1553">
      <c r="A1553" s="1">
        <v>1551.0</v>
      </c>
      <c r="B1553" s="11">
        <v>44196.0</v>
      </c>
      <c r="C1553" s="1" t="s">
        <v>810</v>
      </c>
      <c r="D1553" s="1" t="s">
        <v>811</v>
      </c>
      <c r="F1553" s="1">
        <v>8.0E8</v>
      </c>
      <c r="G1553" s="1">
        <v>5.79E8</v>
      </c>
      <c r="H1553" s="1">
        <v>4.36E8</v>
      </c>
      <c r="I1553" s="1">
        <v>1.294E9</v>
      </c>
      <c r="J1553" s="1">
        <v>8.35E8</v>
      </c>
      <c r="K1553" s="1">
        <v>8.35E8</v>
      </c>
      <c r="L1553" s="1">
        <v>-4.0E7</v>
      </c>
      <c r="M1553" s="1">
        <v>1.91E8</v>
      </c>
      <c r="N1553" s="1">
        <v>3.002E9</v>
      </c>
      <c r="O1553" s="1">
        <v>2.167E9</v>
      </c>
      <c r="P1553" s="1">
        <v>1.708E9</v>
      </c>
      <c r="Q1553" s="1">
        <v>-3.5E7</v>
      </c>
      <c r="R1553" s="1">
        <v>6.09E8</v>
      </c>
      <c r="S1553" s="1">
        <v>5.76E8</v>
      </c>
      <c r="W1553" s="4" t="str">
        <f>Raw_Data!C1552&amp;"|"&amp;Raw_Data!D1552&amp;"|"&amp;TEXT(Raw_Data!B1552,"yyyy-mm-dd")</f>
        <v>Quest Diagnostics|DGX|2021-03-31</v>
      </c>
    </row>
    <row r="1554">
      <c r="A1554" s="1">
        <v>1552.0</v>
      </c>
      <c r="B1554" s="11">
        <v>44464.0</v>
      </c>
      <c r="C1554" s="1" t="s">
        <v>812</v>
      </c>
      <c r="D1554" s="1" t="s">
        <v>813</v>
      </c>
      <c r="F1554" s="1">
        <v>2.381E8</v>
      </c>
      <c r="G1554" s="1">
        <v>1.933E8</v>
      </c>
      <c r="H1554" s="1">
        <v>7.551E8</v>
      </c>
      <c r="I1554" s="1">
        <v>1.0117E9</v>
      </c>
      <c r="J1554" s="1">
        <v>2.515E8</v>
      </c>
      <c r="K1554" s="1">
        <v>2.515E8</v>
      </c>
      <c r="L1554" s="1">
        <v>-1.36E7</v>
      </c>
      <c r="M1554" s="1">
        <v>4.48E7</v>
      </c>
      <c r="N1554" s="1">
        <v>1.5041E9</v>
      </c>
      <c r="O1554" s="1">
        <v>1.2526E9</v>
      </c>
      <c r="P1554" s="1">
        <v>4.924E8</v>
      </c>
      <c r="Q1554" s="1">
        <v>-1.34E7</v>
      </c>
      <c r="R1554" s="1">
        <v>1.933E8</v>
      </c>
      <c r="S1554" s="1">
        <v>1.933E8</v>
      </c>
      <c r="W1554" s="4" t="str">
        <f>Raw_Data!C1553&amp;"|"&amp;Raw_Data!D1553&amp;"|"&amp;TEXT(Raw_Data!B1553,"yyyy-mm-dd")</f>
        <v>Quest Diagnostics|DGX|2020-12-31</v>
      </c>
    </row>
    <row r="1555">
      <c r="A1555" s="1">
        <v>1553.0</v>
      </c>
      <c r="B1555" s="11">
        <v>44373.0</v>
      </c>
      <c r="C1555" s="1" t="s">
        <v>812</v>
      </c>
      <c r="D1555" s="1" t="s">
        <v>813</v>
      </c>
      <c r="F1555" s="1">
        <v>2.1E8</v>
      </c>
      <c r="G1555" s="1">
        <v>1.647E8</v>
      </c>
      <c r="H1555" s="1">
        <v>6.774E8</v>
      </c>
      <c r="I1555" s="1">
        <v>9.601E8</v>
      </c>
      <c r="J1555" s="1">
        <v>2.302E8</v>
      </c>
      <c r="K1555" s="1">
        <v>2.302E8</v>
      </c>
      <c r="L1555" s="1">
        <v>-1.33E7</v>
      </c>
      <c r="M1555" s="1">
        <v>4.53E7</v>
      </c>
      <c r="N1555" s="1">
        <v>1.3763E9</v>
      </c>
      <c r="O1555" s="1">
        <v>1.1461E9</v>
      </c>
      <c r="P1555" s="1">
        <v>4.162E8</v>
      </c>
      <c r="Q1555" s="1">
        <v>-2.02E7</v>
      </c>
      <c r="R1555" s="1">
        <v>1.647E8</v>
      </c>
      <c r="S1555" s="1">
        <v>1.647E8</v>
      </c>
      <c r="W1555" s="4" t="str">
        <f>Raw_Data!C1554&amp;"|"&amp;Raw_Data!D1554&amp;"|"&amp;TEXT(Raw_Data!B1554,"yyyy-mm-dd")</f>
        <v>Ralph Lauren Corporation|RL|2021-09-25</v>
      </c>
    </row>
    <row r="1556">
      <c r="A1556" s="1">
        <v>1554.0</v>
      </c>
      <c r="B1556" s="11">
        <v>44282.0</v>
      </c>
      <c r="C1556" s="1" t="s">
        <v>812</v>
      </c>
      <c r="D1556" s="1" t="s">
        <v>813</v>
      </c>
      <c r="F1556" s="1">
        <v>-3.53E7</v>
      </c>
      <c r="G1556" s="1">
        <v>-7.41E7</v>
      </c>
      <c r="H1556" s="1">
        <v>9.017E8</v>
      </c>
      <c r="I1556" s="1">
        <v>8.093E8</v>
      </c>
      <c r="J1556" s="1">
        <v>4.1E7</v>
      </c>
      <c r="K1556" s="1">
        <v>4.1E7</v>
      </c>
      <c r="L1556" s="1">
        <v>-1.39E7</v>
      </c>
      <c r="M1556" s="1">
        <v>3.88E7</v>
      </c>
      <c r="N1556" s="1">
        <v>1.287E9</v>
      </c>
      <c r="O1556" s="1">
        <v>1.246E9</v>
      </c>
      <c r="P1556" s="1">
        <v>4.777E8</v>
      </c>
      <c r="Q1556" s="1">
        <v>-7.63E7</v>
      </c>
      <c r="R1556" s="1">
        <v>-7.41E7</v>
      </c>
      <c r="S1556" s="1">
        <v>-7.41E7</v>
      </c>
      <c r="W1556" s="4" t="str">
        <f>Raw_Data!C1555&amp;"|"&amp;Raw_Data!D1555&amp;"|"&amp;TEXT(Raw_Data!B1555,"yyyy-mm-dd")</f>
        <v>Ralph Lauren Corporation|RL|2021-06-26</v>
      </c>
    </row>
    <row r="1557">
      <c r="A1557" s="1">
        <v>1555.0</v>
      </c>
      <c r="B1557" s="11">
        <v>44191.0</v>
      </c>
      <c r="C1557" s="1" t="s">
        <v>812</v>
      </c>
      <c r="D1557" s="1" t="s">
        <v>813</v>
      </c>
      <c r="F1557" s="1">
        <v>1.622E8</v>
      </c>
      <c r="G1557" s="1">
        <v>1.198E8</v>
      </c>
      <c r="H1557" s="1">
        <v>6.873E8</v>
      </c>
      <c r="I1557" s="1">
        <v>9.374E8</v>
      </c>
      <c r="J1557" s="1">
        <v>1.889E8</v>
      </c>
      <c r="K1557" s="1">
        <v>1.889E8</v>
      </c>
      <c r="L1557" s="1">
        <v>-1.22E7</v>
      </c>
      <c r="M1557" s="1">
        <v>4.24E7</v>
      </c>
      <c r="N1557" s="1">
        <v>1.4328E9</v>
      </c>
      <c r="O1557" s="1">
        <v>1.2439E9</v>
      </c>
      <c r="P1557" s="1">
        <v>4.954E8</v>
      </c>
      <c r="Q1557" s="1">
        <v>-2.67E7</v>
      </c>
      <c r="R1557" s="1">
        <v>1.198E8</v>
      </c>
      <c r="S1557" s="1">
        <v>1.198E8</v>
      </c>
      <c r="W1557" s="4" t="str">
        <f>Raw_Data!C1556&amp;"|"&amp;Raw_Data!D1556&amp;"|"&amp;TEXT(Raw_Data!B1556,"yyyy-mm-dd")</f>
        <v>Ralph Lauren Corporation|RL|2021-03-27</v>
      </c>
    </row>
    <row r="1558">
      <c r="A1558" s="1">
        <v>1556.0</v>
      </c>
      <c r="B1558" s="11">
        <v>44469.0</v>
      </c>
      <c r="C1558" s="1" t="s">
        <v>814</v>
      </c>
      <c r="D1558" s="1" t="s">
        <v>815</v>
      </c>
      <c r="F1558" s="1">
        <v>5.6E8</v>
      </c>
      <c r="G1558" s="1">
        <v>4.29E8</v>
      </c>
      <c r="H1558" s="1">
        <v>1.902E9</v>
      </c>
      <c r="I1558" s="1">
        <v>2.539E9</v>
      </c>
      <c r="J1558" s="1">
        <v>0.0</v>
      </c>
      <c r="K1558" s="1">
        <v>5.65E8</v>
      </c>
      <c r="M1558" s="1">
        <v>1.31E8</v>
      </c>
      <c r="N1558" s="1">
        <v>2.69E9</v>
      </c>
      <c r="O1558" s="1">
        <v>2.125E9</v>
      </c>
      <c r="P1558" s="1">
        <v>1.51E8</v>
      </c>
      <c r="Q1558" s="1">
        <v>-5000000.0</v>
      </c>
      <c r="R1558" s="1">
        <v>4.29E8</v>
      </c>
      <c r="S1558" s="1">
        <v>4.29E8</v>
      </c>
      <c r="W1558" s="4" t="str">
        <f>Raw_Data!C1557&amp;"|"&amp;Raw_Data!D1557&amp;"|"&amp;TEXT(Raw_Data!B1557,"yyyy-mm-dd")</f>
        <v>Ralph Lauren Corporation|RL|2020-12-26</v>
      </c>
    </row>
    <row r="1559">
      <c r="A1559" s="1">
        <v>1557.0</v>
      </c>
      <c r="B1559" s="11">
        <v>44377.0</v>
      </c>
      <c r="C1559" s="1" t="s">
        <v>814</v>
      </c>
      <c r="D1559" s="1" t="s">
        <v>815</v>
      </c>
      <c r="F1559" s="1">
        <v>3.85E8</v>
      </c>
      <c r="G1559" s="1">
        <v>3.07E8</v>
      </c>
      <c r="H1559" s="1">
        <v>1.776E9</v>
      </c>
      <c r="I1559" s="1">
        <v>2.356E9</v>
      </c>
      <c r="J1559" s="1">
        <v>0.0</v>
      </c>
      <c r="K1559" s="1">
        <v>4.89E8</v>
      </c>
      <c r="M1559" s="1">
        <v>7.8E7</v>
      </c>
      <c r="N1559" s="1">
        <v>2.499E9</v>
      </c>
      <c r="O1559" s="1">
        <v>2.01E9</v>
      </c>
      <c r="P1559" s="1">
        <v>1.43E8</v>
      </c>
      <c r="Q1559" s="1">
        <v>-1.04E8</v>
      </c>
      <c r="R1559" s="1">
        <v>3.07E8</v>
      </c>
      <c r="S1559" s="1">
        <v>3.07E8</v>
      </c>
      <c r="W1559" s="4" t="str">
        <f>Raw_Data!C1558&amp;"|"&amp;Raw_Data!D1558&amp;"|"&amp;TEXT(Raw_Data!B1558,"yyyy-mm-dd")</f>
        <v>Raymond James Financial|RJF|2021-09-30</v>
      </c>
    </row>
    <row r="1560">
      <c r="A1560" s="1">
        <v>1558.0</v>
      </c>
      <c r="B1560" s="11">
        <v>44286.0</v>
      </c>
      <c r="C1560" s="1" t="s">
        <v>814</v>
      </c>
      <c r="D1560" s="1" t="s">
        <v>815</v>
      </c>
      <c r="F1560" s="1">
        <v>4.47E8</v>
      </c>
      <c r="G1560" s="1">
        <v>3.55E8</v>
      </c>
      <c r="H1560" s="1">
        <v>1.75E9</v>
      </c>
      <c r="I1560" s="1">
        <v>2.27E9</v>
      </c>
      <c r="J1560" s="1">
        <v>0.0</v>
      </c>
      <c r="K1560" s="1">
        <v>4.51E8</v>
      </c>
      <c r="M1560" s="1">
        <v>9.2E7</v>
      </c>
      <c r="N1560" s="1">
        <v>2.408E9</v>
      </c>
      <c r="O1560" s="1">
        <v>1.957E9</v>
      </c>
      <c r="P1560" s="1">
        <v>1.38E8</v>
      </c>
      <c r="Q1560" s="1">
        <v>-4000000.0</v>
      </c>
      <c r="R1560" s="1">
        <v>3.55E8</v>
      </c>
      <c r="S1560" s="1">
        <v>3.55E8</v>
      </c>
      <c r="W1560" s="4" t="str">
        <f>Raw_Data!C1559&amp;"|"&amp;Raw_Data!D1559&amp;"|"&amp;TEXT(Raw_Data!B1559,"yyyy-mm-dd")</f>
        <v>Raymond James Financial|RJF|2021-06-30</v>
      </c>
    </row>
    <row r="1561">
      <c r="A1561" s="1">
        <v>1559.0</v>
      </c>
      <c r="B1561" s="11">
        <v>44196.0</v>
      </c>
      <c r="C1561" s="1" t="s">
        <v>814</v>
      </c>
      <c r="D1561" s="1" t="s">
        <v>815</v>
      </c>
      <c r="F1561" s="1">
        <v>3.99E8</v>
      </c>
      <c r="G1561" s="1">
        <v>3.12E8</v>
      </c>
      <c r="H1561" s="1">
        <v>1.61E9</v>
      </c>
      <c r="I1561" s="1">
        <v>2.107E9</v>
      </c>
      <c r="J1561" s="1">
        <v>0.0</v>
      </c>
      <c r="K1561" s="1">
        <v>4.37E8</v>
      </c>
      <c r="M1561" s="1">
        <v>8.7E7</v>
      </c>
      <c r="N1561" s="1">
        <v>2.234E9</v>
      </c>
      <c r="O1561" s="1">
        <v>1.797E9</v>
      </c>
      <c r="P1561" s="1">
        <v>1.27E8</v>
      </c>
      <c r="Q1561" s="1">
        <v>-3.8E7</v>
      </c>
      <c r="R1561" s="1">
        <v>3.12E8</v>
      </c>
      <c r="S1561" s="1">
        <v>3.11E8</v>
      </c>
      <c r="W1561" s="4" t="str">
        <f>Raw_Data!C1560&amp;"|"&amp;Raw_Data!D1560&amp;"|"&amp;TEXT(Raw_Data!B1560,"yyyy-mm-dd")</f>
        <v>Raymond James Financial|RJF|2021-03-31</v>
      </c>
    </row>
    <row r="1562">
      <c r="A1562" s="1">
        <v>1560.0</v>
      </c>
      <c r="B1562" s="11">
        <v>44469.0</v>
      </c>
      <c r="C1562" s="1" t="s">
        <v>816</v>
      </c>
      <c r="D1562" s="1" t="s">
        <v>817</v>
      </c>
      <c r="E1562" s="1">
        <v>6.76E8</v>
      </c>
      <c r="F1562" s="1">
        <v>1.476E9</v>
      </c>
      <c r="G1562" s="1">
        <v>1.393E9</v>
      </c>
      <c r="H1562" s="1">
        <v>7.23E8</v>
      </c>
      <c r="I1562" s="1">
        <v>3.128E9</v>
      </c>
      <c r="J1562" s="1">
        <v>1.854E9</v>
      </c>
      <c r="K1562" s="1">
        <v>1.854E9</v>
      </c>
      <c r="L1562" s="1">
        <v>-3.58E8</v>
      </c>
      <c r="M1562" s="1">
        <v>3000000.0</v>
      </c>
      <c r="N1562" s="1">
        <v>1.6213E10</v>
      </c>
      <c r="O1562" s="1">
        <v>1.4359E10</v>
      </c>
      <c r="P1562" s="1">
        <v>1.3085E10</v>
      </c>
      <c r="Q1562" s="1">
        <v>-3.78E8</v>
      </c>
      <c r="R1562" s="1">
        <v>1.473E9</v>
      </c>
      <c r="S1562" s="1">
        <v>1.393E9</v>
      </c>
      <c r="W1562" s="4" t="str">
        <f>Raw_Data!C1561&amp;"|"&amp;Raw_Data!D1561&amp;"|"&amp;TEXT(Raw_Data!B1561,"yyyy-mm-dd")</f>
        <v>Raymond James Financial|RJF|2020-12-31</v>
      </c>
    </row>
    <row r="1563">
      <c r="A1563" s="1">
        <v>1561.0</v>
      </c>
      <c r="B1563" s="11">
        <v>44377.0</v>
      </c>
      <c r="C1563" s="1" t="s">
        <v>816</v>
      </c>
      <c r="D1563" s="1" t="s">
        <v>817</v>
      </c>
      <c r="E1563" s="1">
        <v>6.57E8</v>
      </c>
      <c r="F1563" s="1">
        <v>1.43E9</v>
      </c>
      <c r="G1563" s="1">
        <v>1.032E9</v>
      </c>
      <c r="H1563" s="1">
        <v>8.23E8</v>
      </c>
      <c r="I1563" s="1">
        <v>3.226E9</v>
      </c>
      <c r="J1563" s="1">
        <v>1.828E9</v>
      </c>
      <c r="K1563" s="1">
        <v>1.828E9</v>
      </c>
      <c r="L1563" s="1">
        <v>-3.46E8</v>
      </c>
      <c r="M1563" s="1">
        <v>3.42E8</v>
      </c>
      <c r="N1563" s="1">
        <v>1.588E10</v>
      </c>
      <c r="O1563" s="1">
        <v>1.4052E10</v>
      </c>
      <c r="P1563" s="1">
        <v>1.2654E10</v>
      </c>
      <c r="Q1563" s="1">
        <v>-3.98E8</v>
      </c>
      <c r="R1563" s="1">
        <v>1.088E9</v>
      </c>
      <c r="S1563" s="1">
        <v>1.032E9</v>
      </c>
      <c r="W1563" s="4" t="str">
        <f>Raw_Data!C1562&amp;"|"&amp;Raw_Data!D1562&amp;"|"&amp;TEXT(Raw_Data!B1562,"yyyy-mm-dd")</f>
        <v>Raytheon Technologies|RTX|2021-09-30</v>
      </c>
    </row>
    <row r="1564">
      <c r="A1564" s="1">
        <v>1562.0</v>
      </c>
      <c r="B1564" s="11">
        <v>44286.0</v>
      </c>
      <c r="C1564" s="1" t="s">
        <v>816</v>
      </c>
      <c r="D1564" s="1" t="s">
        <v>817</v>
      </c>
      <c r="E1564" s="1">
        <v>5.89E8</v>
      </c>
      <c r="F1564" s="1">
        <v>1.158E9</v>
      </c>
      <c r="G1564" s="1">
        <v>7.53E8</v>
      </c>
      <c r="H1564" s="1">
        <v>6.89E8</v>
      </c>
      <c r="I1564" s="1">
        <v>2.734E9</v>
      </c>
      <c r="J1564" s="1">
        <v>1.543E9</v>
      </c>
      <c r="K1564" s="1">
        <v>1.543E9</v>
      </c>
      <c r="L1564" s="1">
        <v>-3.57E8</v>
      </c>
      <c r="M1564" s="1">
        <v>3.45E8</v>
      </c>
      <c r="N1564" s="1">
        <v>1.5251E10</v>
      </c>
      <c r="O1564" s="1">
        <v>1.3708E10</v>
      </c>
      <c r="P1564" s="1">
        <v>1.2517E10</v>
      </c>
      <c r="Q1564" s="1">
        <v>-3.85E8</v>
      </c>
      <c r="R1564" s="1">
        <v>8.13E8</v>
      </c>
      <c r="S1564" s="1">
        <v>7.53E8</v>
      </c>
      <c r="W1564" s="4" t="str">
        <f>Raw_Data!C1563&amp;"|"&amp;Raw_Data!D1563&amp;"|"&amp;TEXT(Raw_Data!B1563,"yyyy-mm-dd")</f>
        <v>Raytheon Technologies|RTX|2021-06-30</v>
      </c>
    </row>
    <row r="1565">
      <c r="A1565" s="1">
        <v>1563.0</v>
      </c>
      <c r="B1565" s="11">
        <v>44196.0</v>
      </c>
      <c r="C1565" s="1" t="s">
        <v>816</v>
      </c>
      <c r="D1565" s="1" t="s">
        <v>817</v>
      </c>
      <c r="E1565" s="1">
        <v>7.1E8</v>
      </c>
      <c r="F1565" s="1">
        <v>3.7E7</v>
      </c>
      <c r="G1565" s="1">
        <v>1.35E8</v>
      </c>
      <c r="H1565" s="1">
        <v>1.065E9</v>
      </c>
      <c r="I1565" s="1">
        <v>2.309E9</v>
      </c>
      <c r="J1565" s="1">
        <v>5.57E8</v>
      </c>
      <c r="K1565" s="1">
        <v>5.57E8</v>
      </c>
      <c r="L1565" s="1">
        <v>-3.67E8</v>
      </c>
      <c r="M1565" s="1">
        <v>-1.78E8</v>
      </c>
      <c r="N1565" s="1">
        <v>1.6419E10</v>
      </c>
      <c r="O1565" s="1">
        <v>1.5862E10</v>
      </c>
      <c r="P1565" s="1">
        <v>1.411E10</v>
      </c>
      <c r="Q1565" s="1">
        <v>-5.2E8</v>
      </c>
      <c r="R1565" s="1">
        <v>2.15E8</v>
      </c>
      <c r="S1565" s="1">
        <v>1.35E8</v>
      </c>
      <c r="W1565" s="4" t="str">
        <f>Raw_Data!C1564&amp;"|"&amp;Raw_Data!D1564&amp;"|"&amp;TEXT(Raw_Data!B1564,"yyyy-mm-dd")</f>
        <v>Raytheon Technologies|RTX|2021-03-31</v>
      </c>
    </row>
    <row r="1566">
      <c r="A1566" s="1">
        <v>1564.0</v>
      </c>
      <c r="B1566" s="11">
        <v>44469.0</v>
      </c>
      <c r="C1566" s="1" t="s">
        <v>818</v>
      </c>
      <c r="D1566" s="1" t="s">
        <v>819</v>
      </c>
      <c r="F1566" s="1">
        <v>1.41355E8</v>
      </c>
      <c r="G1566" s="1">
        <v>1.34996E8</v>
      </c>
      <c r="H1566" s="1">
        <v>2.3813E7</v>
      </c>
      <c r="I1566" s="1">
        <v>4.62213E8</v>
      </c>
      <c r="J1566" s="1">
        <v>2.39568E8</v>
      </c>
      <c r="K1566" s="1">
        <v>2.39568E8</v>
      </c>
      <c r="L1566" s="1">
        <v>-7.6156E7</v>
      </c>
      <c r="M1566" s="1">
        <v>6079000.0</v>
      </c>
      <c r="N1566" s="1">
        <v>4.91875E8</v>
      </c>
      <c r="O1566" s="1">
        <v>2.52307E8</v>
      </c>
      <c r="P1566" s="1">
        <v>2.9662E7</v>
      </c>
      <c r="Q1566" s="1">
        <v>-9.8213E7</v>
      </c>
      <c r="R1566" s="1">
        <v>1.35276E8</v>
      </c>
      <c r="S1566" s="1">
        <v>1.34996E8</v>
      </c>
      <c r="W1566" s="4" t="str">
        <f>Raw_Data!C1565&amp;"|"&amp;Raw_Data!D1565&amp;"|"&amp;TEXT(Raw_Data!B1565,"yyyy-mm-dd")</f>
        <v>Raytheon Technologies|RTX|2020-12-31</v>
      </c>
    </row>
    <row r="1567">
      <c r="A1567" s="1">
        <v>1565.0</v>
      </c>
      <c r="B1567" s="11">
        <v>44377.0</v>
      </c>
      <c r="C1567" s="1" t="s">
        <v>818</v>
      </c>
      <c r="D1567" s="1" t="s">
        <v>819</v>
      </c>
      <c r="F1567" s="1">
        <v>1.33993E8</v>
      </c>
      <c r="G1567" s="1">
        <v>1.24479E8</v>
      </c>
      <c r="H1567" s="1">
        <v>2.1849E7</v>
      </c>
      <c r="I1567" s="1">
        <v>4.32548E8</v>
      </c>
      <c r="J1567" s="1">
        <v>2.2291E8</v>
      </c>
      <c r="K1567" s="1">
        <v>2.2291E8</v>
      </c>
      <c r="L1567" s="1">
        <v>-7.3674E7</v>
      </c>
      <c r="M1567" s="1">
        <v>9225000.0</v>
      </c>
      <c r="N1567" s="1">
        <v>4.64282E8</v>
      </c>
      <c r="O1567" s="1">
        <v>2.41372E8</v>
      </c>
      <c r="P1567" s="1">
        <v>3.1734E7</v>
      </c>
      <c r="Q1567" s="1">
        <v>-8.8917E7</v>
      </c>
      <c r="R1567" s="1">
        <v>1.24768E8</v>
      </c>
      <c r="S1567" s="1">
        <v>1.24479E8</v>
      </c>
      <c r="W1567" s="4" t="str">
        <f>Raw_Data!C1566&amp;"|"&amp;Raw_Data!D1566&amp;"|"&amp;TEXT(Raw_Data!B1566,"yyyy-mm-dd")</f>
        <v>Realty Income Corporation|O|2021-09-30</v>
      </c>
    </row>
    <row r="1568">
      <c r="A1568" s="1">
        <v>1566.0</v>
      </c>
      <c r="B1568" s="11">
        <v>44286.0</v>
      </c>
      <c r="C1568" s="1" t="s">
        <v>818</v>
      </c>
      <c r="D1568" s="1" t="s">
        <v>819</v>
      </c>
      <c r="F1568" s="1">
        <v>1.02461E8</v>
      </c>
      <c r="G1568" s="1">
        <v>9.594E7</v>
      </c>
      <c r="H1568" s="1">
        <v>2.0796E7</v>
      </c>
      <c r="I1568" s="1">
        <v>4.14305E8</v>
      </c>
      <c r="J1568" s="1">
        <v>2.15524E8</v>
      </c>
      <c r="K1568" s="1">
        <v>2.15524E8</v>
      </c>
      <c r="L1568" s="1">
        <v>-7.3075E7</v>
      </c>
      <c r="M1568" s="1">
        <v>6225000.0</v>
      </c>
      <c r="N1568" s="1">
        <v>4.42804E8</v>
      </c>
      <c r="O1568" s="1">
        <v>2.2728E8</v>
      </c>
      <c r="P1568" s="1">
        <v>2.8499E7</v>
      </c>
      <c r="Q1568" s="1">
        <v>-1.13063E8</v>
      </c>
      <c r="R1568" s="1">
        <v>9.6236E7</v>
      </c>
      <c r="S1568" s="1">
        <v>9.594E7</v>
      </c>
      <c r="W1568" s="4" t="str">
        <f>Raw_Data!C1567&amp;"|"&amp;Raw_Data!D1567&amp;"|"&amp;TEXT(Raw_Data!B1567,"yyyy-mm-dd")</f>
        <v>Realty Income Corporation|O|2021-06-30</v>
      </c>
    </row>
    <row r="1569">
      <c r="A1569" s="1">
        <v>1567.0</v>
      </c>
      <c r="B1569" s="11">
        <v>44196.0</v>
      </c>
      <c r="C1569" s="1" t="s">
        <v>818</v>
      </c>
      <c r="D1569" s="1" t="s">
        <v>819</v>
      </c>
      <c r="F1569" s="1">
        <v>1.2265E8</v>
      </c>
      <c r="G1569" s="1">
        <v>1.17931E8</v>
      </c>
      <c r="H1569" s="1">
        <v>1.6674E7</v>
      </c>
      <c r="I1569" s="1">
        <v>3.90941E8</v>
      </c>
      <c r="J1569" s="1">
        <v>1.99226E8</v>
      </c>
      <c r="K1569" s="1">
        <v>1.99226E8</v>
      </c>
      <c r="L1569" s="1">
        <v>-7.8764E7</v>
      </c>
      <c r="M1569" s="1">
        <v>4500000.0</v>
      </c>
      <c r="N1569" s="1">
        <v>4.18076E8</v>
      </c>
      <c r="O1569" s="1">
        <v>2.1885E8</v>
      </c>
      <c r="P1569" s="1">
        <v>2.7135E7</v>
      </c>
      <c r="Q1569" s="1">
        <v>-7.6576E7</v>
      </c>
      <c r="R1569" s="1">
        <v>1.1815E8</v>
      </c>
      <c r="S1569" s="1">
        <v>1.17931E8</v>
      </c>
      <c r="W1569" s="4" t="str">
        <f>Raw_Data!C1568&amp;"|"&amp;Raw_Data!D1568&amp;"|"&amp;TEXT(Raw_Data!B1568,"yyyy-mm-dd")</f>
        <v>Realty Income Corporation|O|2021-03-31</v>
      </c>
    </row>
    <row r="1570">
      <c r="A1570" s="1">
        <v>1568.0</v>
      </c>
      <c r="B1570" s="11">
        <v>44469.0</v>
      </c>
      <c r="C1570" s="1" t="s">
        <v>820</v>
      </c>
      <c r="D1570" s="1" t="s">
        <v>821</v>
      </c>
      <c r="F1570" s="1">
        <v>1.18848E8</v>
      </c>
      <c r="G1570" s="1">
        <v>1.17406E8</v>
      </c>
      <c r="H1570" s="1">
        <v>1.7789E7</v>
      </c>
      <c r="I1570" s="1">
        <v>2.42371E8</v>
      </c>
      <c r="J1570" s="1">
        <v>1.48311E8</v>
      </c>
      <c r="K1570" s="1">
        <v>1.48311E8</v>
      </c>
      <c r="L1570" s="1">
        <v>-3.6148E7</v>
      </c>
      <c r="M1570" s="1">
        <v>0.0</v>
      </c>
      <c r="N1570" s="1">
        <v>3.21618E8</v>
      </c>
      <c r="O1570" s="1">
        <v>1.73307E8</v>
      </c>
      <c r="P1570" s="1">
        <v>7.9247E7</v>
      </c>
      <c r="Q1570" s="1">
        <v>-2.9463E7</v>
      </c>
      <c r="R1570" s="1">
        <v>1.18848E8</v>
      </c>
      <c r="S1570" s="1">
        <v>1.17406E8</v>
      </c>
      <c r="W1570" s="4" t="str">
        <f>Raw_Data!C1569&amp;"|"&amp;Raw_Data!D1569&amp;"|"&amp;TEXT(Raw_Data!B1569,"yyyy-mm-dd")</f>
        <v>Realty Income Corporation|O|2020-12-31</v>
      </c>
    </row>
    <row r="1571">
      <c r="A1571" s="1">
        <v>1569.0</v>
      </c>
      <c r="B1571" s="11">
        <v>44377.0</v>
      </c>
      <c r="C1571" s="1" t="s">
        <v>820</v>
      </c>
      <c r="D1571" s="1" t="s">
        <v>821</v>
      </c>
      <c r="F1571" s="1">
        <v>9.6832E7</v>
      </c>
      <c r="G1571" s="1">
        <v>9.549E7</v>
      </c>
      <c r="H1571" s="1">
        <v>1.9187E7</v>
      </c>
      <c r="I1571" s="1">
        <v>2.05581E8</v>
      </c>
      <c r="J1571" s="1">
        <v>1.11E8</v>
      </c>
      <c r="K1571" s="1">
        <v>1.11E8</v>
      </c>
      <c r="L1571" s="1">
        <v>-3.5962E7</v>
      </c>
      <c r="M1571" s="1">
        <v>0.0</v>
      </c>
      <c r="N1571" s="1">
        <v>2.87594E8</v>
      </c>
      <c r="O1571" s="1">
        <v>1.76594E8</v>
      </c>
      <c r="P1571" s="1">
        <v>8.2013E7</v>
      </c>
      <c r="Q1571" s="1">
        <v>-1.4168E7</v>
      </c>
      <c r="R1571" s="1">
        <v>9.6832E7</v>
      </c>
      <c r="S1571" s="1">
        <v>9.549E7</v>
      </c>
      <c r="W1571" s="4" t="str">
        <f>Raw_Data!C1570&amp;"|"&amp;Raw_Data!D1570&amp;"|"&amp;TEXT(Raw_Data!B1570,"yyyy-mm-dd")</f>
        <v>Regency Centers|REG|2021-09-30</v>
      </c>
    </row>
    <row r="1572">
      <c r="A1572" s="1">
        <v>1570.0</v>
      </c>
      <c r="B1572" s="11">
        <v>44286.0</v>
      </c>
      <c r="C1572" s="1" t="s">
        <v>820</v>
      </c>
      <c r="D1572" s="1" t="s">
        <v>821</v>
      </c>
      <c r="F1572" s="1">
        <v>8.1625E7</v>
      </c>
      <c r="G1572" s="1">
        <v>8.0656E7</v>
      </c>
      <c r="H1572" s="1">
        <v>2.1287E7</v>
      </c>
      <c r="I1572" s="1">
        <v>2.04621E8</v>
      </c>
      <c r="J1572" s="1">
        <v>1.05377E8</v>
      </c>
      <c r="K1572" s="1">
        <v>1.05377E8</v>
      </c>
      <c r="L1572" s="1">
        <v>-3.7094E7</v>
      </c>
      <c r="M1572" s="1">
        <v>0.0</v>
      </c>
      <c r="N1572" s="1">
        <v>2.86369E8</v>
      </c>
      <c r="O1572" s="1">
        <v>1.80992E8</v>
      </c>
      <c r="P1572" s="1">
        <v>8.1748E7</v>
      </c>
      <c r="Q1572" s="1">
        <v>-2.3752E7</v>
      </c>
      <c r="R1572" s="1">
        <v>8.1625E7</v>
      </c>
      <c r="S1572" s="1">
        <v>8.0656E7</v>
      </c>
      <c r="W1572" s="4" t="str">
        <f>Raw_Data!C1571&amp;"|"&amp;Raw_Data!D1571&amp;"|"&amp;TEXT(Raw_Data!B1571,"yyyy-mm-dd")</f>
        <v>Regency Centers|REG|2021-06-30</v>
      </c>
    </row>
    <row r="1573">
      <c r="A1573" s="1">
        <v>1571.0</v>
      </c>
      <c r="B1573" s="11">
        <v>44196.0</v>
      </c>
      <c r="C1573" s="1" t="s">
        <v>820</v>
      </c>
      <c r="D1573" s="1" t="s">
        <v>821</v>
      </c>
      <c r="F1573" s="1">
        <v>3.8861E7</v>
      </c>
      <c r="G1573" s="1">
        <v>3.8487E7</v>
      </c>
      <c r="H1573" s="1">
        <v>2.0512E7</v>
      </c>
      <c r="I1573" s="1">
        <v>1.87145E8</v>
      </c>
      <c r="J1573" s="1">
        <v>7.1922E7</v>
      </c>
      <c r="K1573" s="1">
        <v>7.1922E7</v>
      </c>
      <c r="L1573" s="1">
        <v>-3.8301E7</v>
      </c>
      <c r="M1573" s="1">
        <v>-355000.0</v>
      </c>
      <c r="N1573" s="1">
        <v>2.67858E8</v>
      </c>
      <c r="O1573" s="1">
        <v>1.95936E8</v>
      </c>
      <c r="P1573" s="1">
        <v>8.0713E7</v>
      </c>
      <c r="Q1573" s="1">
        <v>-3.3061E7</v>
      </c>
      <c r="R1573" s="1">
        <v>3.9216E7</v>
      </c>
      <c r="S1573" s="1">
        <v>3.8487E7</v>
      </c>
      <c r="W1573" s="4" t="str">
        <f>Raw_Data!C1572&amp;"|"&amp;Raw_Data!D1572&amp;"|"&amp;TEXT(Raw_Data!B1572,"yyyy-mm-dd")</f>
        <v>Regency Centers|REG|2021-03-31</v>
      </c>
    </row>
    <row r="1574">
      <c r="A1574" s="1">
        <v>1572.0</v>
      </c>
      <c r="B1574" s="11">
        <v>44469.0</v>
      </c>
      <c r="C1574" s="1" t="s">
        <v>822</v>
      </c>
      <c r="D1574" s="1" t="s">
        <v>823</v>
      </c>
      <c r="F1574" s="1">
        <v>1.8166E9</v>
      </c>
      <c r="G1574" s="1">
        <v>1.6322E9</v>
      </c>
      <c r="H1574" s="1">
        <v>4.45E8</v>
      </c>
      <c r="I1574" s="1">
        <v>2.3342E9</v>
      </c>
      <c r="J1574" s="1">
        <v>1.8472E9</v>
      </c>
      <c r="K1574" s="1">
        <v>1.8472E9</v>
      </c>
      <c r="L1574" s="1">
        <v>-1.42E7</v>
      </c>
      <c r="M1574" s="1">
        <v>1.844E8</v>
      </c>
      <c r="N1574" s="1">
        <v>3.4528E9</v>
      </c>
      <c r="O1574" s="1">
        <v>1.6056E9</v>
      </c>
      <c r="P1574" s="1">
        <v>1.1186E9</v>
      </c>
      <c r="Q1574" s="1">
        <v>-3.06E7</v>
      </c>
      <c r="R1574" s="1">
        <v>1.6322E9</v>
      </c>
      <c r="S1574" s="1">
        <v>1.6322E9</v>
      </c>
      <c r="W1574" s="4" t="str">
        <f>Raw_Data!C1573&amp;"|"&amp;Raw_Data!D1573&amp;"|"&amp;TEXT(Raw_Data!B1573,"yyyy-mm-dd")</f>
        <v>Regency Centers|REG|2020-12-31</v>
      </c>
    </row>
    <row r="1575">
      <c r="A1575" s="1">
        <v>1573.0</v>
      </c>
      <c r="B1575" s="11">
        <v>44377.0</v>
      </c>
      <c r="C1575" s="1" t="s">
        <v>822</v>
      </c>
      <c r="D1575" s="1" t="s">
        <v>823</v>
      </c>
      <c r="F1575" s="1">
        <v>3.7528E9</v>
      </c>
      <c r="G1575" s="1">
        <v>3.0989E9</v>
      </c>
      <c r="H1575" s="1">
        <v>4.147E8</v>
      </c>
      <c r="I1575" s="1">
        <v>3.7306E9</v>
      </c>
      <c r="J1575" s="1">
        <v>3.3472E9</v>
      </c>
      <c r="K1575" s="1">
        <v>3.3472E9</v>
      </c>
      <c r="L1575" s="1">
        <v>-1.44E7</v>
      </c>
      <c r="M1575" s="1">
        <v>6.539E8</v>
      </c>
      <c r="N1575" s="1">
        <v>5.1385E9</v>
      </c>
      <c r="O1575" s="1">
        <v>1.7913E9</v>
      </c>
      <c r="P1575" s="1">
        <v>1.4079E9</v>
      </c>
      <c r="Q1575" s="1">
        <v>4.056E8</v>
      </c>
      <c r="R1575" s="1">
        <v>3.0989E9</v>
      </c>
      <c r="S1575" s="1">
        <v>3.0989E9</v>
      </c>
      <c r="W1575" s="4" t="str">
        <f>Raw_Data!C1574&amp;"|"&amp;Raw_Data!D1574&amp;"|"&amp;TEXT(Raw_Data!B1574,"yyyy-mm-dd")</f>
        <v>Regeneron Pharmaceuticals|REGN|2021-09-30</v>
      </c>
    </row>
    <row r="1576">
      <c r="A1576" s="1">
        <v>1574.0</v>
      </c>
      <c r="B1576" s="11">
        <v>44286.0</v>
      </c>
      <c r="C1576" s="1" t="s">
        <v>822</v>
      </c>
      <c r="D1576" s="1" t="s">
        <v>823</v>
      </c>
      <c r="F1576" s="1">
        <v>1.253E9</v>
      </c>
      <c r="G1576" s="1">
        <v>1.1152E9</v>
      </c>
      <c r="H1576" s="1">
        <v>4.056E8</v>
      </c>
      <c r="I1576" s="1">
        <v>1.4778E9</v>
      </c>
      <c r="J1576" s="1">
        <v>1.1127E9</v>
      </c>
      <c r="K1576" s="1">
        <v>1.1127E9</v>
      </c>
      <c r="L1576" s="1">
        <v>-1.46E7</v>
      </c>
      <c r="M1576" s="1">
        <v>1.378E8</v>
      </c>
      <c r="N1576" s="1">
        <v>2.5287E9</v>
      </c>
      <c r="O1576" s="1">
        <v>1.416E9</v>
      </c>
      <c r="P1576" s="1">
        <v>1.0509E9</v>
      </c>
      <c r="Q1576" s="1">
        <v>1.403E8</v>
      </c>
      <c r="R1576" s="1">
        <v>1.1152E9</v>
      </c>
      <c r="S1576" s="1">
        <v>1.1152E9</v>
      </c>
      <c r="W1576" s="4" t="str">
        <f>Raw_Data!C1575&amp;"|"&amp;Raw_Data!D1575&amp;"|"&amp;TEXT(Raw_Data!B1575,"yyyy-mm-dd")</f>
        <v>Regeneron Pharmaceuticals|REGN|2021-06-30</v>
      </c>
    </row>
    <row r="1577">
      <c r="A1577" s="1">
        <v>1575.0</v>
      </c>
      <c r="B1577" s="11">
        <v>44196.0</v>
      </c>
      <c r="C1577" s="1" t="s">
        <v>822</v>
      </c>
      <c r="D1577" s="1" t="s">
        <v>823</v>
      </c>
      <c r="F1577" s="1">
        <v>1.2246E9</v>
      </c>
      <c r="G1577" s="1">
        <v>1.1492E9</v>
      </c>
      <c r="H1577" s="1">
        <v>3.985E8</v>
      </c>
      <c r="I1577" s="1">
        <v>1.1386E9</v>
      </c>
      <c r="J1577" s="1">
        <v>8.853E8</v>
      </c>
      <c r="K1577" s="1">
        <v>8.853E8</v>
      </c>
      <c r="L1577" s="1">
        <v>-1.48E7</v>
      </c>
      <c r="M1577" s="1">
        <v>7.54E7</v>
      </c>
      <c r="N1577" s="1">
        <v>2.2362E9</v>
      </c>
      <c r="O1577" s="1">
        <v>1.3509E9</v>
      </c>
      <c r="P1577" s="1">
        <v>1.0976E9</v>
      </c>
      <c r="Q1577" s="1">
        <v>3.393E8</v>
      </c>
      <c r="R1577" s="1">
        <v>1.1492E9</v>
      </c>
      <c r="S1577" s="1">
        <v>1.1492E9</v>
      </c>
      <c r="W1577" s="4" t="str">
        <f>Raw_Data!C1576&amp;"|"&amp;Raw_Data!D1576&amp;"|"&amp;TEXT(Raw_Data!B1576,"yyyy-mm-dd")</f>
        <v>Regeneron Pharmaceuticals|REGN|2021-03-31</v>
      </c>
    </row>
    <row r="1578">
      <c r="A1578" s="1">
        <v>1576.0</v>
      </c>
      <c r="B1578" s="11">
        <v>44469.0</v>
      </c>
      <c r="C1578" s="1" t="s">
        <v>824</v>
      </c>
      <c r="D1578" s="1" t="s">
        <v>825</v>
      </c>
      <c r="F1578" s="1">
        <v>8.31E8</v>
      </c>
      <c r="G1578" s="1">
        <v>6.51E8</v>
      </c>
      <c r="H1578" s="1">
        <v>7.4E8</v>
      </c>
      <c r="I1578" s="1">
        <v>1.767E9</v>
      </c>
      <c r="J1578" s="1">
        <v>0.0</v>
      </c>
      <c r="K1578" s="1">
        <v>8.49E8</v>
      </c>
      <c r="M1578" s="1">
        <v>1.8E8</v>
      </c>
      <c r="N1578" s="1">
        <v>1.767E9</v>
      </c>
      <c r="O1578" s="1">
        <v>9.18E8</v>
      </c>
      <c r="P1578" s="1">
        <v>0.0</v>
      </c>
      <c r="Q1578" s="1">
        <v>-1.8E7</v>
      </c>
      <c r="R1578" s="1">
        <v>6.51E8</v>
      </c>
      <c r="S1578" s="1">
        <v>6.24E8</v>
      </c>
      <c r="W1578" s="4" t="str">
        <f>Raw_Data!C1577&amp;"|"&amp;Raw_Data!D1577&amp;"|"&amp;TEXT(Raw_Data!B1577,"yyyy-mm-dd")</f>
        <v>Regeneron Pharmaceuticals|REGN|2020-12-31</v>
      </c>
    </row>
    <row r="1579">
      <c r="A1579" s="1">
        <v>1577.0</v>
      </c>
      <c r="B1579" s="11">
        <v>44377.0</v>
      </c>
      <c r="C1579" s="1" t="s">
        <v>824</v>
      </c>
      <c r="D1579" s="1" t="s">
        <v>825</v>
      </c>
      <c r="F1579" s="1">
        <v>1.021E9</v>
      </c>
      <c r="G1579" s="1">
        <v>7.9E8</v>
      </c>
      <c r="H1579" s="1">
        <v>7.23E8</v>
      </c>
      <c r="I1579" s="1">
        <v>1.919E9</v>
      </c>
      <c r="J1579" s="1">
        <v>0.0</v>
      </c>
      <c r="K1579" s="1">
        <v>1.023E9</v>
      </c>
      <c r="M1579" s="1">
        <v>2.31E8</v>
      </c>
      <c r="N1579" s="1">
        <v>1.919E9</v>
      </c>
      <c r="O1579" s="1">
        <v>8.96E8</v>
      </c>
      <c r="P1579" s="1">
        <v>0.0</v>
      </c>
      <c r="Q1579" s="1">
        <v>-2000000.0</v>
      </c>
      <c r="R1579" s="1">
        <v>7.9E8</v>
      </c>
      <c r="S1579" s="1">
        <v>7.48E8</v>
      </c>
      <c r="W1579" s="4" t="str">
        <f>Raw_Data!C1578&amp;"|"&amp;Raw_Data!D1578&amp;"|"&amp;TEXT(Raw_Data!B1578,"yyyy-mm-dd")</f>
        <v>Regions Financial Corporation|RF|2021-09-30</v>
      </c>
    </row>
    <row r="1580">
      <c r="A1580" s="1">
        <v>1578.0</v>
      </c>
      <c r="B1580" s="11">
        <v>44286.0</v>
      </c>
      <c r="C1580" s="1" t="s">
        <v>824</v>
      </c>
      <c r="D1580" s="1" t="s">
        <v>825</v>
      </c>
      <c r="F1580" s="1">
        <v>8.22E8</v>
      </c>
      <c r="G1580" s="1">
        <v>6.42E8</v>
      </c>
      <c r="H1580" s="1">
        <v>7.32E8</v>
      </c>
      <c r="I1580" s="1">
        <v>1.75E9</v>
      </c>
      <c r="J1580" s="1">
        <v>0.0</v>
      </c>
      <c r="K1580" s="1">
        <v>8.3E8</v>
      </c>
      <c r="M1580" s="1">
        <v>1.8E8</v>
      </c>
      <c r="N1580" s="1">
        <v>1.75E9</v>
      </c>
      <c r="O1580" s="1">
        <v>9.2E8</v>
      </c>
      <c r="P1580" s="1">
        <v>0.0</v>
      </c>
      <c r="Q1580" s="1">
        <v>-8000000.0</v>
      </c>
      <c r="R1580" s="1">
        <v>6.42E8</v>
      </c>
      <c r="S1580" s="1">
        <v>6.14E8</v>
      </c>
      <c r="W1580" s="4" t="str">
        <f>Raw_Data!C1579&amp;"|"&amp;Raw_Data!D1579&amp;"|"&amp;TEXT(Raw_Data!B1579,"yyyy-mm-dd")</f>
        <v>Regions Financial Corporation|RF|2021-06-30</v>
      </c>
    </row>
    <row r="1581">
      <c r="A1581" s="1">
        <v>1579.0</v>
      </c>
      <c r="B1581" s="11">
        <v>44196.0</v>
      </c>
      <c r="C1581" s="1" t="s">
        <v>824</v>
      </c>
      <c r="D1581" s="1" t="s">
        <v>825</v>
      </c>
      <c r="F1581" s="1">
        <v>7.37E8</v>
      </c>
      <c r="G1581" s="1">
        <v>6.16E8</v>
      </c>
      <c r="H1581" s="1">
        <v>7.49E8</v>
      </c>
      <c r="I1581" s="1">
        <v>1.722E9</v>
      </c>
      <c r="J1581" s="1">
        <v>0.0</v>
      </c>
      <c r="K1581" s="1">
        <v>7.82E8</v>
      </c>
      <c r="M1581" s="1">
        <v>1.21E8</v>
      </c>
      <c r="N1581" s="1">
        <v>1.722E9</v>
      </c>
      <c r="O1581" s="1">
        <v>9.4E8</v>
      </c>
      <c r="P1581" s="1">
        <v>0.0</v>
      </c>
      <c r="Q1581" s="1">
        <v>-4.5E7</v>
      </c>
      <c r="R1581" s="1">
        <v>6.16E8</v>
      </c>
      <c r="S1581" s="1">
        <v>5.88E8</v>
      </c>
      <c r="W1581" s="4" t="str">
        <f>Raw_Data!C1580&amp;"|"&amp;Raw_Data!D1580&amp;"|"&amp;TEXT(Raw_Data!B1580,"yyyy-mm-dd")</f>
        <v>Regions Financial Corporation|RF|2021-03-31</v>
      </c>
    </row>
    <row r="1582">
      <c r="A1582" s="1">
        <v>1580.0</v>
      </c>
      <c r="B1582" s="11">
        <v>44469.0</v>
      </c>
      <c r="C1582" s="1" t="s">
        <v>826</v>
      </c>
      <c r="D1582" s="1" t="s">
        <v>827</v>
      </c>
      <c r="F1582" s="1">
        <v>4.707E8</v>
      </c>
      <c r="G1582" s="1">
        <v>3.503E8</v>
      </c>
      <c r="H1582" s="1">
        <v>2.99E8</v>
      </c>
      <c r="I1582" s="1">
        <v>1.1899E9</v>
      </c>
      <c r="J1582" s="1">
        <v>5.688E8</v>
      </c>
      <c r="K1582" s="1">
        <v>5.688E8</v>
      </c>
      <c r="L1582" s="1">
        <v>-7.81E7</v>
      </c>
      <c r="M1582" s="1">
        <v>1.199E8</v>
      </c>
      <c r="N1582" s="1">
        <v>2.9339E9</v>
      </c>
      <c r="O1582" s="1">
        <v>2.3651E9</v>
      </c>
      <c r="P1582" s="1">
        <v>1.744E9</v>
      </c>
      <c r="Q1582" s="1">
        <v>-9.81E7</v>
      </c>
      <c r="R1582" s="1">
        <v>3.508E8</v>
      </c>
      <c r="S1582" s="1">
        <v>3.503E8</v>
      </c>
      <c r="W1582" s="4" t="str">
        <f>Raw_Data!C1581&amp;"|"&amp;Raw_Data!D1581&amp;"|"&amp;TEXT(Raw_Data!B1581,"yyyy-mm-dd")</f>
        <v>Regions Financial Corporation|RF|2020-12-31</v>
      </c>
    </row>
    <row r="1583">
      <c r="A1583" s="1">
        <v>1581.0</v>
      </c>
      <c r="B1583" s="11">
        <v>44377.0</v>
      </c>
      <c r="C1583" s="1" t="s">
        <v>826</v>
      </c>
      <c r="D1583" s="1" t="s">
        <v>827</v>
      </c>
      <c r="F1583" s="1">
        <v>4.274E8</v>
      </c>
      <c r="G1583" s="1">
        <v>3.311E8</v>
      </c>
      <c r="H1583" s="1">
        <v>2.995E8</v>
      </c>
      <c r="I1583" s="1">
        <v>1.1621E9</v>
      </c>
      <c r="J1583" s="1">
        <v>5.389E8</v>
      </c>
      <c r="K1583" s="1">
        <v>5.389E8</v>
      </c>
      <c r="L1583" s="1">
        <v>-7.84E7</v>
      </c>
      <c r="M1583" s="1">
        <v>9.54E7</v>
      </c>
      <c r="N1583" s="1">
        <v>2.8128E9</v>
      </c>
      <c r="O1583" s="1">
        <v>2.2739E9</v>
      </c>
      <c r="P1583" s="1">
        <v>1.6507E9</v>
      </c>
      <c r="Q1583" s="1">
        <v>-1.115E8</v>
      </c>
      <c r="R1583" s="1">
        <v>3.32E8</v>
      </c>
      <c r="S1583" s="1">
        <v>3.311E8</v>
      </c>
      <c r="W1583" s="4" t="str">
        <f>Raw_Data!C1582&amp;"|"&amp;Raw_Data!D1582&amp;"|"&amp;TEXT(Raw_Data!B1582,"yyyy-mm-dd")</f>
        <v>Republic Services|RSG|2021-09-30</v>
      </c>
    </row>
    <row r="1584">
      <c r="A1584" s="1">
        <v>1582.0</v>
      </c>
      <c r="B1584" s="11">
        <v>44286.0</v>
      </c>
      <c r="C1584" s="1" t="s">
        <v>826</v>
      </c>
      <c r="D1584" s="1" t="s">
        <v>827</v>
      </c>
      <c r="F1584" s="1">
        <v>4.001E8</v>
      </c>
      <c r="G1584" s="1">
        <v>2.959E8</v>
      </c>
      <c r="H1584" s="1">
        <v>2.654E8</v>
      </c>
      <c r="I1584" s="1">
        <v>1.0621E9</v>
      </c>
      <c r="J1584" s="1">
        <v>4.941E8</v>
      </c>
      <c r="K1584" s="1">
        <v>4.941E8</v>
      </c>
      <c r="L1584" s="1">
        <v>-7.84E7</v>
      </c>
      <c r="M1584" s="1">
        <v>1.037E8</v>
      </c>
      <c r="N1584" s="1">
        <v>2.5964E9</v>
      </c>
      <c r="O1584" s="1">
        <v>2.1023E9</v>
      </c>
      <c r="P1584" s="1">
        <v>1.5343E9</v>
      </c>
      <c r="Q1584" s="1">
        <v>-9.4E7</v>
      </c>
      <c r="R1584" s="1">
        <v>2.964E8</v>
      </c>
      <c r="S1584" s="1">
        <v>2.959E8</v>
      </c>
      <c r="W1584" s="4" t="str">
        <f>Raw_Data!C1583&amp;"|"&amp;Raw_Data!D1583&amp;"|"&amp;TEXT(Raw_Data!B1583,"yyyy-mm-dd")</f>
        <v>Republic Services|RSG|2021-06-30</v>
      </c>
    </row>
    <row r="1585">
      <c r="A1585" s="1">
        <v>1583.0</v>
      </c>
      <c r="B1585" s="11">
        <v>44196.0</v>
      </c>
      <c r="C1585" s="1" t="s">
        <v>826</v>
      </c>
      <c r="D1585" s="1" t="s">
        <v>827</v>
      </c>
      <c r="F1585" s="1">
        <v>2.013E8</v>
      </c>
      <c r="G1585" s="1">
        <v>2.354E8</v>
      </c>
      <c r="H1585" s="1">
        <v>3.437E8</v>
      </c>
      <c r="I1585" s="1">
        <v>1.112E9</v>
      </c>
      <c r="J1585" s="1">
        <v>4.803E8</v>
      </c>
      <c r="K1585" s="1">
        <v>4.803E8</v>
      </c>
      <c r="L1585" s="1">
        <v>-7.06E7</v>
      </c>
      <c r="M1585" s="1">
        <v>-3.5E7</v>
      </c>
      <c r="N1585" s="1">
        <v>2.5732E9</v>
      </c>
      <c r="O1585" s="1">
        <v>2.0929E9</v>
      </c>
      <c r="P1585" s="1">
        <v>1.4612E9</v>
      </c>
      <c r="Q1585" s="1">
        <v>-2.79E8</v>
      </c>
      <c r="R1585" s="1">
        <v>2.363E8</v>
      </c>
      <c r="S1585" s="1">
        <v>2.354E8</v>
      </c>
      <c r="W1585" s="4" t="str">
        <f>Raw_Data!C1584&amp;"|"&amp;Raw_Data!D1584&amp;"|"&amp;TEXT(Raw_Data!B1584,"yyyy-mm-dd")</f>
        <v>Republic Services|RSG|2021-03-31</v>
      </c>
    </row>
    <row r="1586">
      <c r="A1586" s="1">
        <v>1584.0</v>
      </c>
      <c r="B1586" s="11">
        <v>44469.0</v>
      </c>
      <c r="C1586" s="1" t="s">
        <v>828</v>
      </c>
      <c r="D1586" s="1" t="s">
        <v>829</v>
      </c>
      <c r="E1586" s="1">
        <v>5.995E7</v>
      </c>
      <c r="F1586" s="1">
        <v>2.58788E8</v>
      </c>
      <c r="G1586" s="1">
        <v>2.03613E8</v>
      </c>
      <c r="H1586" s="1">
        <v>1.76719E8</v>
      </c>
      <c r="I1586" s="1">
        <v>5.17348E8</v>
      </c>
      <c r="J1586" s="1">
        <v>2.61913E8</v>
      </c>
      <c r="K1586" s="1">
        <v>2.61913E8</v>
      </c>
      <c r="L1586" s="1">
        <v>-5360000.0</v>
      </c>
      <c r="M1586" s="1">
        <v>5.5175E7</v>
      </c>
      <c r="N1586" s="1">
        <v>9.04015E8</v>
      </c>
      <c r="O1586" s="1">
        <v>6.42102E8</v>
      </c>
      <c r="P1586" s="1">
        <v>3.86667E8</v>
      </c>
      <c r="Q1586" s="1">
        <v>-3125000.0</v>
      </c>
      <c r="R1586" s="1">
        <v>2.03613E8</v>
      </c>
      <c r="S1586" s="1">
        <v>2.03613E8</v>
      </c>
      <c r="W1586" s="4" t="str">
        <f>Raw_Data!C1585&amp;"|"&amp;Raw_Data!D1585&amp;"|"&amp;TEXT(Raw_Data!B1585,"yyyy-mm-dd")</f>
        <v>Republic Services|RSG|2020-12-31</v>
      </c>
    </row>
    <row r="1587">
      <c r="A1587" s="1">
        <v>1585.0</v>
      </c>
      <c r="B1587" s="11">
        <v>44377.0</v>
      </c>
      <c r="C1587" s="1" t="s">
        <v>828</v>
      </c>
      <c r="D1587" s="1" t="s">
        <v>829</v>
      </c>
      <c r="E1587" s="1">
        <v>5.9875E7</v>
      </c>
      <c r="F1587" s="1">
        <v>2.39211E8</v>
      </c>
      <c r="G1587" s="1">
        <v>1.951E8</v>
      </c>
      <c r="H1587" s="1">
        <v>1.81483E8</v>
      </c>
      <c r="I1587" s="1">
        <v>5.01758E8</v>
      </c>
      <c r="J1587" s="1">
        <v>2.41638E8</v>
      </c>
      <c r="K1587" s="1">
        <v>2.41638E8</v>
      </c>
      <c r="L1587" s="1">
        <v>-5345000.0</v>
      </c>
      <c r="M1587" s="1">
        <v>4.4111E7</v>
      </c>
      <c r="N1587" s="1">
        <v>8.76103E8</v>
      </c>
      <c r="O1587" s="1">
        <v>6.34465E8</v>
      </c>
      <c r="P1587" s="1">
        <v>3.74345E8</v>
      </c>
      <c r="Q1587" s="1">
        <v>-2427000.0</v>
      </c>
      <c r="R1587" s="1">
        <v>1.951E8</v>
      </c>
      <c r="S1587" s="1">
        <v>1.951E8</v>
      </c>
      <c r="W1587" s="4" t="str">
        <f>Raw_Data!C1586&amp;"|"&amp;Raw_Data!D1586&amp;"|"&amp;TEXT(Raw_Data!B1586,"yyyy-mm-dd")</f>
        <v>ResMed|RMD|2021-09-30</v>
      </c>
    </row>
    <row r="1588">
      <c r="A1588" s="1">
        <v>1586.0</v>
      </c>
      <c r="B1588" s="11">
        <v>44286.0</v>
      </c>
      <c r="C1588" s="1" t="s">
        <v>828</v>
      </c>
      <c r="D1588" s="1" t="s">
        <v>829</v>
      </c>
      <c r="E1588" s="1">
        <v>5.5941E7</v>
      </c>
      <c r="F1588" s="1">
        <v>2.18005E8</v>
      </c>
      <c r="G1588" s="1">
        <v>-7.8481E7</v>
      </c>
      <c r="H1588" s="1">
        <v>1.60446E8</v>
      </c>
      <c r="I1588" s="1">
        <v>4.58182E8</v>
      </c>
      <c r="J1588" s="1">
        <v>2.23426E8</v>
      </c>
      <c r="K1588" s="1">
        <v>2.23426E8</v>
      </c>
      <c r="L1588" s="1">
        <v>-5878000.0</v>
      </c>
      <c r="M1588" s="1">
        <v>2.96486E8</v>
      </c>
      <c r="N1588" s="1">
        <v>7.68767E8</v>
      </c>
      <c r="O1588" s="1">
        <v>5.45341E8</v>
      </c>
      <c r="P1588" s="1">
        <v>3.10585E8</v>
      </c>
      <c r="Q1588" s="1">
        <v>-5421000.0</v>
      </c>
      <c r="R1588" s="1">
        <v>-7.8481E7</v>
      </c>
      <c r="S1588" s="1">
        <v>-7.8481E7</v>
      </c>
      <c r="W1588" s="4" t="str">
        <f>Raw_Data!C1587&amp;"|"&amp;Raw_Data!D1587&amp;"|"&amp;TEXT(Raw_Data!B1587,"yyyy-mm-dd")</f>
        <v>ResMed|RMD|2021-06-30</v>
      </c>
    </row>
    <row r="1589">
      <c r="A1589" s="1">
        <v>1587.0</v>
      </c>
      <c r="B1589" s="11">
        <v>44196.0</v>
      </c>
      <c r="C1589" s="1" t="s">
        <v>828</v>
      </c>
      <c r="D1589" s="1" t="s">
        <v>829</v>
      </c>
      <c r="E1589" s="1">
        <v>5.4935E7</v>
      </c>
      <c r="F1589" s="1">
        <v>2.10592E8</v>
      </c>
      <c r="G1589" s="1">
        <v>1.79514E8</v>
      </c>
      <c r="H1589" s="1">
        <v>1.6947E8</v>
      </c>
      <c r="I1589" s="1">
        <v>4.78879E8</v>
      </c>
      <c r="J1589" s="1">
        <v>2.35621E8</v>
      </c>
      <c r="K1589" s="1">
        <v>2.35621E8</v>
      </c>
      <c r="L1589" s="1">
        <v>-5924000.0</v>
      </c>
      <c r="M1589" s="1">
        <v>3.1078E7</v>
      </c>
      <c r="N1589" s="1">
        <v>8.00011E8</v>
      </c>
      <c r="O1589" s="1">
        <v>5.6439E8</v>
      </c>
      <c r="P1589" s="1">
        <v>3.21132E8</v>
      </c>
      <c r="Q1589" s="1">
        <v>-2.5029E7</v>
      </c>
      <c r="R1589" s="1">
        <v>1.79514E8</v>
      </c>
      <c r="S1589" s="1">
        <v>1.79514E8</v>
      </c>
      <c r="W1589" s="4" t="str">
        <f>Raw_Data!C1588&amp;"|"&amp;Raw_Data!D1588&amp;"|"&amp;TEXT(Raw_Data!B1588,"yyyy-mm-dd")</f>
        <v>ResMed|RMD|2021-03-31</v>
      </c>
    </row>
    <row r="1590">
      <c r="A1590" s="1">
        <v>1588.0</v>
      </c>
      <c r="B1590" s="11">
        <v>44469.0</v>
      </c>
      <c r="C1590" s="1" t="s">
        <v>830</v>
      </c>
      <c r="D1590" s="1" t="s">
        <v>831</v>
      </c>
      <c r="F1590" s="1">
        <v>2.27658E8</v>
      </c>
      <c r="G1590" s="1">
        <v>1.70871E8</v>
      </c>
      <c r="H1590" s="1">
        <v>4.95576E8</v>
      </c>
      <c r="I1590" s="1">
        <v>7.25327E8</v>
      </c>
      <c r="J1590" s="1">
        <v>2.29179E8</v>
      </c>
      <c r="K1590" s="1">
        <v>2.29179E8</v>
      </c>
      <c r="M1590" s="1">
        <v>5.6787E7</v>
      </c>
      <c r="N1590" s="1">
        <v>1.712566E9</v>
      </c>
      <c r="O1590" s="1">
        <v>1.483387E9</v>
      </c>
      <c r="P1590" s="1">
        <v>9.87239E8</v>
      </c>
      <c r="Q1590" s="1">
        <v>-1521000.0</v>
      </c>
      <c r="R1590" s="1">
        <v>1.70871E8</v>
      </c>
      <c r="S1590" s="1">
        <v>1.70871E8</v>
      </c>
      <c r="W1590" s="4" t="str">
        <f>Raw_Data!C1589&amp;"|"&amp;Raw_Data!D1589&amp;"|"&amp;TEXT(Raw_Data!B1589,"yyyy-mm-dd")</f>
        <v>ResMed|RMD|2020-12-31</v>
      </c>
    </row>
    <row r="1591">
      <c r="A1591" s="1">
        <v>1589.0</v>
      </c>
      <c r="B1591" s="11">
        <v>44377.0</v>
      </c>
      <c r="C1591" s="1" t="s">
        <v>830</v>
      </c>
      <c r="D1591" s="1" t="s">
        <v>831</v>
      </c>
      <c r="F1591" s="1">
        <v>2.03862E8</v>
      </c>
      <c r="G1591" s="1">
        <v>1.49213E8</v>
      </c>
      <c r="H1591" s="1">
        <v>4.88093E8</v>
      </c>
      <c r="I1591" s="1">
        <v>6.64872E8</v>
      </c>
      <c r="J1591" s="1">
        <v>1.76203E8</v>
      </c>
      <c r="K1591" s="1">
        <v>1.76203E8</v>
      </c>
      <c r="L1591" s="1">
        <v>-151000.0</v>
      </c>
      <c r="M1591" s="1">
        <v>5.4649E7</v>
      </c>
      <c r="N1591" s="1">
        <v>1.580581E9</v>
      </c>
      <c r="O1591" s="1">
        <v>1.404378E9</v>
      </c>
      <c r="P1591" s="1">
        <v>9.15709E8</v>
      </c>
      <c r="Q1591" s="1">
        <v>2.7659E7</v>
      </c>
      <c r="R1591" s="1">
        <v>1.49213E8</v>
      </c>
      <c r="S1591" s="1">
        <v>1.49213E8</v>
      </c>
      <c r="W1591" s="4" t="str">
        <f>Raw_Data!C1590&amp;"|"&amp;Raw_Data!D1590&amp;"|"&amp;TEXT(Raw_Data!B1590,"yyyy-mm-dd")</f>
        <v>Robert Half International|RHI|2021-09-30</v>
      </c>
    </row>
    <row r="1592">
      <c r="A1592" s="1">
        <v>1590.0</v>
      </c>
      <c r="B1592" s="11">
        <v>44286.0</v>
      </c>
      <c r="C1592" s="1" t="s">
        <v>830</v>
      </c>
      <c r="D1592" s="1" t="s">
        <v>831</v>
      </c>
      <c r="F1592" s="1">
        <v>1.50106E8</v>
      </c>
      <c r="G1592" s="1">
        <v>1.10598E8</v>
      </c>
      <c r="H1592" s="1">
        <v>4.23062E8</v>
      </c>
      <c r="I1592" s="1">
        <v>5.61711E8</v>
      </c>
      <c r="J1592" s="1">
        <v>1.38073E8</v>
      </c>
      <c r="K1592" s="1">
        <v>1.38073E8</v>
      </c>
      <c r="L1592" s="1">
        <v>-151000.0</v>
      </c>
      <c r="M1592" s="1">
        <v>3.9508E7</v>
      </c>
      <c r="N1592" s="1">
        <v>1.39838E9</v>
      </c>
      <c r="O1592" s="1">
        <v>1.260307E9</v>
      </c>
      <c r="P1592" s="1">
        <v>8.36669E8</v>
      </c>
      <c r="Q1592" s="1">
        <v>1.2033E7</v>
      </c>
      <c r="R1592" s="1">
        <v>1.10598E8</v>
      </c>
      <c r="S1592" s="1">
        <v>1.10598E8</v>
      </c>
      <c r="W1592" s="4" t="str">
        <f>Raw_Data!C1591&amp;"|"&amp;Raw_Data!D1591&amp;"|"&amp;TEXT(Raw_Data!B1591,"yyyy-mm-dd")</f>
        <v>Robert Half International|RHI|2021-06-30</v>
      </c>
    </row>
    <row r="1593">
      <c r="A1593" s="1">
        <v>1591.0</v>
      </c>
      <c r="B1593" s="11">
        <v>44196.0</v>
      </c>
      <c r="C1593" s="1" t="s">
        <v>830</v>
      </c>
      <c r="D1593" s="1" t="s">
        <v>831</v>
      </c>
      <c r="F1593" s="1">
        <v>1.29585E8</v>
      </c>
      <c r="G1593" s="1">
        <v>9.4416E7</v>
      </c>
      <c r="H1593" s="1">
        <v>4.25162E8</v>
      </c>
      <c r="I1593" s="1">
        <v>5.14327E8</v>
      </c>
      <c r="J1593" s="1">
        <v>8.8948E7</v>
      </c>
      <c r="K1593" s="1">
        <v>8.8948E7</v>
      </c>
      <c r="L1593" s="1">
        <v>-151000.0</v>
      </c>
      <c r="M1593" s="1">
        <v>3.5169E7</v>
      </c>
      <c r="N1593" s="1">
        <v>1.304086E9</v>
      </c>
      <c r="O1593" s="1">
        <v>1.215138E9</v>
      </c>
      <c r="P1593" s="1">
        <v>7.89759E8</v>
      </c>
      <c r="Q1593" s="1">
        <v>4.0637E7</v>
      </c>
      <c r="R1593" s="1">
        <v>9.4416E7</v>
      </c>
      <c r="S1593" s="1">
        <v>9.4416E7</v>
      </c>
      <c r="W1593" s="4" t="str">
        <f>Raw_Data!C1592&amp;"|"&amp;Raw_Data!D1592&amp;"|"&amp;TEXT(Raw_Data!B1592,"yyyy-mm-dd")</f>
        <v>Robert Half International|RHI|2021-03-31</v>
      </c>
    </row>
    <row r="1594">
      <c r="A1594" s="1">
        <v>1592.0</v>
      </c>
      <c r="B1594" s="11">
        <v>44469.0</v>
      </c>
      <c r="C1594" s="1" t="s">
        <v>832</v>
      </c>
      <c r="D1594" s="1" t="s">
        <v>833</v>
      </c>
      <c r="F1594" s="1">
        <v>4300000.0</v>
      </c>
      <c r="G1594" s="1">
        <v>7.85E7</v>
      </c>
      <c r="H1594" s="1">
        <v>4.627E8</v>
      </c>
      <c r="I1594" s="1">
        <v>7.194E8</v>
      </c>
      <c r="J1594" s="1">
        <v>2.567E8</v>
      </c>
      <c r="K1594" s="1">
        <v>2.567E8</v>
      </c>
      <c r="L1594" s="1">
        <v>-2.63E7</v>
      </c>
      <c r="M1594" s="1">
        <v>-7.03E7</v>
      </c>
      <c r="N1594" s="1">
        <v>1.8078E9</v>
      </c>
      <c r="O1594" s="1">
        <v>1.5511E9</v>
      </c>
      <c r="P1594" s="1">
        <v>1.0884E9</v>
      </c>
      <c r="Q1594" s="1">
        <v>-2.524E8</v>
      </c>
      <c r="R1594" s="1">
        <v>7.46E7</v>
      </c>
      <c r="S1594" s="1">
        <v>7.85E7</v>
      </c>
      <c r="W1594" s="4" t="str">
        <f>Raw_Data!C1593&amp;"|"&amp;Raw_Data!D1593&amp;"|"&amp;TEXT(Raw_Data!B1593,"yyyy-mm-dd")</f>
        <v>Robert Half International|RHI|2020-12-31</v>
      </c>
    </row>
    <row r="1595">
      <c r="A1595" s="1">
        <v>1593.0</v>
      </c>
      <c r="B1595" s="11">
        <v>44377.0</v>
      </c>
      <c r="C1595" s="1" t="s">
        <v>832</v>
      </c>
      <c r="D1595" s="1" t="s">
        <v>833</v>
      </c>
      <c r="F1595" s="1">
        <v>3.135E8</v>
      </c>
      <c r="G1595" s="1">
        <v>2.713E8</v>
      </c>
      <c r="H1595" s="1">
        <v>4.716E8</v>
      </c>
      <c r="I1595" s="1">
        <v>7.644E8</v>
      </c>
      <c r="J1595" s="1">
        <v>2.928E8</v>
      </c>
      <c r="K1595" s="1">
        <v>2.928E8</v>
      </c>
      <c r="L1595" s="1">
        <v>-2.24E7</v>
      </c>
      <c r="M1595" s="1">
        <v>4.45E7</v>
      </c>
      <c r="N1595" s="1">
        <v>1.8482E9</v>
      </c>
      <c r="O1595" s="1">
        <v>1.5554E9</v>
      </c>
      <c r="P1595" s="1">
        <v>1.0838E9</v>
      </c>
      <c r="Q1595" s="1">
        <v>2.07E7</v>
      </c>
      <c r="R1595" s="1">
        <v>2.69E8</v>
      </c>
      <c r="S1595" s="1">
        <v>2.709E8</v>
      </c>
      <c r="W1595" s="4" t="str">
        <f>Raw_Data!C1594&amp;"|"&amp;Raw_Data!D1594&amp;"|"&amp;TEXT(Raw_Data!B1594,"yyyy-mm-dd")</f>
        <v>Rockwell Automation|ROK|2021-09-30</v>
      </c>
    </row>
    <row r="1596">
      <c r="A1596" s="1">
        <v>1594.0</v>
      </c>
      <c r="B1596" s="11">
        <v>44286.0</v>
      </c>
      <c r="C1596" s="1" t="s">
        <v>832</v>
      </c>
      <c r="D1596" s="1" t="s">
        <v>833</v>
      </c>
      <c r="F1596" s="1">
        <v>5.077E8</v>
      </c>
      <c r="G1596" s="1">
        <v>4.15E8</v>
      </c>
      <c r="H1596" s="1">
        <v>4.288E8</v>
      </c>
      <c r="I1596" s="1">
        <v>7.674E8</v>
      </c>
      <c r="J1596" s="1">
        <v>3.386E8</v>
      </c>
      <c r="K1596" s="1">
        <v>3.386E8</v>
      </c>
      <c r="L1596" s="1">
        <v>-2.33E7</v>
      </c>
      <c r="M1596" s="1">
        <v>9.74E7</v>
      </c>
      <c r="N1596" s="1">
        <v>1.7761E9</v>
      </c>
      <c r="O1596" s="1">
        <v>1.4375E9</v>
      </c>
      <c r="P1596" s="1">
        <v>1.0087E9</v>
      </c>
      <c r="Q1596" s="1">
        <v>1.691E8</v>
      </c>
      <c r="R1596" s="1">
        <v>4.103E8</v>
      </c>
      <c r="S1596" s="1">
        <v>4.141E8</v>
      </c>
      <c r="W1596" s="4" t="str">
        <f>Raw_Data!C1595&amp;"|"&amp;Raw_Data!D1595&amp;"|"&amp;TEXT(Raw_Data!B1595,"yyyy-mm-dd")</f>
        <v>Rockwell Automation|ROK|2021-06-30</v>
      </c>
    </row>
    <row r="1597">
      <c r="A1597" s="1">
        <v>1595.0</v>
      </c>
      <c r="B1597" s="11">
        <v>44196.0</v>
      </c>
      <c r="C1597" s="1" t="s">
        <v>832</v>
      </c>
      <c r="D1597" s="1" t="s">
        <v>833</v>
      </c>
      <c r="F1597" s="1">
        <v>7.007E8</v>
      </c>
      <c r="G1597" s="1">
        <v>5.933E8</v>
      </c>
      <c r="H1597" s="1">
        <v>3.82E8</v>
      </c>
      <c r="I1597" s="1">
        <v>6.465E8</v>
      </c>
      <c r="J1597" s="1">
        <v>2.645E8</v>
      </c>
      <c r="K1597" s="1">
        <v>2.645E8</v>
      </c>
      <c r="L1597" s="1">
        <v>-2.26E7</v>
      </c>
      <c r="M1597" s="1">
        <v>1.103E8</v>
      </c>
      <c r="N1597" s="1">
        <v>1.5653E9</v>
      </c>
      <c r="O1597" s="1">
        <v>1.3008E9</v>
      </c>
      <c r="P1597" s="1">
        <v>9.188E8</v>
      </c>
      <c r="Q1597" s="1">
        <v>4.362E8</v>
      </c>
      <c r="R1597" s="1">
        <v>5.904E8</v>
      </c>
      <c r="S1597" s="1">
        <v>5.926E8</v>
      </c>
      <c r="W1597" s="4" t="str">
        <f>Raw_Data!C1596&amp;"|"&amp;Raw_Data!D1596&amp;"|"&amp;TEXT(Raw_Data!B1596,"yyyy-mm-dd")</f>
        <v>Rockwell Automation|ROK|2021-03-31</v>
      </c>
    </row>
    <row r="1598">
      <c r="A1598" s="1">
        <v>1596.0</v>
      </c>
      <c r="B1598" s="11">
        <v>44469.0</v>
      </c>
      <c r="C1598" s="1" t="s">
        <v>834</v>
      </c>
      <c r="D1598" s="1" t="s">
        <v>835</v>
      </c>
      <c r="F1598" s="1">
        <v>1.27072E8</v>
      </c>
      <c r="G1598" s="1">
        <v>9.3853E7</v>
      </c>
      <c r="H1598" s="1">
        <v>1.94261E8</v>
      </c>
      <c r="I1598" s="1">
        <v>3.44725E8</v>
      </c>
      <c r="J1598" s="1">
        <v>1.26847E8</v>
      </c>
      <c r="K1598" s="1">
        <v>1.26847E8</v>
      </c>
      <c r="L1598" s="1">
        <v>-222000.0</v>
      </c>
      <c r="M1598" s="1">
        <v>3.3219E7</v>
      </c>
      <c r="N1598" s="1">
        <v>6.50199E8</v>
      </c>
      <c r="O1598" s="1">
        <v>5.23352E8</v>
      </c>
      <c r="P1598" s="1">
        <v>3.05474E8</v>
      </c>
      <c r="Q1598" s="1">
        <v>225000.0</v>
      </c>
      <c r="R1598" s="1">
        <v>9.3853E7</v>
      </c>
      <c r="S1598" s="1">
        <v>9.3853E7</v>
      </c>
      <c r="W1598" s="4" t="str">
        <f>Raw_Data!C1597&amp;"|"&amp;Raw_Data!D1597&amp;"|"&amp;TEXT(Raw_Data!B1597,"yyyy-mm-dd")</f>
        <v>Rockwell Automation|ROK|2020-12-31</v>
      </c>
    </row>
    <row r="1599">
      <c r="A1599" s="1">
        <v>1597.0</v>
      </c>
      <c r="B1599" s="11">
        <v>44377.0</v>
      </c>
      <c r="C1599" s="1" t="s">
        <v>834</v>
      </c>
      <c r="D1599" s="1" t="s">
        <v>835</v>
      </c>
      <c r="F1599" s="1">
        <v>1.33939E8</v>
      </c>
      <c r="G1599" s="1">
        <v>9.8854E7</v>
      </c>
      <c r="H1599" s="1">
        <v>1.83482E8</v>
      </c>
      <c r="I1599" s="1">
        <v>3.40342E8</v>
      </c>
      <c r="J1599" s="1">
        <v>1.33554E8</v>
      </c>
      <c r="K1599" s="1">
        <v>1.33554E8</v>
      </c>
      <c r="L1599" s="1">
        <v>-506000.0</v>
      </c>
      <c r="M1599" s="1">
        <v>3.5085E7</v>
      </c>
      <c r="N1599" s="1">
        <v>6.38204E8</v>
      </c>
      <c r="O1599" s="1">
        <v>5.0465E8</v>
      </c>
      <c r="P1599" s="1">
        <v>2.97862E8</v>
      </c>
      <c r="Q1599" s="1">
        <v>385000.0</v>
      </c>
      <c r="R1599" s="1">
        <v>9.8854E7</v>
      </c>
      <c r="S1599" s="1">
        <v>9.8854E7</v>
      </c>
      <c r="W1599" s="4" t="str">
        <f>Raw_Data!C1598&amp;"|"&amp;Raw_Data!D1598&amp;"|"&amp;TEXT(Raw_Data!B1598,"yyyy-mm-dd")</f>
        <v>Rollins|ROL|2021-09-30</v>
      </c>
    </row>
    <row r="1600">
      <c r="A1600" s="1">
        <v>1598.0</v>
      </c>
      <c r="B1600" s="11">
        <v>44286.0</v>
      </c>
      <c r="C1600" s="1" t="s">
        <v>834</v>
      </c>
      <c r="D1600" s="1" t="s">
        <v>835</v>
      </c>
      <c r="F1600" s="1">
        <v>1.19852E8</v>
      </c>
      <c r="G1600" s="1">
        <v>9.2643E7</v>
      </c>
      <c r="H1600" s="1">
        <v>1.62208E8</v>
      </c>
      <c r="I1600" s="1">
        <v>2.74002E8</v>
      </c>
      <c r="J1600" s="1">
        <v>8.8198E7</v>
      </c>
      <c r="K1600" s="1">
        <v>8.8198E7</v>
      </c>
      <c r="L1600" s="1">
        <v>-606000.0</v>
      </c>
      <c r="M1600" s="1">
        <v>2.7209E7</v>
      </c>
      <c r="N1600" s="1">
        <v>5.35554E8</v>
      </c>
      <c r="O1600" s="1">
        <v>4.47356E8</v>
      </c>
      <c r="P1600" s="1">
        <v>2.61552E8</v>
      </c>
      <c r="Q1600" s="1">
        <v>3.1654E7</v>
      </c>
      <c r="R1600" s="1">
        <v>9.2643E7</v>
      </c>
      <c r="S1600" s="1">
        <v>9.2643E7</v>
      </c>
      <c r="W1600" s="4" t="str">
        <f>Raw_Data!C1599&amp;"|"&amp;Raw_Data!D1599&amp;"|"&amp;TEXT(Raw_Data!B1599,"yyyy-mm-dd")</f>
        <v>Rollins|ROL|2021-06-30</v>
      </c>
    </row>
    <row r="1601">
      <c r="A1601" s="1">
        <v>1599.0</v>
      </c>
      <c r="B1601" s="11">
        <v>44196.0</v>
      </c>
      <c r="C1601" s="1" t="s">
        <v>834</v>
      </c>
      <c r="D1601" s="1" t="s">
        <v>835</v>
      </c>
      <c r="F1601" s="1">
        <v>8.6898E7</v>
      </c>
      <c r="G1601" s="1">
        <v>6.2619E7</v>
      </c>
      <c r="H1601" s="1">
        <v>1.59086E8</v>
      </c>
      <c r="I1601" s="1">
        <v>2.69948E8</v>
      </c>
      <c r="J1601" s="1">
        <v>8.8459E7</v>
      </c>
      <c r="K1601" s="1">
        <v>8.8459E7</v>
      </c>
      <c r="L1601" s="1">
        <v>-591000.0</v>
      </c>
      <c r="M1601" s="1">
        <v>2.4279E7</v>
      </c>
      <c r="N1601" s="1">
        <v>5.36292E8</v>
      </c>
      <c r="O1601" s="1">
        <v>4.47833E8</v>
      </c>
      <c r="P1601" s="1">
        <v>2.66344E8</v>
      </c>
      <c r="Q1601" s="1">
        <v>-1561000.0</v>
      </c>
      <c r="R1601" s="1">
        <v>6.2619E7</v>
      </c>
      <c r="S1601" s="1">
        <v>6.2619E7</v>
      </c>
      <c r="W1601" s="4" t="str">
        <f>Raw_Data!C1600&amp;"|"&amp;Raw_Data!D1600&amp;"|"&amp;TEXT(Raw_Data!B1600,"yyyy-mm-dd")</f>
        <v>Rollins|ROL|2021-03-31</v>
      </c>
    </row>
    <row r="1602">
      <c r="A1602" s="1">
        <v>1600.0</v>
      </c>
      <c r="B1602" s="11">
        <v>44469.0</v>
      </c>
      <c r="C1602" s="1" t="s">
        <v>836</v>
      </c>
      <c r="D1602" s="1" t="s">
        <v>837</v>
      </c>
      <c r="F1602" s="1">
        <v>3.436E8</v>
      </c>
      <c r="G1602" s="1">
        <v>2.895E8</v>
      </c>
      <c r="H1602" s="1">
        <v>5.926E8</v>
      </c>
      <c r="I1602" s="1">
        <v>9.961E8</v>
      </c>
      <c r="J1602" s="1">
        <v>4.035E8</v>
      </c>
      <c r="K1602" s="1">
        <v>4.035E8</v>
      </c>
      <c r="L1602" s="1">
        <v>-5.82E7</v>
      </c>
      <c r="M1602" s="1">
        <v>8.38E7</v>
      </c>
      <c r="N1602" s="1">
        <v>1.4628E9</v>
      </c>
      <c r="O1602" s="1">
        <v>1.0593E9</v>
      </c>
      <c r="P1602" s="1">
        <v>4.667E8</v>
      </c>
      <c r="Q1602" s="1">
        <v>-5.99E7</v>
      </c>
      <c r="R1602" s="1">
        <v>2.598E8</v>
      </c>
      <c r="S1602" s="1">
        <v>2.895E8</v>
      </c>
      <c r="W1602" s="4" t="str">
        <f>Raw_Data!C1601&amp;"|"&amp;Raw_Data!D1601&amp;"|"&amp;TEXT(Raw_Data!B1601,"yyyy-mm-dd")</f>
        <v>Rollins|ROL|2020-12-31</v>
      </c>
    </row>
    <row r="1603">
      <c r="A1603" s="1">
        <v>1601.0</v>
      </c>
      <c r="B1603" s="11">
        <v>44377.0</v>
      </c>
      <c r="C1603" s="1" t="s">
        <v>836</v>
      </c>
      <c r="D1603" s="1" t="s">
        <v>837</v>
      </c>
      <c r="F1603" s="1">
        <v>3.436E8</v>
      </c>
      <c r="G1603" s="1">
        <v>0.0</v>
      </c>
      <c r="H1603" s="1">
        <v>5.926E8</v>
      </c>
      <c r="I1603" s="1">
        <v>0.0</v>
      </c>
      <c r="J1603" s="1">
        <v>0.0</v>
      </c>
      <c r="K1603" s="1">
        <v>4.035E8</v>
      </c>
      <c r="L1603" s="1">
        <v>-5.82E7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2.598E8</v>
      </c>
      <c r="S1603" s="1">
        <v>2.895E8</v>
      </c>
      <c r="W1603" s="4" t="str">
        <f>Raw_Data!C1602&amp;"|"&amp;Raw_Data!D1602&amp;"|"&amp;TEXT(Raw_Data!B1602,"yyyy-mm-dd")</f>
        <v>Roper Technologies|ROP|2021-09-30</v>
      </c>
    </row>
    <row r="1604">
      <c r="A1604" s="1">
        <v>1602.0</v>
      </c>
      <c r="B1604" s="11">
        <v>44286.0</v>
      </c>
      <c r="C1604" s="1" t="s">
        <v>836</v>
      </c>
      <c r="D1604" s="1" t="s">
        <v>837</v>
      </c>
      <c r="F1604" s="1">
        <v>3.669E8</v>
      </c>
      <c r="G1604" s="1">
        <v>2.89E8</v>
      </c>
      <c r="H1604" s="1">
        <v>5.933E8</v>
      </c>
      <c r="I1604" s="1">
        <v>9.938E8</v>
      </c>
      <c r="J1604" s="1">
        <v>4.005E8</v>
      </c>
      <c r="K1604" s="1">
        <v>4.005E8</v>
      </c>
      <c r="L1604" s="1">
        <v>-6.06E7</v>
      </c>
      <c r="M1604" s="1">
        <v>7.79E7</v>
      </c>
      <c r="N1604" s="1">
        <v>1.5286E9</v>
      </c>
      <c r="O1604" s="1">
        <v>1.1281E9</v>
      </c>
      <c r="P1604" s="1">
        <v>5.348E8</v>
      </c>
      <c r="Q1604" s="1">
        <v>-3.36E7</v>
      </c>
      <c r="R1604" s="1">
        <v>2.89E8</v>
      </c>
      <c r="S1604" s="1">
        <v>2.89E8</v>
      </c>
      <c r="W1604" s="4" t="str">
        <f>Raw_Data!C1603&amp;"|"&amp;Raw_Data!D1603&amp;"|"&amp;TEXT(Raw_Data!B1603,"yyyy-mm-dd")</f>
        <v>Roper Technologies|ROP|2021-06-30</v>
      </c>
    </row>
    <row r="1605">
      <c r="A1605" s="1">
        <v>1603.0</v>
      </c>
      <c r="B1605" s="11">
        <v>44196.0</v>
      </c>
      <c r="C1605" s="1" t="s">
        <v>836</v>
      </c>
      <c r="D1605" s="1" t="s">
        <v>837</v>
      </c>
      <c r="E1605" s="1">
        <v>4.461E8</v>
      </c>
      <c r="F1605" s="1">
        <v>3.175E8</v>
      </c>
      <c r="G1605" s="1">
        <v>2.558E8</v>
      </c>
      <c r="H1605" s="1">
        <v>1.534E8</v>
      </c>
      <c r="I1605" s="1">
        <v>9.666E8</v>
      </c>
      <c r="J1605" s="1">
        <v>3.671E8</v>
      </c>
      <c r="K1605" s="1">
        <v>3.671E8</v>
      </c>
      <c r="L1605" s="1">
        <v>-6.37E7</v>
      </c>
      <c r="M1605" s="1">
        <v>6.17E7</v>
      </c>
      <c r="N1605" s="1">
        <v>1.5053E9</v>
      </c>
      <c r="O1605" s="1">
        <v>1.1382E9</v>
      </c>
      <c r="P1605" s="1">
        <v>5.387E8</v>
      </c>
      <c r="Q1605" s="1">
        <v>-4.96E7</v>
      </c>
      <c r="R1605" s="1">
        <v>2.558E8</v>
      </c>
      <c r="S1605" s="1">
        <v>2.558E8</v>
      </c>
      <c r="W1605" s="4" t="str">
        <f>Raw_Data!C1604&amp;"|"&amp;Raw_Data!D1604&amp;"|"&amp;TEXT(Raw_Data!B1604,"yyyy-mm-dd")</f>
        <v>Roper Technologies|ROP|2021-03-31</v>
      </c>
    </row>
    <row r="1606">
      <c r="A1606" s="1">
        <v>1604.0</v>
      </c>
      <c r="B1606" s="11">
        <v>44408.0</v>
      </c>
      <c r="C1606" s="1" t="s">
        <v>838</v>
      </c>
      <c r="D1606" s="1" t="s">
        <v>839</v>
      </c>
      <c r="F1606" s="1">
        <v>6.57608E8</v>
      </c>
      <c r="G1606" s="1">
        <v>4.94258E8</v>
      </c>
      <c r="H1606" s="1">
        <v>7.17788E8</v>
      </c>
      <c r="I1606" s="1">
        <v>1.394103E9</v>
      </c>
      <c r="J1606" s="1">
        <v>6.76315E8</v>
      </c>
      <c r="K1606" s="1">
        <v>6.76315E8</v>
      </c>
      <c r="L1606" s="1">
        <v>-1.8906E7</v>
      </c>
      <c r="M1606" s="1">
        <v>1.6335E8</v>
      </c>
      <c r="N1606" s="1">
        <v>4.804974E9</v>
      </c>
      <c r="O1606" s="1">
        <v>4.128659E9</v>
      </c>
      <c r="P1606" s="1">
        <v>3.410871E9</v>
      </c>
      <c r="Q1606" s="1">
        <v>-1.8707E7</v>
      </c>
      <c r="R1606" s="1">
        <v>4.94258E8</v>
      </c>
      <c r="S1606" s="1">
        <v>4.94258E8</v>
      </c>
      <c r="W1606" s="4" t="str">
        <f>Raw_Data!C1605&amp;"|"&amp;Raw_Data!D1605&amp;"|"&amp;TEXT(Raw_Data!B1605,"yyyy-mm-dd")</f>
        <v>Roper Technologies|ROP|2020-12-31</v>
      </c>
    </row>
    <row r="1607">
      <c r="A1607" s="1">
        <v>1605.0</v>
      </c>
      <c r="B1607" s="11">
        <v>44317.0</v>
      </c>
      <c r="C1607" s="1" t="s">
        <v>838</v>
      </c>
      <c r="D1607" s="1" t="s">
        <v>839</v>
      </c>
      <c r="F1607" s="1">
        <v>6.23582E8</v>
      </c>
      <c r="G1607" s="1">
        <v>4.76479E8</v>
      </c>
      <c r="H1607" s="1">
        <v>6.75053E8</v>
      </c>
      <c r="I1607" s="1">
        <v>1.317684E9</v>
      </c>
      <c r="J1607" s="1">
        <v>6.42631E8</v>
      </c>
      <c r="K1607" s="1">
        <v>6.42631E8</v>
      </c>
      <c r="L1607" s="1">
        <v>-1.9285E7</v>
      </c>
      <c r="M1607" s="1">
        <v>1.47103E8</v>
      </c>
      <c r="N1607" s="1">
        <v>4.51608E9</v>
      </c>
      <c r="O1607" s="1">
        <v>3.873449E9</v>
      </c>
      <c r="P1607" s="1">
        <v>3.198396E9</v>
      </c>
      <c r="Q1607" s="1">
        <v>-1.9049E7</v>
      </c>
      <c r="R1607" s="1">
        <v>4.76479E8</v>
      </c>
      <c r="S1607" s="1">
        <v>4.76479E8</v>
      </c>
      <c r="W1607" s="4" t="str">
        <f>Raw_Data!C1606&amp;"|"&amp;Raw_Data!D1606&amp;"|"&amp;TEXT(Raw_Data!B1606,"yyyy-mm-dd")</f>
        <v>Ross Stores|ROST|2021-07-31</v>
      </c>
    </row>
    <row r="1608">
      <c r="A1608" s="1">
        <v>1606.0</v>
      </c>
      <c r="B1608" s="11">
        <v>44226.0</v>
      </c>
      <c r="C1608" s="1" t="s">
        <v>838</v>
      </c>
      <c r="D1608" s="1" t="s">
        <v>839</v>
      </c>
      <c r="F1608" s="1">
        <v>3.82851E8</v>
      </c>
      <c r="G1608" s="1">
        <v>2.3798E8</v>
      </c>
      <c r="H1608" s="1">
        <v>1.291999E9</v>
      </c>
      <c r="I1608" s="1">
        <v>1.934002E9</v>
      </c>
      <c r="J1608" s="1">
        <v>6.42003E8</v>
      </c>
      <c r="K1608" s="1">
        <v>6.42003E8</v>
      </c>
      <c r="L1608" s="1">
        <v>-1.938E7</v>
      </c>
      <c r="M1608" s="1">
        <v>1.44871E8</v>
      </c>
      <c r="N1608" s="1">
        <v>4.249671E9</v>
      </c>
      <c r="O1608" s="1">
        <v>3.607668E9</v>
      </c>
      <c r="P1608" s="1">
        <v>2.315669E9</v>
      </c>
      <c r="Q1608" s="1">
        <v>-2.59152E8</v>
      </c>
      <c r="R1608" s="1">
        <v>2.3798E8</v>
      </c>
      <c r="S1608" s="1">
        <v>2.3798E8</v>
      </c>
      <c r="W1608" s="4" t="str">
        <f>Raw_Data!C1607&amp;"|"&amp;Raw_Data!D1607&amp;"|"&amp;TEXT(Raw_Data!B1607,"yyyy-mm-dd")</f>
        <v>Ross Stores|ROST|2021-05-01</v>
      </c>
    </row>
    <row r="1609">
      <c r="A1609" s="1">
        <v>1607.0</v>
      </c>
      <c r="B1609" s="11">
        <v>44135.0</v>
      </c>
      <c r="C1609" s="1" t="s">
        <v>838</v>
      </c>
      <c r="D1609" s="1" t="s">
        <v>839</v>
      </c>
      <c r="F1609" s="1">
        <v>1.36493E8</v>
      </c>
      <c r="G1609" s="1">
        <v>1.31197E8</v>
      </c>
      <c r="H1609" s="1">
        <v>8.77857E8</v>
      </c>
      <c r="I1609" s="1">
        <v>1.04309E9</v>
      </c>
      <c r="J1609" s="1">
        <v>1.65233E8</v>
      </c>
      <c r="K1609" s="1">
        <v>1.65233E8</v>
      </c>
      <c r="L1609" s="1">
        <v>-2.907E7</v>
      </c>
      <c r="M1609" s="1">
        <v>5296000.0</v>
      </c>
      <c r="N1609" s="1">
        <v>3.754509E9</v>
      </c>
      <c r="O1609" s="1">
        <v>3.589276E9</v>
      </c>
      <c r="P1609" s="1">
        <v>2.711419E9</v>
      </c>
      <c r="Q1609" s="1">
        <v>-2.874E7</v>
      </c>
      <c r="R1609" s="1">
        <v>1.31197E8</v>
      </c>
      <c r="S1609" s="1">
        <v>1.31197E8</v>
      </c>
      <c r="W1609" s="4" t="str">
        <f>Raw_Data!C1608&amp;"|"&amp;Raw_Data!D1608&amp;"|"&amp;TEXT(Raw_Data!B1608,"yyyy-mm-dd")</f>
        <v>Ross Stores|ROST|2021-01-30</v>
      </c>
    </row>
    <row r="1610">
      <c r="A1610" s="1">
        <v>1608.0</v>
      </c>
      <c r="B1610" s="11">
        <v>44469.0</v>
      </c>
      <c r="C1610" s="1" t="s">
        <v>840</v>
      </c>
      <c r="D1610" s="1" t="s">
        <v>841</v>
      </c>
      <c r="F1610" s="1">
        <v>-1.424554E9</v>
      </c>
      <c r="G1610" s="1">
        <v>-1.424554E9</v>
      </c>
      <c r="H1610" s="1">
        <v>3.30472E8</v>
      </c>
      <c r="I1610" s="1">
        <v>-3.49683E8</v>
      </c>
      <c r="J1610" s="1">
        <v>-1.006062E9</v>
      </c>
      <c r="K1610" s="1">
        <v>-1.006062E9</v>
      </c>
      <c r="L1610" s="1">
        <v>-4.30661E8</v>
      </c>
      <c r="M1610" s="1">
        <v>0.0</v>
      </c>
      <c r="N1610" s="1">
        <v>4.56958E8</v>
      </c>
      <c r="O1610" s="1">
        <v>1.46302E9</v>
      </c>
      <c r="P1610" s="1">
        <v>8.06641E8</v>
      </c>
      <c r="Q1610" s="1">
        <v>-4.18492E8</v>
      </c>
      <c r="R1610" s="1">
        <v>-1.424554E9</v>
      </c>
      <c r="S1610" s="1">
        <v>-1.424554E9</v>
      </c>
      <c r="W1610" s="4" t="str">
        <f>Raw_Data!C1609&amp;"|"&amp;Raw_Data!D1609&amp;"|"&amp;TEXT(Raw_Data!B1609,"yyyy-mm-dd")</f>
        <v>Ross Stores|ROST|2020-10-31</v>
      </c>
    </row>
    <row r="1611">
      <c r="A1611" s="1">
        <v>1609.0</v>
      </c>
      <c r="B1611" s="11">
        <v>44377.0</v>
      </c>
      <c r="C1611" s="1" t="s">
        <v>840</v>
      </c>
      <c r="D1611" s="1" t="s">
        <v>841</v>
      </c>
      <c r="F1611" s="1">
        <v>-1.347255E9</v>
      </c>
      <c r="G1611" s="1">
        <v>-1.347255E9</v>
      </c>
      <c r="H1611" s="1">
        <v>2.90369E8</v>
      </c>
      <c r="I1611" s="1">
        <v>-3.69105E8</v>
      </c>
      <c r="J1611" s="1">
        <v>-9.82913E8</v>
      </c>
      <c r="K1611" s="1">
        <v>-9.82913E8</v>
      </c>
      <c r="L1611" s="1">
        <v>-3.04811E8</v>
      </c>
      <c r="M1611" s="1">
        <v>0.0</v>
      </c>
      <c r="N1611" s="1">
        <v>5.0914E7</v>
      </c>
      <c r="O1611" s="1">
        <v>1.033827E9</v>
      </c>
      <c r="P1611" s="1">
        <v>4.20019E8</v>
      </c>
      <c r="Q1611" s="1">
        <v>-3.64342E8</v>
      </c>
      <c r="R1611" s="1">
        <v>-1.347255E9</v>
      </c>
      <c r="S1611" s="1">
        <v>-1.347255E9</v>
      </c>
      <c r="W1611" s="4" t="str">
        <f>Raw_Data!C1610&amp;"|"&amp;Raw_Data!D1610&amp;"|"&amp;TEXT(Raw_Data!B1610,"yyyy-mm-dd")</f>
        <v>Royal Caribbean Group|RCL|2021-09-30</v>
      </c>
    </row>
    <row r="1612">
      <c r="A1612" s="1">
        <v>1610.0</v>
      </c>
      <c r="B1612" s="11">
        <v>44286.0</v>
      </c>
      <c r="C1612" s="1" t="s">
        <v>840</v>
      </c>
      <c r="D1612" s="1" t="s">
        <v>841</v>
      </c>
      <c r="F1612" s="1">
        <v>-1.131722E9</v>
      </c>
      <c r="G1612" s="1">
        <v>-1.131722E9</v>
      </c>
      <c r="H1612" s="1">
        <v>2.63171E8</v>
      </c>
      <c r="I1612" s="1">
        <v>-2.36343E8</v>
      </c>
      <c r="J1612" s="1">
        <v>-8.0968E8</v>
      </c>
      <c r="K1612" s="1">
        <v>-8.0968E8</v>
      </c>
      <c r="L1612" s="1">
        <v>-2.72514E8</v>
      </c>
      <c r="M1612" s="1">
        <v>0.0</v>
      </c>
      <c r="N1612" s="1">
        <v>4.2014E7</v>
      </c>
      <c r="O1612" s="1">
        <v>8.51694E8</v>
      </c>
      <c r="P1612" s="1">
        <v>2.78357E8</v>
      </c>
      <c r="Q1612" s="1">
        <v>-3.22042E8</v>
      </c>
      <c r="R1612" s="1">
        <v>-1.131722E9</v>
      </c>
      <c r="S1612" s="1">
        <v>-1.131722E9</v>
      </c>
      <c r="W1612" s="4" t="str">
        <f>Raw_Data!C1611&amp;"|"&amp;Raw_Data!D1611&amp;"|"&amp;TEXT(Raw_Data!B1611,"yyyy-mm-dd")</f>
        <v>Royal Caribbean Group|RCL|2021-06-30</v>
      </c>
    </row>
    <row r="1613">
      <c r="A1613" s="1">
        <v>1611.0</v>
      </c>
      <c r="B1613" s="11">
        <v>44196.0</v>
      </c>
      <c r="C1613" s="1" t="s">
        <v>840</v>
      </c>
      <c r="D1613" s="1" t="s">
        <v>841</v>
      </c>
      <c r="F1613" s="1">
        <v>-1.381935E9</v>
      </c>
      <c r="G1613" s="1">
        <v>-1.366935E9</v>
      </c>
      <c r="H1613" s="1">
        <v>2.51349E8</v>
      </c>
      <c r="I1613" s="1">
        <v>-2.35306E8</v>
      </c>
      <c r="J1613" s="1">
        <v>-8.04683E8</v>
      </c>
      <c r="K1613" s="1">
        <v>-8.04683E8</v>
      </c>
      <c r="L1613" s="1">
        <v>-2.73089E8</v>
      </c>
      <c r="M1613" s="1">
        <v>-1.5E7</v>
      </c>
      <c r="N1613" s="1">
        <v>3.4138E7</v>
      </c>
      <c r="O1613" s="1">
        <v>8.38821E8</v>
      </c>
      <c r="P1613" s="1">
        <v>2.69444E8</v>
      </c>
      <c r="Q1613" s="1">
        <v>-5.77252E8</v>
      </c>
      <c r="R1613" s="1">
        <v>-1.366935E9</v>
      </c>
      <c r="S1613" s="1">
        <v>-1.366935E9</v>
      </c>
      <c r="W1613" s="4" t="str">
        <f>Raw_Data!C1612&amp;"|"&amp;Raw_Data!D1612&amp;"|"&amp;TEXT(Raw_Data!B1612,"yyyy-mm-dd")</f>
        <v>Royal Caribbean Group|RCL|2021-03-31</v>
      </c>
    </row>
    <row r="1614">
      <c r="A1614" s="1">
        <v>1612.0</v>
      </c>
      <c r="B1614" s="11">
        <v>44469.0</v>
      </c>
      <c r="C1614" s="1" t="s">
        <v>842</v>
      </c>
      <c r="D1614" s="1" t="s">
        <v>843</v>
      </c>
      <c r="F1614" s="1">
        <v>1.074E9</v>
      </c>
      <c r="G1614" s="1">
        <v>7.97E8</v>
      </c>
      <c r="H1614" s="1">
        <v>3.58E8</v>
      </c>
      <c r="I1614" s="1">
        <v>1.544E9</v>
      </c>
      <c r="J1614" s="1">
        <v>1.145E9</v>
      </c>
      <c r="K1614" s="1">
        <v>1.145E9</v>
      </c>
      <c r="L1614" s="1">
        <v>-3.1E7</v>
      </c>
      <c r="M1614" s="1">
        <v>2.13E8</v>
      </c>
      <c r="N1614" s="1">
        <v>2.087E9</v>
      </c>
      <c r="O1614" s="1">
        <v>9.42E8</v>
      </c>
      <c r="P1614" s="1">
        <v>5.43E8</v>
      </c>
      <c r="Q1614" s="1">
        <v>-7.1E7</v>
      </c>
      <c r="R1614" s="1">
        <v>8.61E8</v>
      </c>
      <c r="S1614" s="1">
        <v>7.97E8</v>
      </c>
      <c r="W1614" s="4" t="str">
        <f>Raw_Data!C1613&amp;"|"&amp;Raw_Data!D1613&amp;"|"&amp;TEXT(Raw_Data!B1613,"yyyy-mm-dd")</f>
        <v>Royal Caribbean Group|RCL|2020-12-31</v>
      </c>
    </row>
    <row r="1615">
      <c r="A1615" s="1">
        <v>1613.0</v>
      </c>
      <c r="B1615" s="11">
        <v>44377.0</v>
      </c>
      <c r="C1615" s="1" t="s">
        <v>842</v>
      </c>
      <c r="D1615" s="1" t="s">
        <v>843</v>
      </c>
      <c r="F1615" s="1">
        <v>1.144E9</v>
      </c>
      <c r="G1615" s="1">
        <v>7.98E8</v>
      </c>
      <c r="H1615" s="1">
        <v>3.1E8</v>
      </c>
      <c r="I1615" s="1">
        <v>1.573E9</v>
      </c>
      <c r="J1615" s="1">
        <v>1.218E9</v>
      </c>
      <c r="K1615" s="1">
        <v>1.218E9</v>
      </c>
      <c r="L1615" s="1">
        <v>-3.2E7</v>
      </c>
      <c r="M1615" s="1">
        <v>2.87E8</v>
      </c>
      <c r="N1615" s="1">
        <v>2.106E9</v>
      </c>
      <c r="O1615" s="1">
        <v>8.88E8</v>
      </c>
      <c r="P1615" s="1">
        <v>5.33E8</v>
      </c>
      <c r="Q1615" s="1">
        <v>-7.4E7</v>
      </c>
      <c r="R1615" s="1">
        <v>8.57E8</v>
      </c>
      <c r="S1615" s="1">
        <v>7.98E8</v>
      </c>
      <c r="W1615" s="4" t="str">
        <f>Raw_Data!C1614&amp;"|"&amp;Raw_Data!D1614&amp;"|"&amp;TEXT(Raw_Data!B1614,"yyyy-mm-dd")</f>
        <v>S&amp;P Global|SPGI|2021-09-30</v>
      </c>
    </row>
    <row r="1616">
      <c r="A1616" s="1">
        <v>1614.0</v>
      </c>
      <c r="B1616" s="11">
        <v>44286.0</v>
      </c>
      <c r="C1616" s="1" t="s">
        <v>842</v>
      </c>
      <c r="D1616" s="1" t="s">
        <v>843</v>
      </c>
      <c r="F1616" s="1">
        <v>1.056E9</v>
      </c>
      <c r="G1616" s="1">
        <v>7.55E8</v>
      </c>
      <c r="H1616" s="1">
        <v>2.98E8</v>
      </c>
      <c r="I1616" s="1">
        <v>1.489E9</v>
      </c>
      <c r="J1616" s="1">
        <v>1.141E9</v>
      </c>
      <c r="K1616" s="1">
        <v>1.141E9</v>
      </c>
      <c r="L1616" s="1">
        <v>-3.2E7</v>
      </c>
      <c r="M1616" s="1">
        <v>2.48E8</v>
      </c>
      <c r="N1616" s="1">
        <v>2.016E9</v>
      </c>
      <c r="O1616" s="1">
        <v>8.75E8</v>
      </c>
      <c r="P1616" s="1">
        <v>5.27E8</v>
      </c>
      <c r="Q1616" s="1">
        <v>-8.5E7</v>
      </c>
      <c r="R1616" s="1">
        <v>8.08E8</v>
      </c>
      <c r="S1616" s="1">
        <v>7.55E8</v>
      </c>
      <c r="W1616" s="4" t="str">
        <f>Raw_Data!C1615&amp;"|"&amp;Raw_Data!D1615&amp;"|"&amp;TEXT(Raw_Data!B1615,"yyyy-mm-dd")</f>
        <v>S&amp;P Global|SPGI|2021-06-30</v>
      </c>
    </row>
    <row r="1617">
      <c r="A1617" s="1">
        <v>1615.0</v>
      </c>
      <c r="B1617" s="11">
        <v>44196.0</v>
      </c>
      <c r="C1617" s="1" t="s">
        <v>842</v>
      </c>
      <c r="D1617" s="1" t="s">
        <v>843</v>
      </c>
      <c r="F1617" s="1">
        <v>6.4E8</v>
      </c>
      <c r="G1617" s="1">
        <v>4.54E8</v>
      </c>
      <c r="H1617" s="1">
        <v>3.84E8</v>
      </c>
      <c r="I1617" s="1">
        <v>1.308E9</v>
      </c>
      <c r="J1617" s="1">
        <v>8.72E8</v>
      </c>
      <c r="K1617" s="1">
        <v>8.72E8</v>
      </c>
      <c r="L1617" s="1">
        <v>-3.2E7</v>
      </c>
      <c r="M1617" s="1">
        <v>1.35E8</v>
      </c>
      <c r="N1617" s="1">
        <v>1.867E9</v>
      </c>
      <c r="O1617" s="1">
        <v>9.95E8</v>
      </c>
      <c r="P1617" s="1">
        <v>5.59E8</v>
      </c>
      <c r="Q1617" s="1">
        <v>-2.32E8</v>
      </c>
      <c r="R1617" s="1">
        <v>5.05E8</v>
      </c>
      <c r="S1617" s="1">
        <v>4.54E8</v>
      </c>
      <c r="W1617" s="4" t="str">
        <f>Raw_Data!C1616&amp;"|"&amp;Raw_Data!D1616&amp;"|"&amp;TEXT(Raw_Data!B1616,"yyyy-mm-dd")</f>
        <v>S&amp;P Global|SPGI|2021-03-31</v>
      </c>
    </row>
    <row r="1618">
      <c r="A1618" s="1">
        <v>1616.0</v>
      </c>
      <c r="B1618" s="11">
        <v>44408.0</v>
      </c>
      <c r="C1618" s="1" t="s">
        <v>844</v>
      </c>
      <c r="D1618" s="1" t="s">
        <v>845</v>
      </c>
      <c r="E1618" s="1">
        <v>1.02E9</v>
      </c>
      <c r="F1618" s="1">
        <v>8.26E8</v>
      </c>
      <c r="G1618" s="1">
        <v>5.35E8</v>
      </c>
      <c r="H1618" s="1">
        <v>3.321E9</v>
      </c>
      <c r="I1618" s="1">
        <v>4.727E9</v>
      </c>
      <c r="J1618" s="1">
        <v>3.86E8</v>
      </c>
      <c r="K1618" s="1">
        <v>3.86E8</v>
      </c>
      <c r="L1618" s="1">
        <v>-4.1E7</v>
      </c>
      <c r="M1618" s="1">
        <v>2.91E8</v>
      </c>
      <c r="N1618" s="1">
        <v>6.34E9</v>
      </c>
      <c r="O1618" s="1">
        <v>5.954E9</v>
      </c>
      <c r="P1618" s="1">
        <v>1.613E9</v>
      </c>
      <c r="Q1618" s="1">
        <v>4.4E8</v>
      </c>
      <c r="R1618" s="1">
        <v>5.35E8</v>
      </c>
      <c r="S1618" s="1">
        <v>5.35E8</v>
      </c>
      <c r="W1618" s="4" t="str">
        <f>Raw_Data!C1617&amp;"|"&amp;Raw_Data!D1617&amp;"|"&amp;TEXT(Raw_Data!B1617,"yyyy-mm-dd")</f>
        <v>S&amp;P Global|SPGI|2020-12-31</v>
      </c>
    </row>
    <row r="1619">
      <c r="A1619" s="1">
        <v>1617.0</v>
      </c>
      <c r="B1619" s="11">
        <v>44316.0</v>
      </c>
      <c r="C1619" s="1" t="s">
        <v>844</v>
      </c>
      <c r="D1619" s="1" t="s">
        <v>845</v>
      </c>
      <c r="E1619" s="1">
        <v>9.51E8</v>
      </c>
      <c r="F1619" s="1">
        <v>6.04E8</v>
      </c>
      <c r="G1619" s="1">
        <v>4.69E8</v>
      </c>
      <c r="H1619" s="1">
        <v>3.103E9</v>
      </c>
      <c r="I1619" s="1">
        <v>4.408E9</v>
      </c>
      <c r="J1619" s="1">
        <v>3.54E8</v>
      </c>
      <c r="K1619" s="1">
        <v>3.54E8</v>
      </c>
      <c r="L1619" s="1">
        <v>-3.4E7</v>
      </c>
      <c r="M1619" s="1">
        <v>1.35E8</v>
      </c>
      <c r="N1619" s="1">
        <v>5.963E9</v>
      </c>
      <c r="O1619" s="1">
        <v>5.609E9</v>
      </c>
      <c r="P1619" s="1">
        <v>1.555E9</v>
      </c>
      <c r="Q1619" s="1">
        <v>2.5E8</v>
      </c>
      <c r="R1619" s="1">
        <v>4.69E8</v>
      </c>
      <c r="S1619" s="1">
        <v>4.69E8</v>
      </c>
      <c r="W1619" s="4" t="str">
        <f>Raw_Data!C1618&amp;"|"&amp;Raw_Data!D1618&amp;"|"&amp;TEXT(Raw_Data!B1618,"yyyy-mm-dd")</f>
        <v>Salesforce|CRM|2021-07-31</v>
      </c>
    </row>
    <row r="1620">
      <c r="A1620" s="1">
        <v>1618.0</v>
      </c>
      <c r="B1620" s="11">
        <v>44227.0</v>
      </c>
      <c r="C1620" s="1" t="s">
        <v>844</v>
      </c>
      <c r="D1620" s="1" t="s">
        <v>845</v>
      </c>
      <c r="E1620" s="1">
        <v>9.39E8</v>
      </c>
      <c r="F1620" s="1">
        <v>4.25E8</v>
      </c>
      <c r="G1620" s="1">
        <v>2.67E8</v>
      </c>
      <c r="H1620" s="1">
        <v>3.206E9</v>
      </c>
      <c r="I1620" s="1">
        <v>4.338E9</v>
      </c>
      <c r="J1620" s="1">
        <v>1.93E8</v>
      </c>
      <c r="K1620" s="1">
        <v>1.93E8</v>
      </c>
      <c r="L1620" s="1">
        <v>-1.02E8</v>
      </c>
      <c r="M1620" s="1">
        <v>1.58E8</v>
      </c>
      <c r="N1620" s="1">
        <v>5.817E9</v>
      </c>
      <c r="O1620" s="1">
        <v>5.624E9</v>
      </c>
      <c r="P1620" s="1">
        <v>1.479E9</v>
      </c>
      <c r="Q1620" s="1">
        <v>2.32E8</v>
      </c>
      <c r="R1620" s="1">
        <v>2.67E8</v>
      </c>
      <c r="S1620" s="1">
        <v>2.67E8</v>
      </c>
      <c r="W1620" s="4" t="str">
        <f>Raw_Data!C1619&amp;"|"&amp;Raw_Data!D1619&amp;"|"&amp;TEXT(Raw_Data!B1619,"yyyy-mm-dd")</f>
        <v>Salesforce|CRM|2021-04-30</v>
      </c>
    </row>
    <row r="1621">
      <c r="A1621" s="1">
        <v>1619.0</v>
      </c>
      <c r="B1621" s="11">
        <v>44135.0</v>
      </c>
      <c r="C1621" s="1" t="s">
        <v>844</v>
      </c>
      <c r="D1621" s="1" t="s">
        <v>845</v>
      </c>
      <c r="E1621" s="1">
        <v>9.02E8</v>
      </c>
      <c r="F1621" s="1">
        <v>1.25E9</v>
      </c>
      <c r="G1621" s="1">
        <v>1.081E9</v>
      </c>
      <c r="H1621" s="1">
        <v>2.899E9</v>
      </c>
      <c r="I1621" s="1">
        <v>4.025E9</v>
      </c>
      <c r="J1621" s="1">
        <v>2.24E8</v>
      </c>
      <c r="K1621" s="1">
        <v>2.24E8</v>
      </c>
      <c r="L1621" s="1">
        <v>-2.9E7</v>
      </c>
      <c r="M1621" s="1">
        <v>1.69E8</v>
      </c>
      <c r="N1621" s="1">
        <v>5.419E9</v>
      </c>
      <c r="O1621" s="1">
        <v>5.195E9</v>
      </c>
      <c r="P1621" s="1">
        <v>1.394E9</v>
      </c>
      <c r="Q1621" s="1">
        <v>1.026E9</v>
      </c>
      <c r="R1621" s="1">
        <v>1.081E9</v>
      </c>
      <c r="S1621" s="1">
        <v>1.081E9</v>
      </c>
      <c r="W1621" s="4" t="str">
        <f>Raw_Data!C1620&amp;"|"&amp;Raw_Data!D1620&amp;"|"&amp;TEXT(Raw_Data!B1620,"yyyy-mm-dd")</f>
        <v>Salesforce|CRM|2021-01-31</v>
      </c>
    </row>
    <row r="1622">
      <c r="A1622" s="1">
        <v>1620.0</v>
      </c>
      <c r="B1622" s="11">
        <v>44469.0</v>
      </c>
      <c r="C1622" s="1" t="s">
        <v>846</v>
      </c>
      <c r="D1622" s="1" t="s">
        <v>847</v>
      </c>
      <c r="F1622" s="1">
        <v>3.6964E7</v>
      </c>
      <c r="G1622" s="1">
        <v>4.7798E7</v>
      </c>
      <c r="H1622" s="1">
        <v>5.0771E7</v>
      </c>
      <c r="I1622" s="1">
        <v>4.43552E8</v>
      </c>
      <c r="J1622" s="1">
        <v>2.21229E8</v>
      </c>
      <c r="K1622" s="1">
        <v>2.21229E8</v>
      </c>
      <c r="L1622" s="1">
        <v>-1.05953E8</v>
      </c>
      <c r="M1622" s="1">
        <v>-1.0834E7</v>
      </c>
      <c r="N1622" s="1">
        <v>5.89305E8</v>
      </c>
      <c r="O1622" s="1">
        <v>3.68076E8</v>
      </c>
      <c r="P1622" s="1">
        <v>1.45753E8</v>
      </c>
      <c r="Q1622" s="1">
        <v>-1.84265E8</v>
      </c>
      <c r="R1622" s="1">
        <v>4.7798E7</v>
      </c>
      <c r="S1622" s="1">
        <v>4.7798E7</v>
      </c>
      <c r="W1622" s="4" t="str">
        <f>Raw_Data!C1621&amp;"|"&amp;Raw_Data!D1621&amp;"|"&amp;TEXT(Raw_Data!B1621,"yyyy-mm-dd")</f>
        <v>Salesforce|CRM|2020-10-31</v>
      </c>
    </row>
    <row r="1623">
      <c r="A1623" s="1">
        <v>1621.0</v>
      </c>
      <c r="B1623" s="11">
        <v>44377.0</v>
      </c>
      <c r="C1623" s="1" t="s">
        <v>846</v>
      </c>
      <c r="D1623" s="1" t="s">
        <v>847</v>
      </c>
      <c r="F1623" s="1">
        <v>1.99919E8</v>
      </c>
      <c r="G1623" s="1">
        <v>1.52669E8</v>
      </c>
      <c r="H1623" s="1">
        <v>5.371E7</v>
      </c>
      <c r="I1623" s="1">
        <v>4.32975E8</v>
      </c>
      <c r="J1623" s="1">
        <v>2.03239E8</v>
      </c>
      <c r="K1623" s="1">
        <v>2.03239E8</v>
      </c>
      <c r="L1623" s="1">
        <v>-1.07221E8</v>
      </c>
      <c r="M1623" s="1">
        <v>4.725E7</v>
      </c>
      <c r="N1623" s="1">
        <v>5.75528E8</v>
      </c>
      <c r="O1623" s="1">
        <v>3.72289E8</v>
      </c>
      <c r="P1623" s="1">
        <v>1.42553E8</v>
      </c>
      <c r="Q1623" s="1">
        <v>-3320000.0</v>
      </c>
      <c r="R1623" s="1">
        <v>1.52669E8</v>
      </c>
      <c r="S1623" s="1">
        <v>1.52669E8</v>
      </c>
      <c r="W1623" s="4" t="str">
        <f>Raw_Data!C1622&amp;"|"&amp;Raw_Data!D1622&amp;"|"&amp;TEXT(Raw_Data!B1622,"yyyy-mm-dd")</f>
        <v>SBA Communications|SBAC|2021-09-30</v>
      </c>
    </row>
    <row r="1624">
      <c r="A1624" s="1">
        <v>1622.0</v>
      </c>
      <c r="B1624" s="11">
        <v>44286.0</v>
      </c>
      <c r="C1624" s="1" t="s">
        <v>846</v>
      </c>
      <c r="D1624" s="1" t="s">
        <v>847</v>
      </c>
      <c r="F1624" s="1">
        <v>-3.2667E7</v>
      </c>
      <c r="G1624" s="1">
        <v>-1.1745E7</v>
      </c>
      <c r="H1624" s="1">
        <v>5.1381E7</v>
      </c>
      <c r="I1624" s="1">
        <v>4.13964E8</v>
      </c>
      <c r="J1624" s="1">
        <v>1.78062E8</v>
      </c>
      <c r="K1624" s="1">
        <v>1.78062E8</v>
      </c>
      <c r="L1624" s="1">
        <v>-1.0679E8</v>
      </c>
      <c r="M1624" s="1">
        <v>-2.0922E7</v>
      </c>
      <c r="N1624" s="1">
        <v>5.48739E8</v>
      </c>
      <c r="O1624" s="1">
        <v>3.70677E8</v>
      </c>
      <c r="P1624" s="1">
        <v>1.34775E8</v>
      </c>
      <c r="Q1624" s="1">
        <v>-2.10729E8</v>
      </c>
      <c r="R1624" s="1">
        <v>-1.1745E7</v>
      </c>
      <c r="S1624" s="1">
        <v>-1.1745E7</v>
      </c>
      <c r="W1624" s="4" t="str">
        <f>Raw_Data!C1623&amp;"|"&amp;Raw_Data!D1623&amp;"|"&amp;TEXT(Raw_Data!B1623,"yyyy-mm-dd")</f>
        <v>SBA Communications|SBAC|2021-06-30</v>
      </c>
    </row>
    <row r="1625">
      <c r="A1625" s="1">
        <v>1623.0</v>
      </c>
      <c r="B1625" s="11">
        <v>44196.0</v>
      </c>
      <c r="C1625" s="1" t="s">
        <v>846</v>
      </c>
      <c r="D1625" s="1" t="s">
        <v>847</v>
      </c>
      <c r="F1625" s="1">
        <v>1.40533E8</v>
      </c>
      <c r="G1625" s="1">
        <v>1.05782E8</v>
      </c>
      <c r="H1625" s="1">
        <v>4.7192E7</v>
      </c>
      <c r="I1625" s="1">
        <v>4.03891E8</v>
      </c>
      <c r="J1625" s="1">
        <v>1.7592E8</v>
      </c>
      <c r="K1625" s="1">
        <v>1.7592E8</v>
      </c>
      <c r="L1625" s="1">
        <v>-1.03196E8</v>
      </c>
      <c r="M1625" s="1">
        <v>3.4347E7</v>
      </c>
      <c r="N1625" s="1">
        <v>5.35907E8</v>
      </c>
      <c r="O1625" s="1">
        <v>3.59987E8</v>
      </c>
      <c r="P1625" s="1">
        <v>1.32016E8</v>
      </c>
      <c r="Q1625" s="1">
        <v>-3.5387E7</v>
      </c>
      <c r="R1625" s="1">
        <v>1.06186E8</v>
      </c>
      <c r="S1625" s="1">
        <v>1.05782E8</v>
      </c>
      <c r="W1625" s="4" t="str">
        <f>Raw_Data!C1624&amp;"|"&amp;Raw_Data!D1624&amp;"|"&amp;TEXT(Raw_Data!B1624,"yyyy-mm-dd")</f>
        <v>SBA Communications|SBAC|2021-03-31</v>
      </c>
    </row>
    <row r="1626">
      <c r="A1626" s="1">
        <v>1624.0</v>
      </c>
      <c r="B1626" s="11">
        <v>44469.0</v>
      </c>
      <c r="C1626" s="1" t="s">
        <v>848</v>
      </c>
      <c r="D1626" s="1" t="s">
        <v>849</v>
      </c>
      <c r="E1626" s="1">
        <v>1.4E8</v>
      </c>
      <c r="F1626" s="1">
        <v>6.91E8</v>
      </c>
      <c r="G1626" s="1">
        <v>5.5E8</v>
      </c>
      <c r="H1626" s="1">
        <v>8.0E7</v>
      </c>
      <c r="I1626" s="1">
        <v>9.85E8</v>
      </c>
      <c r="J1626" s="1">
        <v>7.65E8</v>
      </c>
      <c r="K1626" s="1">
        <v>7.65E8</v>
      </c>
      <c r="L1626" s="1">
        <v>-1.3E8</v>
      </c>
      <c r="M1626" s="1">
        <v>1.29E8</v>
      </c>
      <c r="N1626" s="1">
        <v>5.847E9</v>
      </c>
      <c r="O1626" s="1">
        <v>5.082E9</v>
      </c>
      <c r="P1626" s="1">
        <v>4.862E9</v>
      </c>
      <c r="Q1626" s="1">
        <v>-7.4E7</v>
      </c>
      <c r="R1626" s="1">
        <v>5.62E8</v>
      </c>
      <c r="S1626" s="1">
        <v>5.5E8</v>
      </c>
      <c r="W1626" s="4" t="str">
        <f>Raw_Data!C1625&amp;"|"&amp;Raw_Data!D1625&amp;"|"&amp;TEXT(Raw_Data!B1625,"yyyy-mm-dd")</f>
        <v>SBA Communications|SBAC|2020-12-31</v>
      </c>
    </row>
    <row r="1627">
      <c r="A1627" s="1">
        <v>1625.0</v>
      </c>
      <c r="B1627" s="11">
        <v>44377.0</v>
      </c>
      <c r="C1627" s="1" t="s">
        <v>848</v>
      </c>
      <c r="D1627" s="1" t="s">
        <v>849</v>
      </c>
      <c r="E1627" s="1">
        <v>1.34E8</v>
      </c>
      <c r="F1627" s="1">
        <v>5.42E8</v>
      </c>
      <c r="G1627" s="1">
        <v>4.31E8</v>
      </c>
      <c r="H1627" s="1">
        <v>7.0E7</v>
      </c>
      <c r="I1627" s="1">
        <v>8.66E8</v>
      </c>
      <c r="J1627" s="1">
        <v>6.62E8</v>
      </c>
      <c r="K1627" s="1">
        <v>6.62E8</v>
      </c>
      <c r="L1627" s="1">
        <v>-1.36E8</v>
      </c>
      <c r="M1627" s="1">
        <v>9.9E7</v>
      </c>
      <c r="N1627" s="1">
        <v>5.634E9</v>
      </c>
      <c r="O1627" s="1">
        <v>4.972E9</v>
      </c>
      <c r="P1627" s="1">
        <v>4.768E9</v>
      </c>
      <c r="Q1627" s="1">
        <v>-1.2E8</v>
      </c>
      <c r="R1627" s="1">
        <v>4.43E8</v>
      </c>
      <c r="S1627" s="1">
        <v>4.31E8</v>
      </c>
      <c r="W1627" s="4" t="str">
        <f>Raw_Data!C1626&amp;"|"&amp;Raw_Data!D1626&amp;"|"&amp;TEXT(Raw_Data!B1626,"yyyy-mm-dd")</f>
        <v>Schlumberger|SLB|2021-09-30</v>
      </c>
    </row>
    <row r="1628">
      <c r="A1628" s="1">
        <v>1626.0</v>
      </c>
      <c r="B1628" s="11">
        <v>44286.0</v>
      </c>
      <c r="C1628" s="1" t="s">
        <v>848</v>
      </c>
      <c r="D1628" s="1" t="s">
        <v>849</v>
      </c>
      <c r="E1628" s="1">
        <v>1.35E8</v>
      </c>
      <c r="F1628" s="1">
        <v>3.86E8</v>
      </c>
      <c r="G1628" s="1">
        <v>2.99E8</v>
      </c>
      <c r="H1628" s="1">
        <v>8.1E7</v>
      </c>
      <c r="I1628" s="1">
        <v>7.19E8</v>
      </c>
      <c r="J1628" s="1">
        <v>5.03E8</v>
      </c>
      <c r="K1628" s="1">
        <v>5.03E8</v>
      </c>
      <c r="L1628" s="1">
        <v>-1.36E8</v>
      </c>
      <c r="M1628" s="1">
        <v>7.4E7</v>
      </c>
      <c r="N1628" s="1">
        <v>5.223E9</v>
      </c>
      <c r="O1628" s="1">
        <v>4.72E9</v>
      </c>
      <c r="P1628" s="1">
        <v>4.504E9</v>
      </c>
      <c r="Q1628" s="1">
        <v>-1.17E8</v>
      </c>
      <c r="R1628" s="1">
        <v>3.12E8</v>
      </c>
      <c r="S1628" s="1">
        <v>2.99E8</v>
      </c>
      <c r="W1628" s="4" t="str">
        <f>Raw_Data!C1627&amp;"|"&amp;Raw_Data!D1627&amp;"|"&amp;TEXT(Raw_Data!B1627,"yyyy-mm-dd")</f>
        <v>Schlumberger|SLB|2021-06-30</v>
      </c>
    </row>
    <row r="1629">
      <c r="A1629" s="1">
        <v>1627.0</v>
      </c>
      <c r="B1629" s="11">
        <v>44196.0</v>
      </c>
      <c r="C1629" s="1" t="s">
        <v>848</v>
      </c>
      <c r="D1629" s="1" t="s">
        <v>849</v>
      </c>
      <c r="E1629" s="1">
        <v>1.28E8</v>
      </c>
      <c r="F1629" s="1">
        <v>4.71E8</v>
      </c>
      <c r="G1629" s="1">
        <v>3.74E8</v>
      </c>
      <c r="H1629" s="1">
        <v>7.2E7</v>
      </c>
      <c r="I1629" s="1">
        <v>7.04E8</v>
      </c>
      <c r="J1629" s="1">
        <v>5.04E8</v>
      </c>
      <c r="K1629" s="1">
        <v>5.04E8</v>
      </c>
      <c r="L1629" s="1">
        <v>-1.44E8</v>
      </c>
      <c r="M1629" s="1">
        <v>8.9E7</v>
      </c>
      <c r="N1629" s="1">
        <v>5.532E9</v>
      </c>
      <c r="O1629" s="1">
        <v>5.028E9</v>
      </c>
      <c r="P1629" s="1">
        <v>4.828E9</v>
      </c>
      <c r="Q1629" s="1">
        <v>-3.3E7</v>
      </c>
      <c r="R1629" s="1">
        <v>3.82E8</v>
      </c>
      <c r="S1629" s="1">
        <v>3.74E8</v>
      </c>
      <c r="W1629" s="4" t="str">
        <f>Raw_Data!C1628&amp;"|"&amp;Raw_Data!D1628&amp;"|"&amp;TEXT(Raw_Data!B1628,"yyyy-mm-dd")</f>
        <v>Schlumberger|SLB|2021-03-31</v>
      </c>
    </row>
    <row r="1630">
      <c r="A1630" s="1">
        <v>1628.0</v>
      </c>
      <c r="B1630" s="11">
        <v>44470.0</v>
      </c>
      <c r="C1630" s="1" t="s">
        <v>850</v>
      </c>
      <c r="D1630" s="1" t="s">
        <v>851</v>
      </c>
      <c r="E1630" s="1">
        <v>2.33E8</v>
      </c>
      <c r="F1630" s="1">
        <v>5.33E8</v>
      </c>
      <c r="G1630" s="1">
        <v>5.26E8</v>
      </c>
      <c r="H1630" s="1">
        <v>1.33E8</v>
      </c>
      <c r="I1630" s="1">
        <v>9.56E8</v>
      </c>
      <c r="J1630" s="1">
        <v>5.87E8</v>
      </c>
      <c r="K1630" s="1">
        <v>5.87E8</v>
      </c>
      <c r="L1630" s="1">
        <v>-5.9E7</v>
      </c>
      <c r="M1630" s="1">
        <v>7000000.0</v>
      </c>
      <c r="N1630" s="1">
        <v>3.115E9</v>
      </c>
      <c r="O1630" s="1">
        <v>2.528E9</v>
      </c>
      <c r="P1630" s="1">
        <v>2.159E9</v>
      </c>
      <c r="Q1630" s="1">
        <v>-5.4E7</v>
      </c>
      <c r="R1630" s="1">
        <v>5.26E8</v>
      </c>
      <c r="S1630" s="1">
        <v>5.26E8</v>
      </c>
      <c r="W1630" s="4" t="str">
        <f>Raw_Data!C1629&amp;"|"&amp;Raw_Data!D1629&amp;"|"&amp;TEXT(Raw_Data!B1629,"yyyy-mm-dd")</f>
        <v>Schlumberger|SLB|2020-12-31</v>
      </c>
    </row>
    <row r="1631">
      <c r="A1631" s="1">
        <v>1629.0</v>
      </c>
      <c r="B1631" s="11">
        <v>44379.0</v>
      </c>
      <c r="C1631" s="1" t="s">
        <v>850</v>
      </c>
      <c r="D1631" s="1" t="s">
        <v>851</v>
      </c>
      <c r="E1631" s="1">
        <v>2.32E8</v>
      </c>
      <c r="F1631" s="1">
        <v>4.97E8</v>
      </c>
      <c r="G1631" s="1">
        <v>4.82E8</v>
      </c>
      <c r="H1631" s="1">
        <v>1.36E8</v>
      </c>
      <c r="I1631" s="1">
        <v>8.85E8</v>
      </c>
      <c r="J1631" s="1">
        <v>5.14E8</v>
      </c>
      <c r="K1631" s="1">
        <v>5.14E8</v>
      </c>
      <c r="L1631" s="1">
        <v>-5.9E7</v>
      </c>
      <c r="M1631" s="1">
        <v>1.5E7</v>
      </c>
      <c r="N1631" s="1">
        <v>3.013E9</v>
      </c>
      <c r="O1631" s="1">
        <v>2.499E9</v>
      </c>
      <c r="P1631" s="1">
        <v>2.128E9</v>
      </c>
      <c r="Q1631" s="1">
        <v>-1.7E7</v>
      </c>
      <c r="R1631" s="1">
        <v>4.82E8</v>
      </c>
      <c r="S1631" s="1">
        <v>4.82E8</v>
      </c>
      <c r="W1631" s="4" t="str">
        <f>Raw_Data!C1630&amp;"|"&amp;Raw_Data!D1630&amp;"|"&amp;TEXT(Raw_Data!B1630,"yyyy-mm-dd")</f>
        <v>Seagate Technology|STX|2021-10-01</v>
      </c>
    </row>
    <row r="1632">
      <c r="A1632" s="1">
        <v>1630.0</v>
      </c>
      <c r="B1632" s="11">
        <v>44288.0</v>
      </c>
      <c r="C1632" s="1" t="s">
        <v>850</v>
      </c>
      <c r="D1632" s="1" t="s">
        <v>851</v>
      </c>
      <c r="E1632" s="1">
        <v>2.27E8</v>
      </c>
      <c r="F1632" s="1">
        <v>3.39E8</v>
      </c>
      <c r="G1632" s="1">
        <v>3.29E8</v>
      </c>
      <c r="H1632" s="1">
        <v>1.26E8</v>
      </c>
      <c r="I1632" s="1">
        <v>7.4E8</v>
      </c>
      <c r="J1632" s="1">
        <v>3.84E8</v>
      </c>
      <c r="K1632" s="1">
        <v>3.84E8</v>
      </c>
      <c r="L1632" s="1">
        <v>-5.9E7</v>
      </c>
      <c r="M1632" s="1">
        <v>1.0E7</v>
      </c>
      <c r="N1632" s="1">
        <v>2.731E9</v>
      </c>
      <c r="O1632" s="1">
        <v>2.347E9</v>
      </c>
      <c r="P1632" s="1">
        <v>1.991E9</v>
      </c>
      <c r="Q1632" s="1">
        <v>-4.5E7</v>
      </c>
      <c r="R1632" s="1">
        <v>3.29E8</v>
      </c>
      <c r="S1632" s="1">
        <v>3.29E8</v>
      </c>
      <c r="W1632" s="4" t="str">
        <f>Raw_Data!C1631&amp;"|"&amp;Raw_Data!D1631&amp;"|"&amp;TEXT(Raw_Data!B1631,"yyyy-mm-dd")</f>
        <v>Seagate Technology|STX|2021-07-02</v>
      </c>
    </row>
    <row r="1633">
      <c r="A1633" s="1">
        <v>1631.0</v>
      </c>
      <c r="B1633" s="11">
        <v>44197.0</v>
      </c>
      <c r="C1633" s="1" t="s">
        <v>850</v>
      </c>
      <c r="D1633" s="1" t="s">
        <v>851</v>
      </c>
      <c r="E1633" s="1">
        <v>2.21E8</v>
      </c>
      <c r="F1633" s="1">
        <v>2.91E8</v>
      </c>
      <c r="G1633" s="1">
        <v>2.8E8</v>
      </c>
      <c r="H1633" s="1">
        <v>1.22E8</v>
      </c>
      <c r="I1633" s="1">
        <v>6.96E8</v>
      </c>
      <c r="J1633" s="1">
        <v>3.5E8</v>
      </c>
      <c r="K1633" s="1">
        <v>3.5E8</v>
      </c>
      <c r="L1633" s="1">
        <v>-5.2E7</v>
      </c>
      <c r="M1633" s="1">
        <v>1.1E7</v>
      </c>
      <c r="N1633" s="1">
        <v>2.623E9</v>
      </c>
      <c r="O1633" s="1">
        <v>2.273E9</v>
      </c>
      <c r="P1633" s="1">
        <v>1.927E9</v>
      </c>
      <c r="Q1633" s="1">
        <v>-5.9E7</v>
      </c>
      <c r="R1633" s="1">
        <v>2.8E8</v>
      </c>
      <c r="S1633" s="1">
        <v>2.8E8</v>
      </c>
      <c r="W1633" s="4" t="str">
        <f>Raw_Data!C1632&amp;"|"&amp;Raw_Data!D1632&amp;"|"&amp;TEXT(Raw_Data!B1632,"yyyy-mm-dd")</f>
        <v>Seagate Technology|STX|2021-04-02</v>
      </c>
    </row>
    <row r="1634">
      <c r="A1634" s="1">
        <v>1632.0</v>
      </c>
      <c r="B1634" s="11">
        <v>44469.0</v>
      </c>
      <c r="C1634" s="1" t="s">
        <v>852</v>
      </c>
      <c r="D1634" s="1" t="s">
        <v>853</v>
      </c>
      <c r="F1634" s="1">
        <v>1.544E8</v>
      </c>
      <c r="G1634" s="1">
        <v>1.077E8</v>
      </c>
      <c r="H1634" s="1">
        <v>1.896E8</v>
      </c>
      <c r="I1634" s="1">
        <v>4.037E8</v>
      </c>
      <c r="J1634" s="1">
        <v>2.044E8</v>
      </c>
      <c r="K1634" s="1">
        <v>2.044E8</v>
      </c>
      <c r="L1634" s="1">
        <v>-4.44E7</v>
      </c>
      <c r="M1634" s="1">
        <v>4.66E7</v>
      </c>
      <c r="N1634" s="1">
        <v>1.4067E9</v>
      </c>
      <c r="O1634" s="1">
        <v>1.2023E9</v>
      </c>
      <c r="P1634" s="1">
        <v>1.003E9</v>
      </c>
      <c r="Q1634" s="1">
        <v>-5.0E7</v>
      </c>
      <c r="R1634" s="1">
        <v>1.078E8</v>
      </c>
      <c r="S1634" s="1">
        <v>1.077E8</v>
      </c>
      <c r="W1634" s="4" t="str">
        <f>Raw_Data!C1633&amp;"|"&amp;Raw_Data!D1633&amp;"|"&amp;TEXT(Raw_Data!B1633,"yyyy-mm-dd")</f>
        <v>Seagate Technology|STX|2021-01-01</v>
      </c>
    </row>
    <row r="1635">
      <c r="A1635" s="1">
        <v>1633.0</v>
      </c>
      <c r="B1635" s="11">
        <v>44377.0</v>
      </c>
      <c r="C1635" s="1" t="s">
        <v>852</v>
      </c>
      <c r="D1635" s="1" t="s">
        <v>853</v>
      </c>
      <c r="F1635" s="1">
        <v>1.544E8</v>
      </c>
      <c r="G1635" s="1">
        <v>1.081E8</v>
      </c>
      <c r="H1635" s="1">
        <v>1.906E8</v>
      </c>
      <c r="I1635" s="1">
        <v>4.007E8</v>
      </c>
      <c r="J1635" s="1">
        <v>2.004E8</v>
      </c>
      <c r="K1635" s="1">
        <v>2.004E8</v>
      </c>
      <c r="L1635" s="1">
        <v>-4.41E7</v>
      </c>
      <c r="M1635" s="1">
        <v>4.58E7</v>
      </c>
      <c r="N1635" s="1">
        <v>1.3285E9</v>
      </c>
      <c r="O1635" s="1">
        <v>1.1281E9</v>
      </c>
      <c r="P1635" s="1">
        <v>9.278E8</v>
      </c>
      <c r="Q1635" s="1">
        <v>-4.6E7</v>
      </c>
      <c r="R1635" s="1">
        <v>1.086E8</v>
      </c>
      <c r="S1635" s="1">
        <v>1.081E8</v>
      </c>
      <c r="W1635" s="4" t="str">
        <f>Raw_Data!C1634&amp;"|"&amp;Raw_Data!D1634&amp;"|"&amp;TEXT(Raw_Data!B1634,"yyyy-mm-dd")</f>
        <v>Sealed Air|SEE|2021-09-30</v>
      </c>
    </row>
    <row r="1636">
      <c r="A1636" s="1">
        <v>1634.0</v>
      </c>
      <c r="B1636" s="11">
        <v>44286.0</v>
      </c>
      <c r="C1636" s="1" t="s">
        <v>852</v>
      </c>
      <c r="D1636" s="1" t="s">
        <v>853</v>
      </c>
      <c r="F1636" s="1">
        <v>1.604E8</v>
      </c>
      <c r="G1636" s="1">
        <v>1.101E8</v>
      </c>
      <c r="H1636" s="1">
        <v>1.877E8</v>
      </c>
      <c r="I1636" s="1">
        <v>4.011E8</v>
      </c>
      <c r="J1636" s="1">
        <v>2.037E8</v>
      </c>
      <c r="K1636" s="1">
        <v>2.037E8</v>
      </c>
      <c r="L1636" s="1">
        <v>-4.51E7</v>
      </c>
      <c r="M1636" s="1">
        <v>5.46E7</v>
      </c>
      <c r="N1636" s="1">
        <v>1.2671E9</v>
      </c>
      <c r="O1636" s="1">
        <v>1.0634E9</v>
      </c>
      <c r="P1636" s="1">
        <v>8.66E8</v>
      </c>
      <c r="Q1636" s="1">
        <v>-4.33E7</v>
      </c>
      <c r="R1636" s="1">
        <v>1.058E8</v>
      </c>
      <c r="S1636" s="1">
        <v>1.101E8</v>
      </c>
      <c r="W1636" s="4" t="str">
        <f>Raw_Data!C1635&amp;"|"&amp;Raw_Data!D1635&amp;"|"&amp;TEXT(Raw_Data!B1635,"yyyy-mm-dd")</f>
        <v>Sealed Air|SEE|2021-06-30</v>
      </c>
    </row>
    <row r="1637">
      <c r="A1637" s="1">
        <v>1635.0</v>
      </c>
      <c r="B1637" s="11">
        <v>44196.0</v>
      </c>
      <c r="C1637" s="1" t="s">
        <v>852</v>
      </c>
      <c r="D1637" s="1" t="s">
        <v>853</v>
      </c>
      <c r="F1637" s="1">
        <v>1.849E8</v>
      </c>
      <c r="G1637" s="1">
        <v>1.422E8</v>
      </c>
      <c r="H1637" s="1">
        <v>1.95E8</v>
      </c>
      <c r="I1637" s="1">
        <v>4.244E8</v>
      </c>
      <c r="J1637" s="1">
        <v>2.199E8</v>
      </c>
      <c r="K1637" s="1">
        <v>2.199E8</v>
      </c>
      <c r="L1637" s="1">
        <v>-4.61E7</v>
      </c>
      <c r="M1637" s="1">
        <v>4.74E7</v>
      </c>
      <c r="N1637" s="1">
        <v>1.3409E9</v>
      </c>
      <c r="O1637" s="1">
        <v>1.121E9</v>
      </c>
      <c r="P1637" s="1">
        <v>9.165E8</v>
      </c>
      <c r="Q1637" s="1">
        <v>-3.5E7</v>
      </c>
      <c r="R1637" s="1">
        <v>1.375E8</v>
      </c>
      <c r="S1637" s="1">
        <v>1.421E8</v>
      </c>
      <c r="W1637" s="4" t="str">
        <f>Raw_Data!C1636&amp;"|"&amp;Raw_Data!D1636&amp;"|"&amp;TEXT(Raw_Data!B1636,"yyyy-mm-dd")</f>
        <v>Sealed Air|SEE|2021-03-31</v>
      </c>
    </row>
    <row r="1638">
      <c r="A1638" s="1">
        <v>1636.0</v>
      </c>
      <c r="B1638" s="11">
        <v>44469.0</v>
      </c>
      <c r="C1638" s="1" t="s">
        <v>854</v>
      </c>
      <c r="D1638" s="1" t="s">
        <v>855</v>
      </c>
      <c r="F1638" s="1">
        <v>-9.74E8</v>
      </c>
      <c r="G1638" s="1">
        <v>-6.37E8</v>
      </c>
      <c r="H1638" s="1">
        <v>6.6E7</v>
      </c>
      <c r="I1638" s="1">
        <v>9.75E8</v>
      </c>
      <c r="J1638" s="1">
        <v>4.38E8</v>
      </c>
      <c r="K1638" s="1">
        <v>4.38E8</v>
      </c>
      <c r="L1638" s="1">
        <v>-2.59E8</v>
      </c>
      <c r="M1638" s="1">
        <v>-3.42E8</v>
      </c>
      <c r="N1638" s="1">
        <v>3.013E9</v>
      </c>
      <c r="O1638" s="1">
        <v>2.575E9</v>
      </c>
      <c r="P1638" s="1">
        <v>2.038E9</v>
      </c>
      <c r="Q1638" s="1">
        <v>-1.412E9</v>
      </c>
      <c r="R1638" s="1">
        <v>-6.32E8</v>
      </c>
      <c r="S1638" s="1">
        <v>-6.48E8</v>
      </c>
      <c r="W1638" s="4" t="str">
        <f>Raw_Data!C1637&amp;"|"&amp;Raw_Data!D1637&amp;"|"&amp;TEXT(Raw_Data!B1637,"yyyy-mm-dd")</f>
        <v>Sealed Air|SEE|2020-12-31</v>
      </c>
    </row>
    <row r="1639">
      <c r="A1639" s="1">
        <v>1637.0</v>
      </c>
      <c r="B1639" s="11">
        <v>44377.0</v>
      </c>
      <c r="C1639" s="1" t="s">
        <v>854</v>
      </c>
      <c r="D1639" s="1" t="s">
        <v>855</v>
      </c>
      <c r="F1639" s="1">
        <v>5.93E8</v>
      </c>
      <c r="G1639" s="1">
        <v>4.44E8</v>
      </c>
      <c r="H1639" s="1">
        <v>1.5E7</v>
      </c>
      <c r="I1639" s="1">
        <v>9.15E8</v>
      </c>
      <c r="J1639" s="1">
        <v>4.37E8</v>
      </c>
      <c r="K1639" s="1">
        <v>4.37E8</v>
      </c>
      <c r="L1639" s="1">
        <v>-2.59E8</v>
      </c>
      <c r="M1639" s="1">
        <v>1.39E8</v>
      </c>
      <c r="N1639" s="1">
        <v>2.741E9</v>
      </c>
      <c r="O1639" s="1">
        <v>2.304E9</v>
      </c>
      <c r="P1639" s="1">
        <v>1.826E9</v>
      </c>
      <c r="Q1639" s="1">
        <v>1.56E8</v>
      </c>
      <c r="R1639" s="1">
        <v>4.54E8</v>
      </c>
      <c r="S1639" s="1">
        <v>4.24E8</v>
      </c>
      <c r="W1639" s="4" t="str">
        <f>Raw_Data!C1638&amp;"|"&amp;Raw_Data!D1638&amp;"|"&amp;TEXT(Raw_Data!B1638,"yyyy-mm-dd")</f>
        <v>Sempra Energy|SRE|2021-09-30</v>
      </c>
    </row>
    <row r="1640">
      <c r="A1640" s="1">
        <v>1638.0</v>
      </c>
      <c r="B1640" s="11">
        <v>44286.0</v>
      </c>
      <c r="C1640" s="1" t="s">
        <v>854</v>
      </c>
      <c r="D1640" s="1" t="s">
        <v>855</v>
      </c>
      <c r="F1640" s="1">
        <v>1.086E9</v>
      </c>
      <c r="G1640" s="1">
        <v>8.95E8</v>
      </c>
      <c r="H1640" s="1">
        <v>-2.9E7</v>
      </c>
      <c r="I1640" s="1">
        <v>1.415E9</v>
      </c>
      <c r="J1640" s="1">
        <v>1.002E9</v>
      </c>
      <c r="K1640" s="1">
        <v>1.002E9</v>
      </c>
      <c r="L1640" s="1">
        <v>-2.59E8</v>
      </c>
      <c r="M1640" s="1">
        <v>1.58E8</v>
      </c>
      <c r="N1640" s="1">
        <v>3.259E9</v>
      </c>
      <c r="O1640" s="1">
        <v>2.257E9</v>
      </c>
      <c r="P1640" s="1">
        <v>1.844E9</v>
      </c>
      <c r="Q1640" s="1">
        <v>8.4E7</v>
      </c>
      <c r="R1640" s="1">
        <v>9.28E8</v>
      </c>
      <c r="S1640" s="1">
        <v>8.74E8</v>
      </c>
      <c r="W1640" s="4" t="str">
        <f>Raw_Data!C1639&amp;"|"&amp;Raw_Data!D1639&amp;"|"&amp;TEXT(Raw_Data!B1639,"yyyy-mm-dd")</f>
        <v>Sempra Energy|SRE|2021-06-30</v>
      </c>
    </row>
    <row r="1641">
      <c r="A1641" s="1">
        <v>1639.0</v>
      </c>
      <c r="B1641" s="11">
        <v>44196.0</v>
      </c>
      <c r="C1641" s="1" t="s">
        <v>854</v>
      </c>
      <c r="D1641" s="1" t="s">
        <v>855</v>
      </c>
      <c r="F1641" s="1">
        <v>6.21E8</v>
      </c>
      <c r="G1641" s="1">
        <v>4.61E8</v>
      </c>
      <c r="H1641" s="1">
        <v>5.7E7</v>
      </c>
      <c r="I1641" s="1">
        <v>1.163E9</v>
      </c>
      <c r="J1641" s="1">
        <v>6.82E8</v>
      </c>
      <c r="K1641" s="1">
        <v>6.82E8</v>
      </c>
      <c r="L1641" s="1">
        <v>-2.63E8</v>
      </c>
      <c r="M1641" s="1">
        <v>1.89E8</v>
      </c>
      <c r="N1641" s="1">
        <v>3.171E9</v>
      </c>
      <c r="O1641" s="1">
        <v>2.489E9</v>
      </c>
      <c r="P1641" s="1">
        <v>2.008E9</v>
      </c>
      <c r="Q1641" s="1">
        <v>-6.1E7</v>
      </c>
      <c r="R1641" s="1">
        <v>4.32E8</v>
      </c>
      <c r="S1641" s="1">
        <v>4.14E8</v>
      </c>
      <c r="W1641" s="4" t="str">
        <f>Raw_Data!C1640&amp;"|"&amp;Raw_Data!D1640&amp;"|"&amp;TEXT(Raw_Data!B1640,"yyyy-mm-dd")</f>
        <v>Sempra Energy|SRE|2021-03-31</v>
      </c>
    </row>
    <row r="1642">
      <c r="A1642" s="1">
        <v>1640.0</v>
      </c>
      <c r="B1642" s="11">
        <v>44469.0</v>
      </c>
      <c r="C1642" s="1" t="s">
        <v>856</v>
      </c>
      <c r="D1642" s="1" t="s">
        <v>857</v>
      </c>
      <c r="E1642" s="1">
        <v>3.58E8</v>
      </c>
      <c r="F1642" s="1">
        <v>6.8E7</v>
      </c>
      <c r="G1642" s="1">
        <v>6.3E7</v>
      </c>
      <c r="H1642" s="1">
        <v>7.3E8</v>
      </c>
      <c r="I1642" s="1">
        <v>1.162E9</v>
      </c>
      <c r="J1642" s="1">
        <v>7.4E7</v>
      </c>
      <c r="K1642" s="1">
        <v>7.4E7</v>
      </c>
      <c r="L1642" s="1">
        <v>-7000000.0</v>
      </c>
      <c r="M1642" s="1">
        <v>5000000.0</v>
      </c>
      <c r="N1642" s="1">
        <v>1.512E9</v>
      </c>
      <c r="O1642" s="1">
        <v>1.438E9</v>
      </c>
      <c r="P1642" s="1">
        <v>3.5E8</v>
      </c>
      <c r="Q1642" s="1">
        <v>-6000000.0</v>
      </c>
      <c r="R1642" s="1">
        <v>6.3E7</v>
      </c>
      <c r="S1642" s="1">
        <v>6.3E7</v>
      </c>
      <c r="W1642" s="4" t="str">
        <f>Raw_Data!C1641&amp;"|"&amp;Raw_Data!D1641&amp;"|"&amp;TEXT(Raw_Data!B1641,"yyyy-mm-dd")</f>
        <v>Sempra Energy|SRE|2020-12-31</v>
      </c>
    </row>
    <row r="1643">
      <c r="A1643" s="1">
        <v>1641.0</v>
      </c>
      <c r="B1643" s="11">
        <v>44377.0</v>
      </c>
      <c r="C1643" s="1" t="s">
        <v>856</v>
      </c>
      <c r="D1643" s="1" t="s">
        <v>857</v>
      </c>
      <c r="E1643" s="1">
        <v>3.33E8</v>
      </c>
      <c r="F1643" s="1">
        <v>5.0E7</v>
      </c>
      <c r="G1643" s="1">
        <v>5.9E7</v>
      </c>
      <c r="H1643" s="1">
        <v>6.96E8</v>
      </c>
      <c r="I1643" s="1">
        <v>1.08E9</v>
      </c>
      <c r="J1643" s="1">
        <v>5.1E7</v>
      </c>
      <c r="K1643" s="1">
        <v>5.1E7</v>
      </c>
      <c r="L1643" s="1">
        <v>-7000000.0</v>
      </c>
      <c r="M1643" s="1">
        <v>-9000000.0</v>
      </c>
      <c r="N1643" s="1">
        <v>1.409E9</v>
      </c>
      <c r="O1643" s="1">
        <v>1.358E9</v>
      </c>
      <c r="P1643" s="1">
        <v>3.29E8</v>
      </c>
      <c r="Q1643" s="1">
        <v>-1000000.0</v>
      </c>
      <c r="R1643" s="1">
        <v>5.9E7</v>
      </c>
      <c r="S1643" s="1">
        <v>5.9E7</v>
      </c>
      <c r="W1643" s="4" t="str">
        <f>Raw_Data!C1642&amp;"|"&amp;Raw_Data!D1642&amp;"|"&amp;TEXT(Raw_Data!B1642,"yyyy-mm-dd")</f>
        <v>ServiceNow|NOW|2021-09-30</v>
      </c>
    </row>
    <row r="1644">
      <c r="A1644" s="1">
        <v>1642.0</v>
      </c>
      <c r="B1644" s="11">
        <v>44286.0</v>
      </c>
      <c r="C1644" s="1" t="s">
        <v>856</v>
      </c>
      <c r="D1644" s="1" t="s">
        <v>857</v>
      </c>
      <c r="E1644" s="1">
        <v>3.14E8</v>
      </c>
      <c r="F1644" s="1">
        <v>9.9E7</v>
      </c>
      <c r="G1644" s="1">
        <v>8.2E7</v>
      </c>
      <c r="H1644" s="1">
        <v>6.5E8</v>
      </c>
      <c r="I1644" s="1">
        <v>1.061E9</v>
      </c>
      <c r="J1644" s="1">
        <v>9.7E7</v>
      </c>
      <c r="K1644" s="1">
        <v>9.7E7</v>
      </c>
      <c r="L1644" s="1">
        <v>-7000000.0</v>
      </c>
      <c r="M1644" s="1">
        <v>1.7E7</v>
      </c>
      <c r="N1644" s="1">
        <v>1.36E9</v>
      </c>
      <c r="O1644" s="1">
        <v>1.263E9</v>
      </c>
      <c r="P1644" s="1">
        <v>2.99E8</v>
      </c>
      <c r="Q1644" s="1">
        <v>2000000.0</v>
      </c>
      <c r="R1644" s="1">
        <v>8.2E7</v>
      </c>
      <c r="S1644" s="1">
        <v>8.2E7</v>
      </c>
      <c r="W1644" s="4" t="str">
        <f>Raw_Data!C1643&amp;"|"&amp;Raw_Data!D1643&amp;"|"&amp;TEXT(Raw_Data!B1643,"yyyy-mm-dd")</f>
        <v>ServiceNow|NOW|2021-06-30</v>
      </c>
    </row>
    <row r="1645">
      <c r="A1645" s="1">
        <v>1643.0</v>
      </c>
      <c r="B1645" s="11">
        <v>44196.0</v>
      </c>
      <c r="C1645" s="1" t="s">
        <v>856</v>
      </c>
      <c r="D1645" s="1" t="s">
        <v>857</v>
      </c>
      <c r="E1645" s="1">
        <v>2.84297E8</v>
      </c>
      <c r="F1645" s="1">
        <v>1.336E7</v>
      </c>
      <c r="G1645" s="1">
        <v>1.6648E7</v>
      </c>
      <c r="H1645" s="1">
        <v>6.68999E8</v>
      </c>
      <c r="I1645" s="1">
        <v>9.71226E8</v>
      </c>
      <c r="J1645" s="1">
        <v>1.793E7</v>
      </c>
      <c r="K1645" s="1">
        <v>1.793E7</v>
      </c>
      <c r="L1645" s="1">
        <v>-7708000.0</v>
      </c>
      <c r="M1645" s="1">
        <v>-3288000.0</v>
      </c>
      <c r="N1645" s="1">
        <v>1.25033E9</v>
      </c>
      <c r="O1645" s="1">
        <v>1.2324E9</v>
      </c>
      <c r="P1645" s="1">
        <v>2.79104E8</v>
      </c>
      <c r="Q1645" s="1">
        <v>-4570000.0</v>
      </c>
      <c r="R1645" s="1">
        <v>1.6648E7</v>
      </c>
      <c r="S1645" s="1">
        <v>1.6648E7</v>
      </c>
      <c r="W1645" s="4" t="str">
        <f>Raw_Data!C1644&amp;"|"&amp;Raw_Data!D1644&amp;"|"&amp;TEXT(Raw_Data!B1644,"yyyy-mm-dd")</f>
        <v>ServiceNow|NOW|2021-03-31</v>
      </c>
    </row>
    <row r="1646">
      <c r="A1646" s="1">
        <v>1644.0</v>
      </c>
      <c r="B1646" s="11">
        <v>44469.0</v>
      </c>
      <c r="C1646" s="1" t="s">
        <v>858</v>
      </c>
      <c r="D1646" s="1" t="s">
        <v>859</v>
      </c>
      <c r="F1646" s="1">
        <v>6.115E8</v>
      </c>
      <c r="G1646" s="1">
        <v>5.022E8</v>
      </c>
      <c r="H1646" s="1">
        <v>1.37E9</v>
      </c>
      <c r="I1646" s="1">
        <v>2.1396E9</v>
      </c>
      <c r="J1646" s="1">
        <v>6.929E8</v>
      </c>
      <c r="K1646" s="1">
        <v>6.929E8</v>
      </c>
      <c r="L1646" s="1">
        <v>-8.31E7</v>
      </c>
      <c r="M1646" s="1">
        <v>1.093E8</v>
      </c>
      <c r="N1646" s="1">
        <v>5.1467E9</v>
      </c>
      <c r="O1646" s="1">
        <v>4.4538E9</v>
      </c>
      <c r="P1646" s="1">
        <v>3.0071E9</v>
      </c>
      <c r="Q1646" s="1">
        <v>-8.14E7</v>
      </c>
      <c r="R1646" s="1">
        <v>5.022E8</v>
      </c>
      <c r="S1646" s="1">
        <v>5.022E8</v>
      </c>
      <c r="W1646" s="4" t="str">
        <f>Raw_Data!C1645&amp;"|"&amp;Raw_Data!D1645&amp;"|"&amp;TEXT(Raw_Data!B1645,"yyyy-mm-dd")</f>
        <v>ServiceNow|NOW|2020-12-31</v>
      </c>
    </row>
    <row r="1647">
      <c r="A1647" s="1">
        <v>1645.0</v>
      </c>
      <c r="B1647" s="11">
        <v>44377.0</v>
      </c>
      <c r="C1647" s="1" t="s">
        <v>858</v>
      </c>
      <c r="D1647" s="1" t="s">
        <v>859</v>
      </c>
      <c r="F1647" s="1">
        <v>8.192E8</v>
      </c>
      <c r="G1647" s="1">
        <v>6.486E8</v>
      </c>
      <c r="H1647" s="1">
        <v>1.4389E9</v>
      </c>
      <c r="I1647" s="1">
        <v>2.4114E9</v>
      </c>
      <c r="J1647" s="1">
        <v>8.922E8</v>
      </c>
      <c r="K1647" s="1">
        <v>8.922E8</v>
      </c>
      <c r="L1647" s="1">
        <v>-8.35E7</v>
      </c>
      <c r="M1647" s="1">
        <v>1.706E8</v>
      </c>
      <c r="N1647" s="1">
        <v>5.3798E9</v>
      </c>
      <c r="O1647" s="1">
        <v>4.4876E9</v>
      </c>
      <c r="P1647" s="1">
        <v>2.9684E9</v>
      </c>
      <c r="Q1647" s="1">
        <v>-7.3E7</v>
      </c>
      <c r="R1647" s="1">
        <v>6.486E8</v>
      </c>
      <c r="S1647" s="1">
        <v>6.486E8</v>
      </c>
      <c r="W1647" s="4" t="str">
        <f>Raw_Data!C1646&amp;"|"&amp;Raw_Data!D1646&amp;"|"&amp;TEXT(Raw_Data!B1646,"yyyy-mm-dd")</f>
        <v>Sherwin-Williams|SHW|2021-09-30</v>
      </c>
    </row>
    <row r="1648">
      <c r="A1648" s="1">
        <v>1646.0</v>
      </c>
      <c r="B1648" s="11">
        <v>44286.0</v>
      </c>
      <c r="C1648" s="1" t="s">
        <v>858</v>
      </c>
      <c r="D1648" s="1" t="s">
        <v>859</v>
      </c>
      <c r="F1648" s="1">
        <v>5.09E8</v>
      </c>
      <c r="G1648" s="1">
        <v>4.096E8</v>
      </c>
      <c r="H1648" s="1">
        <v>1.3268E9</v>
      </c>
      <c r="I1648" s="1">
        <v>2.112E9</v>
      </c>
      <c r="J1648" s="1">
        <v>7.035E8</v>
      </c>
      <c r="K1648" s="1">
        <v>7.035E8</v>
      </c>
      <c r="L1648" s="1">
        <v>-8.32E7</v>
      </c>
      <c r="M1648" s="1">
        <v>9.94E7</v>
      </c>
      <c r="N1648" s="1">
        <v>4.656E9</v>
      </c>
      <c r="O1648" s="1">
        <v>3.9525E9</v>
      </c>
      <c r="P1648" s="1">
        <v>2.544E9</v>
      </c>
      <c r="Q1648" s="1">
        <v>-1.945E8</v>
      </c>
      <c r="R1648" s="1">
        <v>4.096E8</v>
      </c>
      <c r="S1648" s="1">
        <v>4.096E8</v>
      </c>
      <c r="W1648" s="4" t="str">
        <f>Raw_Data!C1647&amp;"|"&amp;Raw_Data!D1647&amp;"|"&amp;TEXT(Raw_Data!B1647,"yyyy-mm-dd")</f>
        <v>Sherwin-Williams|SHW|2021-06-30</v>
      </c>
    </row>
    <row r="1649">
      <c r="A1649" s="1">
        <v>1647.0</v>
      </c>
      <c r="B1649" s="11">
        <v>44196.0</v>
      </c>
      <c r="C1649" s="1" t="s">
        <v>858</v>
      </c>
      <c r="D1649" s="1" t="s">
        <v>859</v>
      </c>
      <c r="F1649" s="1">
        <v>5.039E8</v>
      </c>
      <c r="G1649" s="1">
        <v>4.07E8</v>
      </c>
      <c r="H1649" s="1">
        <v>1.465E9</v>
      </c>
      <c r="I1649" s="1">
        <v>2.1287E9</v>
      </c>
      <c r="J1649" s="1">
        <v>5.682E8</v>
      </c>
      <c r="K1649" s="1">
        <v>5.682E8</v>
      </c>
      <c r="L1649" s="1">
        <v>-8.28E7</v>
      </c>
      <c r="M1649" s="1">
        <v>9.69E7</v>
      </c>
      <c r="N1649" s="1">
        <v>4.4888E9</v>
      </c>
      <c r="O1649" s="1">
        <v>3.9206E9</v>
      </c>
      <c r="P1649" s="1">
        <v>2.3601E9</v>
      </c>
      <c r="Q1649" s="1">
        <v>-6.43E7</v>
      </c>
      <c r="R1649" s="1">
        <v>4.07E8</v>
      </c>
      <c r="S1649" s="1">
        <v>4.07E8</v>
      </c>
      <c r="W1649" s="4" t="str">
        <f>Raw_Data!C1648&amp;"|"&amp;Raw_Data!D1648&amp;"|"&amp;TEXT(Raw_Data!B1648,"yyyy-mm-dd")</f>
        <v>Sherwin-Williams|SHW|2021-03-31</v>
      </c>
    </row>
    <row r="1650">
      <c r="A1650" s="1">
        <v>1648.0</v>
      </c>
      <c r="B1650" s="11">
        <v>44469.0</v>
      </c>
      <c r="C1650" s="1" t="s">
        <v>860</v>
      </c>
      <c r="D1650" s="1" t="s">
        <v>861</v>
      </c>
      <c r="F1650" s="1">
        <v>8.4591E8</v>
      </c>
      <c r="G1650" s="1">
        <v>6.8077E8</v>
      </c>
      <c r="H1650" s="1">
        <v>9.4211E7</v>
      </c>
      <c r="I1650" s="1">
        <v>1.049169E9</v>
      </c>
      <c r="J1650" s="1">
        <v>6.12324E8</v>
      </c>
      <c r="K1650" s="1">
        <v>6.12324E8</v>
      </c>
      <c r="L1650" s="1">
        <v>-1.99772E8</v>
      </c>
      <c r="M1650" s="1">
        <v>6.7262E7</v>
      </c>
      <c r="N1650" s="1">
        <v>1.296554E9</v>
      </c>
      <c r="O1650" s="1">
        <v>6.8423E8</v>
      </c>
      <c r="P1650" s="1">
        <v>2.47385E8</v>
      </c>
      <c r="Q1650" s="1">
        <v>2.33586E8</v>
      </c>
      <c r="R1650" s="1">
        <v>7.78648E8</v>
      </c>
      <c r="S1650" s="1">
        <v>6.79936E8</v>
      </c>
      <c r="W1650" s="4" t="str">
        <f>Raw_Data!C1649&amp;"|"&amp;Raw_Data!D1649&amp;"|"&amp;TEXT(Raw_Data!B1649,"yyyy-mm-dd")</f>
        <v>Sherwin-Williams|SHW|2020-12-31</v>
      </c>
    </row>
    <row r="1651">
      <c r="A1651" s="1">
        <v>1649.0</v>
      </c>
      <c r="B1651" s="11">
        <v>44377.0</v>
      </c>
      <c r="C1651" s="1" t="s">
        <v>860</v>
      </c>
      <c r="D1651" s="1" t="s">
        <v>861</v>
      </c>
      <c r="F1651" s="1">
        <v>7.52872E8</v>
      </c>
      <c r="G1651" s="1">
        <v>6.18091E8</v>
      </c>
      <c r="H1651" s="1">
        <v>7.4518E7</v>
      </c>
      <c r="I1651" s="1">
        <v>1.024342E9</v>
      </c>
      <c r="J1651" s="1">
        <v>6.04723E8</v>
      </c>
      <c r="K1651" s="1">
        <v>6.04723E8</v>
      </c>
      <c r="L1651" s="1">
        <v>-2.00419E8</v>
      </c>
      <c r="M1651" s="1">
        <v>4.7003E7</v>
      </c>
      <c r="N1651" s="1">
        <v>1.254146E9</v>
      </c>
      <c r="O1651" s="1">
        <v>6.49423E8</v>
      </c>
      <c r="P1651" s="1">
        <v>2.29804E8</v>
      </c>
      <c r="Q1651" s="1">
        <v>1.48149E8</v>
      </c>
      <c r="R1651" s="1">
        <v>7.05869E8</v>
      </c>
      <c r="S1651" s="1">
        <v>6.17257E8</v>
      </c>
      <c r="W1651" s="4" t="str">
        <f>Raw_Data!C1650&amp;"|"&amp;Raw_Data!D1650&amp;"|"&amp;TEXT(Raw_Data!B1650,"yyyy-mm-dd")</f>
        <v>Simon Property Group|SPG|2021-09-30</v>
      </c>
    </row>
    <row r="1652">
      <c r="A1652" s="1">
        <v>1650.0</v>
      </c>
      <c r="B1652" s="11">
        <v>44286.0</v>
      </c>
      <c r="C1652" s="1" t="s">
        <v>860</v>
      </c>
      <c r="D1652" s="1" t="s">
        <v>861</v>
      </c>
      <c r="F1652" s="1">
        <v>5.04562E8</v>
      </c>
      <c r="G1652" s="1">
        <v>4.46694E8</v>
      </c>
      <c r="H1652" s="1">
        <v>7.2061E7</v>
      </c>
      <c r="I1652" s="1">
        <v>1.015965E9</v>
      </c>
      <c r="J1652" s="1">
        <v>6.04612E8</v>
      </c>
      <c r="K1652" s="1">
        <v>6.04612E8</v>
      </c>
      <c r="L1652" s="1">
        <v>-2.02016E8</v>
      </c>
      <c r="M1652" s="1">
        <v>-5898000.0</v>
      </c>
      <c r="N1652" s="1">
        <v>1.239951E9</v>
      </c>
      <c r="O1652" s="1">
        <v>6.35339E8</v>
      </c>
      <c r="P1652" s="1">
        <v>2.23986E8</v>
      </c>
      <c r="Q1652" s="1">
        <v>-1.0005E8</v>
      </c>
      <c r="R1652" s="1">
        <v>5.1046E8</v>
      </c>
      <c r="S1652" s="1">
        <v>4.4586E8</v>
      </c>
      <c r="W1652" s="4" t="str">
        <f>Raw_Data!C1651&amp;"|"&amp;Raw_Data!D1651&amp;"|"&amp;TEXT(Raw_Data!B1651,"yyyy-mm-dd")</f>
        <v>Simon Property Group|SPG|2021-06-30</v>
      </c>
    </row>
    <row r="1653">
      <c r="A1653" s="1">
        <v>1651.0</v>
      </c>
      <c r="B1653" s="11">
        <v>44196.0</v>
      </c>
      <c r="C1653" s="1" t="s">
        <v>860</v>
      </c>
      <c r="D1653" s="1" t="s">
        <v>861</v>
      </c>
      <c r="F1653" s="1">
        <v>3.11154E8</v>
      </c>
      <c r="G1653" s="1">
        <v>2.72317E8</v>
      </c>
      <c r="H1653" s="1">
        <v>8.426E7</v>
      </c>
      <c r="I1653" s="1">
        <v>9.1745E8</v>
      </c>
      <c r="J1653" s="1">
        <v>4.63187E8</v>
      </c>
      <c r="K1653" s="1">
        <v>4.63187E8</v>
      </c>
      <c r="L1653" s="1">
        <v>-1.97855E8</v>
      </c>
      <c r="M1653" s="1">
        <v>-1572000.0</v>
      </c>
      <c r="N1653" s="1">
        <v>1.132568E9</v>
      </c>
      <c r="O1653" s="1">
        <v>6.69381E8</v>
      </c>
      <c r="P1653" s="1">
        <v>2.15118E8</v>
      </c>
      <c r="Q1653" s="1">
        <v>-1.52033E8</v>
      </c>
      <c r="R1653" s="1">
        <v>3.12726E8</v>
      </c>
      <c r="S1653" s="1">
        <v>2.71483E8</v>
      </c>
      <c r="W1653" s="4" t="str">
        <f>Raw_Data!C1652&amp;"|"&amp;Raw_Data!D1652&amp;"|"&amp;TEXT(Raw_Data!B1652,"yyyy-mm-dd")</f>
        <v>Simon Property Group|SPG|2021-03-31</v>
      </c>
    </row>
    <row r="1654">
      <c r="A1654" s="1">
        <v>1652.0</v>
      </c>
      <c r="B1654" s="11">
        <v>44470.0</v>
      </c>
      <c r="C1654" s="1" t="s">
        <v>862</v>
      </c>
      <c r="D1654" s="1" t="s">
        <v>863</v>
      </c>
      <c r="E1654" s="1">
        <v>1.492E8</v>
      </c>
      <c r="F1654" s="1">
        <v>3.162E8</v>
      </c>
      <c r="G1654" s="1">
        <v>3.263E8</v>
      </c>
      <c r="H1654" s="1">
        <v>1.005E8</v>
      </c>
      <c r="I1654" s="1">
        <v>6.137E8</v>
      </c>
      <c r="J1654" s="1">
        <v>3.359E8</v>
      </c>
      <c r="K1654" s="1">
        <v>3.359E8</v>
      </c>
      <c r="L1654" s="1">
        <v>-1.08E7</v>
      </c>
      <c r="M1654" s="1">
        <v>-1.01E7</v>
      </c>
      <c r="N1654" s="1">
        <v>1.3109E9</v>
      </c>
      <c r="O1654" s="1">
        <v>9.75E8</v>
      </c>
      <c r="P1654" s="1">
        <v>6.972E8</v>
      </c>
      <c r="Q1654" s="1">
        <v>-1.97E7</v>
      </c>
      <c r="R1654" s="1">
        <v>3.263E8</v>
      </c>
      <c r="S1654" s="1">
        <v>3.263E8</v>
      </c>
      <c r="W1654" s="4" t="str">
        <f>Raw_Data!C1653&amp;"|"&amp;Raw_Data!D1653&amp;"|"&amp;TEXT(Raw_Data!B1653,"yyyy-mm-dd")</f>
        <v>Simon Property Group|SPG|2020-12-31</v>
      </c>
    </row>
    <row r="1655">
      <c r="A1655" s="1">
        <v>1653.0</v>
      </c>
      <c r="B1655" s="11">
        <v>44379.0</v>
      </c>
      <c r="C1655" s="1" t="s">
        <v>862</v>
      </c>
      <c r="D1655" s="1" t="s">
        <v>863</v>
      </c>
      <c r="E1655" s="1">
        <v>1.308E8</v>
      </c>
      <c r="F1655" s="1">
        <v>3.362E8</v>
      </c>
      <c r="G1655" s="1">
        <v>3.378E8</v>
      </c>
      <c r="H1655" s="1">
        <v>8.51E7</v>
      </c>
      <c r="I1655" s="1">
        <v>5.586E8</v>
      </c>
      <c r="J1655" s="1">
        <v>3.403E8</v>
      </c>
      <c r="K1655" s="1">
        <v>3.403E8</v>
      </c>
      <c r="L1655" s="1">
        <v>-2600000.0</v>
      </c>
      <c r="M1655" s="1">
        <v>-1600000.0</v>
      </c>
      <c r="N1655" s="1">
        <v>1.1164E9</v>
      </c>
      <c r="O1655" s="1">
        <v>7.761E8</v>
      </c>
      <c r="P1655" s="1">
        <v>5.578E8</v>
      </c>
      <c r="Q1655" s="1">
        <v>-4100000.0</v>
      </c>
      <c r="R1655" s="1">
        <v>3.378E8</v>
      </c>
      <c r="S1655" s="1">
        <v>3.378E8</v>
      </c>
      <c r="W1655" s="4" t="str">
        <f>Raw_Data!C1654&amp;"|"&amp;Raw_Data!D1654&amp;"|"&amp;TEXT(Raw_Data!B1654,"yyyy-mm-dd")</f>
        <v>Skyworks Solutions|SWKS|2021-10-01</v>
      </c>
    </row>
    <row r="1656">
      <c r="A1656" s="1">
        <v>1654.0</v>
      </c>
      <c r="B1656" s="11">
        <v>44288.0</v>
      </c>
      <c r="C1656" s="1" t="s">
        <v>862</v>
      </c>
      <c r="D1656" s="1" t="s">
        <v>863</v>
      </c>
      <c r="E1656" s="1">
        <v>1.307E8</v>
      </c>
      <c r="F1656" s="1">
        <v>3.755E8</v>
      </c>
      <c r="G1656" s="1">
        <v>3.25E8</v>
      </c>
      <c r="H1656" s="1">
        <v>7.02E7</v>
      </c>
      <c r="I1656" s="1">
        <v>5.784E8</v>
      </c>
      <c r="J1656" s="1">
        <v>3.747E8</v>
      </c>
      <c r="K1656" s="1">
        <v>3.747E8</v>
      </c>
      <c r="L1656" s="1">
        <v>-2600000.0</v>
      </c>
      <c r="M1656" s="1">
        <v>5.05E7</v>
      </c>
      <c r="N1656" s="1">
        <v>1.1718E9</v>
      </c>
      <c r="O1656" s="1">
        <v>7.971E8</v>
      </c>
      <c r="P1656" s="1">
        <v>5.934E8</v>
      </c>
      <c r="Q1656" s="1">
        <v>800000.0</v>
      </c>
      <c r="R1656" s="1">
        <v>3.25E8</v>
      </c>
      <c r="S1656" s="1">
        <v>3.25E8</v>
      </c>
      <c r="W1656" s="4" t="str">
        <f>Raw_Data!C1655&amp;"|"&amp;Raw_Data!D1655&amp;"|"&amp;TEXT(Raw_Data!B1655,"yyyy-mm-dd")</f>
        <v>Skyworks Solutions|SWKS|2021-07-02</v>
      </c>
    </row>
    <row r="1657">
      <c r="A1657" s="1">
        <v>1655.0</v>
      </c>
      <c r="B1657" s="11">
        <v>44197.0</v>
      </c>
      <c r="C1657" s="1" t="s">
        <v>862</v>
      </c>
      <c r="D1657" s="1" t="s">
        <v>863</v>
      </c>
      <c r="E1657" s="1">
        <v>1.216E8</v>
      </c>
      <c r="F1657" s="1">
        <v>5.709E8</v>
      </c>
      <c r="G1657" s="1">
        <v>5.093E8</v>
      </c>
      <c r="H1657" s="1">
        <v>6.66E7</v>
      </c>
      <c r="I1657" s="1">
        <v>7.617E8</v>
      </c>
      <c r="J1657" s="1">
        <v>5.707E8</v>
      </c>
      <c r="K1657" s="1">
        <v>5.707E8</v>
      </c>
      <c r="L1657" s="1">
        <v>-2600000.0</v>
      </c>
      <c r="M1657" s="1">
        <v>6.16E7</v>
      </c>
      <c r="N1657" s="1">
        <v>1.51E9</v>
      </c>
      <c r="O1657" s="1">
        <v>9.393E8</v>
      </c>
      <c r="P1657" s="1">
        <v>7.483E8</v>
      </c>
      <c r="Q1657" s="1">
        <v>200000.0</v>
      </c>
      <c r="R1657" s="1">
        <v>5.093E8</v>
      </c>
      <c r="S1657" s="1">
        <v>5.093E8</v>
      </c>
      <c r="W1657" s="4" t="str">
        <f>Raw_Data!C1656&amp;"|"&amp;Raw_Data!D1656&amp;"|"&amp;TEXT(Raw_Data!B1656,"yyyy-mm-dd")</f>
        <v>Skyworks Solutions|SWKS|2021-04-02</v>
      </c>
    </row>
    <row r="1658">
      <c r="A1658" s="1">
        <v>1656.0</v>
      </c>
      <c r="B1658" s="11">
        <v>44471.0</v>
      </c>
      <c r="C1658" s="1" t="s">
        <v>864</v>
      </c>
      <c r="D1658" s="1" t="s">
        <v>865</v>
      </c>
      <c r="F1658" s="1">
        <v>2.624E8</v>
      </c>
      <c r="G1658" s="1">
        <v>1.962E8</v>
      </c>
      <c r="H1658" s="1">
        <v>3.156E8</v>
      </c>
      <c r="I1658" s="1">
        <v>5.913E8</v>
      </c>
      <c r="J1658" s="1">
        <v>2.757E8</v>
      </c>
      <c r="K1658" s="1">
        <v>2.757E8</v>
      </c>
      <c r="L1658" s="1">
        <v>-1.32E7</v>
      </c>
      <c r="M1658" s="1">
        <v>6.09E7</v>
      </c>
      <c r="N1658" s="1">
        <v>1.125E9</v>
      </c>
      <c r="O1658" s="1">
        <v>8.493E8</v>
      </c>
      <c r="P1658" s="1">
        <v>5.337E8</v>
      </c>
      <c r="Q1658" s="1">
        <v>-1.33E7</v>
      </c>
      <c r="R1658" s="1">
        <v>2.015E8</v>
      </c>
      <c r="S1658" s="1">
        <v>1.962E8</v>
      </c>
      <c r="W1658" s="4" t="str">
        <f>Raw_Data!C1657&amp;"|"&amp;Raw_Data!D1657&amp;"|"&amp;TEXT(Raw_Data!B1657,"yyyy-mm-dd")</f>
        <v>Skyworks Solutions|SWKS|2021-01-01</v>
      </c>
    </row>
    <row r="1659">
      <c r="A1659" s="1">
        <v>1657.0</v>
      </c>
      <c r="B1659" s="11">
        <v>44380.0</v>
      </c>
      <c r="C1659" s="1" t="s">
        <v>864</v>
      </c>
      <c r="D1659" s="1" t="s">
        <v>865</v>
      </c>
      <c r="F1659" s="1">
        <v>2.761E8</v>
      </c>
      <c r="G1659" s="1">
        <v>2.08E8</v>
      </c>
      <c r="H1659" s="1">
        <v>3.222E8</v>
      </c>
      <c r="I1659" s="1">
        <v>6.119E8</v>
      </c>
      <c r="J1659" s="1">
        <v>2.897E8</v>
      </c>
      <c r="K1659" s="1">
        <v>2.897E8</v>
      </c>
      <c r="L1659" s="1">
        <v>-1.42E7</v>
      </c>
      <c r="M1659" s="1">
        <v>6.29E7</v>
      </c>
      <c r="N1659" s="1">
        <v>1.1683E9</v>
      </c>
      <c r="O1659" s="1">
        <v>8.786E8</v>
      </c>
      <c r="P1659" s="1">
        <v>5.564E8</v>
      </c>
      <c r="Q1659" s="1">
        <v>-1.36E7</v>
      </c>
      <c r="R1659" s="1">
        <v>2.132E8</v>
      </c>
      <c r="S1659" s="1">
        <v>2.08E8</v>
      </c>
      <c r="W1659" s="4" t="str">
        <f>Raw_Data!C1658&amp;"|"&amp;Raw_Data!D1658&amp;"|"&amp;TEXT(Raw_Data!B1658,"yyyy-mm-dd")</f>
        <v>Snap-on|SNA|2021-10-02</v>
      </c>
    </row>
    <row r="1660">
      <c r="A1660" s="1">
        <v>1658.0</v>
      </c>
      <c r="B1660" s="11">
        <v>44289.0</v>
      </c>
      <c r="C1660" s="1" t="s">
        <v>864</v>
      </c>
      <c r="D1660" s="1" t="s">
        <v>865</v>
      </c>
      <c r="F1660" s="1">
        <v>2.567E8</v>
      </c>
      <c r="G1660" s="1">
        <v>1.926E8</v>
      </c>
      <c r="H1660" s="1">
        <v>3.089E8</v>
      </c>
      <c r="I1660" s="1">
        <v>5.789E8</v>
      </c>
      <c r="J1660" s="1">
        <v>2.7E8</v>
      </c>
      <c r="K1660" s="1">
        <v>2.7E8</v>
      </c>
      <c r="L1660" s="1">
        <v>-1.43E7</v>
      </c>
      <c r="M1660" s="1">
        <v>5.91E7</v>
      </c>
      <c r="N1660" s="1">
        <v>1.1132E9</v>
      </c>
      <c r="O1660" s="1">
        <v>8.432E8</v>
      </c>
      <c r="P1660" s="1">
        <v>5.343E8</v>
      </c>
      <c r="Q1660" s="1">
        <v>-1.33E7</v>
      </c>
      <c r="R1660" s="1">
        <v>1.976E8</v>
      </c>
      <c r="S1660" s="1">
        <v>1.926E8</v>
      </c>
      <c r="W1660" s="4" t="str">
        <f>Raw_Data!C1659&amp;"|"&amp;Raw_Data!D1659&amp;"|"&amp;TEXT(Raw_Data!B1659,"yyyy-mm-dd")</f>
        <v>Snap-on|SNA|2021-07-03</v>
      </c>
    </row>
    <row r="1661">
      <c r="A1661" s="1">
        <v>1659.0</v>
      </c>
      <c r="B1661" s="11">
        <v>44198.0</v>
      </c>
      <c r="C1661" s="1" t="s">
        <v>864</v>
      </c>
      <c r="D1661" s="1" t="s">
        <v>865</v>
      </c>
      <c r="F1661" s="1">
        <v>2.72E8</v>
      </c>
      <c r="G1661" s="1">
        <v>2.089E8</v>
      </c>
      <c r="H1661" s="1">
        <v>2.945E8</v>
      </c>
      <c r="I1661" s="1">
        <v>5.857E8</v>
      </c>
      <c r="J1661" s="1">
        <v>2.912E8</v>
      </c>
      <c r="K1661" s="1">
        <v>2.912E8</v>
      </c>
      <c r="L1661" s="1">
        <v>-1.53E7</v>
      </c>
      <c r="M1661" s="1">
        <v>5.82E7</v>
      </c>
      <c r="N1661" s="1">
        <v>1.1678E9</v>
      </c>
      <c r="O1661" s="1">
        <v>8.766E8</v>
      </c>
      <c r="P1661" s="1">
        <v>5.821E8</v>
      </c>
      <c r="Q1661" s="1">
        <v>-1.92E7</v>
      </c>
      <c r="R1661" s="1">
        <v>2.138E8</v>
      </c>
      <c r="S1661" s="1">
        <v>2.089E8</v>
      </c>
      <c r="W1661" s="4" t="str">
        <f>Raw_Data!C1660&amp;"|"&amp;Raw_Data!D1660&amp;"|"&amp;TEXT(Raw_Data!B1660,"yyyy-mm-dd")</f>
        <v>Snap-on|SNA|2021-04-03</v>
      </c>
    </row>
    <row r="1662">
      <c r="A1662" s="1">
        <v>1660.0</v>
      </c>
      <c r="B1662" s="11">
        <v>44469.0</v>
      </c>
      <c r="C1662" s="1" t="s">
        <v>866</v>
      </c>
      <c r="D1662" s="1" t="s">
        <v>867</v>
      </c>
      <c r="F1662" s="1">
        <v>1.478E9</v>
      </c>
      <c r="G1662" s="1">
        <v>1.101E9</v>
      </c>
      <c r="H1662" s="1">
        <v>-1.42E8</v>
      </c>
      <c r="I1662" s="1">
        <v>3.07E9</v>
      </c>
      <c r="J1662" s="1">
        <v>1.74E9</v>
      </c>
      <c r="K1662" s="1">
        <v>1.74E9</v>
      </c>
      <c r="L1662" s="1">
        <v>-4.55E8</v>
      </c>
      <c r="M1662" s="1">
        <v>3.72E8</v>
      </c>
      <c r="N1662" s="1">
        <v>6.238E9</v>
      </c>
      <c r="O1662" s="1">
        <v>4.498E9</v>
      </c>
      <c r="P1662" s="1">
        <v>3.168E9</v>
      </c>
      <c r="Q1662" s="1">
        <v>-2.62E8</v>
      </c>
      <c r="R1662" s="1">
        <v>1.106E9</v>
      </c>
      <c r="S1662" s="1">
        <v>1.101E9</v>
      </c>
      <c r="W1662" s="4" t="str">
        <f>Raw_Data!C1661&amp;"|"&amp;Raw_Data!D1661&amp;"|"&amp;TEXT(Raw_Data!B1661,"yyyy-mm-dd")</f>
        <v>Snap-on|SNA|2021-01-02</v>
      </c>
    </row>
    <row r="1663">
      <c r="A1663" s="1">
        <v>1661.0</v>
      </c>
      <c r="B1663" s="11">
        <v>44377.0</v>
      </c>
      <c r="C1663" s="1" t="s">
        <v>866</v>
      </c>
      <c r="D1663" s="1" t="s">
        <v>867</v>
      </c>
      <c r="F1663" s="1">
        <v>3.6E8</v>
      </c>
      <c r="G1663" s="1">
        <v>3.72E8</v>
      </c>
      <c r="H1663" s="1">
        <v>-1.42E8</v>
      </c>
      <c r="I1663" s="1">
        <v>2.361E9</v>
      </c>
      <c r="J1663" s="1">
        <v>8.39E8</v>
      </c>
      <c r="K1663" s="1">
        <v>8.39E8</v>
      </c>
      <c r="L1663" s="1">
        <v>-4.54E8</v>
      </c>
      <c r="M1663" s="1">
        <v>-1.2E7</v>
      </c>
      <c r="N1663" s="1">
        <v>5.198E9</v>
      </c>
      <c r="O1663" s="1">
        <v>4.359E9</v>
      </c>
      <c r="P1663" s="1">
        <v>2.837E9</v>
      </c>
      <c r="Q1663" s="1">
        <v>-4.79E8</v>
      </c>
      <c r="R1663" s="1">
        <v>3.72E8</v>
      </c>
      <c r="S1663" s="1">
        <v>3.72E8</v>
      </c>
      <c r="W1663" s="4" t="str">
        <f>Raw_Data!C1662&amp;"|"&amp;Raw_Data!D1662&amp;"|"&amp;TEXT(Raw_Data!B1662,"yyyy-mm-dd")</f>
        <v>Southern Company|SO|2021-09-30</v>
      </c>
    </row>
    <row r="1664">
      <c r="A1664" s="1">
        <v>1662.0</v>
      </c>
      <c r="B1664" s="11">
        <v>44286.0</v>
      </c>
      <c r="C1664" s="1" t="s">
        <v>866</v>
      </c>
      <c r="D1664" s="1" t="s">
        <v>867</v>
      </c>
      <c r="F1664" s="1">
        <v>1.293E9</v>
      </c>
      <c r="G1664" s="1">
        <v>1.135E9</v>
      </c>
      <c r="H1664" s="1">
        <v>-1.43E8</v>
      </c>
      <c r="I1664" s="1">
        <v>2.818E9</v>
      </c>
      <c r="J1664" s="1">
        <v>1.745E9</v>
      </c>
      <c r="K1664" s="1">
        <v>1.745E9</v>
      </c>
      <c r="L1664" s="1">
        <v>-4.54E8</v>
      </c>
      <c r="M1664" s="1">
        <v>1.9E8</v>
      </c>
      <c r="N1664" s="1">
        <v>5.91E9</v>
      </c>
      <c r="O1664" s="1">
        <v>4.165E9</v>
      </c>
      <c r="P1664" s="1">
        <v>3.092E9</v>
      </c>
      <c r="Q1664" s="1">
        <v>-4.52E8</v>
      </c>
      <c r="R1664" s="1">
        <v>1.103E9</v>
      </c>
      <c r="S1664" s="1">
        <v>1.135E9</v>
      </c>
      <c r="W1664" s="4" t="str">
        <f>Raw_Data!C1663&amp;"|"&amp;Raw_Data!D1663&amp;"|"&amp;TEXT(Raw_Data!B1663,"yyyy-mm-dd")</f>
        <v>Southern Company|SO|2021-06-30</v>
      </c>
    </row>
    <row r="1665">
      <c r="A1665" s="1">
        <v>1663.0</v>
      </c>
      <c r="B1665" s="11">
        <v>44196.0</v>
      </c>
      <c r="C1665" s="1" t="s">
        <v>866</v>
      </c>
      <c r="D1665" s="1" t="s">
        <v>867</v>
      </c>
      <c r="F1665" s="1">
        <v>3.03E8</v>
      </c>
      <c r="G1665" s="1">
        <v>3.87E8</v>
      </c>
      <c r="H1665" s="1">
        <v>-1.04E8</v>
      </c>
      <c r="I1665" s="1">
        <v>2.08E9</v>
      </c>
      <c r="J1665" s="1">
        <v>8.07E8</v>
      </c>
      <c r="K1665" s="1">
        <v>8.07E8</v>
      </c>
      <c r="L1665" s="1">
        <v>-4.82E8</v>
      </c>
      <c r="M1665" s="1">
        <v>-5.0E7</v>
      </c>
      <c r="N1665" s="1">
        <v>5.117E9</v>
      </c>
      <c r="O1665" s="1">
        <v>4.31E9</v>
      </c>
      <c r="P1665" s="1">
        <v>3.037E9</v>
      </c>
      <c r="Q1665" s="1">
        <v>-5.04E8</v>
      </c>
      <c r="R1665" s="1">
        <v>3.53E8</v>
      </c>
      <c r="S1665" s="1">
        <v>3.87E8</v>
      </c>
      <c r="W1665" s="4" t="str">
        <f>Raw_Data!C1664&amp;"|"&amp;Raw_Data!D1664&amp;"|"&amp;TEXT(Raw_Data!B1664,"yyyy-mm-dd")</f>
        <v>Southern Company|SO|2021-03-31</v>
      </c>
    </row>
    <row r="1666">
      <c r="A1666" s="1">
        <v>1664.0</v>
      </c>
      <c r="B1666" s="11">
        <v>44469.0</v>
      </c>
      <c r="C1666" s="1" t="s">
        <v>868</v>
      </c>
      <c r="D1666" s="1" t="s">
        <v>869</v>
      </c>
      <c r="F1666" s="1">
        <v>6.0E8</v>
      </c>
      <c r="G1666" s="1">
        <v>4.46E8</v>
      </c>
      <c r="I1666" s="1">
        <v>8.72E8</v>
      </c>
      <c r="J1666" s="1">
        <v>-5.9E7</v>
      </c>
      <c r="K1666" s="1">
        <v>-5.9E7</v>
      </c>
      <c r="L1666" s="1">
        <v>-1.06E8</v>
      </c>
      <c r="M1666" s="1">
        <v>1.54E8</v>
      </c>
      <c r="N1666" s="1">
        <v>4.679E9</v>
      </c>
      <c r="O1666" s="1">
        <v>4.738E9</v>
      </c>
      <c r="P1666" s="1">
        <v>3.807E9</v>
      </c>
      <c r="Q1666" s="1">
        <v>6.59E8</v>
      </c>
      <c r="R1666" s="1">
        <v>4.46E8</v>
      </c>
      <c r="S1666" s="1">
        <v>4.46E8</v>
      </c>
      <c r="W1666" s="4" t="str">
        <f>Raw_Data!C1665&amp;"|"&amp;Raw_Data!D1665&amp;"|"&amp;TEXT(Raw_Data!B1665,"yyyy-mm-dd")</f>
        <v>Southern Company|SO|2020-12-31</v>
      </c>
    </row>
    <row r="1667">
      <c r="A1667" s="1">
        <v>1665.0</v>
      </c>
      <c r="B1667" s="11">
        <v>44377.0</v>
      </c>
      <c r="C1667" s="1" t="s">
        <v>868</v>
      </c>
      <c r="D1667" s="1" t="s">
        <v>869</v>
      </c>
      <c r="F1667" s="1">
        <v>5.02E8</v>
      </c>
      <c r="G1667" s="1">
        <v>3.48E8</v>
      </c>
      <c r="I1667" s="1">
        <v>6.88E8</v>
      </c>
      <c r="J1667" s="1">
        <v>-1.61E8</v>
      </c>
      <c r="K1667" s="1">
        <v>-1.61E8</v>
      </c>
      <c r="L1667" s="1">
        <v>-1.08E8</v>
      </c>
      <c r="M1667" s="1">
        <v>1.54E8</v>
      </c>
      <c r="N1667" s="1">
        <v>4.008E9</v>
      </c>
      <c r="O1667" s="1">
        <v>4.169E9</v>
      </c>
      <c r="P1667" s="1">
        <v>3.32E9</v>
      </c>
      <c r="Q1667" s="1">
        <v>6.63E8</v>
      </c>
      <c r="R1667" s="1">
        <v>3.48E8</v>
      </c>
      <c r="S1667" s="1">
        <v>3.48E8</v>
      </c>
      <c r="W1667" s="4" t="str">
        <f>Raw_Data!C1666&amp;"|"&amp;Raw_Data!D1666&amp;"|"&amp;TEXT(Raw_Data!B1666,"yyyy-mm-dd")</f>
        <v>Southwest Airlines|LUV|2021-09-30</v>
      </c>
    </row>
    <row r="1668">
      <c r="A1668" s="1">
        <v>1666.0</v>
      </c>
      <c r="B1668" s="11">
        <v>44286.0</v>
      </c>
      <c r="C1668" s="1" t="s">
        <v>868</v>
      </c>
      <c r="D1668" s="1" t="s">
        <v>869</v>
      </c>
      <c r="F1668" s="1">
        <v>1.46E8</v>
      </c>
      <c r="G1668" s="1">
        <v>1.16E8</v>
      </c>
      <c r="I1668" s="1">
        <v>-5.44E8</v>
      </c>
      <c r="J1668" s="1">
        <v>-1.268E9</v>
      </c>
      <c r="K1668" s="1">
        <v>-1.268E9</v>
      </c>
      <c r="L1668" s="1">
        <v>-1.03E8</v>
      </c>
      <c r="M1668" s="1">
        <v>3.0E7</v>
      </c>
      <c r="N1668" s="1">
        <v>2.052E9</v>
      </c>
      <c r="O1668" s="1">
        <v>3.32E9</v>
      </c>
      <c r="P1668" s="1">
        <v>2.596E9</v>
      </c>
      <c r="Q1668" s="1">
        <v>1.414E9</v>
      </c>
      <c r="R1668" s="1">
        <v>1.16E8</v>
      </c>
      <c r="S1668" s="1">
        <v>1.16E8</v>
      </c>
      <c r="W1668" s="4" t="str">
        <f>Raw_Data!C1667&amp;"|"&amp;Raw_Data!D1667&amp;"|"&amp;TEXT(Raw_Data!B1667,"yyyy-mm-dd")</f>
        <v>Southwest Airlines|LUV|2021-06-30</v>
      </c>
    </row>
    <row r="1669">
      <c r="A1669" s="1">
        <v>1667.0</v>
      </c>
      <c r="B1669" s="11">
        <v>44196.0</v>
      </c>
      <c r="C1669" s="1" t="s">
        <v>868</v>
      </c>
      <c r="D1669" s="1" t="s">
        <v>869</v>
      </c>
      <c r="F1669" s="1">
        <v>-1.331E9</v>
      </c>
      <c r="G1669" s="1">
        <v>-9.08E8</v>
      </c>
      <c r="H1669" s="1">
        <v>1.68E8</v>
      </c>
      <c r="I1669" s="1">
        <v>-6.01E8</v>
      </c>
      <c r="J1669" s="1">
        <v>-1.2E9</v>
      </c>
      <c r="K1669" s="1">
        <v>-1.2E9</v>
      </c>
      <c r="L1669" s="1">
        <v>-1.02E8</v>
      </c>
      <c r="M1669" s="1">
        <v>-4.23E8</v>
      </c>
      <c r="N1669" s="1">
        <v>2.013E9</v>
      </c>
      <c r="O1669" s="1">
        <v>3.213E9</v>
      </c>
      <c r="P1669" s="1">
        <v>2.614E9</v>
      </c>
      <c r="Q1669" s="1">
        <v>-1.31E8</v>
      </c>
      <c r="R1669" s="1">
        <v>-9.08E8</v>
      </c>
      <c r="S1669" s="1">
        <v>-9.08E8</v>
      </c>
      <c r="W1669" s="4" t="str">
        <f>Raw_Data!C1668&amp;"|"&amp;Raw_Data!D1668&amp;"|"&amp;TEXT(Raw_Data!B1668,"yyyy-mm-dd")</f>
        <v>Southwest Airlines|LUV|2021-03-31</v>
      </c>
    </row>
    <row r="1670">
      <c r="A1670" s="1">
        <v>1668.0</v>
      </c>
      <c r="B1670" s="11">
        <v>44380.0</v>
      </c>
      <c r="C1670" s="1" t="s">
        <v>870</v>
      </c>
      <c r="D1670" s="1" t="s">
        <v>871</v>
      </c>
      <c r="F1670" s="1">
        <v>5.322E8</v>
      </c>
      <c r="G1670" s="1">
        <v>4.595E8</v>
      </c>
      <c r="H1670" s="1">
        <v>8.789E8</v>
      </c>
      <c r="I1670" s="1">
        <v>1.5457E9</v>
      </c>
      <c r="J1670" s="1">
        <v>6.211E8</v>
      </c>
      <c r="K1670" s="1">
        <v>6.211E8</v>
      </c>
      <c r="L1670" s="1">
        <v>-4.65E7</v>
      </c>
      <c r="M1670" s="1">
        <v>7.37E7</v>
      </c>
      <c r="N1670" s="1">
        <v>4.3009E9</v>
      </c>
      <c r="O1670" s="1">
        <v>3.6798E9</v>
      </c>
      <c r="P1670" s="1">
        <v>2.7552E9</v>
      </c>
      <c r="Q1670" s="1">
        <v>-8.89E7</v>
      </c>
      <c r="R1670" s="1">
        <v>4.585E8</v>
      </c>
      <c r="S1670" s="1">
        <v>4.547E8</v>
      </c>
      <c r="W1670" s="4" t="str">
        <f>Raw_Data!C1669&amp;"|"&amp;Raw_Data!D1669&amp;"|"&amp;TEXT(Raw_Data!B1669,"yyyy-mm-dd")</f>
        <v>Southwest Airlines|LUV|2020-12-31</v>
      </c>
    </row>
    <row r="1671">
      <c r="A1671" s="1">
        <v>1669.0</v>
      </c>
      <c r="B1671" s="11">
        <v>44289.0</v>
      </c>
      <c r="C1671" s="1" t="s">
        <v>870</v>
      </c>
      <c r="D1671" s="1" t="s">
        <v>871</v>
      </c>
      <c r="F1671" s="1">
        <v>6.063E8</v>
      </c>
      <c r="G1671" s="1">
        <v>4.874E8</v>
      </c>
      <c r="H1671" s="1">
        <v>8.274E8</v>
      </c>
      <c r="I1671" s="1">
        <v>1.5695E9</v>
      </c>
      <c r="J1671" s="1">
        <v>7.492E8</v>
      </c>
      <c r="K1671" s="1">
        <v>7.492E8</v>
      </c>
      <c r="L1671" s="1">
        <v>-4.75E7</v>
      </c>
      <c r="M1671" s="1">
        <v>1.195E8</v>
      </c>
      <c r="N1671" s="1">
        <v>4.1971E9</v>
      </c>
      <c r="O1671" s="1">
        <v>3.4479E9</v>
      </c>
      <c r="P1671" s="1">
        <v>2.6276E9</v>
      </c>
      <c r="Q1671" s="1">
        <v>-1.429E8</v>
      </c>
      <c r="R1671" s="1">
        <v>4.868E8</v>
      </c>
      <c r="S1671" s="1">
        <v>4.78E8</v>
      </c>
      <c r="W1671" s="4" t="str">
        <f>Raw_Data!C1670&amp;"|"&amp;Raw_Data!D1670&amp;"|"&amp;TEXT(Raw_Data!B1670,"yyyy-mm-dd")</f>
        <v>Stanley Black &amp; Decker|SWK|2021-07-03</v>
      </c>
    </row>
    <row r="1672">
      <c r="A1672" s="1">
        <v>1670.0</v>
      </c>
      <c r="B1672" s="11">
        <v>44198.0</v>
      </c>
      <c r="C1672" s="1" t="s">
        <v>870</v>
      </c>
      <c r="D1672" s="1" t="s">
        <v>871</v>
      </c>
      <c r="F1672" s="1">
        <v>5.351E8</v>
      </c>
      <c r="G1672" s="1">
        <v>4.673E8</v>
      </c>
      <c r="H1672" s="1">
        <v>8.353E8</v>
      </c>
      <c r="I1672" s="1">
        <v>1.5683E9</v>
      </c>
      <c r="J1672" s="1">
        <v>7.531E8</v>
      </c>
      <c r="K1672" s="1">
        <v>7.531E8</v>
      </c>
      <c r="L1672" s="1">
        <v>-5.34E7</v>
      </c>
      <c r="M1672" s="1">
        <v>6.74E7</v>
      </c>
      <c r="N1672" s="1">
        <v>4.4076E9</v>
      </c>
      <c r="O1672" s="1">
        <v>3.6545E9</v>
      </c>
      <c r="P1672" s="1">
        <v>2.8393E9</v>
      </c>
      <c r="Q1672" s="1">
        <v>-2.18E8</v>
      </c>
      <c r="R1672" s="1">
        <v>4.677E8</v>
      </c>
      <c r="S1672" s="1">
        <v>4.58E8</v>
      </c>
      <c r="W1672" s="4" t="str">
        <f>Raw_Data!C1671&amp;"|"&amp;Raw_Data!D1671&amp;"|"&amp;TEXT(Raw_Data!B1671,"yyyy-mm-dd")</f>
        <v>Stanley Black &amp; Decker|SWK|2021-04-03</v>
      </c>
    </row>
    <row r="1673">
      <c r="A1673" s="1">
        <v>1671.0</v>
      </c>
      <c r="B1673" s="11">
        <v>44100.0</v>
      </c>
      <c r="C1673" s="1" t="s">
        <v>870</v>
      </c>
      <c r="D1673" s="1" t="s">
        <v>871</v>
      </c>
      <c r="F1673" s="1">
        <v>4.736E8</v>
      </c>
      <c r="G1673" s="1">
        <v>3.949E8</v>
      </c>
      <c r="H1673" s="1">
        <v>6.953E8</v>
      </c>
      <c r="I1673" s="1">
        <v>1.3833E9</v>
      </c>
      <c r="J1673" s="1">
        <v>6.143E8</v>
      </c>
      <c r="K1673" s="1">
        <v>6.143E8</v>
      </c>
      <c r="L1673" s="1">
        <v>-5.27E7</v>
      </c>
      <c r="M1673" s="1">
        <v>7.84E7</v>
      </c>
      <c r="N1673" s="1">
        <v>3.8502E9</v>
      </c>
      <c r="O1673" s="1">
        <v>3.2359E9</v>
      </c>
      <c r="P1673" s="1">
        <v>2.4669E9</v>
      </c>
      <c r="Q1673" s="1">
        <v>-1.407E8</v>
      </c>
      <c r="R1673" s="1">
        <v>3.952E8</v>
      </c>
      <c r="S1673" s="1">
        <v>3.855E8</v>
      </c>
      <c r="W1673" s="4" t="str">
        <f>Raw_Data!C1672&amp;"|"&amp;Raw_Data!D1672&amp;"|"&amp;TEXT(Raw_Data!B1672,"yyyy-mm-dd")</f>
        <v>Stanley Black &amp; Decker|SWK|2021-01-02</v>
      </c>
    </row>
    <row r="1674">
      <c r="A1674" s="1">
        <v>1672.0</v>
      </c>
      <c r="B1674" s="11">
        <v>44374.0</v>
      </c>
      <c r="C1674" s="1" t="s">
        <v>872</v>
      </c>
      <c r="D1674" s="1" t="s">
        <v>873</v>
      </c>
      <c r="F1674" s="1">
        <v>1.4113E9</v>
      </c>
      <c r="G1674" s="1">
        <v>1.1534E9</v>
      </c>
      <c r="H1674" s="1">
        <v>4.949E8</v>
      </c>
      <c r="I1674" s="1">
        <v>2.3236E9</v>
      </c>
      <c r="J1674" s="1">
        <v>1.403E9</v>
      </c>
      <c r="K1674" s="1">
        <v>1.403E9</v>
      </c>
      <c r="L1674" s="1">
        <v>-1.134E8</v>
      </c>
      <c r="M1674" s="1">
        <v>2.571E8</v>
      </c>
      <c r="N1674" s="1">
        <v>7.4965E9</v>
      </c>
      <c r="O1674" s="1">
        <v>6.0935E9</v>
      </c>
      <c r="P1674" s="1">
        <v>5.1729E9</v>
      </c>
      <c r="Q1674" s="1">
        <v>8300000.0</v>
      </c>
      <c r="R1674" s="1">
        <v>1.1542E9</v>
      </c>
      <c r="S1674" s="1">
        <v>1.1534E9</v>
      </c>
      <c r="W1674" s="4" t="str">
        <f>Raw_Data!C1673&amp;"|"&amp;Raw_Data!D1673&amp;"|"&amp;TEXT(Raw_Data!B1673,"yyyy-mm-dd")</f>
        <v>Stanley Black &amp; Decker|SWK|2020-09-26</v>
      </c>
    </row>
    <row r="1675">
      <c r="A1675" s="1">
        <v>1673.0</v>
      </c>
      <c r="B1675" s="11">
        <v>44283.0</v>
      </c>
      <c r="C1675" s="1" t="s">
        <v>872</v>
      </c>
      <c r="D1675" s="1" t="s">
        <v>873</v>
      </c>
      <c r="F1675" s="1">
        <v>8.899E8</v>
      </c>
      <c r="G1675" s="1">
        <v>6.594E8</v>
      </c>
      <c r="H1675" s="1">
        <v>4.644E8</v>
      </c>
      <c r="I1675" s="1">
        <v>1.8523E9</v>
      </c>
      <c r="J1675" s="1">
        <v>9.335E8</v>
      </c>
      <c r="K1675" s="1">
        <v>9.335E8</v>
      </c>
      <c r="L1675" s="1">
        <v>-1.186E8</v>
      </c>
      <c r="M1675" s="1">
        <v>2.305E8</v>
      </c>
      <c r="N1675" s="1">
        <v>6.668E9</v>
      </c>
      <c r="O1675" s="1">
        <v>5.7345E9</v>
      </c>
      <c r="P1675" s="1">
        <v>4.8157E9</v>
      </c>
      <c r="Q1675" s="1">
        <v>-4.36E7</v>
      </c>
      <c r="R1675" s="1">
        <v>6.594E8</v>
      </c>
      <c r="S1675" s="1">
        <v>6.594E8</v>
      </c>
      <c r="W1675" s="4" t="str">
        <f>Raw_Data!C1674&amp;"|"&amp;Raw_Data!D1674&amp;"|"&amp;TEXT(Raw_Data!B1674,"yyyy-mm-dd")</f>
        <v>Starbucks|SBUX|2021-06-27</v>
      </c>
    </row>
    <row r="1676">
      <c r="A1676" s="1">
        <v>1674.0</v>
      </c>
      <c r="B1676" s="11">
        <v>44192.0</v>
      </c>
      <c r="C1676" s="1" t="s">
        <v>872</v>
      </c>
      <c r="D1676" s="1" t="s">
        <v>873</v>
      </c>
      <c r="F1676" s="1">
        <v>8.083E8</v>
      </c>
      <c r="G1676" s="1">
        <v>6.222E8</v>
      </c>
      <c r="H1676" s="1">
        <v>4.721E8</v>
      </c>
      <c r="I1676" s="1">
        <v>1.833E9</v>
      </c>
      <c r="J1676" s="1">
        <v>9.03E8</v>
      </c>
      <c r="K1676" s="1">
        <v>9.03E8</v>
      </c>
      <c r="L1676" s="1">
        <v>-1.207E8</v>
      </c>
      <c r="M1676" s="1">
        <v>1.861E8</v>
      </c>
      <c r="N1676" s="1">
        <v>6.7494E9</v>
      </c>
      <c r="O1676" s="1">
        <v>5.8464E9</v>
      </c>
      <c r="P1676" s="1">
        <v>4.9164E9</v>
      </c>
      <c r="Q1676" s="1">
        <v>-9.47E7</v>
      </c>
      <c r="R1676" s="1">
        <v>6.222E8</v>
      </c>
      <c r="S1676" s="1">
        <v>6.222E8</v>
      </c>
      <c r="W1676" s="4" t="str">
        <f>Raw_Data!C1675&amp;"|"&amp;Raw_Data!D1675&amp;"|"&amp;TEXT(Raw_Data!B1675,"yyyy-mm-dd")</f>
        <v>Starbucks|SBUX|2021-03-28</v>
      </c>
    </row>
    <row r="1677">
      <c r="A1677" s="1">
        <v>1675.0</v>
      </c>
      <c r="B1677" s="11">
        <v>44101.0</v>
      </c>
      <c r="C1677" s="1" t="s">
        <v>872</v>
      </c>
      <c r="D1677" s="1" t="s">
        <v>873</v>
      </c>
      <c r="F1677" s="1">
        <v>4.424E8</v>
      </c>
      <c r="G1677" s="1">
        <v>3.926E8</v>
      </c>
      <c r="H1677" s="1">
        <v>4.39E8</v>
      </c>
      <c r="I1677" s="1">
        <v>1.6251E9</v>
      </c>
      <c r="J1677" s="1">
        <v>7.231E8</v>
      </c>
      <c r="K1677" s="1">
        <v>7.231E8</v>
      </c>
      <c r="L1677" s="1">
        <v>-1.249E8</v>
      </c>
      <c r="M1677" s="1">
        <v>4.97E7</v>
      </c>
      <c r="N1677" s="1">
        <v>6.2031E9</v>
      </c>
      <c r="O1677" s="1">
        <v>5.48E9</v>
      </c>
      <c r="P1677" s="1">
        <v>4.578E9</v>
      </c>
      <c r="Q1677" s="1">
        <v>-2.807E8</v>
      </c>
      <c r="R1677" s="1">
        <v>3.927E8</v>
      </c>
      <c r="S1677" s="1">
        <v>3.926E8</v>
      </c>
      <c r="W1677" s="4" t="str">
        <f>Raw_Data!C1676&amp;"|"&amp;Raw_Data!D1676&amp;"|"&amp;TEXT(Raw_Data!B1676,"yyyy-mm-dd")</f>
        <v>Starbucks|SBUX|2020-12-27</v>
      </c>
    </row>
    <row r="1678">
      <c r="A1678" s="1">
        <v>1676.0</v>
      </c>
      <c r="B1678" s="11">
        <v>44377.0</v>
      </c>
      <c r="C1678" s="1" t="s">
        <v>874</v>
      </c>
      <c r="D1678" s="1" t="s">
        <v>875</v>
      </c>
      <c r="F1678" s="1">
        <v>9.38E8</v>
      </c>
      <c r="G1678" s="1">
        <v>7.63E8</v>
      </c>
      <c r="H1678" s="1">
        <v>1.591E9</v>
      </c>
      <c r="I1678" s="1">
        <v>3.049E9</v>
      </c>
      <c r="J1678" s="1">
        <v>0.0</v>
      </c>
      <c r="K1678" s="1">
        <v>1.012E9</v>
      </c>
      <c r="M1678" s="1">
        <v>1.75E8</v>
      </c>
      <c r="N1678" s="1">
        <v>3.049E9</v>
      </c>
      <c r="O1678" s="1">
        <v>2.037E9</v>
      </c>
      <c r="P1678" s="1">
        <v>0.0</v>
      </c>
      <c r="Q1678" s="1">
        <v>-7.4E7</v>
      </c>
      <c r="R1678" s="1">
        <v>7.63E8</v>
      </c>
      <c r="S1678" s="1">
        <v>7.28E8</v>
      </c>
      <c r="W1678" s="4" t="str">
        <f>Raw_Data!C1677&amp;"|"&amp;Raw_Data!D1677&amp;"|"&amp;TEXT(Raw_Data!B1677,"yyyy-mm-dd")</f>
        <v>Starbucks|SBUX|2020-09-27</v>
      </c>
    </row>
    <row r="1679">
      <c r="A1679" s="1">
        <v>1677.0</v>
      </c>
      <c r="B1679" s="11">
        <v>44286.0</v>
      </c>
      <c r="C1679" s="1" t="s">
        <v>874</v>
      </c>
      <c r="D1679" s="1" t="s">
        <v>875</v>
      </c>
      <c r="F1679" s="1">
        <v>6.27E8</v>
      </c>
      <c r="G1679" s="1">
        <v>5.19E8</v>
      </c>
      <c r="H1679" s="1">
        <v>1.789E9</v>
      </c>
      <c r="I1679" s="1">
        <v>2.959E9</v>
      </c>
      <c r="J1679" s="1">
        <v>0.0</v>
      </c>
      <c r="K1679" s="1">
        <v>6.95E8</v>
      </c>
      <c r="M1679" s="1">
        <v>1.08E8</v>
      </c>
      <c r="N1679" s="1">
        <v>2.959E9</v>
      </c>
      <c r="O1679" s="1">
        <v>2.264E9</v>
      </c>
      <c r="P1679" s="1">
        <v>0.0</v>
      </c>
      <c r="Q1679" s="1">
        <v>-6.8E7</v>
      </c>
      <c r="R1679" s="1">
        <v>5.19E8</v>
      </c>
      <c r="S1679" s="1">
        <v>4.89E8</v>
      </c>
      <c r="W1679" s="4" t="str">
        <f>Raw_Data!C1678&amp;"|"&amp;Raw_Data!D1678&amp;"|"&amp;TEXT(Raw_Data!B1678,"yyyy-mm-dd")</f>
        <v>State Street Corporation|STT|2021-06-30</v>
      </c>
    </row>
    <row r="1680">
      <c r="A1680" s="1">
        <v>1678.0</v>
      </c>
      <c r="B1680" s="11">
        <v>44196.0</v>
      </c>
      <c r="C1680" s="1" t="s">
        <v>874</v>
      </c>
      <c r="D1680" s="1" t="s">
        <v>875</v>
      </c>
      <c r="F1680" s="1">
        <v>6.41E8</v>
      </c>
      <c r="G1680" s="1">
        <v>5.37E8</v>
      </c>
      <c r="H1680" s="1">
        <v>1.579E9</v>
      </c>
      <c r="I1680" s="1">
        <v>2.917E9</v>
      </c>
      <c r="J1680" s="1">
        <v>0.0</v>
      </c>
      <c r="K1680" s="1">
        <v>8.45E8</v>
      </c>
      <c r="M1680" s="1">
        <v>1.04E8</v>
      </c>
      <c r="N1680" s="1">
        <v>2.917E9</v>
      </c>
      <c r="O1680" s="1">
        <v>2.072E9</v>
      </c>
      <c r="P1680" s="1">
        <v>0.0</v>
      </c>
      <c r="Q1680" s="1">
        <v>-2.04E8</v>
      </c>
      <c r="R1680" s="1">
        <v>5.37E8</v>
      </c>
      <c r="S1680" s="1">
        <v>4.98E8</v>
      </c>
      <c r="W1680" s="4" t="str">
        <f>Raw_Data!C1679&amp;"|"&amp;Raw_Data!D1679&amp;"|"&amp;TEXT(Raw_Data!B1679,"yyyy-mm-dd")</f>
        <v>State Street Corporation|STT|2021-03-31</v>
      </c>
    </row>
    <row r="1681">
      <c r="A1681" s="1">
        <v>1679.0</v>
      </c>
      <c r="B1681" s="11">
        <v>44104.0</v>
      </c>
      <c r="C1681" s="1" t="s">
        <v>874</v>
      </c>
      <c r="D1681" s="1" t="s">
        <v>875</v>
      </c>
      <c r="F1681" s="1">
        <v>6.81E8</v>
      </c>
      <c r="G1681" s="1">
        <v>5.55E8</v>
      </c>
      <c r="H1681" s="1">
        <v>1.586E9</v>
      </c>
      <c r="I1681" s="1">
        <v>2.784E9</v>
      </c>
      <c r="J1681" s="1">
        <v>0.0</v>
      </c>
      <c r="K1681" s="1">
        <v>7.55E8</v>
      </c>
      <c r="M1681" s="1">
        <v>1.26E8</v>
      </c>
      <c r="N1681" s="1">
        <v>2.784E9</v>
      </c>
      <c r="O1681" s="1">
        <v>2.029E9</v>
      </c>
      <c r="P1681" s="1">
        <v>0.0</v>
      </c>
      <c r="Q1681" s="1">
        <v>-7.4E7</v>
      </c>
      <c r="R1681" s="1">
        <v>5.55E8</v>
      </c>
      <c r="S1681" s="1">
        <v>5.17E8</v>
      </c>
      <c r="W1681" s="4" t="str">
        <f>Raw_Data!C1680&amp;"|"&amp;Raw_Data!D1680&amp;"|"&amp;TEXT(Raw_Data!B1680,"yyyy-mm-dd")</f>
        <v>State Street Corporation|STT|2020-12-31</v>
      </c>
    </row>
    <row r="1682">
      <c r="A1682" s="1">
        <v>1680.0</v>
      </c>
      <c r="B1682" s="11">
        <v>44377.0</v>
      </c>
      <c r="C1682" s="1" t="s">
        <v>876</v>
      </c>
      <c r="D1682" s="1" t="s">
        <v>877</v>
      </c>
      <c r="E1682" s="1">
        <v>1.8192E7</v>
      </c>
      <c r="F1682" s="1">
        <v>-2.8977E7</v>
      </c>
      <c r="G1682" s="1">
        <v>-2.1807E7</v>
      </c>
      <c r="H1682" s="1">
        <v>2.52756E8</v>
      </c>
      <c r="I1682" s="1">
        <v>4.26282E8</v>
      </c>
      <c r="J1682" s="1">
        <v>1.55334E8</v>
      </c>
      <c r="K1682" s="1">
        <v>1.55334E8</v>
      </c>
      <c r="L1682" s="1">
        <v>-2.1812E7</v>
      </c>
      <c r="M1682" s="1">
        <v>-7075000.0</v>
      </c>
      <c r="N1682" s="1">
        <v>9.68422E8</v>
      </c>
      <c r="O1682" s="1">
        <v>8.13088E8</v>
      </c>
      <c r="P1682" s="1">
        <v>5.4214E8</v>
      </c>
      <c r="Q1682" s="1">
        <v>-1.84311E8</v>
      </c>
      <c r="R1682" s="1">
        <v>-2.1902E7</v>
      </c>
      <c r="S1682" s="1">
        <v>-2.1807E7</v>
      </c>
      <c r="W1682" s="4" t="str">
        <f>Raw_Data!C1681&amp;"|"&amp;Raw_Data!D1681&amp;"|"&amp;TEXT(Raw_Data!B1681,"yyyy-mm-dd")</f>
        <v>State Street Corporation|STT|2020-09-30</v>
      </c>
    </row>
    <row r="1683">
      <c r="A1683" s="1">
        <v>1681.0</v>
      </c>
      <c r="B1683" s="11">
        <v>44286.0</v>
      </c>
      <c r="C1683" s="1" t="s">
        <v>876</v>
      </c>
      <c r="D1683" s="1" t="s">
        <v>877</v>
      </c>
      <c r="E1683" s="1">
        <v>1.7514E7</v>
      </c>
      <c r="F1683" s="1">
        <v>1.37519E8</v>
      </c>
      <c r="G1683" s="1">
        <v>8.8851E7</v>
      </c>
      <c r="H1683" s="1">
        <v>1.9942E8</v>
      </c>
      <c r="I1683" s="1">
        <v>3.86852E8</v>
      </c>
      <c r="J1683" s="1">
        <v>1.69918E8</v>
      </c>
      <c r="K1683" s="1">
        <v>1.69918E8</v>
      </c>
      <c r="L1683" s="1">
        <v>-1.0124E7</v>
      </c>
      <c r="M1683" s="1">
        <v>4.9369E7</v>
      </c>
      <c r="N1683" s="1">
        <v>8.73531E8</v>
      </c>
      <c r="O1683" s="1">
        <v>7.03613E8</v>
      </c>
      <c r="P1683" s="1">
        <v>4.86679E8</v>
      </c>
      <c r="Q1683" s="1">
        <v>-3.2399E7</v>
      </c>
      <c r="R1683" s="1">
        <v>8.815E7</v>
      </c>
      <c r="S1683" s="1">
        <v>8.8851E7</v>
      </c>
      <c r="W1683" s="4" t="str">
        <f>Raw_Data!C1682&amp;"|"&amp;Raw_Data!D1682&amp;"|"&amp;TEXT(Raw_Data!B1682,"yyyy-mm-dd")</f>
        <v>Steris|STE|2021-06-30</v>
      </c>
    </row>
    <row r="1684">
      <c r="A1684" s="1">
        <v>1682.0</v>
      </c>
      <c r="B1684" s="11">
        <v>44196.0</v>
      </c>
      <c r="C1684" s="1" t="s">
        <v>876</v>
      </c>
      <c r="D1684" s="1" t="s">
        <v>877</v>
      </c>
      <c r="E1684" s="1">
        <v>1.6438E7</v>
      </c>
      <c r="F1684" s="1">
        <v>1.3943E8</v>
      </c>
      <c r="G1684" s="1">
        <v>1.14501E8</v>
      </c>
      <c r="H1684" s="1">
        <v>1.7081E8</v>
      </c>
      <c r="I1684" s="1">
        <v>3.53112E8</v>
      </c>
      <c r="J1684" s="1">
        <v>1.65864E8</v>
      </c>
      <c r="K1684" s="1">
        <v>1.65864E8</v>
      </c>
      <c r="L1684" s="1">
        <v>-8899000.0</v>
      </c>
      <c r="M1684" s="1">
        <v>2.4842E7</v>
      </c>
      <c r="N1684" s="1">
        <v>8.08924E8</v>
      </c>
      <c r="O1684" s="1">
        <v>6.4306E8</v>
      </c>
      <c r="P1684" s="1">
        <v>4.55812E8</v>
      </c>
      <c r="Q1684" s="1">
        <v>-2.6434E7</v>
      </c>
      <c r="R1684" s="1">
        <v>1.14588E8</v>
      </c>
      <c r="S1684" s="1">
        <v>1.14501E8</v>
      </c>
      <c r="W1684" s="4" t="str">
        <f>Raw_Data!C1683&amp;"|"&amp;Raw_Data!D1683&amp;"|"&amp;TEXT(Raw_Data!B1683,"yyyy-mm-dd")</f>
        <v>Steris|STE|2021-03-31</v>
      </c>
    </row>
    <row r="1685">
      <c r="A1685" s="1">
        <v>1683.0</v>
      </c>
      <c r="B1685" s="11">
        <v>44104.0</v>
      </c>
      <c r="C1685" s="1" t="s">
        <v>876</v>
      </c>
      <c r="D1685" s="1" t="s">
        <v>877</v>
      </c>
      <c r="E1685" s="1">
        <v>1.6143E7</v>
      </c>
      <c r="F1685" s="1">
        <v>1.33786E8</v>
      </c>
      <c r="G1685" s="1">
        <v>1.05858E8</v>
      </c>
      <c r="H1685" s="1">
        <v>1.71572E8</v>
      </c>
      <c r="I1685" s="1">
        <v>3.34576E8</v>
      </c>
      <c r="J1685" s="1">
        <v>1.46861E8</v>
      </c>
      <c r="K1685" s="1">
        <v>1.46861E8</v>
      </c>
      <c r="L1685" s="1">
        <v>-8665000.0</v>
      </c>
      <c r="M1685" s="1">
        <v>2.7778E7</v>
      </c>
      <c r="N1685" s="1">
        <v>7.56132E8</v>
      </c>
      <c r="O1685" s="1">
        <v>6.09271E8</v>
      </c>
      <c r="P1685" s="1">
        <v>4.21556E8</v>
      </c>
      <c r="Q1685" s="1">
        <v>-1.3075E7</v>
      </c>
      <c r="R1685" s="1">
        <v>1.06008E8</v>
      </c>
      <c r="S1685" s="1">
        <v>1.05858E8</v>
      </c>
      <c r="W1685" s="4" t="str">
        <f>Raw_Data!C1684&amp;"|"&amp;Raw_Data!D1684&amp;"|"&amp;TEXT(Raw_Data!B1684,"yyyy-mm-dd")</f>
        <v>Steris|STE|2020-12-31</v>
      </c>
    </row>
    <row r="1686">
      <c r="A1686" s="1">
        <v>1684.0</v>
      </c>
      <c r="B1686" s="11">
        <v>44377.0</v>
      </c>
      <c r="C1686" s="1" t="s">
        <v>878</v>
      </c>
      <c r="D1686" s="1" t="s">
        <v>879</v>
      </c>
      <c r="E1686" s="1">
        <v>3.1E8</v>
      </c>
      <c r="F1686" s="1">
        <v>6.62E8</v>
      </c>
      <c r="G1686" s="1">
        <v>5.92E8</v>
      </c>
      <c r="H1686" s="1">
        <v>1.505E9</v>
      </c>
      <c r="I1686" s="1">
        <v>2.772E9</v>
      </c>
      <c r="J1686" s="1">
        <v>8.08E8</v>
      </c>
      <c r="K1686" s="1">
        <v>8.08E8</v>
      </c>
      <c r="M1686" s="1">
        <v>7.0E7</v>
      </c>
      <c r="N1686" s="1">
        <v>4.294E9</v>
      </c>
      <c r="O1686" s="1">
        <v>3.486E9</v>
      </c>
      <c r="P1686" s="1">
        <v>1.522E9</v>
      </c>
      <c r="Q1686" s="1">
        <v>-1.46E8</v>
      </c>
      <c r="R1686" s="1">
        <v>5.92E8</v>
      </c>
      <c r="S1686" s="1">
        <v>5.92E8</v>
      </c>
      <c r="W1686" s="4" t="str">
        <f>Raw_Data!C1685&amp;"|"&amp;Raw_Data!D1685&amp;"|"&amp;TEXT(Raw_Data!B1685,"yyyy-mm-dd")</f>
        <v>Steris|STE|2020-09-30</v>
      </c>
    </row>
    <row r="1687">
      <c r="A1687" s="1">
        <v>1685.0</v>
      </c>
      <c r="B1687" s="11">
        <v>44286.0</v>
      </c>
      <c r="C1687" s="1" t="s">
        <v>878</v>
      </c>
      <c r="D1687" s="1" t="s">
        <v>879</v>
      </c>
      <c r="E1687" s="1">
        <v>2.88E8</v>
      </c>
      <c r="F1687" s="1">
        <v>3.67E8</v>
      </c>
      <c r="G1687" s="1">
        <v>3.02E8</v>
      </c>
      <c r="H1687" s="1">
        <v>1.394E9</v>
      </c>
      <c r="I1687" s="1">
        <v>2.586E9</v>
      </c>
      <c r="J1687" s="1">
        <v>7.23E8</v>
      </c>
      <c r="K1687" s="1">
        <v>7.23E8</v>
      </c>
      <c r="M1687" s="1">
        <v>6.5E7</v>
      </c>
      <c r="N1687" s="1">
        <v>3.953E9</v>
      </c>
      <c r="O1687" s="1">
        <v>3.23E9</v>
      </c>
      <c r="P1687" s="1">
        <v>1.367E9</v>
      </c>
      <c r="Q1687" s="1">
        <v>-3.56E8</v>
      </c>
      <c r="R1687" s="1">
        <v>3.02E8</v>
      </c>
      <c r="S1687" s="1">
        <v>3.02E8</v>
      </c>
      <c r="W1687" s="4" t="str">
        <f>Raw_Data!C1686&amp;"|"&amp;Raw_Data!D1686&amp;"|"&amp;TEXT(Raw_Data!B1686,"yyyy-mm-dd")</f>
        <v>Stryker Corporation|SYK|2021-06-30</v>
      </c>
    </row>
    <row r="1688">
      <c r="A1688" s="1">
        <v>1686.0</v>
      </c>
      <c r="B1688" s="11">
        <v>44196.0</v>
      </c>
      <c r="C1688" s="1" t="s">
        <v>878</v>
      </c>
      <c r="D1688" s="1" t="s">
        <v>879</v>
      </c>
      <c r="E1688" s="1">
        <v>2.55E8</v>
      </c>
      <c r="F1688" s="1">
        <v>6.71E8</v>
      </c>
      <c r="G1688" s="1">
        <v>5.68E8</v>
      </c>
      <c r="H1688" s="1">
        <v>1.284E9</v>
      </c>
      <c r="I1688" s="1">
        <v>2.773E9</v>
      </c>
      <c r="J1688" s="1">
        <v>1.104E9</v>
      </c>
      <c r="K1688" s="1">
        <v>1.104E9</v>
      </c>
      <c r="L1688" s="1">
        <v>-3.99E8</v>
      </c>
      <c r="M1688" s="1">
        <v>1.03E8</v>
      </c>
      <c r="N1688" s="1">
        <v>4.262E9</v>
      </c>
      <c r="O1688" s="1">
        <v>3.158E9</v>
      </c>
      <c r="P1688" s="1">
        <v>1.489E9</v>
      </c>
      <c r="Q1688" s="1">
        <v>-4.33E8</v>
      </c>
      <c r="R1688" s="1">
        <v>5.68E8</v>
      </c>
      <c r="S1688" s="1">
        <v>5.68E8</v>
      </c>
      <c r="W1688" s="4" t="str">
        <f>Raw_Data!C1687&amp;"|"&amp;Raw_Data!D1687&amp;"|"&amp;TEXT(Raw_Data!B1687,"yyyy-mm-dd")</f>
        <v>Stryker Corporation|SYK|2021-03-31</v>
      </c>
    </row>
    <row r="1689">
      <c r="A1689" s="1">
        <v>1687.0</v>
      </c>
      <c r="B1689" s="11">
        <v>44104.0</v>
      </c>
      <c r="C1689" s="1" t="s">
        <v>878</v>
      </c>
      <c r="D1689" s="1" t="s">
        <v>879</v>
      </c>
      <c r="E1689" s="1">
        <v>2.42E8</v>
      </c>
      <c r="F1689" s="1">
        <v>7.8E8</v>
      </c>
      <c r="G1689" s="1">
        <v>6.21E8</v>
      </c>
      <c r="H1689" s="1">
        <v>1.188E9</v>
      </c>
      <c r="I1689" s="1">
        <v>2.461E9</v>
      </c>
      <c r="J1689" s="1">
        <v>9.17E8</v>
      </c>
      <c r="K1689" s="1">
        <v>9.17E8</v>
      </c>
      <c r="L1689" s="1">
        <v>-3.99E8</v>
      </c>
      <c r="M1689" s="1">
        <v>1.59E8</v>
      </c>
      <c r="N1689" s="1">
        <v>3.737E9</v>
      </c>
      <c r="O1689" s="1">
        <v>2.82E9</v>
      </c>
      <c r="P1689" s="1">
        <v>1.276E9</v>
      </c>
      <c r="Q1689" s="1">
        <v>-1.37E8</v>
      </c>
      <c r="R1689" s="1">
        <v>6.21E8</v>
      </c>
      <c r="S1689" s="1">
        <v>6.21E8</v>
      </c>
      <c r="W1689" s="4" t="str">
        <f>Raw_Data!C1688&amp;"|"&amp;Raw_Data!D1688&amp;"|"&amp;TEXT(Raw_Data!B1688,"yyyy-mm-dd")</f>
        <v>Stryker Corporation|SYK|2020-12-31</v>
      </c>
    </row>
    <row r="1690">
      <c r="A1690" s="1">
        <v>1688.0</v>
      </c>
      <c r="B1690" s="11">
        <v>44286.0</v>
      </c>
      <c r="C1690" s="1" t="s">
        <v>880</v>
      </c>
      <c r="D1690" s="1" t="s">
        <v>881</v>
      </c>
      <c r="F1690" s="1">
        <v>7.49079E8</v>
      </c>
      <c r="G1690" s="1">
        <v>5.36814E8</v>
      </c>
      <c r="H1690" s="1">
        <v>5.81082E8</v>
      </c>
      <c r="I1690" s="1">
        <v>1.38508E9</v>
      </c>
      <c r="J1690" s="1">
        <v>0.0</v>
      </c>
      <c r="K1690" s="1">
        <v>7.58542E8</v>
      </c>
      <c r="M1690" s="1">
        <v>1.87315E8</v>
      </c>
      <c r="N1690" s="1">
        <v>1.38508E9</v>
      </c>
      <c r="O1690" s="1">
        <v>6.26538E8</v>
      </c>
      <c r="P1690" s="1">
        <v>0.0</v>
      </c>
      <c r="Q1690" s="1">
        <v>-9463000.0</v>
      </c>
      <c r="R1690" s="1">
        <v>5.61764E8</v>
      </c>
      <c r="S1690" s="1">
        <v>5.3222E8</v>
      </c>
      <c r="W1690" s="4" t="str">
        <f>Raw_Data!C1689&amp;"|"&amp;Raw_Data!D1689&amp;"|"&amp;TEXT(Raw_Data!B1689,"yyyy-mm-dd")</f>
        <v>Stryker Corporation|SYK|2020-09-30</v>
      </c>
    </row>
    <row r="1691">
      <c r="A1691" s="1">
        <v>1689.0</v>
      </c>
      <c r="B1691" s="11">
        <v>44196.0</v>
      </c>
      <c r="C1691" s="1" t="s">
        <v>880</v>
      </c>
      <c r="D1691" s="1" t="s">
        <v>881</v>
      </c>
      <c r="F1691" s="1">
        <v>5.86897E8</v>
      </c>
      <c r="G1691" s="1">
        <v>3.9291E8</v>
      </c>
      <c r="H1691" s="1">
        <v>5.54026E8</v>
      </c>
      <c r="I1691" s="1">
        <v>1.251696E9</v>
      </c>
      <c r="J1691" s="1">
        <v>0.0</v>
      </c>
      <c r="K1691" s="1">
        <v>6.25398E8</v>
      </c>
      <c r="M1691" s="1">
        <v>1.48096E8</v>
      </c>
      <c r="N1691" s="1">
        <v>1.251696E9</v>
      </c>
      <c r="O1691" s="1">
        <v>6.26298E8</v>
      </c>
      <c r="P1691" s="1">
        <v>0.0</v>
      </c>
      <c r="Q1691" s="1">
        <v>-3.8501E7</v>
      </c>
      <c r="R1691" s="1">
        <v>4.38801E8</v>
      </c>
      <c r="S1691" s="1">
        <v>3.88316E8</v>
      </c>
      <c r="W1691" s="4" t="str">
        <f>Raw_Data!C1690&amp;"|"&amp;Raw_Data!D1690&amp;"|"&amp;TEXT(Raw_Data!B1690,"yyyy-mm-dd")</f>
        <v>SVB Financial|SIVB|2021-03-31</v>
      </c>
    </row>
    <row r="1692">
      <c r="A1692" s="1">
        <v>1690.0</v>
      </c>
      <c r="B1692" s="11">
        <v>44104.0</v>
      </c>
      <c r="C1692" s="1" t="s">
        <v>880</v>
      </c>
      <c r="D1692" s="1" t="s">
        <v>881</v>
      </c>
      <c r="F1692" s="1">
        <v>6.3632E8</v>
      </c>
      <c r="G1692" s="1">
        <v>4.46307E8</v>
      </c>
      <c r="H1692" s="1">
        <v>4.46535E8</v>
      </c>
      <c r="I1692" s="1">
        <v>1.097323E9</v>
      </c>
      <c r="J1692" s="1">
        <v>0.0</v>
      </c>
      <c r="K1692" s="1">
        <v>6.13235E8</v>
      </c>
      <c r="M1692" s="1">
        <v>1.62265E8</v>
      </c>
      <c r="N1692" s="1">
        <v>1.097323E9</v>
      </c>
      <c r="O1692" s="1">
        <v>4.84088E8</v>
      </c>
      <c r="P1692" s="1">
        <v>0.0</v>
      </c>
      <c r="Q1692" s="1">
        <v>2.3085E7</v>
      </c>
      <c r="R1692" s="1">
        <v>4.74055E8</v>
      </c>
      <c r="S1692" s="1">
        <v>4.41713E8</v>
      </c>
      <c r="W1692" s="4" t="str">
        <f>Raw_Data!C1691&amp;"|"&amp;Raw_Data!D1691&amp;"|"&amp;TEXT(Raw_Data!B1691,"yyyy-mm-dd")</f>
        <v>SVB Financial|SIVB|2020-12-31</v>
      </c>
    </row>
    <row r="1693">
      <c r="A1693" s="1">
        <v>1691.0</v>
      </c>
      <c r="B1693" s="11">
        <v>44012.0</v>
      </c>
      <c r="C1693" s="1" t="s">
        <v>880</v>
      </c>
      <c r="D1693" s="1" t="s">
        <v>881</v>
      </c>
      <c r="F1693" s="1">
        <v>3.35658E8</v>
      </c>
      <c r="G1693" s="1">
        <v>2.33529E8</v>
      </c>
      <c r="H1693" s="1">
        <v>4.3317E8</v>
      </c>
      <c r="I1693" s="1">
        <v>8.15294E8</v>
      </c>
      <c r="J1693" s="1">
        <v>0.0</v>
      </c>
      <c r="K1693" s="1">
        <v>3.42477E8</v>
      </c>
      <c r="M1693" s="1">
        <v>8.7869E7</v>
      </c>
      <c r="N1693" s="1">
        <v>8.15294E8</v>
      </c>
      <c r="O1693" s="1">
        <v>4.72817E8</v>
      </c>
      <c r="P1693" s="1">
        <v>0.0</v>
      </c>
      <c r="Q1693" s="1">
        <v>-6819000.0</v>
      </c>
      <c r="R1693" s="1">
        <v>2.47789E8</v>
      </c>
      <c r="S1693" s="1">
        <v>2.28935E8</v>
      </c>
      <c r="W1693" s="4" t="str">
        <f>Raw_Data!C1692&amp;"|"&amp;Raw_Data!D1692&amp;"|"&amp;TEXT(Raw_Data!B1692,"yyyy-mm-dd")</f>
        <v>SVB Financial|SIVB|2020-09-30</v>
      </c>
    </row>
    <row r="1694">
      <c r="A1694" s="1">
        <v>1692.0</v>
      </c>
      <c r="B1694" s="11">
        <v>44377.0</v>
      </c>
      <c r="C1694" s="1" t="s">
        <v>882</v>
      </c>
      <c r="D1694" s="1" t="s">
        <v>883</v>
      </c>
      <c r="F1694" s="1">
        <v>1.641E9</v>
      </c>
      <c r="G1694" s="1">
        <v>1.242E9</v>
      </c>
      <c r="H1694" s="1">
        <v>7.99E8</v>
      </c>
      <c r="I1694" s="1">
        <v>2.589E9</v>
      </c>
      <c r="J1694" s="1">
        <v>0.0</v>
      </c>
      <c r="K1694" s="1">
        <v>1.641E9</v>
      </c>
      <c r="M1694" s="1">
        <v>3.99E8</v>
      </c>
      <c r="N1694" s="1">
        <v>2.589E9</v>
      </c>
      <c r="O1694" s="1">
        <v>9.48E8</v>
      </c>
      <c r="P1694" s="1">
        <v>0.0</v>
      </c>
      <c r="Q1694" s="1">
        <v>0.0</v>
      </c>
      <c r="R1694" s="1">
        <v>1.242E9</v>
      </c>
      <c r="S1694" s="1">
        <v>1.232E9</v>
      </c>
      <c r="W1694" s="4" t="str">
        <f>Raw_Data!C1693&amp;"|"&amp;Raw_Data!D1693&amp;"|"&amp;TEXT(Raw_Data!B1693,"yyyy-mm-dd")</f>
        <v>SVB Financial|SIVB|2020-06-30</v>
      </c>
    </row>
    <row r="1695">
      <c r="A1695" s="1">
        <v>1693.0</v>
      </c>
      <c r="B1695" s="11">
        <v>44286.0</v>
      </c>
      <c r="C1695" s="1" t="s">
        <v>882</v>
      </c>
      <c r="D1695" s="1" t="s">
        <v>883</v>
      </c>
      <c r="F1695" s="1">
        <v>1.315E9</v>
      </c>
      <c r="G1695" s="1">
        <v>1.025E9</v>
      </c>
      <c r="H1695" s="1">
        <v>7.8E8</v>
      </c>
      <c r="I1695" s="1">
        <v>2.247E9</v>
      </c>
      <c r="J1695" s="1">
        <v>0.0</v>
      </c>
      <c r="K1695" s="1">
        <v>1.315E9</v>
      </c>
      <c r="M1695" s="1">
        <v>2.9E8</v>
      </c>
      <c r="N1695" s="1">
        <v>2.247E9</v>
      </c>
      <c r="O1695" s="1">
        <v>9.32E8</v>
      </c>
      <c r="P1695" s="1">
        <v>0.0</v>
      </c>
      <c r="Q1695" s="1">
        <v>0.0</v>
      </c>
      <c r="R1695" s="1">
        <v>1.025E9</v>
      </c>
      <c r="S1695" s="1">
        <v>1.014E9</v>
      </c>
      <c r="W1695" s="4" t="str">
        <f>Raw_Data!C1694&amp;"|"&amp;Raw_Data!D1694&amp;"|"&amp;TEXT(Raw_Data!B1694,"yyyy-mm-dd")</f>
        <v>Synchrony Financial|SYF|2021-06-30</v>
      </c>
    </row>
    <row r="1696">
      <c r="A1696" s="1">
        <v>1694.0</v>
      </c>
      <c r="B1696" s="11">
        <v>44196.0</v>
      </c>
      <c r="C1696" s="1" t="s">
        <v>882</v>
      </c>
      <c r="D1696" s="1" t="s">
        <v>883</v>
      </c>
      <c r="F1696" s="1">
        <v>9.44E8</v>
      </c>
      <c r="G1696" s="1">
        <v>7.38E8</v>
      </c>
      <c r="H1696" s="1">
        <v>8.03E8</v>
      </c>
      <c r="I1696" s="1">
        <v>1.944E9</v>
      </c>
      <c r="J1696" s="1">
        <v>0.0</v>
      </c>
      <c r="K1696" s="1">
        <v>1.321E9</v>
      </c>
      <c r="M1696" s="1">
        <v>2.06E8</v>
      </c>
      <c r="N1696" s="1">
        <v>1.944E9</v>
      </c>
      <c r="O1696" s="1">
        <v>6.23E8</v>
      </c>
      <c r="P1696" s="1">
        <v>0.0</v>
      </c>
      <c r="Q1696" s="1">
        <v>-3.77E8</v>
      </c>
      <c r="R1696" s="1">
        <v>7.38E8</v>
      </c>
      <c r="S1696" s="1">
        <v>7.28E8</v>
      </c>
      <c r="W1696" s="4" t="str">
        <f>Raw_Data!C1695&amp;"|"&amp;Raw_Data!D1695&amp;"|"&amp;TEXT(Raw_Data!B1695,"yyyy-mm-dd")</f>
        <v>Synchrony Financial|SYF|2021-03-31</v>
      </c>
    </row>
    <row r="1697">
      <c r="A1697" s="1">
        <v>1695.0</v>
      </c>
      <c r="B1697" s="11">
        <v>44104.0</v>
      </c>
      <c r="C1697" s="1" t="s">
        <v>882</v>
      </c>
      <c r="D1697" s="1" t="s">
        <v>883</v>
      </c>
      <c r="F1697" s="1">
        <v>4.12E8</v>
      </c>
      <c r="G1697" s="1">
        <v>3.13E8</v>
      </c>
      <c r="H1697" s="1">
        <v>7.57E8</v>
      </c>
      <c r="I1697" s="1">
        <v>1.479E9</v>
      </c>
      <c r="J1697" s="1">
        <v>0.0</v>
      </c>
      <c r="K1697" s="1">
        <v>4.56E8</v>
      </c>
      <c r="M1697" s="1">
        <v>9.9E7</v>
      </c>
      <c r="N1697" s="1">
        <v>1.479E9</v>
      </c>
      <c r="O1697" s="1">
        <v>1.023E9</v>
      </c>
      <c r="P1697" s="1">
        <v>0.0</v>
      </c>
      <c r="Q1697" s="1">
        <v>-4.4E7</v>
      </c>
      <c r="R1697" s="1">
        <v>3.13E8</v>
      </c>
      <c r="S1697" s="1">
        <v>3.03E8</v>
      </c>
      <c r="W1697" s="4" t="str">
        <f>Raw_Data!C1696&amp;"|"&amp;Raw_Data!D1696&amp;"|"&amp;TEXT(Raw_Data!B1696,"yyyy-mm-dd")</f>
        <v>Synchrony Financial|SYF|2020-12-31</v>
      </c>
    </row>
    <row r="1698">
      <c r="A1698" s="1">
        <v>1696.0</v>
      </c>
      <c r="B1698" s="11">
        <v>44408.0</v>
      </c>
      <c r="C1698" s="1" t="s">
        <v>884</v>
      </c>
      <c r="D1698" s="1" t="s">
        <v>885</v>
      </c>
      <c r="E1698" s="1">
        <v>3.71146E8</v>
      </c>
      <c r="F1698" s="1">
        <v>2.13337E8</v>
      </c>
      <c r="G1698" s="1">
        <v>1.98646E8</v>
      </c>
      <c r="H1698" s="1">
        <v>2.55274E8</v>
      </c>
      <c r="I1698" s="1">
        <v>8.63934E8</v>
      </c>
      <c r="J1698" s="1">
        <v>2.17074E8</v>
      </c>
      <c r="K1698" s="1">
        <v>2.17074E8</v>
      </c>
      <c r="L1698" s="1">
        <v>-757000.0</v>
      </c>
      <c r="M1698" s="1">
        <v>1.4945E7</v>
      </c>
      <c r="N1698" s="1">
        <v>1.05713E9</v>
      </c>
      <c r="O1698" s="1">
        <v>8.40056E8</v>
      </c>
      <c r="P1698" s="1">
        <v>1.93196E8</v>
      </c>
      <c r="Q1698" s="1">
        <v>-3737000.0</v>
      </c>
      <c r="R1698" s="1">
        <v>1.98392E8</v>
      </c>
      <c r="S1698" s="1">
        <v>1.98646E8</v>
      </c>
      <c r="W1698" s="4" t="str">
        <f>Raw_Data!C1697&amp;"|"&amp;Raw_Data!D1697&amp;"|"&amp;TEXT(Raw_Data!B1697,"yyyy-mm-dd")</f>
        <v>Synchrony Financial|SYF|2020-09-30</v>
      </c>
    </row>
    <row r="1699">
      <c r="A1699" s="1">
        <v>1697.0</v>
      </c>
      <c r="B1699" s="11">
        <v>44316.0</v>
      </c>
      <c r="C1699" s="1" t="s">
        <v>884</v>
      </c>
      <c r="D1699" s="1" t="s">
        <v>885</v>
      </c>
      <c r="E1699" s="1">
        <v>3.62345E8</v>
      </c>
      <c r="F1699" s="1">
        <v>2.15995E8</v>
      </c>
      <c r="G1699" s="1">
        <v>1.95078E8</v>
      </c>
      <c r="H1699" s="1">
        <v>2.45448E8</v>
      </c>
      <c r="I1699" s="1">
        <v>8.21745E8</v>
      </c>
      <c r="J1699" s="1">
        <v>1.94231E8</v>
      </c>
      <c r="K1699" s="1">
        <v>1.94231E8</v>
      </c>
      <c r="L1699" s="1">
        <v>-807000.0</v>
      </c>
      <c r="M1699" s="1">
        <v>2.1193E7</v>
      </c>
      <c r="N1699" s="1">
        <v>1.024323E9</v>
      </c>
      <c r="O1699" s="1">
        <v>8.30092E8</v>
      </c>
      <c r="P1699" s="1">
        <v>2.02578E8</v>
      </c>
      <c r="Q1699" s="1">
        <v>2.1764E7</v>
      </c>
      <c r="R1699" s="1">
        <v>1.94802E8</v>
      </c>
      <c r="S1699" s="1">
        <v>1.95078E8</v>
      </c>
      <c r="W1699" s="4" t="str">
        <f>Raw_Data!C1698&amp;"|"&amp;Raw_Data!D1698&amp;"|"&amp;TEXT(Raw_Data!B1698,"yyyy-mm-dd")</f>
        <v>Synopsys|SNPS|2021-07-31</v>
      </c>
    </row>
    <row r="1700">
      <c r="A1700" s="1">
        <v>1698.0</v>
      </c>
      <c r="B1700" s="11">
        <v>44227.0</v>
      </c>
      <c r="C1700" s="1" t="s">
        <v>884</v>
      </c>
      <c r="D1700" s="1" t="s">
        <v>885</v>
      </c>
      <c r="E1700" s="1">
        <v>3.57468E8</v>
      </c>
      <c r="F1700" s="1">
        <v>1.77104E8</v>
      </c>
      <c r="G1700" s="1">
        <v>1.62345E8</v>
      </c>
      <c r="H1700" s="1">
        <v>2.48116E8</v>
      </c>
      <c r="I1700" s="1">
        <v>7.74208E8</v>
      </c>
      <c r="J1700" s="1">
        <v>1.48348E8</v>
      </c>
      <c r="K1700" s="1">
        <v>1.48348E8</v>
      </c>
      <c r="L1700" s="1">
        <v>-739000.0</v>
      </c>
      <c r="M1700" s="1">
        <v>1.5076E7</v>
      </c>
      <c r="N1700" s="1">
        <v>9.70321E8</v>
      </c>
      <c r="O1700" s="1">
        <v>8.21973E8</v>
      </c>
      <c r="P1700" s="1">
        <v>1.96113E8</v>
      </c>
      <c r="Q1700" s="1">
        <v>2.8756E7</v>
      </c>
      <c r="R1700" s="1">
        <v>1.62028E8</v>
      </c>
      <c r="S1700" s="1">
        <v>1.62345E8</v>
      </c>
      <c r="W1700" s="4" t="str">
        <f>Raw_Data!C1699&amp;"|"&amp;Raw_Data!D1699&amp;"|"&amp;TEXT(Raw_Data!B1699,"yyyy-mm-dd")</f>
        <v>Synopsys|SNPS|2021-04-30</v>
      </c>
    </row>
    <row r="1701">
      <c r="A1701" s="1">
        <v>1699.0</v>
      </c>
      <c r="B1701" s="11">
        <v>44135.0</v>
      </c>
      <c r="C1701" s="1" t="s">
        <v>884</v>
      </c>
      <c r="D1701" s="1" t="s">
        <v>885</v>
      </c>
      <c r="E1701" s="1">
        <v>3.39566E8</v>
      </c>
      <c r="F1701" s="1">
        <v>1.91566E8</v>
      </c>
      <c r="G1701" s="1">
        <v>1.97455E8</v>
      </c>
      <c r="H1701" s="1">
        <v>2.56295E8</v>
      </c>
      <c r="I1701" s="1">
        <v>8.1261E8</v>
      </c>
      <c r="J1701" s="1">
        <v>1.95745E8</v>
      </c>
      <c r="K1701" s="1">
        <v>1.95745E8</v>
      </c>
      <c r="L1701" s="1">
        <v>-750000.0</v>
      </c>
      <c r="M1701" s="1">
        <v>-4989000.0</v>
      </c>
      <c r="N1701" s="1">
        <v>1.025439E9</v>
      </c>
      <c r="O1701" s="1">
        <v>8.29694E8</v>
      </c>
      <c r="P1701" s="1">
        <v>2.12829E8</v>
      </c>
      <c r="Q1701" s="1">
        <v>-4179000.0</v>
      </c>
      <c r="R1701" s="1">
        <v>1.96555E8</v>
      </c>
      <c r="S1701" s="1">
        <v>1.97455E8</v>
      </c>
      <c r="W1701" s="4" t="str">
        <f>Raw_Data!C1700&amp;"|"&amp;Raw_Data!D1700&amp;"|"&amp;TEXT(Raw_Data!B1700,"yyyy-mm-dd")</f>
        <v>Synopsys|SNPS|2021-01-31</v>
      </c>
    </row>
    <row r="1702">
      <c r="A1702" s="1">
        <v>1700.0</v>
      </c>
      <c r="B1702" s="11">
        <v>44282.0</v>
      </c>
      <c r="C1702" s="1" t="s">
        <v>886</v>
      </c>
      <c r="D1702" s="1" t="s">
        <v>887</v>
      </c>
      <c r="F1702" s="1">
        <v>1.02852E8</v>
      </c>
      <c r="G1702" s="1">
        <v>8.8927E7</v>
      </c>
      <c r="H1702" s="1">
        <v>1.908018E9</v>
      </c>
      <c r="I1702" s="1">
        <v>2.122668E9</v>
      </c>
      <c r="J1702" s="1">
        <v>2.26793E8</v>
      </c>
      <c r="K1702" s="1">
        <v>2.26793E8</v>
      </c>
      <c r="L1702" s="1">
        <v>-1.45773E8</v>
      </c>
      <c r="M1702" s="1">
        <v>1.3925E7</v>
      </c>
      <c r="N1702" s="1">
        <v>1.1824589E10</v>
      </c>
      <c r="O1702" s="1">
        <v>1.1597796E10</v>
      </c>
      <c r="P1702" s="1">
        <v>9.701921E9</v>
      </c>
      <c r="Q1702" s="1">
        <v>-1.23941E8</v>
      </c>
      <c r="R1702" s="1">
        <v>8.8927E7</v>
      </c>
      <c r="S1702" s="1">
        <v>8.8927E7</v>
      </c>
      <c r="W1702" s="4" t="str">
        <f>Raw_Data!C1701&amp;"|"&amp;Raw_Data!D1701&amp;"|"&amp;TEXT(Raw_Data!B1701,"yyyy-mm-dd")</f>
        <v>Synopsys|SNPS|2020-10-31</v>
      </c>
    </row>
    <row r="1703">
      <c r="A1703" s="1">
        <v>1701.0</v>
      </c>
      <c r="B1703" s="11">
        <v>44191.0</v>
      </c>
      <c r="C1703" s="1" t="s">
        <v>886</v>
      </c>
      <c r="D1703" s="1" t="s">
        <v>887</v>
      </c>
      <c r="F1703" s="1">
        <v>8.112E7</v>
      </c>
      <c r="G1703" s="1">
        <v>6.7289E7</v>
      </c>
      <c r="H1703" s="1">
        <v>1.923229E9</v>
      </c>
      <c r="I1703" s="1">
        <v>2.098458E9</v>
      </c>
      <c r="J1703" s="1">
        <v>1.75229E8</v>
      </c>
      <c r="K1703" s="1">
        <v>1.75229E8</v>
      </c>
      <c r="L1703" s="1">
        <v>-1.46498E8</v>
      </c>
      <c r="M1703" s="1">
        <v>1.3831E7</v>
      </c>
      <c r="N1703" s="1">
        <v>1.1558982E10</v>
      </c>
      <c r="O1703" s="1">
        <v>1.1383753E10</v>
      </c>
      <c r="P1703" s="1">
        <v>9.460524E9</v>
      </c>
      <c r="Q1703" s="1">
        <v>-9.4109E7</v>
      </c>
      <c r="R1703" s="1">
        <v>6.7289E7</v>
      </c>
      <c r="S1703" s="1">
        <v>6.7289E7</v>
      </c>
      <c r="W1703" s="4" t="str">
        <f>Raw_Data!C1702&amp;"|"&amp;Raw_Data!D1702&amp;"|"&amp;TEXT(Raw_Data!B1702,"yyyy-mm-dd")</f>
        <v>Sysco|SYY|2021-03-27</v>
      </c>
    </row>
    <row r="1704">
      <c r="A1704" s="1">
        <v>1702.0</v>
      </c>
      <c r="B1704" s="11">
        <v>44100.0</v>
      </c>
      <c r="C1704" s="1" t="s">
        <v>886</v>
      </c>
      <c r="D1704" s="1" t="s">
        <v>887</v>
      </c>
      <c r="F1704" s="1">
        <v>2.58738E8</v>
      </c>
      <c r="G1704" s="1">
        <v>2.169E8</v>
      </c>
      <c r="H1704" s="1">
        <v>1.784838E9</v>
      </c>
      <c r="I1704" s="1">
        <v>2.219845E9</v>
      </c>
      <c r="J1704" s="1">
        <v>4.35007E8</v>
      </c>
      <c r="K1704" s="1">
        <v>4.35007E8</v>
      </c>
      <c r="L1704" s="1">
        <v>-1.46717E8</v>
      </c>
      <c r="M1704" s="1">
        <v>4.1838E7</v>
      </c>
      <c r="N1704" s="1">
        <v>1.1777379E10</v>
      </c>
      <c r="O1704" s="1">
        <v>1.1342372E10</v>
      </c>
      <c r="P1704" s="1">
        <v>9.557534E9</v>
      </c>
      <c r="Q1704" s="1">
        <v>-1.76269E8</v>
      </c>
      <c r="R1704" s="1">
        <v>2.169E8</v>
      </c>
      <c r="S1704" s="1">
        <v>2.169E8</v>
      </c>
      <c r="W1704" s="4" t="str">
        <f>Raw_Data!C1703&amp;"|"&amp;Raw_Data!D1703&amp;"|"&amp;TEXT(Raw_Data!B1703,"yyyy-mm-dd")</f>
        <v>Sysco|SYY|2020-12-26</v>
      </c>
    </row>
    <row r="1705">
      <c r="A1705" s="1">
        <v>1703.0</v>
      </c>
      <c r="B1705" s="11">
        <v>44009.0</v>
      </c>
      <c r="C1705" s="1" t="s">
        <v>886</v>
      </c>
      <c r="D1705" s="1" t="s">
        <v>887</v>
      </c>
      <c r="F1705" s="1">
        <v>-7.36245E8</v>
      </c>
      <c r="G1705" s="1">
        <v>-6.18419E8</v>
      </c>
      <c r="H1705" s="1">
        <v>1.589107E9</v>
      </c>
      <c r="I1705" s="1">
        <v>1.565655E9</v>
      </c>
      <c r="J1705" s="1">
        <v>-3.4124E7</v>
      </c>
      <c r="K1705" s="1">
        <v>-3.4124E7</v>
      </c>
      <c r="L1705" s="1">
        <v>-1.64269E8</v>
      </c>
      <c r="M1705" s="1">
        <v>-1.17826E8</v>
      </c>
      <c r="N1705" s="1">
        <v>8.866564E9</v>
      </c>
      <c r="O1705" s="1">
        <v>8.900688E9</v>
      </c>
      <c r="P1705" s="1">
        <v>7.300909E9</v>
      </c>
      <c r="Q1705" s="1">
        <v>-7.02121E8</v>
      </c>
      <c r="R1705" s="1">
        <v>-6.18419E8</v>
      </c>
      <c r="S1705" s="1">
        <v>-6.18419E8</v>
      </c>
      <c r="W1705" s="4" t="str">
        <f>Raw_Data!C1704&amp;"|"&amp;Raw_Data!D1704&amp;"|"&amp;TEXT(Raw_Data!B1704,"yyyy-mm-dd")</f>
        <v>Sysco|SYY|2020-09-26</v>
      </c>
    </row>
    <row r="1706">
      <c r="A1706" s="1">
        <v>1704.0</v>
      </c>
      <c r="B1706" s="11">
        <v>44377.0</v>
      </c>
      <c r="C1706" s="1" t="s">
        <v>888</v>
      </c>
      <c r="D1706" s="1" t="s">
        <v>889</v>
      </c>
      <c r="F1706" s="1">
        <v>1.255E9</v>
      </c>
      <c r="G1706" s="1">
        <v>9.78E8</v>
      </c>
      <c r="H1706" s="1">
        <v>4.572E9</v>
      </c>
      <c r="I1706" s="1">
        <v>1.1366E10</v>
      </c>
      <c r="J1706" s="1">
        <v>2.717E9</v>
      </c>
      <c r="K1706" s="1">
        <v>2.717E9</v>
      </c>
      <c r="L1706" s="1">
        <v>-8.52E8</v>
      </c>
      <c r="M1706" s="1">
        <v>2.77E8</v>
      </c>
      <c r="N1706" s="1">
        <v>1.995E10</v>
      </c>
      <c r="O1706" s="1">
        <v>1.7233E10</v>
      </c>
      <c r="P1706" s="1">
        <v>8.584E9</v>
      </c>
      <c r="Q1706" s="1">
        <v>-1.462E9</v>
      </c>
      <c r="R1706" s="1">
        <v>9.78E8</v>
      </c>
      <c r="S1706" s="1">
        <v>9.78E8</v>
      </c>
      <c r="W1706" s="4" t="str">
        <f>Raw_Data!C1705&amp;"|"&amp;Raw_Data!D1705&amp;"|"&amp;TEXT(Raw_Data!B1705,"yyyy-mm-dd")</f>
        <v>Sysco|SYY|2020-06-27</v>
      </c>
    </row>
    <row r="1707">
      <c r="A1707" s="1">
        <v>1705.0</v>
      </c>
      <c r="B1707" s="11">
        <v>44286.0</v>
      </c>
      <c r="C1707" s="1" t="s">
        <v>888</v>
      </c>
      <c r="D1707" s="1" t="s">
        <v>889</v>
      </c>
      <c r="F1707" s="1">
        <v>1.179E9</v>
      </c>
      <c r="G1707" s="1">
        <v>9.33E8</v>
      </c>
      <c r="H1707" s="1">
        <v>4.66E9</v>
      </c>
      <c r="I1707" s="1">
        <v>1.1386E10</v>
      </c>
      <c r="J1707" s="1">
        <v>2.437E9</v>
      </c>
      <c r="K1707" s="1">
        <v>2.437E9</v>
      </c>
      <c r="L1707" s="1">
        <v>-8.38E8</v>
      </c>
      <c r="M1707" s="1">
        <v>2.46E8</v>
      </c>
      <c r="N1707" s="1">
        <v>1.9759E10</v>
      </c>
      <c r="O1707" s="1">
        <v>1.7322E10</v>
      </c>
      <c r="P1707" s="1">
        <v>8.373E9</v>
      </c>
      <c r="Q1707" s="1">
        <v>-1.258E9</v>
      </c>
      <c r="R1707" s="1">
        <v>9.33E8</v>
      </c>
      <c r="S1707" s="1">
        <v>9.33E8</v>
      </c>
      <c r="W1707" s="4" t="str">
        <f>Raw_Data!C1706&amp;"|"&amp;Raw_Data!D1706&amp;"|"&amp;TEXT(Raw_Data!B1706,"yyyy-mm-dd")</f>
        <v>T-Mobile US|TMUS|2021-06-30</v>
      </c>
    </row>
    <row r="1708">
      <c r="A1708" s="1">
        <v>1706.0</v>
      </c>
      <c r="B1708" s="11">
        <v>44196.0</v>
      </c>
      <c r="C1708" s="1" t="s">
        <v>888</v>
      </c>
      <c r="D1708" s="1" t="s">
        <v>889</v>
      </c>
      <c r="F1708" s="1">
        <v>8.21E8</v>
      </c>
      <c r="G1708" s="1">
        <v>7.5E8</v>
      </c>
      <c r="H1708" s="1">
        <v>4.607E9</v>
      </c>
      <c r="I1708" s="1">
        <v>1.1222E10</v>
      </c>
      <c r="J1708" s="1">
        <v>2.396E9</v>
      </c>
      <c r="K1708" s="1">
        <v>2.396E9</v>
      </c>
      <c r="L1708" s="1">
        <v>-7.98E8</v>
      </c>
      <c r="M1708" s="1">
        <v>7.1E7</v>
      </c>
      <c r="N1708" s="1">
        <v>2.0341E10</v>
      </c>
      <c r="O1708" s="1">
        <v>1.7945E10</v>
      </c>
      <c r="P1708" s="1">
        <v>9.119E9</v>
      </c>
      <c r="Q1708" s="1">
        <v>-1.575E9</v>
      </c>
      <c r="R1708" s="1">
        <v>7.5E8</v>
      </c>
      <c r="S1708" s="1">
        <v>7.5E8</v>
      </c>
      <c r="W1708" s="4" t="str">
        <f>Raw_Data!C1707&amp;"|"&amp;Raw_Data!D1707&amp;"|"&amp;TEXT(Raw_Data!B1707,"yyyy-mm-dd")</f>
        <v>T-Mobile US|TMUS|2021-03-31</v>
      </c>
    </row>
    <row r="1709">
      <c r="A1709" s="1">
        <v>1707.0</v>
      </c>
      <c r="B1709" s="11">
        <v>44104.0</v>
      </c>
      <c r="C1709" s="1" t="s">
        <v>888</v>
      </c>
      <c r="D1709" s="1" t="s">
        <v>889</v>
      </c>
      <c r="F1709" s="1">
        <v>1.66E9</v>
      </c>
      <c r="G1709" s="1">
        <v>1.253E9</v>
      </c>
      <c r="H1709" s="1">
        <v>4.67E9</v>
      </c>
      <c r="I1709" s="1">
        <v>1.167E10</v>
      </c>
      <c r="J1709" s="1">
        <v>2.85E9</v>
      </c>
      <c r="K1709" s="1">
        <v>2.85E9</v>
      </c>
      <c r="L1709" s="1">
        <v>-8.09E8</v>
      </c>
      <c r="M1709" s="1">
        <v>4.07E8</v>
      </c>
      <c r="N1709" s="1">
        <v>1.9272E10</v>
      </c>
      <c r="O1709" s="1">
        <v>1.6422E10</v>
      </c>
      <c r="P1709" s="1">
        <v>7.602E9</v>
      </c>
      <c r="Q1709" s="1">
        <v>-1.19E9</v>
      </c>
      <c r="R1709" s="1">
        <v>1.253E9</v>
      </c>
      <c r="S1709" s="1">
        <v>1.253E9</v>
      </c>
      <c r="W1709" s="4" t="str">
        <f>Raw_Data!C1708&amp;"|"&amp;Raw_Data!D1708&amp;"|"&amp;TEXT(Raw_Data!B1708,"yyyy-mm-dd")</f>
        <v>T-Mobile US|TMUS|2020-12-31</v>
      </c>
    </row>
    <row r="1710">
      <c r="A1710" s="1">
        <v>1708.0</v>
      </c>
      <c r="B1710" s="11">
        <v>44377.0</v>
      </c>
      <c r="C1710" s="1" t="s">
        <v>890</v>
      </c>
      <c r="D1710" s="1" t="s">
        <v>891</v>
      </c>
      <c r="F1710" s="1">
        <v>1.102E9</v>
      </c>
      <c r="G1710" s="1">
        <v>8.157E8</v>
      </c>
      <c r="H1710" s="1">
        <v>2.314E8</v>
      </c>
      <c r="I1710" s="1">
        <v>1.1895E9</v>
      </c>
      <c r="J1710" s="1">
        <v>9.581E8</v>
      </c>
      <c r="K1710" s="1">
        <v>9.581E8</v>
      </c>
      <c r="M1710" s="1">
        <v>2.593E8</v>
      </c>
      <c r="N1710" s="1">
        <v>1.9293E9</v>
      </c>
      <c r="O1710" s="1">
        <v>9.712E8</v>
      </c>
      <c r="P1710" s="1">
        <v>7.398E8</v>
      </c>
      <c r="Q1710" s="1">
        <v>1.439E8</v>
      </c>
      <c r="R1710" s="1">
        <v>8.427E8</v>
      </c>
      <c r="S1710" s="1">
        <v>7.935E8</v>
      </c>
      <c r="W1710" s="4" t="str">
        <f>Raw_Data!C1709&amp;"|"&amp;Raw_Data!D1709&amp;"|"&amp;TEXT(Raw_Data!B1709,"yyyy-mm-dd")</f>
        <v>T-Mobile US|TMUS|2020-09-30</v>
      </c>
    </row>
    <row r="1711">
      <c r="A1711" s="1">
        <v>1709.0</v>
      </c>
      <c r="B1711" s="11">
        <v>44286.0</v>
      </c>
      <c r="C1711" s="1" t="s">
        <v>890</v>
      </c>
      <c r="D1711" s="1" t="s">
        <v>891</v>
      </c>
      <c r="F1711" s="1">
        <v>9.953E8</v>
      </c>
      <c r="G1711" s="1">
        <v>7.494E8</v>
      </c>
      <c r="H1711" s="1">
        <v>2.235E8</v>
      </c>
      <c r="I1711" s="1">
        <v>1.1167E9</v>
      </c>
      <c r="J1711" s="1">
        <v>8.932E8</v>
      </c>
      <c r="K1711" s="1">
        <v>8.932E8</v>
      </c>
      <c r="M1711" s="1">
        <v>2.305E8</v>
      </c>
      <c r="N1711" s="1">
        <v>1.8268E9</v>
      </c>
      <c r="O1711" s="1">
        <v>9.336E8</v>
      </c>
      <c r="P1711" s="1">
        <v>7.101E8</v>
      </c>
      <c r="Q1711" s="1">
        <v>1.021E8</v>
      </c>
      <c r="R1711" s="1">
        <v>7.648E8</v>
      </c>
      <c r="S1711" s="1">
        <v>7.295E8</v>
      </c>
      <c r="W1711" s="4" t="str">
        <f>Raw_Data!C1710&amp;"|"&amp;Raw_Data!D1710&amp;"|"&amp;TEXT(Raw_Data!B1710,"yyyy-mm-dd")</f>
        <v>T. Rowe Price|TROW|2021-06-30</v>
      </c>
    </row>
    <row r="1712">
      <c r="A1712" s="1">
        <v>1710.0</v>
      </c>
      <c r="B1712" s="11">
        <v>44196.0</v>
      </c>
      <c r="C1712" s="1" t="s">
        <v>890</v>
      </c>
      <c r="D1712" s="1" t="s">
        <v>891</v>
      </c>
      <c r="F1712" s="1">
        <v>1.146E9</v>
      </c>
      <c r="G1712" s="1">
        <v>7.834E8</v>
      </c>
      <c r="H1712" s="1">
        <v>2.218E8</v>
      </c>
      <c r="I1712" s="1">
        <v>9.777E8</v>
      </c>
      <c r="J1712" s="1">
        <v>7.559E8</v>
      </c>
      <c r="K1712" s="1">
        <v>7.559E8</v>
      </c>
      <c r="M1712" s="1">
        <v>2.164E8</v>
      </c>
      <c r="N1712" s="1">
        <v>1.7329E9</v>
      </c>
      <c r="O1712" s="1">
        <v>9.77E8</v>
      </c>
      <c r="P1712" s="1">
        <v>7.552E8</v>
      </c>
      <c r="Q1712" s="1">
        <v>3.901E8</v>
      </c>
      <c r="R1712" s="1">
        <v>9.296E8</v>
      </c>
      <c r="S1712" s="1">
        <v>7.622E8</v>
      </c>
      <c r="W1712" s="4" t="str">
        <f>Raw_Data!C1711&amp;"|"&amp;Raw_Data!D1711&amp;"|"&amp;TEXT(Raw_Data!B1711,"yyyy-mm-dd")</f>
        <v>T. Rowe Price|TROW|2021-03-31</v>
      </c>
    </row>
    <row r="1713">
      <c r="A1713" s="1">
        <v>1711.0</v>
      </c>
      <c r="B1713" s="11">
        <v>44104.0</v>
      </c>
      <c r="C1713" s="1" t="s">
        <v>890</v>
      </c>
      <c r="D1713" s="1" t="s">
        <v>891</v>
      </c>
      <c r="F1713" s="1">
        <v>9.205E8</v>
      </c>
      <c r="G1713" s="1">
        <v>6.432E8</v>
      </c>
      <c r="H1713" s="1">
        <v>2.043E8</v>
      </c>
      <c r="I1713" s="1">
        <v>9.332E8</v>
      </c>
      <c r="J1713" s="1">
        <v>7.289E8</v>
      </c>
      <c r="K1713" s="1">
        <v>7.289E8</v>
      </c>
      <c r="M1713" s="1">
        <v>2.219E8</v>
      </c>
      <c r="N1713" s="1">
        <v>1.5958E9</v>
      </c>
      <c r="O1713" s="1">
        <v>8.669E8</v>
      </c>
      <c r="P1713" s="1">
        <v>6.626E8</v>
      </c>
      <c r="Q1713" s="1">
        <v>1.916E8</v>
      </c>
      <c r="R1713" s="1">
        <v>6.986E8</v>
      </c>
      <c r="S1713" s="1">
        <v>6.253E8</v>
      </c>
      <c r="W1713" s="4" t="str">
        <f>Raw_Data!C1712&amp;"|"&amp;Raw_Data!D1712&amp;"|"&amp;TEXT(Raw_Data!B1712,"yyyy-mm-dd")</f>
        <v>T. Rowe Price|TROW|2020-12-31</v>
      </c>
    </row>
    <row r="1714">
      <c r="A1714" s="1">
        <v>1712.0</v>
      </c>
      <c r="B1714" s="11">
        <v>44469.0</v>
      </c>
      <c r="C1714" s="1" t="s">
        <v>892</v>
      </c>
      <c r="D1714" s="1" t="s">
        <v>893</v>
      </c>
      <c r="E1714" s="1">
        <v>1.01508E8</v>
      </c>
      <c r="F1714" s="1">
        <v>1.9974E7</v>
      </c>
      <c r="G1714" s="1">
        <v>1.0297E7</v>
      </c>
      <c r="H1714" s="1">
        <v>2.40401E8</v>
      </c>
      <c r="I1714" s="1">
        <v>4.56794E8</v>
      </c>
      <c r="J1714" s="1">
        <v>9.8704E7</v>
      </c>
      <c r="K1714" s="1">
        <v>9.8704E7</v>
      </c>
      <c r="L1714" s="1">
        <v>-113000.0</v>
      </c>
      <c r="M1714" s="1">
        <v>9677000.0</v>
      </c>
      <c r="N1714" s="1">
        <v>8.58198E8</v>
      </c>
      <c r="O1714" s="1">
        <v>7.59494E8</v>
      </c>
      <c r="P1714" s="1">
        <v>4.01404E8</v>
      </c>
      <c r="Q1714" s="1">
        <v>-7.873E7</v>
      </c>
      <c r="R1714" s="1">
        <v>1.0297E7</v>
      </c>
      <c r="S1714" s="1">
        <v>1.0297E7</v>
      </c>
      <c r="W1714" s="4" t="str">
        <f>Raw_Data!C1713&amp;"|"&amp;Raw_Data!D1713&amp;"|"&amp;TEXT(Raw_Data!B1713,"yyyy-mm-dd")</f>
        <v>T. Rowe Price|TROW|2020-09-30</v>
      </c>
    </row>
    <row r="1715">
      <c r="A1715" s="1">
        <v>1713.0</v>
      </c>
      <c r="B1715" s="11">
        <v>44377.0</v>
      </c>
      <c r="C1715" s="1" t="s">
        <v>892</v>
      </c>
      <c r="D1715" s="1" t="s">
        <v>893</v>
      </c>
      <c r="E1715" s="1">
        <v>9.2294E7</v>
      </c>
      <c r="F1715" s="1">
        <v>1.71444E8</v>
      </c>
      <c r="G1715" s="1">
        <v>1.52256E8</v>
      </c>
      <c r="H1715" s="1">
        <v>2.06298E8</v>
      </c>
      <c r="I1715" s="1">
        <v>4.93402E8</v>
      </c>
      <c r="J1715" s="1">
        <v>1.82345E8</v>
      </c>
      <c r="K1715" s="1">
        <v>1.82345E8</v>
      </c>
      <c r="L1715" s="1">
        <v>-145000.0</v>
      </c>
      <c r="M1715" s="1">
        <v>1.9188E7</v>
      </c>
      <c r="N1715" s="1">
        <v>8.13346E8</v>
      </c>
      <c r="O1715" s="1">
        <v>6.31001E8</v>
      </c>
      <c r="P1715" s="1">
        <v>3.19944E8</v>
      </c>
      <c r="Q1715" s="1">
        <v>-1.0901E7</v>
      </c>
      <c r="R1715" s="1">
        <v>1.52256E8</v>
      </c>
      <c r="S1715" s="1">
        <v>1.52256E8</v>
      </c>
      <c r="W1715" s="4" t="str">
        <f>Raw_Data!C1714&amp;"|"&amp;Raw_Data!D1714&amp;"|"&amp;TEXT(Raw_Data!B1714,"yyyy-mm-dd")</f>
        <v>Take-Two Interactive|TTWO|2021-09-30</v>
      </c>
    </row>
    <row r="1716">
      <c r="A1716" s="1">
        <v>1714.0</v>
      </c>
      <c r="B1716" s="11">
        <v>44286.0</v>
      </c>
      <c r="C1716" s="1" t="s">
        <v>892</v>
      </c>
      <c r="D1716" s="1" t="s">
        <v>893</v>
      </c>
      <c r="E1716" s="1">
        <v>8.3559E7</v>
      </c>
      <c r="F1716" s="1">
        <v>2.53591E8</v>
      </c>
      <c r="G1716" s="1">
        <v>2.18812E8</v>
      </c>
      <c r="H1716" s="1">
        <v>2.05062E8</v>
      </c>
      <c r="I1716" s="1">
        <v>5.7363E8</v>
      </c>
      <c r="J1716" s="1">
        <v>2.69529E8</v>
      </c>
      <c r="K1716" s="1">
        <v>2.69529E8</v>
      </c>
      <c r="L1716" s="1">
        <v>-5902000.0</v>
      </c>
      <c r="M1716" s="1">
        <v>3.4779E7</v>
      </c>
      <c r="N1716" s="1">
        <v>8.39431E8</v>
      </c>
      <c r="O1716" s="1">
        <v>5.69902E8</v>
      </c>
      <c r="P1716" s="1">
        <v>2.65801E8</v>
      </c>
      <c r="Q1716" s="1">
        <v>-1.5938E7</v>
      </c>
      <c r="R1716" s="1">
        <v>2.18812E8</v>
      </c>
      <c r="S1716" s="1">
        <v>2.18812E8</v>
      </c>
      <c r="W1716" s="4" t="str">
        <f>Raw_Data!C1715&amp;"|"&amp;Raw_Data!D1715&amp;"|"&amp;TEXT(Raw_Data!B1715,"yyyy-mm-dd")</f>
        <v>Take-Two Interactive|TTWO|2021-06-30</v>
      </c>
    </row>
    <row r="1717">
      <c r="A1717" s="1">
        <v>1715.0</v>
      </c>
      <c r="B1717" s="11">
        <v>44196.0</v>
      </c>
      <c r="C1717" s="1" t="s">
        <v>892</v>
      </c>
      <c r="D1717" s="1" t="s">
        <v>893</v>
      </c>
      <c r="E1717" s="1">
        <v>8.6428E7</v>
      </c>
      <c r="F1717" s="1">
        <v>2.16446E8</v>
      </c>
      <c r="G1717" s="1">
        <v>1.82248E8</v>
      </c>
      <c r="H1717" s="1">
        <v>2.38489E8</v>
      </c>
      <c r="I1717" s="1">
        <v>5.20177E8</v>
      </c>
      <c r="J1717" s="1">
        <v>1.81253E8</v>
      </c>
      <c r="K1717" s="1">
        <v>1.81253E8</v>
      </c>
      <c r="L1717" s="1">
        <v>-141000.0</v>
      </c>
      <c r="M1717" s="1">
        <v>3.4198E7</v>
      </c>
      <c r="N1717" s="1">
        <v>8.60889E8</v>
      </c>
      <c r="O1717" s="1">
        <v>6.79636E8</v>
      </c>
      <c r="P1717" s="1">
        <v>3.40712E8</v>
      </c>
      <c r="Q1717" s="1">
        <v>3.5193E7</v>
      </c>
      <c r="R1717" s="1">
        <v>1.82248E8</v>
      </c>
      <c r="S1717" s="1">
        <v>1.82248E8</v>
      </c>
      <c r="W1717" s="4" t="str">
        <f>Raw_Data!C1716&amp;"|"&amp;Raw_Data!D1716&amp;"|"&amp;TEXT(Raw_Data!B1716,"yyyy-mm-dd")</f>
        <v>Take-Two Interactive|TTWO|2021-03-31</v>
      </c>
    </row>
    <row r="1718">
      <c r="A1718" s="1">
        <v>1716.0</v>
      </c>
      <c r="B1718" s="11">
        <v>44380.0</v>
      </c>
      <c r="C1718" s="1" t="s">
        <v>894</v>
      </c>
      <c r="D1718" s="1" t="s">
        <v>895</v>
      </c>
      <c r="F1718" s="1">
        <v>2.422E8</v>
      </c>
      <c r="G1718" s="1">
        <v>1.998E8</v>
      </c>
      <c r="H1718" s="1">
        <v>8.855E8</v>
      </c>
      <c r="I1718" s="1">
        <v>1.158E9</v>
      </c>
      <c r="J1718" s="1">
        <v>2.725E8</v>
      </c>
      <c r="K1718" s="1">
        <v>2.725E8</v>
      </c>
      <c r="L1718" s="1">
        <v>-1.71E7</v>
      </c>
      <c r="M1718" s="1">
        <v>4.24E7</v>
      </c>
      <c r="N1718" s="1">
        <v>1.6154E9</v>
      </c>
      <c r="O1718" s="1">
        <v>1.3429E9</v>
      </c>
      <c r="P1718" s="1">
        <v>4.574E8</v>
      </c>
      <c r="Q1718" s="1">
        <v>-3.03E7</v>
      </c>
      <c r="R1718" s="1">
        <v>1.998E8</v>
      </c>
      <c r="S1718" s="1">
        <v>1.998E8</v>
      </c>
      <c r="W1718" s="4" t="str">
        <f>Raw_Data!C1717&amp;"|"&amp;Raw_Data!D1717&amp;"|"&amp;TEXT(Raw_Data!B1717,"yyyy-mm-dd")</f>
        <v>Take-Two Interactive|TTWO|2020-12-31</v>
      </c>
    </row>
    <row r="1719">
      <c r="A1719" s="1">
        <v>1717.0</v>
      </c>
      <c r="B1719" s="11">
        <v>44282.0</v>
      </c>
      <c r="C1719" s="1" t="s">
        <v>894</v>
      </c>
      <c r="D1719" s="1" t="s">
        <v>895</v>
      </c>
      <c r="F1719" s="1">
        <v>9.54E7</v>
      </c>
      <c r="G1719" s="1">
        <v>9.17E7</v>
      </c>
      <c r="H1719" s="1">
        <v>7.29E8</v>
      </c>
      <c r="I1719" s="1">
        <v>9.119E8</v>
      </c>
      <c r="J1719" s="1">
        <v>1.829E8</v>
      </c>
      <c r="K1719" s="1">
        <v>1.829E8</v>
      </c>
      <c r="L1719" s="1">
        <v>-1.74E7</v>
      </c>
      <c r="M1719" s="1">
        <v>3700000.0</v>
      </c>
      <c r="N1719" s="1">
        <v>1.2733E9</v>
      </c>
      <c r="O1719" s="1">
        <v>1.0904E9</v>
      </c>
      <c r="P1719" s="1">
        <v>3.614E8</v>
      </c>
      <c r="Q1719" s="1">
        <v>-8.75E7</v>
      </c>
      <c r="R1719" s="1">
        <v>9.17E7</v>
      </c>
      <c r="S1719" s="1">
        <v>9.17E7</v>
      </c>
      <c r="W1719" s="4" t="str">
        <f>Raw_Data!C1718&amp;"|"&amp;Raw_Data!D1718&amp;"|"&amp;TEXT(Raw_Data!B1718,"yyyy-mm-dd")</f>
        <v>Tapestry|TPR|2021-07-03</v>
      </c>
    </row>
    <row r="1720">
      <c r="A1720" s="1">
        <v>1718.0</v>
      </c>
      <c r="B1720" s="11">
        <v>44191.0</v>
      </c>
      <c r="C1720" s="1" t="s">
        <v>894</v>
      </c>
      <c r="D1720" s="1" t="s">
        <v>895</v>
      </c>
      <c r="F1720" s="1">
        <v>3.743E8</v>
      </c>
      <c r="G1720" s="1">
        <v>3.11E8</v>
      </c>
      <c r="H1720" s="1">
        <v>7.626E8</v>
      </c>
      <c r="I1720" s="1">
        <v>1.1737E9</v>
      </c>
      <c r="J1720" s="1">
        <v>4.111E8</v>
      </c>
      <c r="K1720" s="1">
        <v>4.111E8</v>
      </c>
      <c r="L1720" s="1">
        <v>-1.94E7</v>
      </c>
      <c r="M1720" s="1">
        <v>6.33E7</v>
      </c>
      <c r="N1720" s="1">
        <v>1.6854E9</v>
      </c>
      <c r="O1720" s="1">
        <v>1.2743E9</v>
      </c>
      <c r="P1720" s="1">
        <v>5.117E8</v>
      </c>
      <c r="Q1720" s="1">
        <v>-3.68E7</v>
      </c>
      <c r="R1720" s="1">
        <v>3.11E8</v>
      </c>
      <c r="S1720" s="1">
        <v>3.11E8</v>
      </c>
      <c r="W1720" s="4" t="str">
        <f>Raw_Data!C1719&amp;"|"&amp;Raw_Data!D1719&amp;"|"&amp;TEXT(Raw_Data!B1719,"yyyy-mm-dd")</f>
        <v>Tapestry|TPR|2021-03-27</v>
      </c>
    </row>
    <row r="1721">
      <c r="A1721" s="1">
        <v>1719.0</v>
      </c>
      <c r="B1721" s="11">
        <v>44100.0</v>
      </c>
      <c r="C1721" s="1" t="s">
        <v>894</v>
      </c>
      <c r="D1721" s="1" t="s">
        <v>895</v>
      </c>
      <c r="F1721" s="1">
        <v>1.854E8</v>
      </c>
      <c r="G1721" s="1">
        <v>2.317E8</v>
      </c>
      <c r="H1721" s="1">
        <v>6.014E8</v>
      </c>
      <c r="I1721" s="1">
        <v>8.302E8</v>
      </c>
      <c r="J1721" s="1">
        <v>2.288E8</v>
      </c>
      <c r="K1721" s="1">
        <v>2.288E8</v>
      </c>
      <c r="L1721" s="1">
        <v>-2.02E7</v>
      </c>
      <c r="M1721" s="1">
        <v>-4.63E7</v>
      </c>
      <c r="N1721" s="1">
        <v>1.1722E9</v>
      </c>
      <c r="O1721" s="1">
        <v>9.434E8</v>
      </c>
      <c r="P1721" s="1">
        <v>3.42E8</v>
      </c>
      <c r="Q1721" s="1">
        <v>-4.34E7</v>
      </c>
      <c r="R1721" s="1">
        <v>2.317E8</v>
      </c>
      <c r="S1721" s="1">
        <v>2.317E8</v>
      </c>
      <c r="W1721" s="4" t="str">
        <f>Raw_Data!C1720&amp;"|"&amp;Raw_Data!D1720&amp;"|"&amp;TEXT(Raw_Data!B1720,"yyyy-mm-dd")</f>
        <v>Tapestry|TPR|2020-12-26</v>
      </c>
    </row>
    <row r="1722">
      <c r="A1722" s="1">
        <v>1720.0</v>
      </c>
      <c r="B1722" s="11">
        <v>44408.0</v>
      </c>
      <c r="C1722" s="1" t="s">
        <v>896</v>
      </c>
      <c r="D1722" s="1" t="s">
        <v>897</v>
      </c>
      <c r="F1722" s="1">
        <v>2.37E9</v>
      </c>
      <c r="G1722" s="1">
        <v>1.817E9</v>
      </c>
      <c r="H1722" s="1">
        <v>4.802E9</v>
      </c>
      <c r="I1722" s="1">
        <v>7.88E9</v>
      </c>
      <c r="J1722" s="1">
        <v>2.514E9</v>
      </c>
      <c r="K1722" s="1">
        <v>2.514E9</v>
      </c>
      <c r="L1722" s="1">
        <v>-1.04E8</v>
      </c>
      <c r="M1722" s="1">
        <v>5.53E8</v>
      </c>
      <c r="N1722" s="1">
        <v>2.516E10</v>
      </c>
      <c r="O1722" s="1">
        <v>2.2646E10</v>
      </c>
      <c r="P1722" s="1">
        <v>1.728E10</v>
      </c>
      <c r="Q1722" s="1">
        <v>-1.44E8</v>
      </c>
      <c r="R1722" s="1">
        <v>1.817E9</v>
      </c>
      <c r="S1722" s="1">
        <v>1.817E9</v>
      </c>
      <c r="W1722" s="4" t="str">
        <f>Raw_Data!C1721&amp;"|"&amp;Raw_Data!D1721&amp;"|"&amp;TEXT(Raw_Data!B1721,"yyyy-mm-dd")</f>
        <v>Tapestry|TPR|2020-09-26</v>
      </c>
    </row>
    <row r="1723">
      <c r="A1723" s="1">
        <v>1721.0</v>
      </c>
      <c r="B1723" s="11">
        <v>44317.0</v>
      </c>
      <c r="C1723" s="1" t="s">
        <v>896</v>
      </c>
      <c r="D1723" s="1" t="s">
        <v>897</v>
      </c>
      <c r="F1723" s="1">
        <v>2.609E9</v>
      </c>
      <c r="G1723" s="1">
        <v>2.097E9</v>
      </c>
      <c r="H1723" s="1">
        <v>4.462E9</v>
      </c>
      <c r="I1723" s="1">
        <v>7.481E9</v>
      </c>
      <c r="J1723" s="1">
        <v>2.421E9</v>
      </c>
      <c r="K1723" s="1">
        <v>2.421E9</v>
      </c>
      <c r="L1723" s="1">
        <v>-1.08E8</v>
      </c>
      <c r="M1723" s="1">
        <v>5.12E8</v>
      </c>
      <c r="N1723" s="1">
        <v>2.4197E10</v>
      </c>
      <c r="O1723" s="1">
        <v>2.1776E10</v>
      </c>
      <c r="P1723" s="1">
        <v>1.6716E10</v>
      </c>
      <c r="Q1723" s="1">
        <v>1.88E8</v>
      </c>
      <c r="R1723" s="1">
        <v>2.097E9</v>
      </c>
      <c r="S1723" s="1">
        <v>2.097E9</v>
      </c>
      <c r="W1723" s="4" t="str">
        <f>Raw_Data!C1722&amp;"|"&amp;Raw_Data!D1722&amp;"|"&amp;TEXT(Raw_Data!B1722,"yyyy-mm-dd")</f>
        <v>Target Corporation|TGT|2021-07-31</v>
      </c>
    </row>
    <row r="1724">
      <c r="A1724" s="1">
        <v>1722.0</v>
      </c>
      <c r="B1724" s="11">
        <v>44226.0</v>
      </c>
      <c r="C1724" s="1" t="s">
        <v>896</v>
      </c>
      <c r="D1724" s="1" t="s">
        <v>897</v>
      </c>
      <c r="F1724" s="1">
        <v>1.73E9</v>
      </c>
      <c r="G1724" s="1">
        <v>1.38E9</v>
      </c>
      <c r="H1724" s="1">
        <v>5.446E9</v>
      </c>
      <c r="I1724" s="1">
        <v>7.638E9</v>
      </c>
      <c r="J1724" s="1">
        <v>1.622E9</v>
      </c>
      <c r="K1724" s="1">
        <v>1.622E9</v>
      </c>
      <c r="L1724" s="1">
        <v>-1.06E8</v>
      </c>
      <c r="M1724" s="1">
        <v>3.5E8</v>
      </c>
      <c r="N1724" s="1">
        <v>2.8339E10</v>
      </c>
      <c r="O1724" s="1">
        <v>2.6717E10</v>
      </c>
      <c r="P1724" s="1">
        <v>2.0701E10</v>
      </c>
      <c r="Q1724" s="1">
        <v>1.08E8</v>
      </c>
      <c r="R1724" s="1">
        <v>1.38E9</v>
      </c>
      <c r="S1724" s="1">
        <v>1.38E9</v>
      </c>
      <c r="W1724" s="4" t="str">
        <f>Raw_Data!C1723&amp;"|"&amp;Raw_Data!D1723&amp;"|"&amp;TEXT(Raw_Data!B1723,"yyyy-mm-dd")</f>
        <v>Target Corporation|TGT|2021-05-01</v>
      </c>
    </row>
    <row r="1725">
      <c r="A1725" s="1">
        <v>1723.0</v>
      </c>
      <c r="B1725" s="11">
        <v>44135.0</v>
      </c>
      <c r="C1725" s="1" t="s">
        <v>896</v>
      </c>
      <c r="D1725" s="1" t="s">
        <v>897</v>
      </c>
      <c r="F1725" s="1">
        <v>1.298E9</v>
      </c>
      <c r="G1725" s="1">
        <v>1.014E9</v>
      </c>
      <c r="H1725" s="1">
        <v>4.644E9</v>
      </c>
      <c r="I1725" s="1">
        <v>7.123E9</v>
      </c>
      <c r="J1725" s="1">
        <v>1.938E9</v>
      </c>
      <c r="K1725" s="1">
        <v>1.938E9</v>
      </c>
      <c r="L1725" s="1">
        <v>-1.2E8</v>
      </c>
      <c r="M1725" s="1">
        <v>2.84E8</v>
      </c>
      <c r="N1725" s="1">
        <v>2.2632E10</v>
      </c>
      <c r="O1725" s="1">
        <v>2.0694E10</v>
      </c>
      <c r="P1725" s="1">
        <v>1.5509E10</v>
      </c>
      <c r="Q1725" s="1">
        <v>-6.4E8</v>
      </c>
      <c r="R1725" s="1">
        <v>1.014E9</v>
      </c>
      <c r="S1725" s="1">
        <v>1.014E9</v>
      </c>
      <c r="W1725" s="4" t="str">
        <f>Raw_Data!C1724&amp;"|"&amp;Raw_Data!D1724&amp;"|"&amp;TEXT(Raw_Data!B1724,"yyyy-mm-dd")</f>
        <v>Target Corporation|TGT|2021-01-30</v>
      </c>
    </row>
    <row r="1726">
      <c r="A1726" s="1">
        <v>1724.0</v>
      </c>
      <c r="B1726" s="11">
        <v>44372.0</v>
      </c>
      <c r="C1726" s="1" t="s">
        <v>898</v>
      </c>
      <c r="D1726" s="1" t="s">
        <v>899</v>
      </c>
      <c r="E1726" s="1">
        <v>1.68E8</v>
      </c>
      <c r="F1726" s="1">
        <v>7.05E8</v>
      </c>
      <c r="G1726" s="1">
        <v>5.8E8</v>
      </c>
      <c r="H1726" s="1">
        <v>3.62E8</v>
      </c>
      <c r="I1726" s="1">
        <v>1.268E9</v>
      </c>
      <c r="J1726" s="1">
        <v>7.37E8</v>
      </c>
      <c r="K1726" s="1">
        <v>7.37E8</v>
      </c>
      <c r="L1726" s="1">
        <v>-1.4E7</v>
      </c>
      <c r="M1726" s="1">
        <v>1.24E8</v>
      </c>
      <c r="N1726" s="1">
        <v>3.845E9</v>
      </c>
      <c r="O1726" s="1">
        <v>3.108E9</v>
      </c>
      <c r="P1726" s="1">
        <v>2.577E9</v>
      </c>
      <c r="Q1726" s="1">
        <v>-3.2E7</v>
      </c>
      <c r="R1726" s="1">
        <v>5.81E8</v>
      </c>
      <c r="S1726" s="1">
        <v>5.8E8</v>
      </c>
      <c r="W1726" s="4" t="str">
        <f>Raw_Data!C1725&amp;"|"&amp;Raw_Data!D1725&amp;"|"&amp;TEXT(Raw_Data!B1725,"yyyy-mm-dd")</f>
        <v>Target Corporation|TGT|2020-10-31</v>
      </c>
    </row>
    <row r="1727">
      <c r="A1727" s="1">
        <v>1725.0</v>
      </c>
      <c r="B1727" s="11">
        <v>44281.0</v>
      </c>
      <c r="C1727" s="1" t="s">
        <v>898</v>
      </c>
      <c r="D1727" s="1" t="s">
        <v>899</v>
      </c>
      <c r="E1727" s="1">
        <v>1.74E8</v>
      </c>
      <c r="F1727" s="1">
        <v>6.11E8</v>
      </c>
      <c r="G1727" s="1">
        <v>5.06E8</v>
      </c>
      <c r="H1727" s="1">
        <v>3.97E8</v>
      </c>
      <c r="I1727" s="1">
        <v>1.21E9</v>
      </c>
      <c r="J1727" s="1">
        <v>6.37E8</v>
      </c>
      <c r="K1727" s="1">
        <v>6.37E8</v>
      </c>
      <c r="L1727" s="1">
        <v>-1.3E7</v>
      </c>
      <c r="M1727" s="1">
        <v>1.06E8</v>
      </c>
      <c r="N1727" s="1">
        <v>3.738E9</v>
      </c>
      <c r="O1727" s="1">
        <v>3.101E9</v>
      </c>
      <c r="P1727" s="1">
        <v>2.528E9</v>
      </c>
      <c r="Q1727" s="1">
        <v>-2.6E7</v>
      </c>
      <c r="R1727" s="1">
        <v>5.05E8</v>
      </c>
      <c r="S1727" s="1">
        <v>5.06E8</v>
      </c>
      <c r="W1727" s="4" t="str">
        <f>Raw_Data!C1726&amp;"|"&amp;Raw_Data!D1726&amp;"|"&amp;TEXT(Raw_Data!B1726,"yyyy-mm-dd")</f>
        <v>TE Connectivity|TEL|2021-06-25</v>
      </c>
    </row>
    <row r="1728">
      <c r="A1728" s="1">
        <v>1726.0</v>
      </c>
      <c r="B1728" s="11">
        <v>44190.0</v>
      </c>
      <c r="C1728" s="1" t="s">
        <v>898</v>
      </c>
      <c r="D1728" s="1" t="s">
        <v>899</v>
      </c>
      <c r="E1728" s="1">
        <v>1.62E8</v>
      </c>
      <c r="F1728" s="1">
        <v>4.35E8</v>
      </c>
      <c r="G1728" s="1">
        <v>3.81E8</v>
      </c>
      <c r="H1728" s="1">
        <v>3.58E8</v>
      </c>
      <c r="I1728" s="1">
        <v>1.146E9</v>
      </c>
      <c r="J1728" s="1">
        <v>6.08E8</v>
      </c>
      <c r="K1728" s="1">
        <v>6.08E8</v>
      </c>
      <c r="L1728" s="1">
        <v>-1.5E7</v>
      </c>
      <c r="M1728" s="1">
        <v>6.0E7</v>
      </c>
      <c r="N1728" s="1">
        <v>3.522E9</v>
      </c>
      <c r="O1728" s="1">
        <v>2.914E9</v>
      </c>
      <c r="P1728" s="1">
        <v>2.376E9</v>
      </c>
      <c r="Q1728" s="1">
        <v>-1.73E8</v>
      </c>
      <c r="R1728" s="1">
        <v>3.75E8</v>
      </c>
      <c r="S1728" s="1">
        <v>3.81E8</v>
      </c>
      <c r="W1728" s="4" t="str">
        <f>Raw_Data!C1727&amp;"|"&amp;Raw_Data!D1727&amp;"|"&amp;TEXT(Raw_Data!B1727,"yyyy-mm-dd")</f>
        <v>TE Connectivity|TEL|2021-03-26</v>
      </c>
    </row>
    <row r="1729">
      <c r="A1729" s="1">
        <v>1727.0</v>
      </c>
      <c r="B1729" s="11">
        <v>44099.0</v>
      </c>
      <c r="C1729" s="1" t="s">
        <v>898</v>
      </c>
      <c r="D1729" s="1" t="s">
        <v>899</v>
      </c>
      <c r="E1729" s="1">
        <v>1.48E8</v>
      </c>
      <c r="F1729" s="1">
        <v>3.37E8</v>
      </c>
      <c r="G1729" s="1">
        <v>2.3E8</v>
      </c>
      <c r="H1729" s="1">
        <v>3.52E8</v>
      </c>
      <c r="I1729" s="1">
        <v>9.69E8</v>
      </c>
      <c r="J1729" s="1">
        <v>4.69E8</v>
      </c>
      <c r="K1729" s="1">
        <v>4.69E8</v>
      </c>
      <c r="L1729" s="1">
        <v>-1.2E7</v>
      </c>
      <c r="M1729" s="1">
        <v>1.09E8</v>
      </c>
      <c r="N1729" s="1">
        <v>3.261E9</v>
      </c>
      <c r="O1729" s="1">
        <v>2.792E9</v>
      </c>
      <c r="P1729" s="1">
        <v>2.292E9</v>
      </c>
      <c r="Q1729" s="1">
        <v>-1.32E8</v>
      </c>
      <c r="R1729" s="1">
        <v>2.28E8</v>
      </c>
      <c r="S1729" s="1">
        <v>2.3E8</v>
      </c>
      <c r="W1729" s="4" t="str">
        <f>Raw_Data!C1728&amp;"|"&amp;Raw_Data!D1728&amp;"|"&amp;TEXT(Raw_Data!B1728,"yyyy-mm-dd")</f>
        <v>TE Connectivity|TEL|2020-12-25</v>
      </c>
    </row>
    <row r="1730">
      <c r="A1730" s="1">
        <v>1728.0</v>
      </c>
      <c r="B1730" s="11">
        <v>44381.0</v>
      </c>
      <c r="C1730" s="1" t="s">
        <v>900</v>
      </c>
      <c r="D1730" s="1" t="s">
        <v>901</v>
      </c>
      <c r="F1730" s="1">
        <v>9.21E7</v>
      </c>
      <c r="G1730" s="1">
        <v>6.47E7</v>
      </c>
      <c r="H1730" s="1">
        <v>2.237E8</v>
      </c>
      <c r="I1730" s="1">
        <v>4.816E8</v>
      </c>
      <c r="J1730" s="1">
        <v>2.251E8</v>
      </c>
      <c r="K1730" s="1">
        <v>2.251E8</v>
      </c>
      <c r="L1730" s="1">
        <v>-2.12E7</v>
      </c>
      <c r="M1730" s="1">
        <v>2.74E7</v>
      </c>
      <c r="N1730" s="1">
        <v>1.121E9</v>
      </c>
      <c r="O1730" s="1">
        <v>8.959E8</v>
      </c>
      <c r="P1730" s="1">
        <v>6.394E8</v>
      </c>
      <c r="Q1730" s="1">
        <v>-1.33E8</v>
      </c>
      <c r="R1730" s="1">
        <v>6.47E7</v>
      </c>
      <c r="S1730" s="1">
        <v>6.47E7</v>
      </c>
      <c r="W1730" s="4" t="str">
        <f>Raw_Data!C1729&amp;"|"&amp;Raw_Data!D1729&amp;"|"&amp;TEXT(Raw_Data!B1729,"yyyy-mm-dd")</f>
        <v>TE Connectivity|TEL|2020-09-25</v>
      </c>
    </row>
    <row r="1731">
      <c r="A1731" s="1">
        <v>1729.0</v>
      </c>
      <c r="B1731" s="11">
        <v>44290.0</v>
      </c>
      <c r="C1731" s="1" t="s">
        <v>900</v>
      </c>
      <c r="D1731" s="1" t="s">
        <v>901</v>
      </c>
      <c r="F1731" s="1">
        <v>1.013E8</v>
      </c>
      <c r="G1731" s="1">
        <v>8.47E7</v>
      </c>
      <c r="H1731" s="1">
        <v>1.683E8</v>
      </c>
      <c r="I1731" s="1">
        <v>3.132E8</v>
      </c>
      <c r="J1731" s="1">
        <v>1.449E8</v>
      </c>
      <c r="K1731" s="1">
        <v>1.449E8</v>
      </c>
      <c r="L1731" s="1">
        <v>-3.57E7</v>
      </c>
      <c r="M1731" s="1">
        <v>1.66E7</v>
      </c>
      <c r="N1731" s="1">
        <v>8.057E8</v>
      </c>
      <c r="O1731" s="1">
        <v>6.608E8</v>
      </c>
      <c r="P1731" s="1">
        <v>4.925E8</v>
      </c>
      <c r="Q1731" s="1">
        <v>-4.36E7</v>
      </c>
      <c r="R1731" s="1">
        <v>8.47E7</v>
      </c>
      <c r="S1731" s="1">
        <v>8.47E7</v>
      </c>
      <c r="W1731" s="4" t="str">
        <f>Raw_Data!C1730&amp;"|"&amp;Raw_Data!D1730&amp;"|"&amp;TEXT(Raw_Data!B1730,"yyyy-mm-dd")</f>
        <v>Teledyne Technologies|TDY|2021-07-04</v>
      </c>
    </row>
    <row r="1732">
      <c r="A1732" s="1">
        <v>1730.0</v>
      </c>
      <c r="B1732" s="11">
        <v>44199.0</v>
      </c>
      <c r="C1732" s="1" t="s">
        <v>900</v>
      </c>
      <c r="D1732" s="1" t="s">
        <v>901</v>
      </c>
      <c r="F1732" s="1">
        <v>1.411E8</v>
      </c>
      <c r="G1732" s="1">
        <v>1.321E8</v>
      </c>
      <c r="H1732" s="1">
        <v>1.582E8</v>
      </c>
      <c r="I1732" s="1">
        <v>3.031E8</v>
      </c>
      <c r="J1732" s="1">
        <v>1.449E8</v>
      </c>
      <c r="K1732" s="1">
        <v>1.449E8</v>
      </c>
      <c r="L1732" s="1">
        <v>-3400000.0</v>
      </c>
      <c r="M1732" s="1">
        <v>9000000.0</v>
      </c>
      <c r="N1732" s="1">
        <v>8.093E8</v>
      </c>
      <c r="O1732" s="1">
        <v>6.644E8</v>
      </c>
      <c r="P1732" s="1">
        <v>5.062E8</v>
      </c>
      <c r="Q1732" s="1">
        <v>-3800000.0</v>
      </c>
      <c r="R1732" s="1">
        <v>1.321E8</v>
      </c>
      <c r="S1732" s="1">
        <v>1.321E8</v>
      </c>
      <c r="W1732" s="4" t="str">
        <f>Raw_Data!C1731&amp;"|"&amp;Raw_Data!D1731&amp;"|"&amp;TEXT(Raw_Data!B1731,"yyyy-mm-dd")</f>
        <v>Teledyne Technologies|TDY|2021-04-04</v>
      </c>
    </row>
    <row r="1733">
      <c r="A1733" s="1">
        <v>1731.0</v>
      </c>
      <c r="B1733" s="11">
        <v>44101.0</v>
      </c>
      <c r="C1733" s="1" t="s">
        <v>900</v>
      </c>
      <c r="D1733" s="1" t="s">
        <v>901</v>
      </c>
      <c r="F1733" s="1">
        <v>1.197E8</v>
      </c>
      <c r="G1733" s="1">
        <v>9.39E7</v>
      </c>
      <c r="H1733" s="1">
        <v>1.648E8</v>
      </c>
      <c r="I1733" s="1">
        <v>2.905E8</v>
      </c>
      <c r="J1733" s="1">
        <v>1.257E8</v>
      </c>
      <c r="K1733" s="1">
        <v>1.257E8</v>
      </c>
      <c r="L1733" s="1">
        <v>-4100000.0</v>
      </c>
      <c r="M1733" s="1">
        <v>2.58E7</v>
      </c>
      <c r="N1733" s="1">
        <v>7.49E8</v>
      </c>
      <c r="O1733" s="1">
        <v>6.233E8</v>
      </c>
      <c r="P1733" s="1">
        <v>4.585E8</v>
      </c>
      <c r="Q1733" s="1">
        <v>-6000000.0</v>
      </c>
      <c r="R1733" s="1">
        <v>9.39E7</v>
      </c>
      <c r="S1733" s="1">
        <v>9.39E7</v>
      </c>
      <c r="W1733" s="4" t="str">
        <f>Raw_Data!C1732&amp;"|"&amp;Raw_Data!D1732&amp;"|"&amp;TEXT(Raw_Data!B1732,"yyyy-mm-dd")</f>
        <v>Teledyne Technologies|TDY|2021-01-03</v>
      </c>
    </row>
    <row r="1734">
      <c r="A1734" s="1">
        <v>1732.0</v>
      </c>
      <c r="B1734" s="11">
        <v>44374.0</v>
      </c>
      <c r="C1734" s="1" t="s">
        <v>902</v>
      </c>
      <c r="D1734" s="1" t="s">
        <v>903</v>
      </c>
      <c r="E1734" s="1">
        <v>3.3283E7</v>
      </c>
      <c r="F1734" s="1">
        <v>9.9695E7</v>
      </c>
      <c r="G1734" s="1">
        <v>8.3248E7</v>
      </c>
      <c r="H1734" s="1">
        <v>2.24159E8</v>
      </c>
      <c r="I1734" s="1">
        <v>3.97556E8</v>
      </c>
      <c r="J1734" s="1">
        <v>1.40114E8</v>
      </c>
      <c r="K1734" s="1">
        <v>1.40114E8</v>
      </c>
      <c r="L1734" s="1">
        <v>-1.6171E7</v>
      </c>
      <c r="M1734" s="1">
        <v>1.6412E7</v>
      </c>
      <c r="N1734" s="1">
        <v>7.13473E8</v>
      </c>
      <c r="O1734" s="1">
        <v>5.73359E8</v>
      </c>
      <c r="P1734" s="1">
        <v>3.15917E8</v>
      </c>
      <c r="Q1734" s="1">
        <v>-4.0419E7</v>
      </c>
      <c r="R1734" s="1">
        <v>8.3283E7</v>
      </c>
      <c r="S1734" s="1">
        <v>8.3248E7</v>
      </c>
      <c r="W1734" s="4" t="str">
        <f>Raw_Data!C1733&amp;"|"&amp;Raw_Data!D1733&amp;"|"&amp;TEXT(Raw_Data!B1733,"yyyy-mm-dd")</f>
        <v>Teledyne Technologies|TDY|2020-09-27</v>
      </c>
    </row>
    <row r="1735">
      <c r="A1735" s="1">
        <v>1733.0</v>
      </c>
      <c r="B1735" s="11">
        <v>44283.0</v>
      </c>
      <c r="C1735" s="1" t="s">
        <v>902</v>
      </c>
      <c r="D1735" s="1" t="s">
        <v>903</v>
      </c>
      <c r="E1735" s="1">
        <v>2.9947E7</v>
      </c>
      <c r="F1735" s="1">
        <v>8.7295E7</v>
      </c>
      <c r="G1735" s="1">
        <v>7.4866E7</v>
      </c>
      <c r="H1735" s="1">
        <v>1.96794E8</v>
      </c>
      <c r="I1735" s="1">
        <v>3.44527E8</v>
      </c>
      <c r="J1735" s="1">
        <v>1.17786E8</v>
      </c>
      <c r="K1735" s="1">
        <v>1.17786E8</v>
      </c>
      <c r="L1735" s="1">
        <v>-1.6798E7</v>
      </c>
      <c r="M1735" s="1">
        <v>1.2428E7</v>
      </c>
      <c r="N1735" s="1">
        <v>6.33925E8</v>
      </c>
      <c r="O1735" s="1">
        <v>5.16139E8</v>
      </c>
      <c r="P1735" s="1">
        <v>2.89398E8</v>
      </c>
      <c r="Q1735" s="1">
        <v>-3.0491E7</v>
      </c>
      <c r="R1735" s="1">
        <v>7.4867E7</v>
      </c>
      <c r="S1735" s="1">
        <v>7.4866E7</v>
      </c>
      <c r="W1735" s="4" t="str">
        <f>Raw_Data!C1734&amp;"|"&amp;Raw_Data!D1734&amp;"|"&amp;TEXT(Raw_Data!B1734,"yyyy-mm-dd")</f>
        <v>Teleflex|TFX|2021-06-27</v>
      </c>
    </row>
    <row r="1736">
      <c r="A1736" s="1">
        <v>1734.0</v>
      </c>
      <c r="B1736" s="11">
        <v>44196.0</v>
      </c>
      <c r="C1736" s="1" t="s">
        <v>902</v>
      </c>
      <c r="D1736" s="1" t="s">
        <v>903</v>
      </c>
      <c r="E1736" s="1">
        <v>3.3769E7</v>
      </c>
      <c r="F1736" s="1">
        <v>7.6561E7</v>
      </c>
      <c r="G1736" s="1">
        <v>7.6131E7</v>
      </c>
      <c r="H1736" s="1">
        <v>2.09885E8</v>
      </c>
      <c r="I1736" s="1">
        <v>3.83554E8</v>
      </c>
      <c r="J1736" s="1">
        <v>1.399E8</v>
      </c>
      <c r="K1736" s="1">
        <v>1.399E8</v>
      </c>
      <c r="L1736" s="1">
        <v>-1.8721E7</v>
      </c>
      <c r="M1736" s="1">
        <v>-40000.0</v>
      </c>
      <c r="N1736" s="1">
        <v>7.11179E8</v>
      </c>
      <c r="O1736" s="1">
        <v>5.71279E8</v>
      </c>
      <c r="P1736" s="1">
        <v>3.27625E8</v>
      </c>
      <c r="Q1736" s="1">
        <v>-6.3339E7</v>
      </c>
      <c r="R1736" s="1">
        <v>7.6601E7</v>
      </c>
      <c r="S1736" s="1">
        <v>7.6131E7</v>
      </c>
      <c r="W1736" s="4" t="str">
        <f>Raw_Data!C1735&amp;"|"&amp;Raw_Data!D1735&amp;"|"&amp;TEXT(Raw_Data!B1735,"yyyy-mm-dd")</f>
        <v>Teleflex|TFX|2021-03-28</v>
      </c>
    </row>
    <row r="1737">
      <c r="A1737" s="1">
        <v>1735.0</v>
      </c>
      <c r="B1737" s="11">
        <v>44101.0</v>
      </c>
      <c r="C1737" s="1" t="s">
        <v>902</v>
      </c>
      <c r="D1737" s="1" t="s">
        <v>903</v>
      </c>
      <c r="E1737" s="1">
        <v>2.9218E7</v>
      </c>
      <c r="F1737" s="1">
        <v>1.15654E8</v>
      </c>
      <c r="G1737" s="1">
        <v>1.16587E8</v>
      </c>
      <c r="H1737" s="1">
        <v>1.71673E8</v>
      </c>
      <c r="I1737" s="1">
        <v>3.29324E8</v>
      </c>
      <c r="J1737" s="1">
        <v>1.28433E8</v>
      </c>
      <c r="K1737" s="1">
        <v>1.28433E8</v>
      </c>
      <c r="L1737" s="1">
        <v>-1.6652E7</v>
      </c>
      <c r="M1737" s="1">
        <v>-951000.0</v>
      </c>
      <c r="N1737" s="1">
        <v>6.28301E8</v>
      </c>
      <c r="O1737" s="1">
        <v>4.99868E8</v>
      </c>
      <c r="P1737" s="1">
        <v>2.98977E8</v>
      </c>
      <c r="Q1737" s="1">
        <v>-1.2779E7</v>
      </c>
      <c r="R1737" s="1">
        <v>1.16605E8</v>
      </c>
      <c r="S1737" s="1">
        <v>1.16587E8</v>
      </c>
      <c r="W1737" s="4" t="str">
        <f>Raw_Data!C1736&amp;"|"&amp;Raw_Data!D1736&amp;"|"&amp;TEXT(Raw_Data!B1736,"yyyy-mm-dd")</f>
        <v>Teleflex|TFX|2020-12-31</v>
      </c>
    </row>
    <row r="1738">
      <c r="A1738" s="1">
        <v>1736.0</v>
      </c>
      <c r="B1738" s="11">
        <v>44381.0</v>
      </c>
      <c r="C1738" s="1" t="s">
        <v>904</v>
      </c>
      <c r="D1738" s="1" t="s">
        <v>905</v>
      </c>
      <c r="E1738" s="1">
        <v>1.10021E8</v>
      </c>
      <c r="F1738" s="1">
        <v>3.84026E8</v>
      </c>
      <c r="G1738" s="1">
        <v>3.28319E8</v>
      </c>
      <c r="H1738" s="1">
        <v>1.40187E8</v>
      </c>
      <c r="I1738" s="1">
        <v>6.46989E8</v>
      </c>
      <c r="J1738" s="1">
        <v>3.89272E8</v>
      </c>
      <c r="K1738" s="1">
        <v>3.89272E8</v>
      </c>
      <c r="L1738" s="1">
        <v>-5566000.0</v>
      </c>
      <c r="M1738" s="1">
        <v>5.5707E7</v>
      </c>
      <c r="N1738" s="1">
        <v>1.085728E9</v>
      </c>
      <c r="O1738" s="1">
        <v>6.96456E8</v>
      </c>
      <c r="P1738" s="1">
        <v>4.38739E8</v>
      </c>
      <c r="Q1738" s="1">
        <v>-5246000.0</v>
      </c>
      <c r="R1738" s="1">
        <v>3.28319E8</v>
      </c>
      <c r="S1738" s="1">
        <v>3.28319E8</v>
      </c>
      <c r="W1738" s="4" t="str">
        <f>Raw_Data!C1737&amp;"|"&amp;Raw_Data!D1737&amp;"|"&amp;TEXT(Raw_Data!B1737,"yyyy-mm-dd")</f>
        <v>Teleflex|TFX|2020-09-27</v>
      </c>
    </row>
    <row r="1739">
      <c r="A1739" s="1">
        <v>1737.0</v>
      </c>
      <c r="B1739" s="11">
        <v>44290.0</v>
      </c>
      <c r="C1739" s="1" t="s">
        <v>904</v>
      </c>
      <c r="D1739" s="1" t="s">
        <v>905</v>
      </c>
      <c r="E1739" s="1">
        <v>1.00402E8</v>
      </c>
      <c r="F1739" s="1">
        <v>2.23993E8</v>
      </c>
      <c r="G1739" s="1">
        <v>2.05512E8</v>
      </c>
      <c r="H1739" s="1">
        <v>1.29797E8</v>
      </c>
      <c r="I1739" s="1">
        <v>4.61618E8</v>
      </c>
      <c r="J1739" s="1">
        <v>2.25473E8</v>
      </c>
      <c r="K1739" s="1">
        <v>2.25473E8</v>
      </c>
      <c r="L1739" s="1">
        <v>-6004000.0</v>
      </c>
      <c r="M1739" s="1">
        <v>1.8481E7</v>
      </c>
      <c r="N1739" s="1">
        <v>7.81606E8</v>
      </c>
      <c r="O1739" s="1">
        <v>5.56133E8</v>
      </c>
      <c r="P1739" s="1">
        <v>3.19988E8</v>
      </c>
      <c r="Q1739" s="1">
        <v>-1480000.0</v>
      </c>
      <c r="R1739" s="1">
        <v>2.05512E8</v>
      </c>
      <c r="S1739" s="1">
        <v>2.05512E8</v>
      </c>
      <c r="W1739" s="4" t="str">
        <f>Raw_Data!C1738&amp;"|"&amp;Raw_Data!D1738&amp;"|"&amp;TEXT(Raw_Data!B1738,"yyyy-mm-dd")</f>
        <v>Teradyne|TER|2021-07-04</v>
      </c>
    </row>
    <row r="1740">
      <c r="A1740" s="1">
        <v>1738.0</v>
      </c>
      <c r="B1740" s="11">
        <v>44196.0</v>
      </c>
      <c r="C1740" s="1" t="s">
        <v>904</v>
      </c>
      <c r="D1740" s="1" t="s">
        <v>905</v>
      </c>
      <c r="E1740" s="1">
        <v>1.00794E8</v>
      </c>
      <c r="F1740" s="1">
        <v>2.22926E8</v>
      </c>
      <c r="G1740" s="1">
        <v>1.96332E8</v>
      </c>
      <c r="H1740" s="1">
        <v>1.35525E8</v>
      </c>
      <c r="I1740" s="1">
        <v>4.4979E8</v>
      </c>
      <c r="J1740" s="1">
        <v>2.07212E8</v>
      </c>
      <c r="K1740" s="1">
        <v>2.07212E8</v>
      </c>
      <c r="L1740" s="1">
        <v>-6351000.0</v>
      </c>
      <c r="M1740" s="1">
        <v>2.6594E7</v>
      </c>
      <c r="N1740" s="1">
        <v>7.58969E8</v>
      </c>
      <c r="O1740" s="1">
        <v>5.51757E8</v>
      </c>
      <c r="P1740" s="1">
        <v>3.09179E8</v>
      </c>
      <c r="Q1740" s="1">
        <v>1.5714E7</v>
      </c>
      <c r="R1740" s="1">
        <v>1.96332E8</v>
      </c>
      <c r="S1740" s="1">
        <v>1.96332E8</v>
      </c>
      <c r="W1740" s="4" t="str">
        <f>Raw_Data!C1739&amp;"|"&amp;Raw_Data!D1739&amp;"|"&amp;TEXT(Raw_Data!B1739,"yyyy-mm-dd")</f>
        <v>Teradyne|TER|2021-04-04</v>
      </c>
    </row>
    <row r="1741">
      <c r="A1741" s="1">
        <v>1739.0</v>
      </c>
      <c r="B1741" s="11">
        <v>44101.0</v>
      </c>
      <c r="C1741" s="1" t="s">
        <v>904</v>
      </c>
      <c r="D1741" s="1" t="s">
        <v>905</v>
      </c>
      <c r="E1741" s="1">
        <v>9.4909E7</v>
      </c>
      <c r="F1741" s="1">
        <v>2.63731E8</v>
      </c>
      <c r="G1741" s="1">
        <v>2.22718E8</v>
      </c>
      <c r="H1741" s="1">
        <v>1.1584E8</v>
      </c>
      <c r="I1741" s="1">
        <v>4.58928E8</v>
      </c>
      <c r="J1741" s="1">
        <v>2.41869E8</v>
      </c>
      <c r="K1741" s="1">
        <v>2.41869E8</v>
      </c>
      <c r="L1741" s="1">
        <v>-6237000.0</v>
      </c>
      <c r="M1741" s="1">
        <v>4.1013E7</v>
      </c>
      <c r="N1741" s="1">
        <v>8.19484E8</v>
      </c>
      <c r="O1741" s="1">
        <v>5.77615E8</v>
      </c>
      <c r="P1741" s="1">
        <v>3.60556E8</v>
      </c>
      <c r="Q1741" s="1">
        <v>2.1862E7</v>
      </c>
      <c r="R1741" s="1">
        <v>2.22718E8</v>
      </c>
      <c r="S1741" s="1">
        <v>2.22718E8</v>
      </c>
      <c r="W1741" s="4" t="str">
        <f>Raw_Data!C1740&amp;"|"&amp;Raw_Data!D1740&amp;"|"&amp;TEXT(Raw_Data!B1740,"yyyy-mm-dd")</f>
        <v>Teradyne|TER|2020-12-31</v>
      </c>
    </row>
    <row r="1742">
      <c r="A1742" s="1">
        <v>1740.0</v>
      </c>
      <c r="B1742" s="11">
        <v>44286.0</v>
      </c>
      <c r="C1742" s="1" t="s">
        <v>906</v>
      </c>
      <c r="D1742" s="1" t="s">
        <v>907</v>
      </c>
      <c r="E1742" s="1">
        <v>6.66E8</v>
      </c>
      <c r="F1742" s="1">
        <v>5.33E8</v>
      </c>
      <c r="G1742" s="1">
        <v>4.38E8</v>
      </c>
      <c r="H1742" s="1">
        <v>1.056E9</v>
      </c>
      <c r="I1742" s="1">
        <v>2.215E9</v>
      </c>
      <c r="J1742" s="1">
        <v>4.93E8</v>
      </c>
      <c r="K1742" s="1">
        <v>4.93E8</v>
      </c>
      <c r="L1742" s="1">
        <v>-7.9E7</v>
      </c>
      <c r="M1742" s="1">
        <v>6.9E7</v>
      </c>
      <c r="N1742" s="1">
        <v>1.0389E10</v>
      </c>
      <c r="O1742" s="1">
        <v>9.896E9</v>
      </c>
      <c r="P1742" s="1">
        <v>8.174E9</v>
      </c>
      <c r="Q1742" s="1">
        <v>4.0E7</v>
      </c>
      <c r="R1742" s="1">
        <v>4.64E8</v>
      </c>
      <c r="S1742" s="1">
        <v>4.38E8</v>
      </c>
      <c r="W1742" s="4" t="str">
        <f>Raw_Data!C1741&amp;"|"&amp;Raw_Data!D1741&amp;"|"&amp;TEXT(Raw_Data!B1741,"yyyy-mm-dd")</f>
        <v>Teradyne|TER|2020-09-27</v>
      </c>
    </row>
    <row r="1743">
      <c r="A1743" s="1">
        <v>1741.0</v>
      </c>
      <c r="B1743" s="11">
        <v>44196.0</v>
      </c>
      <c r="C1743" s="1" t="s">
        <v>906</v>
      </c>
      <c r="D1743" s="1" t="s">
        <v>907</v>
      </c>
      <c r="E1743" s="1">
        <v>5.22E8</v>
      </c>
      <c r="F1743" s="1">
        <v>3.79E8</v>
      </c>
      <c r="G1743" s="1">
        <v>2.7E8</v>
      </c>
      <c r="H1743" s="1">
        <v>9.69E8</v>
      </c>
      <c r="I1743" s="1">
        <v>2.066E9</v>
      </c>
      <c r="J1743" s="1">
        <v>5.75E8</v>
      </c>
      <c r="K1743" s="1">
        <v>5.75E8</v>
      </c>
      <c r="L1743" s="1">
        <v>-2.41E8</v>
      </c>
      <c r="M1743" s="1">
        <v>8.3E7</v>
      </c>
      <c r="N1743" s="1">
        <v>1.0744E10</v>
      </c>
      <c r="O1743" s="1">
        <v>1.0169E10</v>
      </c>
      <c r="P1743" s="1">
        <v>8.678E9</v>
      </c>
      <c r="Q1743" s="1">
        <v>-1.96E8</v>
      </c>
      <c r="R1743" s="1">
        <v>2.96E8</v>
      </c>
      <c r="S1743" s="1">
        <v>2.7E8</v>
      </c>
      <c r="W1743" s="4" t="str">
        <f>Raw_Data!C1742&amp;"|"&amp;Raw_Data!D1742&amp;"|"&amp;TEXT(Raw_Data!B1742,"yyyy-mm-dd")</f>
        <v>Tesla|TSLA|2021-03-31</v>
      </c>
    </row>
    <row r="1744">
      <c r="A1744" s="1">
        <v>1742.0</v>
      </c>
      <c r="B1744" s="11">
        <v>44104.0</v>
      </c>
      <c r="C1744" s="1" t="s">
        <v>906</v>
      </c>
      <c r="D1744" s="1" t="s">
        <v>907</v>
      </c>
      <c r="E1744" s="1">
        <v>3.66E8</v>
      </c>
      <c r="F1744" s="1">
        <v>5.55E8</v>
      </c>
      <c r="G1744" s="1">
        <v>3.31E8</v>
      </c>
      <c r="H1744" s="1">
        <v>9.31E8</v>
      </c>
      <c r="I1744" s="1">
        <v>2.063E9</v>
      </c>
      <c r="J1744" s="1">
        <v>7.66E8</v>
      </c>
      <c r="K1744" s="1">
        <v>7.66E8</v>
      </c>
      <c r="L1744" s="1">
        <v>-1.62E8</v>
      </c>
      <c r="M1744" s="1">
        <v>1.86E8</v>
      </c>
      <c r="N1744" s="1">
        <v>8.771E9</v>
      </c>
      <c r="O1744" s="1">
        <v>8.005E9</v>
      </c>
      <c r="P1744" s="1">
        <v>6.708E9</v>
      </c>
      <c r="Q1744" s="1">
        <v>-2.11E8</v>
      </c>
      <c r="R1744" s="1">
        <v>3.69E8</v>
      </c>
      <c r="S1744" s="1">
        <v>3.0E8</v>
      </c>
      <c r="W1744" s="4" t="str">
        <f>Raw_Data!C1743&amp;"|"&amp;Raw_Data!D1743&amp;"|"&amp;TEXT(Raw_Data!B1743,"yyyy-mm-dd")</f>
        <v>Tesla|TSLA|2020-12-31</v>
      </c>
    </row>
    <row r="1745">
      <c r="A1745" s="1">
        <v>1743.0</v>
      </c>
      <c r="B1745" s="11">
        <v>44012.0</v>
      </c>
      <c r="C1745" s="1" t="s">
        <v>906</v>
      </c>
      <c r="D1745" s="1" t="s">
        <v>907</v>
      </c>
      <c r="E1745" s="1">
        <v>2.79E8</v>
      </c>
      <c r="F1745" s="1">
        <v>1.5E8</v>
      </c>
      <c r="G1745" s="1">
        <v>1.04E8</v>
      </c>
      <c r="H1745" s="1">
        <v>6.61E8</v>
      </c>
      <c r="I1745" s="1">
        <v>1.267E9</v>
      </c>
      <c r="J1745" s="1">
        <v>3.27E8</v>
      </c>
      <c r="K1745" s="1">
        <v>3.27E8</v>
      </c>
      <c r="L1745" s="1">
        <v>-1.73E8</v>
      </c>
      <c r="M1745" s="1">
        <v>2.1E7</v>
      </c>
      <c r="N1745" s="1">
        <v>6.036E9</v>
      </c>
      <c r="O1745" s="1">
        <v>5.709E9</v>
      </c>
      <c r="P1745" s="1">
        <v>4.769E9</v>
      </c>
      <c r="Q1745" s="1">
        <v>-1.77E8</v>
      </c>
      <c r="R1745" s="1">
        <v>1.29E8</v>
      </c>
      <c r="S1745" s="1">
        <v>1.04E8</v>
      </c>
      <c r="W1745" s="4" t="str">
        <f>Raw_Data!C1744&amp;"|"&amp;Raw_Data!D1744&amp;"|"&amp;TEXT(Raw_Data!B1744,"yyyy-mm-dd")</f>
        <v>Tesla|TSLA|2020-09-30</v>
      </c>
    </row>
    <row r="1746">
      <c r="A1746" s="1">
        <v>1744.0</v>
      </c>
      <c r="B1746" s="11">
        <v>44377.0</v>
      </c>
      <c r="C1746" s="1" t="s">
        <v>908</v>
      </c>
      <c r="D1746" s="1" t="s">
        <v>909</v>
      </c>
      <c r="E1746" s="1">
        <v>3.91E8</v>
      </c>
      <c r="F1746" s="1">
        <v>2.242E9</v>
      </c>
      <c r="G1746" s="1">
        <v>1.931E9</v>
      </c>
      <c r="H1746" s="1">
        <v>4.35E8</v>
      </c>
      <c r="I1746" s="1">
        <v>3.077E9</v>
      </c>
      <c r="J1746" s="1">
        <v>2.203E9</v>
      </c>
      <c r="K1746" s="1">
        <v>2.203E9</v>
      </c>
      <c r="L1746" s="1">
        <v>-4.4E7</v>
      </c>
      <c r="M1746" s="1">
        <v>3.11E8</v>
      </c>
      <c r="N1746" s="1">
        <v>4.58E9</v>
      </c>
      <c r="O1746" s="1">
        <v>2.377E9</v>
      </c>
      <c r="P1746" s="1">
        <v>1.503E9</v>
      </c>
      <c r="Q1746" s="1">
        <v>3.9E7</v>
      </c>
      <c r="R1746" s="1">
        <v>1.931E9</v>
      </c>
      <c r="S1746" s="1">
        <v>1.924E9</v>
      </c>
      <c r="W1746" s="4" t="str">
        <f>Raw_Data!C1745&amp;"|"&amp;Raw_Data!D1745&amp;"|"&amp;TEXT(Raw_Data!B1745,"yyyy-mm-dd")</f>
        <v>Tesla|TSLA|2020-06-30</v>
      </c>
    </row>
    <row r="1747">
      <c r="A1747" s="1">
        <v>1745.0</v>
      </c>
      <c r="B1747" s="11">
        <v>44286.0</v>
      </c>
      <c r="C1747" s="1" t="s">
        <v>908</v>
      </c>
      <c r="D1747" s="1" t="s">
        <v>909</v>
      </c>
      <c r="E1747" s="1">
        <v>3.86E8</v>
      </c>
      <c r="F1747" s="1">
        <v>1.939E9</v>
      </c>
      <c r="G1747" s="1">
        <v>1.753E9</v>
      </c>
      <c r="H1747" s="1">
        <v>4.36E8</v>
      </c>
      <c r="I1747" s="1">
        <v>2.797E9</v>
      </c>
      <c r="J1747" s="1">
        <v>1.928E9</v>
      </c>
      <c r="K1747" s="1">
        <v>1.928E9</v>
      </c>
      <c r="L1747" s="1">
        <v>-4.6E7</v>
      </c>
      <c r="M1747" s="1">
        <v>1.86E8</v>
      </c>
      <c r="N1747" s="1">
        <v>4.289E9</v>
      </c>
      <c r="O1747" s="1">
        <v>2.361E9</v>
      </c>
      <c r="P1747" s="1">
        <v>1.492E9</v>
      </c>
      <c r="Q1747" s="1">
        <v>1.1E7</v>
      </c>
      <c r="R1747" s="1">
        <v>1.753E9</v>
      </c>
      <c r="S1747" s="1">
        <v>1.745E9</v>
      </c>
      <c r="W1747" s="4" t="str">
        <f>Raw_Data!C1746&amp;"|"&amp;Raw_Data!D1746&amp;"|"&amp;TEXT(Raw_Data!B1746,"yyyy-mm-dd")</f>
        <v>Texas Instruments|TXN|2021-06-30</v>
      </c>
    </row>
    <row r="1748">
      <c r="A1748" s="1">
        <v>1746.0</v>
      </c>
      <c r="B1748" s="11">
        <v>44196.0</v>
      </c>
      <c r="C1748" s="1" t="s">
        <v>908</v>
      </c>
      <c r="D1748" s="1" t="s">
        <v>909</v>
      </c>
      <c r="E1748" s="1">
        <v>3.88E8</v>
      </c>
      <c r="F1748" s="1">
        <v>1.927E9</v>
      </c>
      <c r="G1748" s="1">
        <v>1.688E9</v>
      </c>
      <c r="H1748" s="1">
        <v>3.64E8</v>
      </c>
      <c r="I1748" s="1">
        <v>2.646E9</v>
      </c>
      <c r="J1748" s="1">
        <v>1.847E9</v>
      </c>
      <c r="K1748" s="1">
        <v>1.847E9</v>
      </c>
      <c r="L1748" s="1">
        <v>-4.8E7</v>
      </c>
      <c r="M1748" s="1">
        <v>2.39E8</v>
      </c>
      <c r="N1748" s="1">
        <v>4.076E9</v>
      </c>
      <c r="O1748" s="1">
        <v>2.229E9</v>
      </c>
      <c r="P1748" s="1">
        <v>1.43E9</v>
      </c>
      <c r="Q1748" s="1">
        <v>8.0E7</v>
      </c>
      <c r="R1748" s="1">
        <v>1.688E9</v>
      </c>
      <c r="S1748" s="1">
        <v>1.68E9</v>
      </c>
      <c r="W1748" s="4" t="str">
        <f>Raw_Data!C1747&amp;"|"&amp;Raw_Data!D1747&amp;"|"&amp;TEXT(Raw_Data!B1747,"yyyy-mm-dd")</f>
        <v>Texas Instruments|TXN|2021-03-31</v>
      </c>
    </row>
    <row r="1749">
      <c r="A1749" s="1">
        <v>1747.0</v>
      </c>
      <c r="B1749" s="11">
        <v>44104.0</v>
      </c>
      <c r="C1749" s="1" t="s">
        <v>908</v>
      </c>
      <c r="D1749" s="1" t="s">
        <v>909</v>
      </c>
      <c r="E1749" s="1">
        <v>3.86E8</v>
      </c>
      <c r="F1749" s="1">
        <v>1.587E9</v>
      </c>
      <c r="G1749" s="1">
        <v>1.353E9</v>
      </c>
      <c r="H1749" s="1">
        <v>4.15E8</v>
      </c>
      <c r="I1749" s="1">
        <v>2.453E9</v>
      </c>
      <c r="J1749" s="1">
        <v>1.601E9</v>
      </c>
      <c r="K1749" s="1">
        <v>1.601E9</v>
      </c>
      <c r="L1749" s="1">
        <v>-4.9E7</v>
      </c>
      <c r="M1749" s="1">
        <v>2.34E8</v>
      </c>
      <c r="N1749" s="1">
        <v>3.817E9</v>
      </c>
      <c r="O1749" s="1">
        <v>2.216E9</v>
      </c>
      <c r="P1749" s="1">
        <v>1.364E9</v>
      </c>
      <c r="Q1749" s="1">
        <v>-1.4E7</v>
      </c>
      <c r="R1749" s="1">
        <v>1.353E9</v>
      </c>
      <c r="S1749" s="1">
        <v>1.347E9</v>
      </c>
      <c r="W1749" s="4" t="str">
        <f>Raw_Data!C1748&amp;"|"&amp;Raw_Data!D1748&amp;"|"&amp;TEXT(Raw_Data!B1748,"yyyy-mm-dd")</f>
        <v>Texas Instruments|TXN|2020-12-31</v>
      </c>
    </row>
    <row r="1750">
      <c r="A1750" s="1">
        <v>1748.0</v>
      </c>
      <c r="B1750" s="11">
        <v>44380.0</v>
      </c>
      <c r="C1750" s="1" t="s">
        <v>910</v>
      </c>
      <c r="D1750" s="1" t="s">
        <v>911</v>
      </c>
      <c r="F1750" s="1">
        <v>2.18E8</v>
      </c>
      <c r="G1750" s="1">
        <v>1.83E8</v>
      </c>
      <c r="H1750" s="1">
        <v>2.75E8</v>
      </c>
      <c r="I1750" s="1">
        <v>5.27E8</v>
      </c>
      <c r="J1750" s="1">
        <v>2.52E8</v>
      </c>
      <c r="K1750" s="1">
        <v>2.52E8</v>
      </c>
      <c r="L1750" s="1">
        <v>-3.2E7</v>
      </c>
      <c r="M1750" s="1">
        <v>3.4E7</v>
      </c>
      <c r="N1750" s="1">
        <v>3.191E9</v>
      </c>
      <c r="O1750" s="1">
        <v>2.939E9</v>
      </c>
      <c r="P1750" s="1">
        <v>2.664E9</v>
      </c>
      <c r="Q1750" s="1">
        <v>-3.4E7</v>
      </c>
      <c r="R1750" s="1">
        <v>1.84E8</v>
      </c>
      <c r="S1750" s="1">
        <v>1.83E8</v>
      </c>
      <c r="W1750" s="4" t="str">
        <f>Raw_Data!C1749&amp;"|"&amp;Raw_Data!D1749&amp;"|"&amp;TEXT(Raw_Data!B1749,"yyyy-mm-dd")</f>
        <v>Texas Instruments|TXN|2020-09-30</v>
      </c>
    </row>
    <row r="1751">
      <c r="A1751" s="1">
        <v>1749.0</v>
      </c>
      <c r="B1751" s="11">
        <v>44289.0</v>
      </c>
      <c r="C1751" s="1" t="s">
        <v>910</v>
      </c>
      <c r="D1751" s="1" t="s">
        <v>911</v>
      </c>
      <c r="F1751" s="1">
        <v>1.9E8</v>
      </c>
      <c r="G1751" s="1">
        <v>1.71E8</v>
      </c>
      <c r="H1751" s="1">
        <v>2.58E8</v>
      </c>
      <c r="I1751" s="1">
        <v>4.74E8</v>
      </c>
      <c r="J1751" s="1">
        <v>2.16E8</v>
      </c>
      <c r="K1751" s="1">
        <v>2.16E8</v>
      </c>
      <c r="L1751" s="1">
        <v>-3.5E7</v>
      </c>
      <c r="M1751" s="1">
        <v>1.9E7</v>
      </c>
      <c r="N1751" s="1">
        <v>2.879E9</v>
      </c>
      <c r="O1751" s="1">
        <v>2.663E9</v>
      </c>
      <c r="P1751" s="1">
        <v>2.405E9</v>
      </c>
      <c r="Q1751" s="1">
        <v>-2.6E7</v>
      </c>
      <c r="R1751" s="1">
        <v>1.71E8</v>
      </c>
      <c r="S1751" s="1">
        <v>1.71E8</v>
      </c>
      <c r="W1751" s="4" t="str">
        <f>Raw_Data!C1750&amp;"|"&amp;Raw_Data!D1750&amp;"|"&amp;TEXT(Raw_Data!B1750,"yyyy-mm-dd")</f>
        <v>Textron|TXT|2021-07-03</v>
      </c>
    </row>
    <row r="1752">
      <c r="A1752" s="1">
        <v>1750.0</v>
      </c>
      <c r="B1752" s="11">
        <v>44198.0</v>
      </c>
      <c r="C1752" s="1" t="s">
        <v>910</v>
      </c>
      <c r="D1752" s="1" t="s">
        <v>911</v>
      </c>
      <c r="F1752" s="1">
        <v>2.15E8</v>
      </c>
      <c r="G1752" s="1">
        <v>2.36E8</v>
      </c>
      <c r="H1752" s="1">
        <v>2.64E8</v>
      </c>
      <c r="I1752" s="1">
        <v>5.38E8</v>
      </c>
      <c r="J1752" s="1">
        <v>2.74E8</v>
      </c>
      <c r="K1752" s="1">
        <v>2.74E8</v>
      </c>
      <c r="L1752" s="1">
        <v>-3.6E7</v>
      </c>
      <c r="M1752" s="1">
        <v>-2.1E7</v>
      </c>
      <c r="N1752" s="1">
        <v>3.667E9</v>
      </c>
      <c r="O1752" s="1">
        <v>3.393E9</v>
      </c>
      <c r="P1752" s="1">
        <v>3.129E9</v>
      </c>
      <c r="Q1752" s="1">
        <v>-5.9E7</v>
      </c>
      <c r="R1752" s="1">
        <v>2.36E8</v>
      </c>
      <c r="S1752" s="1">
        <v>2.36E8</v>
      </c>
      <c r="W1752" s="4" t="str">
        <f>Raw_Data!C1751&amp;"|"&amp;Raw_Data!D1751&amp;"|"&amp;TEXT(Raw_Data!B1751,"yyyy-mm-dd")</f>
        <v>Textron|TXT|2021-04-03</v>
      </c>
    </row>
    <row r="1753">
      <c r="A1753" s="1">
        <v>1751.0</v>
      </c>
      <c r="B1753" s="11">
        <v>44107.0</v>
      </c>
      <c r="C1753" s="1" t="s">
        <v>910</v>
      </c>
      <c r="D1753" s="1" t="s">
        <v>911</v>
      </c>
      <c r="F1753" s="1">
        <v>1.16E8</v>
      </c>
      <c r="G1753" s="1">
        <v>1.15E8</v>
      </c>
      <c r="H1753" s="1">
        <v>2.37E8</v>
      </c>
      <c r="I1753" s="1">
        <v>3.98E8</v>
      </c>
      <c r="J1753" s="1">
        <v>1.61E8</v>
      </c>
      <c r="K1753" s="1">
        <v>1.61E8</v>
      </c>
      <c r="L1753" s="1">
        <v>-3.8E7</v>
      </c>
      <c r="M1753" s="1">
        <v>1000000.0</v>
      </c>
      <c r="N1753" s="1">
        <v>2.735E9</v>
      </c>
      <c r="O1753" s="1">
        <v>2.574E9</v>
      </c>
      <c r="P1753" s="1">
        <v>2.337E9</v>
      </c>
      <c r="Q1753" s="1">
        <v>-4.5E7</v>
      </c>
      <c r="R1753" s="1">
        <v>1.15E8</v>
      </c>
      <c r="S1753" s="1">
        <v>1.15E8</v>
      </c>
      <c r="W1753" s="4" t="str">
        <f>Raw_Data!C1752&amp;"|"&amp;Raw_Data!D1752&amp;"|"&amp;TEXT(Raw_Data!B1752,"yyyy-mm-dd")</f>
        <v>Textron|TXT|2021-01-02</v>
      </c>
    </row>
    <row r="1754">
      <c r="A1754" s="1">
        <v>1752.0</v>
      </c>
      <c r="B1754" s="11">
        <v>44408.0</v>
      </c>
      <c r="C1754" s="1" t="s">
        <v>912</v>
      </c>
      <c r="D1754" s="1" t="s">
        <v>913</v>
      </c>
      <c r="E1754" s="1">
        <v>2.48E7</v>
      </c>
      <c r="F1754" s="1">
        <v>9.4E7</v>
      </c>
      <c r="G1754" s="1">
        <v>6.158E8</v>
      </c>
      <c r="H1754" s="1">
        <v>2.938E8</v>
      </c>
      <c r="I1754" s="1">
        <v>5.161E8</v>
      </c>
      <c r="J1754" s="1">
        <v>1.593E8</v>
      </c>
      <c r="K1754" s="1">
        <v>1.593E8</v>
      </c>
      <c r="L1754" s="1">
        <v>-5600000.0</v>
      </c>
      <c r="M1754" s="1">
        <v>-5.218E8</v>
      </c>
      <c r="N1754" s="1">
        <v>7.634E8</v>
      </c>
      <c r="O1754" s="1">
        <v>6.041E8</v>
      </c>
      <c r="P1754" s="1">
        <v>2.473E8</v>
      </c>
      <c r="Q1754" s="1">
        <v>-6.53E7</v>
      </c>
      <c r="R1754" s="1">
        <v>6.158E8</v>
      </c>
      <c r="S1754" s="1">
        <v>6.158E8</v>
      </c>
      <c r="W1754" s="4" t="str">
        <f>Raw_Data!C1753&amp;"|"&amp;Raw_Data!D1753&amp;"|"&amp;TEXT(Raw_Data!B1753,"yyyy-mm-dd")</f>
        <v>Textron|TXT|2020-10-03</v>
      </c>
    </row>
    <row r="1755">
      <c r="A1755" s="1">
        <v>1753.0</v>
      </c>
      <c r="B1755" s="11">
        <v>44316.0</v>
      </c>
      <c r="C1755" s="1" t="s">
        <v>912</v>
      </c>
      <c r="D1755" s="1" t="s">
        <v>913</v>
      </c>
      <c r="E1755" s="1">
        <v>2.1E7</v>
      </c>
      <c r="F1755" s="1">
        <v>1.364E8</v>
      </c>
      <c r="G1755" s="1">
        <v>1.175E8</v>
      </c>
      <c r="H1755" s="1">
        <v>2.791E8</v>
      </c>
      <c r="I1755" s="1">
        <v>4.871E8</v>
      </c>
      <c r="J1755" s="1">
        <v>1.499E8</v>
      </c>
      <c r="K1755" s="1">
        <v>1.499E8</v>
      </c>
      <c r="L1755" s="1">
        <v>-6100000.0</v>
      </c>
      <c r="M1755" s="1">
        <v>1.89E7</v>
      </c>
      <c r="N1755" s="1">
        <v>7.195E8</v>
      </c>
      <c r="O1755" s="1">
        <v>5.696E8</v>
      </c>
      <c r="P1755" s="1">
        <v>2.324E8</v>
      </c>
      <c r="Q1755" s="1">
        <v>-1.35E7</v>
      </c>
      <c r="R1755" s="1">
        <v>1.175E8</v>
      </c>
      <c r="S1755" s="1">
        <v>1.175E8</v>
      </c>
      <c r="W1755" s="4" t="str">
        <f>Raw_Data!C1754&amp;"|"&amp;Raw_Data!D1754&amp;"|"&amp;TEXT(Raw_Data!B1754,"yyyy-mm-dd")</f>
        <v>The Cooper Companies|COO|2021-07-31</v>
      </c>
    </row>
    <row r="1756">
      <c r="A1756" s="1">
        <v>1754.0</v>
      </c>
      <c r="B1756" s="11">
        <v>44227.0</v>
      </c>
      <c r="C1756" s="1" t="s">
        <v>912</v>
      </c>
      <c r="D1756" s="1" t="s">
        <v>913</v>
      </c>
      <c r="E1756" s="1">
        <v>2.14E7</v>
      </c>
      <c r="F1756" s="1">
        <v>1.395E8</v>
      </c>
      <c r="G1756" s="1">
        <v>2.1011E9</v>
      </c>
      <c r="H1756" s="1">
        <v>2.576E8</v>
      </c>
      <c r="I1756" s="1">
        <v>4.507E8</v>
      </c>
      <c r="J1756" s="1">
        <v>1.37E8</v>
      </c>
      <c r="K1756" s="1">
        <v>1.37E8</v>
      </c>
      <c r="L1756" s="1">
        <v>-6400000.0</v>
      </c>
      <c r="M1756" s="1">
        <v>-1.9616E9</v>
      </c>
      <c r="N1756" s="1">
        <v>6.805E8</v>
      </c>
      <c r="O1756" s="1">
        <v>5.435E8</v>
      </c>
      <c r="P1756" s="1">
        <v>2.298E8</v>
      </c>
      <c r="Q1756" s="1">
        <v>2500000.0</v>
      </c>
      <c r="R1756" s="1">
        <v>2.1011E9</v>
      </c>
      <c r="S1756" s="1">
        <v>2.1011E9</v>
      </c>
      <c r="W1756" s="4" t="str">
        <f>Raw_Data!C1755&amp;"|"&amp;Raw_Data!D1755&amp;"|"&amp;TEXT(Raw_Data!B1755,"yyyy-mm-dd")</f>
        <v>The Cooper Companies|COO|2021-04-30</v>
      </c>
    </row>
    <row r="1757">
      <c r="A1757" s="1">
        <v>1755.0</v>
      </c>
      <c r="B1757" s="11">
        <v>44135.0</v>
      </c>
      <c r="C1757" s="1" t="s">
        <v>912</v>
      </c>
      <c r="D1757" s="1" t="s">
        <v>913</v>
      </c>
      <c r="E1757" s="1">
        <v>2.55E7</v>
      </c>
      <c r="F1757" s="1">
        <v>9.37E7</v>
      </c>
      <c r="G1757" s="1">
        <v>8.12E7</v>
      </c>
      <c r="H1757" s="1">
        <v>2.642E8</v>
      </c>
      <c r="I1757" s="1">
        <v>5.141E8</v>
      </c>
      <c r="J1757" s="1">
        <v>1.902E8</v>
      </c>
      <c r="K1757" s="1">
        <v>1.902E8</v>
      </c>
      <c r="L1757" s="1">
        <v>-6700000.0</v>
      </c>
      <c r="M1757" s="1">
        <v>1.25E7</v>
      </c>
      <c r="N1757" s="1">
        <v>6.816E8</v>
      </c>
      <c r="O1757" s="1">
        <v>4.914E8</v>
      </c>
      <c r="P1757" s="1">
        <v>1.675E8</v>
      </c>
      <c r="Q1757" s="1">
        <v>-9.65E7</v>
      </c>
      <c r="R1757" s="1">
        <v>8.12E7</v>
      </c>
      <c r="S1757" s="1">
        <v>8.12E7</v>
      </c>
      <c r="W1757" s="4" t="str">
        <f>Raw_Data!C1756&amp;"|"&amp;Raw_Data!D1756&amp;"|"&amp;TEXT(Raw_Data!B1756,"yyyy-mm-dd")</f>
        <v>The Cooper Companies|COO|2021-01-31</v>
      </c>
    </row>
    <row r="1758">
      <c r="A1758" s="1">
        <v>1756.0</v>
      </c>
      <c r="B1758" s="11">
        <v>44377.0</v>
      </c>
      <c r="C1758" s="1" t="s">
        <v>914</v>
      </c>
      <c r="D1758" s="1" t="s">
        <v>915</v>
      </c>
      <c r="F1758" s="1">
        <v>1.11E9</v>
      </c>
      <c r="G1758" s="1">
        <v>9.05E8</v>
      </c>
      <c r="H1758" s="1">
        <v>1.202E9</v>
      </c>
      <c r="I1758" s="1">
        <v>2.379E9</v>
      </c>
      <c r="J1758" s="1">
        <v>1.169E9</v>
      </c>
      <c r="K1758" s="1">
        <v>1.169E9</v>
      </c>
      <c r="L1758" s="1">
        <v>-4.7E7</v>
      </c>
      <c r="M1758" s="1">
        <v>2.05E8</v>
      </c>
      <c r="N1758" s="1">
        <v>5.579E9</v>
      </c>
      <c r="O1758" s="1">
        <v>4.41E9</v>
      </c>
      <c r="P1758" s="1">
        <v>3.2E9</v>
      </c>
      <c r="Q1758" s="1">
        <v>-5.9E7</v>
      </c>
      <c r="R1758" s="1">
        <v>9.05E8</v>
      </c>
      <c r="S1758" s="1">
        <v>9.0E8</v>
      </c>
      <c r="W1758" s="4" t="str">
        <f>Raw_Data!C1757&amp;"|"&amp;Raw_Data!D1757&amp;"|"&amp;TEXT(Raw_Data!B1757,"yyyy-mm-dd")</f>
        <v>The Cooper Companies|COO|2020-10-31</v>
      </c>
    </row>
    <row r="1759">
      <c r="A1759" s="1">
        <v>1757.0</v>
      </c>
      <c r="B1759" s="11">
        <v>44286.0</v>
      </c>
      <c r="C1759" s="1" t="s">
        <v>914</v>
      </c>
      <c r="D1759" s="1" t="s">
        <v>915</v>
      </c>
      <c r="F1759" s="1">
        <v>3.03E8</v>
      </c>
      <c r="G1759" s="1">
        <v>2.49E8</v>
      </c>
      <c r="H1759" s="1">
        <v>1.144E9</v>
      </c>
      <c r="I1759" s="1">
        <v>1.547E9</v>
      </c>
      <c r="J1759" s="1">
        <v>3.74E8</v>
      </c>
      <c r="K1759" s="1">
        <v>3.74E8</v>
      </c>
      <c r="L1759" s="1">
        <v>-4.7E7</v>
      </c>
      <c r="M1759" s="1">
        <v>5.4E7</v>
      </c>
      <c r="N1759" s="1">
        <v>5.289E9</v>
      </c>
      <c r="O1759" s="1">
        <v>4.915E9</v>
      </c>
      <c r="P1759" s="1">
        <v>3.742E9</v>
      </c>
      <c r="Q1759" s="1">
        <v>-7.1E7</v>
      </c>
      <c r="R1759" s="1">
        <v>2.49E8</v>
      </c>
      <c r="S1759" s="1">
        <v>2.44E8</v>
      </c>
      <c r="W1759" s="4" t="str">
        <f>Raw_Data!C1758&amp;"|"&amp;Raw_Data!D1758&amp;"|"&amp;TEXT(Raw_Data!B1758,"yyyy-mm-dd")</f>
        <v>The Hartford|HIG|2021-06-30</v>
      </c>
    </row>
    <row r="1760">
      <c r="A1760" s="1">
        <v>1758.0</v>
      </c>
      <c r="B1760" s="11">
        <v>44196.0</v>
      </c>
      <c r="C1760" s="1" t="s">
        <v>914</v>
      </c>
      <c r="D1760" s="1" t="s">
        <v>915</v>
      </c>
      <c r="F1760" s="1">
        <v>6.52E8</v>
      </c>
      <c r="G1760" s="1">
        <v>5.37E8</v>
      </c>
      <c r="H1760" s="1">
        <v>1.087E9</v>
      </c>
      <c r="I1760" s="1">
        <v>1.819E9</v>
      </c>
      <c r="J1760" s="1">
        <v>6.84E8</v>
      </c>
      <c r="K1760" s="1">
        <v>6.84E8</v>
      </c>
      <c r="L1760" s="1">
        <v>-4.7E7</v>
      </c>
      <c r="M1760" s="1">
        <v>1.15E8</v>
      </c>
      <c r="N1760" s="1">
        <v>5.318E9</v>
      </c>
      <c r="O1760" s="1">
        <v>4.634E9</v>
      </c>
      <c r="P1760" s="1">
        <v>3.499E9</v>
      </c>
      <c r="Q1760" s="1">
        <v>-3.2E7</v>
      </c>
      <c r="R1760" s="1">
        <v>5.37E8</v>
      </c>
      <c r="S1760" s="1">
        <v>5.32E8</v>
      </c>
      <c r="W1760" s="4" t="str">
        <f>Raw_Data!C1759&amp;"|"&amp;Raw_Data!D1759&amp;"|"&amp;TEXT(Raw_Data!B1759,"yyyy-mm-dd")</f>
        <v>The Hartford|HIG|2021-03-31</v>
      </c>
    </row>
    <row r="1761">
      <c r="A1761" s="1">
        <v>1759.0</v>
      </c>
      <c r="B1761" s="11">
        <v>44104.0</v>
      </c>
      <c r="C1761" s="1" t="s">
        <v>914</v>
      </c>
      <c r="D1761" s="1" t="s">
        <v>915</v>
      </c>
      <c r="F1761" s="1">
        <v>5.32E8</v>
      </c>
      <c r="G1761" s="1">
        <v>4.59E8</v>
      </c>
      <c r="H1761" s="1">
        <v>1.079E9</v>
      </c>
      <c r="I1761" s="1">
        <v>1.779E9</v>
      </c>
      <c r="J1761" s="1">
        <v>6.82E8</v>
      </c>
      <c r="K1761" s="1">
        <v>6.82E8</v>
      </c>
      <c r="L1761" s="1">
        <v>-4.9E7</v>
      </c>
      <c r="M1761" s="1">
        <v>7.3E7</v>
      </c>
      <c r="N1761" s="1">
        <v>5.162E9</v>
      </c>
      <c r="O1761" s="1">
        <v>4.48E9</v>
      </c>
      <c r="P1761" s="1">
        <v>3.383E9</v>
      </c>
      <c r="Q1761" s="1">
        <v>-1.5E8</v>
      </c>
      <c r="R1761" s="1">
        <v>4.59E8</v>
      </c>
      <c r="S1761" s="1">
        <v>4.53E8</v>
      </c>
      <c r="W1761" s="4" t="str">
        <f>Raw_Data!C1760&amp;"|"&amp;Raw_Data!D1760&amp;"|"&amp;TEXT(Raw_Data!B1760,"yyyy-mm-dd")</f>
        <v>The Hartford|HIG|2020-12-31</v>
      </c>
    </row>
    <row r="1762">
      <c r="A1762" s="1">
        <v>1760.0</v>
      </c>
      <c r="B1762" s="11">
        <v>44381.0</v>
      </c>
      <c r="C1762" s="1" t="s">
        <v>916</v>
      </c>
      <c r="D1762" s="1" t="s">
        <v>917</v>
      </c>
      <c r="F1762" s="1">
        <v>4.18416E8</v>
      </c>
      <c r="G1762" s="1">
        <v>3.0123E8</v>
      </c>
      <c r="H1762" s="1">
        <v>4.68647E8</v>
      </c>
      <c r="I1762" s="1">
        <v>9.26487E8</v>
      </c>
      <c r="J1762" s="1">
        <v>4.5784E8</v>
      </c>
      <c r="K1762" s="1">
        <v>4.5784E8</v>
      </c>
      <c r="L1762" s="1">
        <v>-3.1684E7</v>
      </c>
      <c r="M1762" s="1">
        <v>1.17186E8</v>
      </c>
      <c r="N1762" s="1">
        <v>1.989422E9</v>
      </c>
      <c r="O1762" s="1">
        <v>1.531582E9</v>
      </c>
      <c r="P1762" s="1">
        <v>1.062935E9</v>
      </c>
      <c r="Q1762" s="1">
        <v>-3.9424E7</v>
      </c>
      <c r="R1762" s="1">
        <v>3.0123E8</v>
      </c>
      <c r="S1762" s="1">
        <v>3.0123E8</v>
      </c>
      <c r="W1762" s="4" t="str">
        <f>Raw_Data!C1761&amp;"|"&amp;Raw_Data!D1761&amp;"|"&amp;TEXT(Raw_Data!B1761,"yyyy-mm-dd")</f>
        <v>The Hartford|HIG|2020-09-30</v>
      </c>
    </row>
    <row r="1763">
      <c r="A1763" s="1">
        <v>1761.0</v>
      </c>
      <c r="B1763" s="11">
        <v>44290.0</v>
      </c>
      <c r="C1763" s="1" t="s">
        <v>916</v>
      </c>
      <c r="D1763" s="1" t="s">
        <v>917</v>
      </c>
      <c r="F1763" s="1">
        <v>5.14194E8</v>
      </c>
      <c r="G1763" s="1">
        <v>3.95799E8</v>
      </c>
      <c r="H1763" s="1">
        <v>4.94183E8</v>
      </c>
      <c r="I1763" s="1">
        <v>1.052946E9</v>
      </c>
      <c r="J1763" s="1">
        <v>5.58763E8</v>
      </c>
      <c r="K1763" s="1">
        <v>5.58763E8</v>
      </c>
      <c r="L1763" s="1">
        <v>-3.7046E7</v>
      </c>
      <c r="M1763" s="1">
        <v>1.17323E8</v>
      </c>
      <c r="N1763" s="1">
        <v>2.295948E9</v>
      </c>
      <c r="O1763" s="1">
        <v>1.737185E9</v>
      </c>
      <c r="P1763" s="1">
        <v>1.243002E9</v>
      </c>
      <c r="Q1763" s="1">
        <v>-4.4569E7</v>
      </c>
      <c r="R1763" s="1">
        <v>3.96871E8</v>
      </c>
      <c r="S1763" s="1">
        <v>3.95799E8</v>
      </c>
      <c r="W1763" s="4" t="str">
        <f>Raw_Data!C1762&amp;"|"&amp;Raw_Data!D1762&amp;"|"&amp;TEXT(Raw_Data!B1762,"yyyy-mm-dd")</f>
        <v>The Hershey Company|HSY|2021-07-04</v>
      </c>
    </row>
    <row r="1764">
      <c r="A1764" s="1">
        <v>1762.0</v>
      </c>
      <c r="B1764" s="11">
        <v>44196.0</v>
      </c>
      <c r="C1764" s="1" t="s">
        <v>916</v>
      </c>
      <c r="D1764" s="1" t="s">
        <v>917</v>
      </c>
      <c r="E1764" s="1">
        <v>3.7577E7</v>
      </c>
      <c r="F1764" s="1">
        <v>2.634E8</v>
      </c>
      <c r="G1764" s="1">
        <v>2.91387E8</v>
      </c>
      <c r="H1764" s="1">
        <v>5.04428E8</v>
      </c>
      <c r="I1764" s="1">
        <v>9.6428E8</v>
      </c>
      <c r="J1764" s="1">
        <v>4.22275E8</v>
      </c>
      <c r="K1764" s="1">
        <v>4.22275E8</v>
      </c>
      <c r="L1764" s="1">
        <v>-3.872E7</v>
      </c>
      <c r="M1764" s="1">
        <v>-2.793E7</v>
      </c>
      <c r="N1764" s="1">
        <v>2.185244E9</v>
      </c>
      <c r="O1764" s="1">
        <v>1.762969E9</v>
      </c>
      <c r="P1764" s="1">
        <v>1.220964E9</v>
      </c>
      <c r="Q1764" s="1">
        <v>-1.58875E8</v>
      </c>
      <c r="R1764" s="1">
        <v>2.9133E8</v>
      </c>
      <c r="S1764" s="1">
        <v>2.91387E8</v>
      </c>
      <c r="W1764" s="4" t="str">
        <f>Raw_Data!C1763&amp;"|"&amp;Raw_Data!D1763&amp;"|"&amp;TEXT(Raw_Data!B1763,"yyyy-mm-dd")</f>
        <v>The Hershey Company|HSY|2021-04-04</v>
      </c>
    </row>
    <row r="1765">
      <c r="A1765" s="1">
        <v>1763.0</v>
      </c>
      <c r="B1765" s="11">
        <v>44101.0</v>
      </c>
      <c r="C1765" s="1" t="s">
        <v>916</v>
      </c>
      <c r="D1765" s="1" t="s">
        <v>917</v>
      </c>
      <c r="E1765" s="1">
        <v>3.7577E7</v>
      </c>
      <c r="F1765" s="1">
        <v>5.62508E8</v>
      </c>
      <c r="G1765" s="1">
        <v>4.47283E8</v>
      </c>
      <c r="H1765" s="1">
        <v>4.73395E8</v>
      </c>
      <c r="I1765" s="1">
        <v>1.080024E9</v>
      </c>
      <c r="J1765" s="1">
        <v>6.06629E8</v>
      </c>
      <c r="K1765" s="1">
        <v>6.06629E8</v>
      </c>
      <c r="L1765" s="1">
        <v>-3.8056E7</v>
      </c>
      <c r="M1765" s="1">
        <v>1.1525E8</v>
      </c>
      <c r="N1765" s="1">
        <v>2.219829E9</v>
      </c>
      <c r="O1765" s="1">
        <v>1.6132E9</v>
      </c>
      <c r="P1765" s="1">
        <v>1.139805E9</v>
      </c>
      <c r="Q1765" s="1">
        <v>-4.4121E7</v>
      </c>
      <c r="R1765" s="1">
        <v>4.47258E8</v>
      </c>
      <c r="S1765" s="1">
        <v>4.47283E8</v>
      </c>
      <c r="W1765" s="4" t="str">
        <f>Raw_Data!C1764&amp;"|"&amp;Raw_Data!D1764&amp;"|"&amp;TEXT(Raw_Data!B1764,"yyyy-mm-dd")</f>
        <v>The Hershey Company|HSY|2020-12-31</v>
      </c>
    </row>
    <row r="1766">
      <c r="A1766" s="1">
        <v>1764.0</v>
      </c>
      <c r="B1766" s="11">
        <v>44377.0</v>
      </c>
      <c r="C1766" s="1" t="s">
        <v>918</v>
      </c>
      <c r="D1766" s="1" t="s">
        <v>919</v>
      </c>
      <c r="F1766" s="1">
        <v>5.547E8</v>
      </c>
      <c r="G1766" s="1">
        <v>4.372E8</v>
      </c>
      <c r="H1766" s="1">
        <v>1.076E8</v>
      </c>
      <c r="I1766" s="1">
        <v>7.293E8</v>
      </c>
      <c r="J1766" s="1">
        <v>6.191E8</v>
      </c>
      <c r="K1766" s="1">
        <v>6.191E8</v>
      </c>
      <c r="L1766" s="1">
        <v>-4.38E7</v>
      </c>
      <c r="M1766" s="1">
        <v>1.159E8</v>
      </c>
      <c r="N1766" s="1">
        <v>2.8007E9</v>
      </c>
      <c r="O1766" s="1">
        <v>2.1816E9</v>
      </c>
      <c r="P1766" s="1">
        <v>2.0714E9</v>
      </c>
      <c r="Q1766" s="1">
        <v>-6.44E7</v>
      </c>
      <c r="R1766" s="1">
        <v>4.388E8</v>
      </c>
      <c r="S1766" s="1">
        <v>4.372E8</v>
      </c>
      <c r="W1766" s="4" t="str">
        <f>Raw_Data!C1765&amp;"|"&amp;Raw_Data!D1765&amp;"|"&amp;TEXT(Raw_Data!B1765,"yyyy-mm-dd")</f>
        <v>The Hershey Company|HSY|2020-09-27</v>
      </c>
    </row>
    <row r="1767">
      <c r="A1767" s="1">
        <v>1765.0</v>
      </c>
      <c r="B1767" s="11">
        <v>44286.0</v>
      </c>
      <c r="C1767" s="1" t="s">
        <v>918</v>
      </c>
      <c r="D1767" s="1" t="s">
        <v>919</v>
      </c>
      <c r="F1767" s="1">
        <v>2.179E8</v>
      </c>
      <c r="G1767" s="1">
        <v>1.567E8</v>
      </c>
      <c r="H1767" s="1">
        <v>1.017E8</v>
      </c>
      <c r="I1767" s="1">
        <v>4.649E8</v>
      </c>
      <c r="J1767" s="1">
        <v>3.582E8</v>
      </c>
      <c r="K1767" s="1">
        <v>3.582E8</v>
      </c>
      <c r="L1767" s="1">
        <v>-4.94E7</v>
      </c>
      <c r="M1767" s="1">
        <v>5.97E7</v>
      </c>
      <c r="N1767" s="1">
        <v>2.2971E9</v>
      </c>
      <c r="O1767" s="1">
        <v>1.9389E9</v>
      </c>
      <c r="P1767" s="1">
        <v>1.8322E9</v>
      </c>
      <c r="Q1767" s="1">
        <v>-1.403E8</v>
      </c>
      <c r="R1767" s="1">
        <v>1.582E8</v>
      </c>
      <c r="S1767" s="1">
        <v>1.567E8</v>
      </c>
      <c r="W1767" s="4" t="str">
        <f>Raw_Data!C1766&amp;"|"&amp;Raw_Data!D1766&amp;"|"&amp;TEXT(Raw_Data!B1766,"yyyy-mm-dd")</f>
        <v>The Mosaic Company|MOS|2021-06-30</v>
      </c>
    </row>
    <row r="1768">
      <c r="A1768" s="1">
        <v>1766.0</v>
      </c>
      <c r="B1768" s="11">
        <v>44196.0</v>
      </c>
      <c r="C1768" s="1" t="s">
        <v>918</v>
      </c>
      <c r="D1768" s="1" t="s">
        <v>919</v>
      </c>
      <c r="F1768" s="1">
        <v>3.474E8</v>
      </c>
      <c r="G1768" s="1">
        <v>8.279E8</v>
      </c>
      <c r="H1768" s="1">
        <v>1.109E8</v>
      </c>
      <c r="I1768" s="1">
        <v>3.484E8</v>
      </c>
      <c r="J1768" s="1">
        <v>2.641E8</v>
      </c>
      <c r="K1768" s="1">
        <v>2.641E8</v>
      </c>
      <c r="L1768" s="1">
        <v>-5.55E7</v>
      </c>
      <c r="M1768" s="1">
        <v>-4.809E8</v>
      </c>
      <c r="N1768" s="1">
        <v>2.4574E9</v>
      </c>
      <c r="O1768" s="1">
        <v>2.1933E9</v>
      </c>
      <c r="P1768" s="1">
        <v>2.109E9</v>
      </c>
      <c r="Q1768" s="1">
        <v>8.33E7</v>
      </c>
      <c r="R1768" s="1">
        <v>8.283E8</v>
      </c>
      <c r="S1768" s="1">
        <v>8.279E8</v>
      </c>
      <c r="W1768" s="4" t="str">
        <f>Raw_Data!C1767&amp;"|"&amp;Raw_Data!D1767&amp;"|"&amp;TEXT(Raw_Data!B1767,"yyyy-mm-dd")</f>
        <v>The Mosaic Company|MOS|2021-03-31</v>
      </c>
    </row>
    <row r="1769">
      <c r="A1769" s="1">
        <v>1767.0</v>
      </c>
      <c r="B1769" s="11">
        <v>44104.0</v>
      </c>
      <c r="C1769" s="1" t="s">
        <v>918</v>
      </c>
      <c r="D1769" s="1" t="s">
        <v>919</v>
      </c>
      <c r="F1769" s="1">
        <v>3.35E7</v>
      </c>
      <c r="G1769" s="1">
        <v>-6200000.0</v>
      </c>
      <c r="H1769" s="1">
        <v>9.76E7</v>
      </c>
      <c r="I1769" s="1">
        <v>3.741E8</v>
      </c>
      <c r="J1769" s="1">
        <v>1.495E8</v>
      </c>
      <c r="K1769" s="1">
        <v>1.495E8</v>
      </c>
      <c r="L1769" s="1">
        <v>-5.08E7</v>
      </c>
      <c r="M1769" s="1">
        <v>3.81E7</v>
      </c>
      <c r="N1769" s="1">
        <v>2.3815E9</v>
      </c>
      <c r="O1769" s="1">
        <v>2.232E9</v>
      </c>
      <c r="P1769" s="1">
        <v>2.0074E9</v>
      </c>
      <c r="Q1769" s="1">
        <v>-1.16E8</v>
      </c>
      <c r="R1769" s="1">
        <v>-4600000.0</v>
      </c>
      <c r="S1769" s="1">
        <v>-6200000.0</v>
      </c>
      <c r="W1769" s="4" t="str">
        <f>Raw_Data!C1768&amp;"|"&amp;Raw_Data!D1768&amp;"|"&amp;TEXT(Raw_Data!B1768,"yyyy-mm-dd")</f>
        <v>The Mosaic Company|MOS|2020-12-31</v>
      </c>
    </row>
    <row r="1770">
      <c r="A1770" s="1">
        <v>1768.0</v>
      </c>
      <c r="B1770" s="11">
        <v>44377.0</v>
      </c>
      <c r="C1770" s="1" t="s">
        <v>920</v>
      </c>
      <c r="D1770" s="1" t="s">
        <v>921</v>
      </c>
      <c r="F1770" s="1">
        <v>1.131E9</v>
      </c>
      <c r="G1770" s="1">
        <v>9.34E8</v>
      </c>
      <c r="H1770" s="1">
        <v>1.174E9</v>
      </c>
      <c r="I1770" s="1">
        <v>2.388E9</v>
      </c>
      <c r="J1770" s="1">
        <v>1.214E9</v>
      </c>
      <c r="K1770" s="1">
        <v>1.214E9</v>
      </c>
      <c r="L1770" s="1">
        <v>-8.3E7</v>
      </c>
      <c r="M1770" s="1">
        <v>1.97E8</v>
      </c>
      <c r="N1770" s="1">
        <v>8.687E9</v>
      </c>
      <c r="O1770" s="1">
        <v>7.473E9</v>
      </c>
      <c r="P1770" s="1">
        <v>6.299E9</v>
      </c>
      <c r="Q1770" s="1">
        <v>-8.3E7</v>
      </c>
      <c r="R1770" s="1">
        <v>9.34E8</v>
      </c>
      <c r="S1770" s="1">
        <v>9.27E8</v>
      </c>
      <c r="W1770" s="4" t="str">
        <f>Raw_Data!C1769&amp;"|"&amp;Raw_Data!D1769&amp;"|"&amp;TEXT(Raw_Data!B1769,"yyyy-mm-dd")</f>
        <v>The Mosaic Company|MOS|2020-09-30</v>
      </c>
    </row>
    <row r="1771">
      <c r="A1771" s="1">
        <v>1769.0</v>
      </c>
      <c r="B1771" s="11">
        <v>44286.0</v>
      </c>
      <c r="C1771" s="1" t="s">
        <v>920</v>
      </c>
      <c r="D1771" s="1" t="s">
        <v>921</v>
      </c>
      <c r="F1771" s="1">
        <v>8.91E8</v>
      </c>
      <c r="G1771" s="1">
        <v>7.33E8</v>
      </c>
      <c r="H1771" s="1">
        <v>1.163E9</v>
      </c>
      <c r="I1771" s="1">
        <v>2.136E9</v>
      </c>
      <c r="J1771" s="1">
        <v>9.73E8</v>
      </c>
      <c r="K1771" s="1">
        <v>9.73E8</v>
      </c>
      <c r="L1771" s="1">
        <v>-8.2E7</v>
      </c>
      <c r="M1771" s="1">
        <v>1.58E8</v>
      </c>
      <c r="N1771" s="1">
        <v>8.313E9</v>
      </c>
      <c r="O1771" s="1">
        <v>7.34E9</v>
      </c>
      <c r="P1771" s="1">
        <v>6.177E9</v>
      </c>
      <c r="Q1771" s="1">
        <v>-8.2E7</v>
      </c>
      <c r="R1771" s="1">
        <v>7.33E8</v>
      </c>
      <c r="S1771" s="1">
        <v>7.28E8</v>
      </c>
      <c r="W1771" s="4" t="str">
        <f>Raw_Data!C1770&amp;"|"&amp;Raw_Data!D1770&amp;"|"&amp;TEXT(Raw_Data!B1770,"yyyy-mm-dd")</f>
        <v>The Travelers Companies|TRV|2021-06-30</v>
      </c>
    </row>
    <row r="1772">
      <c r="A1772" s="1">
        <v>1770.0</v>
      </c>
      <c r="B1772" s="11">
        <v>44196.0</v>
      </c>
      <c r="C1772" s="1" t="s">
        <v>920</v>
      </c>
      <c r="D1772" s="1" t="s">
        <v>921</v>
      </c>
      <c r="F1772" s="1">
        <v>1.616E9</v>
      </c>
      <c r="G1772" s="1">
        <v>1.31E9</v>
      </c>
      <c r="H1772" s="1">
        <v>1.142E9</v>
      </c>
      <c r="I1772" s="1">
        <v>2.841E9</v>
      </c>
      <c r="J1772" s="1">
        <v>1.699E9</v>
      </c>
      <c r="K1772" s="1">
        <v>1.699E9</v>
      </c>
      <c r="L1772" s="1">
        <v>-8.3E7</v>
      </c>
      <c r="M1772" s="1">
        <v>3.06E8</v>
      </c>
      <c r="N1772" s="1">
        <v>8.397E9</v>
      </c>
      <c r="O1772" s="1">
        <v>6.698E9</v>
      </c>
      <c r="P1772" s="1">
        <v>5.556E9</v>
      </c>
      <c r="Q1772" s="1">
        <v>-8.3E7</v>
      </c>
      <c r="R1772" s="1">
        <v>1.31E9</v>
      </c>
      <c r="S1772" s="1">
        <v>1.3E9</v>
      </c>
      <c r="W1772" s="4" t="str">
        <f>Raw_Data!C1771&amp;"|"&amp;Raw_Data!D1771&amp;"|"&amp;TEXT(Raw_Data!B1771,"yyyy-mm-dd")</f>
        <v>The Travelers Companies|TRV|2021-03-31</v>
      </c>
    </row>
    <row r="1773">
      <c r="A1773" s="1">
        <v>1771.0</v>
      </c>
      <c r="B1773" s="11">
        <v>44104.0</v>
      </c>
      <c r="C1773" s="1" t="s">
        <v>920</v>
      </c>
      <c r="D1773" s="1" t="s">
        <v>921</v>
      </c>
      <c r="F1773" s="1">
        <v>9.86E8</v>
      </c>
      <c r="G1773" s="1">
        <v>8.27E8</v>
      </c>
      <c r="H1773" s="1">
        <v>1.109E9</v>
      </c>
      <c r="I1773" s="1">
        <v>2.182E9</v>
      </c>
      <c r="J1773" s="1">
        <v>1.073E9</v>
      </c>
      <c r="K1773" s="1">
        <v>1.073E9</v>
      </c>
      <c r="L1773" s="1">
        <v>-8.7E7</v>
      </c>
      <c r="M1773" s="1">
        <v>1.59E8</v>
      </c>
      <c r="N1773" s="1">
        <v>8.275E9</v>
      </c>
      <c r="O1773" s="1">
        <v>7.202E9</v>
      </c>
      <c r="P1773" s="1">
        <v>6.093E9</v>
      </c>
      <c r="Q1773" s="1">
        <v>-8.7E7</v>
      </c>
      <c r="R1773" s="1">
        <v>8.27E8</v>
      </c>
      <c r="S1773" s="1">
        <v>8.21E8</v>
      </c>
      <c r="W1773" s="4" t="str">
        <f>Raw_Data!C1772&amp;"|"&amp;Raw_Data!D1772&amp;"|"&amp;TEXT(Raw_Data!B1772,"yyyy-mm-dd")</f>
        <v>The Travelers Companies|TRV|2020-12-31</v>
      </c>
    </row>
    <row r="1774">
      <c r="A1774" s="1">
        <v>1772.0</v>
      </c>
      <c r="B1774" s="11">
        <v>44289.0</v>
      </c>
      <c r="C1774" s="1" t="s">
        <v>922</v>
      </c>
      <c r="D1774" s="1" t="s">
        <v>923</v>
      </c>
      <c r="F1774" s="1">
        <v>1.23E9</v>
      </c>
      <c r="G1774" s="1">
        <v>9.01E8</v>
      </c>
      <c r="H1774" s="1">
        <v>3.149E9</v>
      </c>
      <c r="I1774" s="1">
        <v>5.831E9</v>
      </c>
      <c r="J1774" s="1">
        <v>1.41E9</v>
      </c>
      <c r="K1774" s="1">
        <v>1.41E9</v>
      </c>
      <c r="L1774" s="1">
        <v>-4.15E8</v>
      </c>
      <c r="M1774" s="1">
        <v>1.08E8</v>
      </c>
      <c r="N1774" s="1">
        <v>1.5613E10</v>
      </c>
      <c r="O1774" s="1">
        <v>1.4203E10</v>
      </c>
      <c r="P1774" s="1">
        <v>9.782E9</v>
      </c>
      <c r="Q1774" s="1">
        <v>-1.8E8</v>
      </c>
      <c r="R1774" s="1">
        <v>1.122E9</v>
      </c>
      <c r="S1774" s="1">
        <v>9.01E8</v>
      </c>
      <c r="W1774" s="4" t="str">
        <f>Raw_Data!C1773&amp;"|"&amp;Raw_Data!D1773&amp;"|"&amp;TEXT(Raw_Data!B1773,"yyyy-mm-dd")</f>
        <v>The Travelers Companies|TRV|2020-09-30</v>
      </c>
    </row>
    <row r="1775">
      <c r="A1775" s="1">
        <v>1773.0</v>
      </c>
      <c r="B1775" s="11">
        <v>44198.0</v>
      </c>
      <c r="C1775" s="1" t="s">
        <v>922</v>
      </c>
      <c r="D1775" s="1" t="s">
        <v>923</v>
      </c>
      <c r="F1775" s="1">
        <v>4.6E7</v>
      </c>
      <c r="G1775" s="1">
        <v>1.7E7</v>
      </c>
      <c r="H1775" s="1">
        <v>2.95E9</v>
      </c>
      <c r="I1775" s="1">
        <v>4.474E9</v>
      </c>
      <c r="J1775" s="1">
        <v>2.26E8</v>
      </c>
      <c r="K1775" s="1">
        <v>2.26E8</v>
      </c>
      <c r="L1775" s="1">
        <v>-4.04E8</v>
      </c>
      <c r="M1775" s="1">
        <v>1.6E7</v>
      </c>
      <c r="N1775" s="1">
        <v>1.6249E10</v>
      </c>
      <c r="O1775" s="1">
        <v>1.6023E10</v>
      </c>
      <c r="P1775" s="1">
        <v>1.1775E10</v>
      </c>
      <c r="Q1775" s="1">
        <v>-1.8E8</v>
      </c>
      <c r="R1775" s="1">
        <v>3.0E7</v>
      </c>
      <c r="S1775" s="1">
        <v>1.7E7</v>
      </c>
      <c r="W1775" s="4" t="str">
        <f>Raw_Data!C1774&amp;"|"&amp;Raw_Data!D1774&amp;"|"&amp;TEXT(Raw_Data!B1774,"yyyy-mm-dd")</f>
        <v>The Walt Disney Company|DIS|2021-04-03</v>
      </c>
    </row>
    <row r="1776">
      <c r="A1776" s="1">
        <v>1774.0</v>
      </c>
      <c r="B1776" s="11">
        <v>44107.0</v>
      </c>
      <c r="C1776" s="1" t="s">
        <v>922</v>
      </c>
      <c r="D1776" s="1" t="s">
        <v>923</v>
      </c>
      <c r="F1776" s="1">
        <v>-5.8E8</v>
      </c>
      <c r="G1776" s="1">
        <v>-7.1E8</v>
      </c>
      <c r="H1776" s="1">
        <v>2.833E9</v>
      </c>
      <c r="I1776" s="1">
        <v>3.694E9</v>
      </c>
      <c r="J1776" s="1">
        <v>-4.74E8</v>
      </c>
      <c r="K1776" s="1">
        <v>-4.74E8</v>
      </c>
      <c r="L1776" s="1">
        <v>-4.75E8</v>
      </c>
      <c r="M1776" s="1">
        <v>4.9E7</v>
      </c>
      <c r="N1776" s="1">
        <v>1.4707E10</v>
      </c>
      <c r="O1776" s="1">
        <v>1.5181E10</v>
      </c>
      <c r="P1776" s="1">
        <v>1.1013E10</v>
      </c>
      <c r="Q1776" s="1">
        <v>-1.06E8</v>
      </c>
      <c r="R1776" s="1">
        <v>-6.29E8</v>
      </c>
      <c r="S1776" s="1">
        <v>-7.1E8</v>
      </c>
      <c r="W1776" s="4" t="str">
        <f>Raw_Data!C1775&amp;"|"&amp;Raw_Data!D1775&amp;"|"&amp;TEXT(Raw_Data!B1775,"yyyy-mm-dd")</f>
        <v>The Walt Disney Company|DIS|2021-01-02</v>
      </c>
    </row>
    <row r="1777">
      <c r="A1777" s="1">
        <v>1775.0</v>
      </c>
      <c r="B1777" s="11">
        <v>44009.0</v>
      </c>
      <c r="C1777" s="1" t="s">
        <v>922</v>
      </c>
      <c r="D1777" s="1" t="s">
        <v>923</v>
      </c>
      <c r="F1777" s="1">
        <v>-4.84E9</v>
      </c>
      <c r="G1777" s="1">
        <v>-4.721E9</v>
      </c>
      <c r="H1777" s="1">
        <v>2.452E9</v>
      </c>
      <c r="I1777" s="1">
        <v>3.883E9</v>
      </c>
      <c r="J1777" s="1">
        <v>5.4E7</v>
      </c>
      <c r="K1777" s="1">
        <v>5.4E7</v>
      </c>
      <c r="L1777" s="1">
        <v>-4.56E8</v>
      </c>
      <c r="M1777" s="1">
        <v>-3.31E8</v>
      </c>
      <c r="N1777" s="1">
        <v>1.1779E10</v>
      </c>
      <c r="O1777" s="1">
        <v>1.1725E10</v>
      </c>
      <c r="P1777" s="1">
        <v>7.896E9</v>
      </c>
      <c r="Q1777" s="1">
        <v>-4.894E9</v>
      </c>
      <c r="R1777" s="1">
        <v>-4.509E9</v>
      </c>
      <c r="S1777" s="1">
        <v>-4.721E9</v>
      </c>
      <c r="W1777" s="4" t="str">
        <f>Raw_Data!C1776&amp;"|"&amp;Raw_Data!D1776&amp;"|"&amp;TEXT(Raw_Data!B1776,"yyyy-mm-dd")</f>
        <v>The Walt Disney Company|DIS|2020-10-03</v>
      </c>
    </row>
    <row r="1778">
      <c r="A1778" s="1">
        <v>1776.0</v>
      </c>
      <c r="B1778" s="11">
        <v>44380.0</v>
      </c>
      <c r="C1778" s="1" t="s">
        <v>924</v>
      </c>
      <c r="D1778" s="1" t="s">
        <v>925</v>
      </c>
      <c r="E1778" s="1">
        <v>3.43E8</v>
      </c>
      <c r="F1778" s="1">
        <v>2.047E9</v>
      </c>
      <c r="G1778" s="1">
        <v>1.828E9</v>
      </c>
      <c r="H1778" s="1">
        <v>1.941E9</v>
      </c>
      <c r="I1778" s="1">
        <v>4.524E9</v>
      </c>
      <c r="J1778" s="1">
        <v>2.24E9</v>
      </c>
      <c r="K1778" s="1">
        <v>2.24E9</v>
      </c>
      <c r="L1778" s="1">
        <v>-1.22E8</v>
      </c>
      <c r="M1778" s="1">
        <v>2.19E8</v>
      </c>
      <c r="N1778" s="1">
        <v>9.273E9</v>
      </c>
      <c r="O1778" s="1">
        <v>7.033E9</v>
      </c>
      <c r="P1778" s="1">
        <v>4.749E9</v>
      </c>
      <c r="Q1778" s="1">
        <v>-1.93E8</v>
      </c>
      <c r="R1778" s="1">
        <v>1.828E9</v>
      </c>
      <c r="S1778" s="1">
        <v>1.828E9</v>
      </c>
      <c r="W1778" s="4" t="str">
        <f>Raw_Data!C1777&amp;"|"&amp;Raw_Data!D1777&amp;"|"&amp;TEXT(Raw_Data!B1777,"yyyy-mm-dd")</f>
        <v>The Walt Disney Company|DIS|2020-06-27</v>
      </c>
    </row>
    <row r="1779">
      <c r="A1779" s="1">
        <v>1777.0</v>
      </c>
      <c r="B1779" s="11">
        <v>44289.0</v>
      </c>
      <c r="C1779" s="1" t="s">
        <v>924</v>
      </c>
      <c r="D1779" s="1" t="s">
        <v>925</v>
      </c>
      <c r="E1779" s="1">
        <v>3.2E8</v>
      </c>
      <c r="F1779" s="1">
        <v>2.753E9</v>
      </c>
      <c r="G1779" s="1">
        <v>2.337E9</v>
      </c>
      <c r="H1779" s="1">
        <v>1.808E9</v>
      </c>
      <c r="I1779" s="1">
        <v>5.217E9</v>
      </c>
      <c r="J1779" s="1">
        <v>3.089E9</v>
      </c>
      <c r="K1779" s="1">
        <v>3.089E9</v>
      </c>
      <c r="L1779" s="1">
        <v>-1.18E8</v>
      </c>
      <c r="M1779" s="1">
        <v>4.16E8</v>
      </c>
      <c r="N1779" s="1">
        <v>9.906E9</v>
      </c>
      <c r="O1779" s="1">
        <v>6.817E9</v>
      </c>
      <c r="P1779" s="1">
        <v>4.689E9</v>
      </c>
      <c r="Q1779" s="1">
        <v>-3.36E8</v>
      </c>
      <c r="R1779" s="1">
        <v>2.337E9</v>
      </c>
      <c r="S1779" s="1">
        <v>2.337E9</v>
      </c>
      <c r="W1779" s="4" t="str">
        <f>Raw_Data!C1778&amp;"|"&amp;Raw_Data!D1778&amp;"|"&amp;TEXT(Raw_Data!B1778,"yyyy-mm-dd")</f>
        <v>Thermo Fisher Scientific|TMO|2021-07-03</v>
      </c>
    </row>
    <row r="1780">
      <c r="A1780" s="1">
        <v>1778.0</v>
      </c>
      <c r="B1780" s="11">
        <v>44196.0</v>
      </c>
      <c r="C1780" s="1" t="s">
        <v>924</v>
      </c>
      <c r="D1780" s="1" t="s">
        <v>925</v>
      </c>
      <c r="E1780" s="1">
        <v>3.76E8</v>
      </c>
      <c r="F1780" s="1">
        <v>2.892E9</v>
      </c>
      <c r="G1780" s="1">
        <v>2.498E9</v>
      </c>
      <c r="H1780" s="1">
        <v>2.096E9</v>
      </c>
      <c r="I1780" s="1">
        <v>5.557E9</v>
      </c>
      <c r="J1780" s="1">
        <v>3.085E9</v>
      </c>
      <c r="K1780" s="1">
        <v>3.085E9</v>
      </c>
      <c r="L1780" s="1">
        <v>-1.32E8</v>
      </c>
      <c r="M1780" s="1">
        <v>3.94E8</v>
      </c>
      <c r="N1780" s="1">
        <v>1.055E10</v>
      </c>
      <c r="O1780" s="1">
        <v>7.465E9</v>
      </c>
      <c r="P1780" s="1">
        <v>4.993E9</v>
      </c>
      <c r="Q1780" s="1">
        <v>-1.93E8</v>
      </c>
      <c r="R1780" s="1">
        <v>2.498E9</v>
      </c>
      <c r="S1780" s="1">
        <v>2.498E9</v>
      </c>
      <c r="W1780" s="4" t="str">
        <f>Raw_Data!C1779&amp;"|"&amp;Raw_Data!D1779&amp;"|"&amp;TEXT(Raw_Data!B1779,"yyyy-mm-dd")</f>
        <v>Thermo Fisher Scientific|TMO|2021-04-03</v>
      </c>
    </row>
    <row r="1781">
      <c r="A1781" s="1">
        <v>1779.0</v>
      </c>
      <c r="B1781" s="11">
        <v>44100.0</v>
      </c>
      <c r="C1781" s="1" t="s">
        <v>924</v>
      </c>
      <c r="D1781" s="1" t="s">
        <v>925</v>
      </c>
      <c r="E1781" s="1">
        <v>2.96E8</v>
      </c>
      <c r="F1781" s="1">
        <v>2.252E9</v>
      </c>
      <c r="G1781" s="1">
        <v>1.933E9</v>
      </c>
      <c r="H1781" s="1">
        <v>1.647E9</v>
      </c>
      <c r="I1781" s="1">
        <v>4.332E9</v>
      </c>
      <c r="J1781" s="1">
        <v>2.389E9</v>
      </c>
      <c r="K1781" s="1">
        <v>2.389E9</v>
      </c>
      <c r="L1781" s="1">
        <v>-1.49E8</v>
      </c>
      <c r="M1781" s="1">
        <v>3.19E8</v>
      </c>
      <c r="N1781" s="1">
        <v>8.521E9</v>
      </c>
      <c r="O1781" s="1">
        <v>6.132E9</v>
      </c>
      <c r="P1781" s="1">
        <v>4.189E9</v>
      </c>
      <c r="Q1781" s="1">
        <v>-1.37E8</v>
      </c>
      <c r="R1781" s="1">
        <v>1.933E9</v>
      </c>
      <c r="S1781" s="1">
        <v>1.933E9</v>
      </c>
      <c r="W1781" s="4" t="str">
        <f>Raw_Data!C1780&amp;"|"&amp;Raw_Data!D1780&amp;"|"&amp;TEXT(Raw_Data!B1780,"yyyy-mm-dd")</f>
        <v>Thermo Fisher Scientific|TMO|2020-12-31</v>
      </c>
    </row>
    <row r="1782">
      <c r="A1782" s="1">
        <v>1780.0</v>
      </c>
      <c r="B1782" s="11">
        <v>44317.0</v>
      </c>
      <c r="C1782" s="1" t="s">
        <v>926</v>
      </c>
      <c r="D1782" s="1" t="s">
        <v>927</v>
      </c>
      <c r="F1782" s="1">
        <v>7.21346E8</v>
      </c>
      <c r="G1782" s="1">
        <v>5.3393E8</v>
      </c>
      <c r="H1782" s="1">
        <v>2.064992E9</v>
      </c>
      <c r="I1782" s="1">
        <v>2.831026E9</v>
      </c>
      <c r="J1782" s="1">
        <v>7.66034E8</v>
      </c>
      <c r="K1782" s="1">
        <v>7.66034E8</v>
      </c>
      <c r="L1782" s="1">
        <v>-4.5888E7</v>
      </c>
      <c r="M1782" s="1">
        <v>1.87416E8</v>
      </c>
      <c r="N1782" s="1">
        <v>1.0086661E10</v>
      </c>
      <c r="O1782" s="1">
        <v>9.320627E9</v>
      </c>
      <c r="P1782" s="1">
        <v>7.255635E9</v>
      </c>
      <c r="Q1782" s="1">
        <v>-4.4688E7</v>
      </c>
      <c r="R1782" s="1">
        <v>5.3393E8</v>
      </c>
      <c r="S1782" s="1">
        <v>5.3393E8</v>
      </c>
      <c r="W1782" s="4" t="str">
        <f>Raw_Data!C1781&amp;"|"&amp;Raw_Data!D1781&amp;"|"&amp;TEXT(Raw_Data!B1781,"yyyy-mm-dd")</f>
        <v>Thermo Fisher Scientific|TMO|2020-09-26</v>
      </c>
    </row>
    <row r="1783">
      <c r="A1783" s="1">
        <v>1781.0</v>
      </c>
      <c r="B1783" s="11">
        <v>44226.0</v>
      </c>
      <c r="C1783" s="1" t="s">
        <v>926</v>
      </c>
      <c r="D1783" s="1" t="s">
        <v>927</v>
      </c>
      <c r="F1783" s="1">
        <v>5.08138E8</v>
      </c>
      <c r="G1783" s="1">
        <v>3.25523E8</v>
      </c>
      <c r="H1783" s="1">
        <v>5.610468E9</v>
      </c>
      <c r="I1783" s="1">
        <v>5.966002E9</v>
      </c>
      <c r="J1783" s="1">
        <v>3.55534E8</v>
      </c>
      <c r="K1783" s="1">
        <v>3.55534E8</v>
      </c>
      <c r="L1783" s="1">
        <v>-4.8854E7</v>
      </c>
      <c r="M1783" s="1">
        <v>1.82615E8</v>
      </c>
      <c r="N1783" s="1">
        <v>1.094321E10</v>
      </c>
      <c r="O1783" s="1">
        <v>1.0587676E10</v>
      </c>
      <c r="P1783" s="1">
        <v>4.977208E9</v>
      </c>
      <c r="Q1783" s="1">
        <v>1.52604E8</v>
      </c>
      <c r="R1783" s="1">
        <v>3.25523E8</v>
      </c>
      <c r="S1783" s="1">
        <v>3.25523E8</v>
      </c>
      <c r="W1783" s="4" t="str">
        <f>Raw_Data!C1782&amp;"|"&amp;Raw_Data!D1782&amp;"|"&amp;TEXT(Raw_Data!B1782,"yyyy-mm-dd")</f>
        <v>TJX Companies|TJX|2021-05-01</v>
      </c>
    </row>
    <row r="1784">
      <c r="A1784" s="1">
        <v>1782.0</v>
      </c>
      <c r="B1784" s="11">
        <v>44135.0</v>
      </c>
      <c r="C1784" s="1" t="s">
        <v>926</v>
      </c>
      <c r="D1784" s="1" t="s">
        <v>927</v>
      </c>
      <c r="F1784" s="1">
        <v>1.015992E9</v>
      </c>
      <c r="G1784" s="1">
        <v>8.66656E8</v>
      </c>
      <c r="H1784" s="1">
        <v>1.986128E9</v>
      </c>
      <c r="I1784" s="1">
        <v>3.055004E9</v>
      </c>
      <c r="J1784" s="1">
        <v>1.068876E9</v>
      </c>
      <c r="K1784" s="1">
        <v>1.068876E9</v>
      </c>
      <c r="L1784" s="1">
        <v>-5.42E7</v>
      </c>
      <c r="M1784" s="1">
        <v>1.49336E8</v>
      </c>
      <c r="N1784" s="1">
        <v>1.0117289E10</v>
      </c>
      <c r="O1784" s="1">
        <v>9.048413E9</v>
      </c>
      <c r="P1784" s="1">
        <v>7.062285E9</v>
      </c>
      <c r="Q1784" s="1">
        <v>-5.2884E7</v>
      </c>
      <c r="R1784" s="1">
        <v>8.66656E8</v>
      </c>
      <c r="S1784" s="1">
        <v>8.66656E8</v>
      </c>
      <c r="W1784" s="4" t="str">
        <f>Raw_Data!C1783&amp;"|"&amp;Raw_Data!D1783&amp;"|"&amp;TEXT(Raw_Data!B1783,"yyyy-mm-dd")</f>
        <v>TJX Companies|TJX|2021-01-30</v>
      </c>
    </row>
    <row r="1785">
      <c r="A1785" s="1">
        <v>1783.0</v>
      </c>
      <c r="B1785" s="11">
        <v>44044.0</v>
      </c>
      <c r="C1785" s="1" t="s">
        <v>926</v>
      </c>
      <c r="D1785" s="1" t="s">
        <v>927</v>
      </c>
      <c r="F1785" s="1">
        <v>-9.2019E7</v>
      </c>
      <c r="G1785" s="1">
        <v>-2.1422E8</v>
      </c>
      <c r="H1785" s="1">
        <v>1.527768E9</v>
      </c>
      <c r="I1785" s="1">
        <v>1.493085E9</v>
      </c>
      <c r="J1785" s="1">
        <v>-3.4683E7</v>
      </c>
      <c r="K1785" s="1">
        <v>-3.4683E7</v>
      </c>
      <c r="L1785" s="1">
        <v>-5.9E7</v>
      </c>
      <c r="M1785" s="1">
        <v>1.22201E8</v>
      </c>
      <c r="N1785" s="1">
        <v>6.667575E9</v>
      </c>
      <c r="O1785" s="1">
        <v>6.702258E9</v>
      </c>
      <c r="P1785" s="1">
        <v>5.17449E9</v>
      </c>
      <c r="Q1785" s="1">
        <v>-5.7336E7</v>
      </c>
      <c r="R1785" s="1">
        <v>-2.1422E8</v>
      </c>
      <c r="S1785" s="1">
        <v>-2.1422E8</v>
      </c>
      <c r="W1785" s="4" t="str">
        <f>Raw_Data!C1784&amp;"|"&amp;Raw_Data!D1784&amp;"|"&amp;TEXT(Raw_Data!B1784,"yyyy-mm-dd")</f>
        <v>TJX Companies|TJX|2020-10-31</v>
      </c>
    </row>
    <row r="1786">
      <c r="A1786" s="1">
        <v>1784.0</v>
      </c>
      <c r="B1786" s="11">
        <v>44373.0</v>
      </c>
      <c r="C1786" s="1" t="s">
        <v>928</v>
      </c>
      <c r="D1786" s="1" t="s">
        <v>929</v>
      </c>
      <c r="F1786" s="1">
        <v>4.79182E8</v>
      </c>
      <c r="G1786" s="1">
        <v>3.70022E8</v>
      </c>
      <c r="H1786" s="1">
        <v>7.23749E8</v>
      </c>
      <c r="I1786" s="1">
        <v>1.287485E9</v>
      </c>
      <c r="J1786" s="1">
        <v>4.98883E8</v>
      </c>
      <c r="K1786" s="1">
        <v>4.98883E8</v>
      </c>
      <c r="L1786" s="1">
        <v>-6701000.0</v>
      </c>
      <c r="M1786" s="1">
        <v>1.0916E8</v>
      </c>
      <c r="N1786" s="1">
        <v>3.601559E9</v>
      </c>
      <c r="O1786" s="1">
        <v>3.102676E9</v>
      </c>
      <c r="P1786" s="1">
        <v>2.314074E9</v>
      </c>
      <c r="Q1786" s="1">
        <v>-1.9701E7</v>
      </c>
      <c r="R1786" s="1">
        <v>3.70022E8</v>
      </c>
      <c r="S1786" s="1">
        <v>3.70022E8</v>
      </c>
      <c r="W1786" s="4" t="str">
        <f>Raw_Data!C1785&amp;"|"&amp;Raw_Data!D1785&amp;"|"&amp;TEXT(Raw_Data!B1785,"yyyy-mm-dd")</f>
        <v>TJX Companies|TJX|2020-08-01</v>
      </c>
    </row>
    <row r="1787">
      <c r="A1787" s="1">
        <v>1785.0</v>
      </c>
      <c r="B1787" s="11">
        <v>44282.0</v>
      </c>
      <c r="C1787" s="1" t="s">
        <v>928</v>
      </c>
      <c r="D1787" s="1" t="s">
        <v>929</v>
      </c>
      <c r="F1787" s="1">
        <v>2.23315E8</v>
      </c>
      <c r="G1787" s="1">
        <v>1.81354E8</v>
      </c>
      <c r="H1787" s="1">
        <v>6.9319E8</v>
      </c>
      <c r="I1787" s="1">
        <v>9.8378E8</v>
      </c>
      <c r="J1787" s="1">
        <v>2.30536E8</v>
      </c>
      <c r="K1787" s="1">
        <v>2.30536E8</v>
      </c>
      <c r="L1787" s="1">
        <v>-7221000.0</v>
      </c>
      <c r="M1787" s="1">
        <v>4.1961E7</v>
      </c>
      <c r="N1787" s="1">
        <v>2.792336E9</v>
      </c>
      <c r="O1787" s="1">
        <v>2.5618E9</v>
      </c>
      <c r="P1787" s="1">
        <v>1.808556E9</v>
      </c>
      <c r="Q1787" s="1">
        <v>-7221000.0</v>
      </c>
      <c r="R1787" s="1">
        <v>1.81354E8</v>
      </c>
      <c r="S1787" s="1">
        <v>1.81354E8</v>
      </c>
      <c r="W1787" s="4" t="str">
        <f>Raw_Data!C1786&amp;"|"&amp;Raw_Data!D1786&amp;"|"&amp;TEXT(Raw_Data!B1786,"yyyy-mm-dd")</f>
        <v>Tractor Supply Company|TSCO|2021-06-26</v>
      </c>
    </row>
    <row r="1788">
      <c r="A1788" s="1">
        <v>1786.0</v>
      </c>
      <c r="B1788" s="11">
        <v>44191.0</v>
      </c>
      <c r="C1788" s="1" t="s">
        <v>928</v>
      </c>
      <c r="D1788" s="1" t="s">
        <v>929</v>
      </c>
      <c r="F1788" s="1">
        <v>1.76381E8</v>
      </c>
      <c r="G1788" s="1">
        <v>1.35893E8</v>
      </c>
      <c r="H1788" s="1">
        <v>6.43522E8</v>
      </c>
      <c r="I1788" s="1">
        <v>9.9553E8</v>
      </c>
      <c r="J1788" s="1">
        <v>2.93518E8</v>
      </c>
      <c r="K1788" s="1">
        <v>2.93518E8</v>
      </c>
      <c r="L1788" s="1">
        <v>-8086000.0</v>
      </c>
      <c r="M1788" s="1">
        <v>4.0488E7</v>
      </c>
      <c r="N1788" s="1">
        <v>2.878265E9</v>
      </c>
      <c r="O1788" s="1">
        <v>2.584747E9</v>
      </c>
      <c r="P1788" s="1">
        <v>1.882735E9</v>
      </c>
      <c r="Q1788" s="1">
        <v>-1.17137E8</v>
      </c>
      <c r="R1788" s="1">
        <v>1.35893E8</v>
      </c>
      <c r="S1788" s="1">
        <v>1.35893E8</v>
      </c>
      <c r="W1788" s="4" t="str">
        <f>Raw_Data!C1787&amp;"|"&amp;Raw_Data!D1787&amp;"|"&amp;TEXT(Raw_Data!B1787,"yyyy-mm-dd")</f>
        <v>Tractor Supply Company|TSCO|2021-03-27</v>
      </c>
    </row>
    <row r="1789">
      <c r="A1789" s="1">
        <v>1787.0</v>
      </c>
      <c r="B1789" s="11">
        <v>44100.0</v>
      </c>
      <c r="C1789" s="1" t="s">
        <v>928</v>
      </c>
      <c r="D1789" s="1" t="s">
        <v>929</v>
      </c>
      <c r="F1789" s="1">
        <v>2.44969E8</v>
      </c>
      <c r="G1789" s="1">
        <v>1.9061E8</v>
      </c>
      <c r="H1789" s="1">
        <v>6.21129E8</v>
      </c>
      <c r="I1789" s="1">
        <v>9.47957E8</v>
      </c>
      <c r="J1789" s="1">
        <v>2.72177E8</v>
      </c>
      <c r="K1789" s="1">
        <v>2.72177E8</v>
      </c>
      <c r="L1789" s="1">
        <v>-7208000.0</v>
      </c>
      <c r="M1789" s="1">
        <v>5.4359E7</v>
      </c>
      <c r="N1789" s="1">
        <v>2.606572E9</v>
      </c>
      <c r="O1789" s="1">
        <v>2.334395E9</v>
      </c>
      <c r="P1789" s="1">
        <v>1.658615E9</v>
      </c>
      <c r="Q1789" s="1">
        <v>-2.7208E7</v>
      </c>
      <c r="R1789" s="1">
        <v>1.9061E8</v>
      </c>
      <c r="S1789" s="1">
        <v>1.9061E8</v>
      </c>
      <c r="W1789" s="4" t="str">
        <f>Raw_Data!C1788&amp;"|"&amp;Raw_Data!D1788&amp;"|"&amp;TEXT(Raw_Data!B1788,"yyyy-mm-dd")</f>
        <v>Tractor Supply Company|TSCO|2020-12-26</v>
      </c>
    </row>
    <row r="1790">
      <c r="A1790" s="1">
        <v>1788.0</v>
      </c>
      <c r="B1790" s="11">
        <v>44377.0</v>
      </c>
      <c r="C1790" s="1" t="s">
        <v>930</v>
      </c>
      <c r="D1790" s="1" t="s">
        <v>931</v>
      </c>
      <c r="F1790" s="1">
        <v>5.92E8</v>
      </c>
      <c r="G1790" s="1">
        <v>4.647E8</v>
      </c>
      <c r="H1790" s="1">
        <v>6.178E8</v>
      </c>
      <c r="I1790" s="1">
        <v>1.2715E9</v>
      </c>
      <c r="J1790" s="1">
        <v>6.537E8</v>
      </c>
      <c r="K1790" s="1">
        <v>6.537E8</v>
      </c>
      <c r="L1790" s="1">
        <v>-5.93E7</v>
      </c>
      <c r="M1790" s="1">
        <v>1.228E8</v>
      </c>
      <c r="N1790" s="1">
        <v>3.8297E9</v>
      </c>
      <c r="O1790" s="1">
        <v>3.176E9</v>
      </c>
      <c r="P1790" s="1">
        <v>2.5582E9</v>
      </c>
      <c r="Q1790" s="1">
        <v>-6.17E7</v>
      </c>
      <c r="R1790" s="1">
        <v>4.692E8</v>
      </c>
      <c r="S1790" s="1">
        <v>4.647E8</v>
      </c>
      <c r="W1790" s="4" t="str">
        <f>Raw_Data!C1789&amp;"|"&amp;Raw_Data!D1789&amp;"|"&amp;TEXT(Raw_Data!B1789,"yyyy-mm-dd")</f>
        <v>Tractor Supply Company|TSCO|2020-09-26</v>
      </c>
    </row>
    <row r="1791">
      <c r="A1791" s="1">
        <v>1789.0</v>
      </c>
      <c r="B1791" s="11">
        <v>44286.0</v>
      </c>
      <c r="C1791" s="1" t="s">
        <v>930</v>
      </c>
      <c r="D1791" s="1" t="s">
        <v>931</v>
      </c>
      <c r="F1791" s="1">
        <v>2.853E8</v>
      </c>
      <c r="G1791" s="1">
        <v>2.352E8</v>
      </c>
      <c r="H1791" s="1">
        <v>5.972E8</v>
      </c>
      <c r="I1791" s="1">
        <v>9.55E8</v>
      </c>
      <c r="J1791" s="1">
        <v>3.578E8</v>
      </c>
      <c r="K1791" s="1">
        <v>3.578E8</v>
      </c>
      <c r="L1791" s="1">
        <v>-6.07E7</v>
      </c>
      <c r="M1791" s="1">
        <v>4.84E7</v>
      </c>
      <c r="N1791" s="1">
        <v>3.0176E9</v>
      </c>
      <c r="O1791" s="1">
        <v>2.6598E9</v>
      </c>
      <c r="P1791" s="1">
        <v>2.0626E9</v>
      </c>
      <c r="Q1791" s="1">
        <v>-7.25E7</v>
      </c>
      <c r="R1791" s="1">
        <v>2.369E8</v>
      </c>
      <c r="S1791" s="1">
        <v>2.352E8</v>
      </c>
      <c r="W1791" s="4" t="str">
        <f>Raw_Data!C1790&amp;"|"&amp;Raw_Data!D1790&amp;"|"&amp;TEXT(Raw_Data!B1790,"yyyy-mm-dd")</f>
        <v>Trane Technologies|TT|2021-06-30</v>
      </c>
    </row>
    <row r="1792">
      <c r="A1792" s="1">
        <v>1790.0</v>
      </c>
      <c r="B1792" s="11">
        <v>44196.0</v>
      </c>
      <c r="C1792" s="1" t="s">
        <v>930</v>
      </c>
      <c r="D1792" s="1" t="s">
        <v>931</v>
      </c>
      <c r="F1792" s="1">
        <v>3.226E8</v>
      </c>
      <c r="G1792" s="1">
        <v>2.447E8</v>
      </c>
      <c r="H1792" s="1">
        <v>5.634E8</v>
      </c>
      <c r="I1792" s="1">
        <v>9.501E8</v>
      </c>
      <c r="J1792" s="1">
        <v>3.867E8</v>
      </c>
      <c r="K1792" s="1">
        <v>3.867E8</v>
      </c>
      <c r="L1792" s="1">
        <v>-6.19E7</v>
      </c>
      <c r="M1792" s="1">
        <v>7.24E7</v>
      </c>
      <c r="N1792" s="1">
        <v>3.1791E9</v>
      </c>
      <c r="O1792" s="1">
        <v>2.7924E9</v>
      </c>
      <c r="P1792" s="1">
        <v>2.229E9</v>
      </c>
      <c r="Q1792" s="1">
        <v>-6.41E7</v>
      </c>
      <c r="R1792" s="1">
        <v>2.502E8</v>
      </c>
      <c r="S1792" s="1">
        <v>2.447E8</v>
      </c>
      <c r="W1792" s="4" t="str">
        <f>Raw_Data!C1791&amp;"|"&amp;Raw_Data!D1791&amp;"|"&amp;TEXT(Raw_Data!B1791,"yyyy-mm-dd")</f>
        <v>Trane Technologies|TT|2021-03-31</v>
      </c>
    </row>
    <row r="1793">
      <c r="A1793" s="1">
        <v>1791.0</v>
      </c>
      <c r="B1793" s="11">
        <v>44104.0</v>
      </c>
      <c r="C1793" s="1" t="s">
        <v>930</v>
      </c>
      <c r="D1793" s="1" t="s">
        <v>931</v>
      </c>
      <c r="F1793" s="1">
        <v>5.0E8</v>
      </c>
      <c r="G1793" s="1">
        <v>4.006E8</v>
      </c>
      <c r="H1793" s="1">
        <v>5.668E8</v>
      </c>
      <c r="I1793" s="1">
        <v>1.138E9</v>
      </c>
      <c r="J1793" s="1">
        <v>5.712E8</v>
      </c>
      <c r="K1793" s="1">
        <v>5.712E8</v>
      </c>
      <c r="L1793" s="1">
        <v>-6.24E7</v>
      </c>
      <c r="M1793" s="1">
        <v>8.99E7</v>
      </c>
      <c r="N1793" s="1">
        <v>3.4955E9</v>
      </c>
      <c r="O1793" s="1">
        <v>2.9243E9</v>
      </c>
      <c r="P1793" s="1">
        <v>2.3575E9</v>
      </c>
      <c r="Q1793" s="1">
        <v>-7.12E7</v>
      </c>
      <c r="R1793" s="1">
        <v>4.101E8</v>
      </c>
      <c r="S1793" s="1">
        <v>4.006E8</v>
      </c>
      <c r="W1793" s="4" t="str">
        <f>Raw_Data!C1792&amp;"|"&amp;Raw_Data!D1792&amp;"|"&amp;TEXT(Raw_Data!B1792,"yyyy-mm-dd")</f>
        <v>Trane Technologies|TT|2020-12-31</v>
      </c>
    </row>
    <row r="1794">
      <c r="A1794" s="1">
        <v>1792.0</v>
      </c>
      <c r="B1794" s="11">
        <v>44380.0</v>
      </c>
      <c r="C1794" s="1" t="s">
        <v>932</v>
      </c>
      <c r="D1794" s="1" t="s">
        <v>933</v>
      </c>
      <c r="F1794" s="1">
        <v>2.44E8</v>
      </c>
      <c r="G1794" s="1">
        <v>3.17E8</v>
      </c>
      <c r="H1794" s="1">
        <v>1.65E8</v>
      </c>
      <c r="I1794" s="1">
        <v>6.57E8</v>
      </c>
      <c r="J1794" s="1">
        <v>4.56E8</v>
      </c>
      <c r="K1794" s="1">
        <v>4.56E8</v>
      </c>
      <c r="L1794" s="1">
        <v>-2.63E8</v>
      </c>
      <c r="M1794" s="1">
        <v>-7.3E7</v>
      </c>
      <c r="N1794" s="1">
        <v>1.218E9</v>
      </c>
      <c r="O1794" s="1">
        <v>7.62E8</v>
      </c>
      <c r="P1794" s="1">
        <v>5.61E8</v>
      </c>
      <c r="Q1794" s="1">
        <v>-2.12E8</v>
      </c>
      <c r="R1794" s="1">
        <v>3.17E8</v>
      </c>
      <c r="S1794" s="1">
        <v>3.17E8</v>
      </c>
      <c r="W1794" s="4" t="str">
        <f>Raw_Data!C1793&amp;"|"&amp;Raw_Data!D1793&amp;"|"&amp;TEXT(Raw_Data!B1793,"yyyy-mm-dd")</f>
        <v>Trane Technologies|TT|2020-09-30</v>
      </c>
    </row>
    <row r="1795">
      <c r="A1795" s="1">
        <v>1793.0</v>
      </c>
      <c r="B1795" s="11">
        <v>44289.0</v>
      </c>
      <c r="C1795" s="1" t="s">
        <v>932</v>
      </c>
      <c r="D1795" s="1" t="s">
        <v>933</v>
      </c>
      <c r="F1795" s="1">
        <v>1.3E8</v>
      </c>
      <c r="G1795" s="1">
        <v>1.04E8</v>
      </c>
      <c r="H1795" s="1">
        <v>1.48E8</v>
      </c>
      <c r="I1795" s="1">
        <v>6.15E8</v>
      </c>
      <c r="J1795" s="1">
        <v>4.31E8</v>
      </c>
      <c r="K1795" s="1">
        <v>4.31E8</v>
      </c>
      <c r="L1795" s="1">
        <v>-2.68E8</v>
      </c>
      <c r="M1795" s="1">
        <v>2.5E7</v>
      </c>
      <c r="N1795" s="1">
        <v>1.194E9</v>
      </c>
      <c r="O1795" s="1">
        <v>7.63E8</v>
      </c>
      <c r="P1795" s="1">
        <v>5.79E8</v>
      </c>
      <c r="Q1795" s="1">
        <v>-3.01E8</v>
      </c>
      <c r="R1795" s="1">
        <v>1.05E8</v>
      </c>
      <c r="S1795" s="1">
        <v>1.04E8</v>
      </c>
      <c r="W1795" s="4" t="str">
        <f>Raw_Data!C1794&amp;"|"&amp;Raw_Data!D1794&amp;"|"&amp;TEXT(Raw_Data!B1794,"yyyy-mm-dd")</f>
        <v>TransDigm Group|TDG|2021-07-03</v>
      </c>
    </row>
    <row r="1796">
      <c r="A1796" s="1">
        <v>1794.0</v>
      </c>
      <c r="B1796" s="11">
        <v>44198.0</v>
      </c>
      <c r="C1796" s="1" t="s">
        <v>932</v>
      </c>
      <c r="D1796" s="1" t="s">
        <v>933</v>
      </c>
      <c r="F1796" s="1">
        <v>5.3E7</v>
      </c>
      <c r="G1796" s="1">
        <v>5.0E7</v>
      </c>
      <c r="H1796" s="1">
        <v>1.85E8</v>
      </c>
      <c r="I1796" s="1">
        <v>5.54E8</v>
      </c>
      <c r="J1796" s="1">
        <v>3.4E8</v>
      </c>
      <c r="K1796" s="1">
        <v>3.4E8</v>
      </c>
      <c r="L1796" s="1">
        <v>-2.67E8</v>
      </c>
      <c r="M1796" s="1">
        <v>3000000.0</v>
      </c>
      <c r="N1796" s="1">
        <v>1.108E9</v>
      </c>
      <c r="O1796" s="1">
        <v>7.68E8</v>
      </c>
      <c r="P1796" s="1">
        <v>5.54E8</v>
      </c>
      <c r="Q1796" s="1">
        <v>-2.87E8</v>
      </c>
      <c r="R1796" s="1">
        <v>5.0E7</v>
      </c>
      <c r="S1796" s="1">
        <v>-2.3E7</v>
      </c>
      <c r="W1796" s="4" t="str">
        <f>Raw_Data!C1795&amp;"|"&amp;Raw_Data!D1795&amp;"|"&amp;TEXT(Raw_Data!B1795,"yyyy-mm-dd")</f>
        <v>TransDigm Group|TDG|2021-04-03</v>
      </c>
    </row>
    <row r="1797">
      <c r="A1797" s="1">
        <v>1795.0</v>
      </c>
      <c r="B1797" s="11">
        <v>44104.0</v>
      </c>
      <c r="C1797" s="1" t="s">
        <v>932</v>
      </c>
      <c r="D1797" s="1" t="s">
        <v>933</v>
      </c>
      <c r="F1797" s="1">
        <v>7.6E7</v>
      </c>
      <c r="G1797" s="1">
        <v>8.2E7</v>
      </c>
      <c r="H1797" s="1">
        <v>1.67E8</v>
      </c>
      <c r="I1797" s="1">
        <v>5.6E8</v>
      </c>
      <c r="J1797" s="1">
        <v>3.52E8</v>
      </c>
      <c r="K1797" s="1">
        <v>3.52E8</v>
      </c>
      <c r="L1797" s="1">
        <v>-2.67E8</v>
      </c>
      <c r="M1797" s="1">
        <v>-2.5E7</v>
      </c>
      <c r="N1797" s="1">
        <v>1.173E9</v>
      </c>
      <c r="O1797" s="1">
        <v>8.21E8</v>
      </c>
      <c r="P1797" s="1">
        <v>6.13E8</v>
      </c>
      <c r="Q1797" s="1">
        <v>-2.76E8</v>
      </c>
      <c r="R1797" s="1">
        <v>1.01E8</v>
      </c>
      <c r="S1797" s="1">
        <v>8.2E7</v>
      </c>
      <c r="W1797" s="4" t="str">
        <f>Raw_Data!C1796&amp;"|"&amp;Raw_Data!D1796&amp;"|"&amp;TEXT(Raw_Data!B1796,"yyyy-mm-dd")</f>
        <v>TransDigm Group|TDG|2021-01-02</v>
      </c>
    </row>
    <row r="1798">
      <c r="A1798" s="1">
        <v>1796.0</v>
      </c>
      <c r="B1798" s="11">
        <v>44379.0</v>
      </c>
      <c r="C1798" s="1" t="s">
        <v>934</v>
      </c>
      <c r="D1798" s="1" t="s">
        <v>935</v>
      </c>
      <c r="E1798" s="1">
        <v>1.383E8</v>
      </c>
      <c r="F1798" s="1">
        <v>1.624E8</v>
      </c>
      <c r="G1798" s="1">
        <v>1.389E8</v>
      </c>
      <c r="H1798" s="1">
        <v>2.248E8</v>
      </c>
      <c r="I1798" s="1">
        <v>5.476E8</v>
      </c>
      <c r="J1798" s="1">
        <v>1.495E8</v>
      </c>
      <c r="K1798" s="1">
        <v>1.495E8</v>
      </c>
      <c r="L1798" s="1">
        <v>-1.66E7</v>
      </c>
      <c r="M1798" s="1">
        <v>2.35E7</v>
      </c>
      <c r="N1798" s="1">
        <v>9.452E8</v>
      </c>
      <c r="O1798" s="1">
        <v>7.957E8</v>
      </c>
      <c r="P1798" s="1">
        <v>3.976E8</v>
      </c>
      <c r="Q1798" s="1">
        <v>1.29E7</v>
      </c>
      <c r="R1798" s="1">
        <v>1.389E8</v>
      </c>
      <c r="S1798" s="1">
        <v>1.389E8</v>
      </c>
      <c r="W1798" s="4" t="str">
        <f>Raw_Data!C1797&amp;"|"&amp;Raw_Data!D1797&amp;"|"&amp;TEXT(Raw_Data!B1797,"yyyy-mm-dd")</f>
        <v>TransDigm Group|TDG|2020-09-30</v>
      </c>
    </row>
    <row r="1799">
      <c r="A1799" s="1">
        <v>1797.0</v>
      </c>
      <c r="B1799" s="11">
        <v>44288.0</v>
      </c>
      <c r="C1799" s="1" t="s">
        <v>934</v>
      </c>
      <c r="D1799" s="1" t="s">
        <v>935</v>
      </c>
      <c r="E1799" s="1">
        <v>1.294E8</v>
      </c>
      <c r="F1799" s="1">
        <v>1.374E8</v>
      </c>
      <c r="G1799" s="1">
        <v>1.145E8</v>
      </c>
      <c r="H1799" s="1">
        <v>2.078E8</v>
      </c>
      <c r="I1799" s="1">
        <v>5.154E8</v>
      </c>
      <c r="J1799" s="1">
        <v>1.424E8</v>
      </c>
      <c r="K1799" s="1">
        <v>1.424E8</v>
      </c>
      <c r="L1799" s="1">
        <v>-1.69E7</v>
      </c>
      <c r="M1799" s="1">
        <v>2.28E7</v>
      </c>
      <c r="N1799" s="1">
        <v>8.865E8</v>
      </c>
      <c r="O1799" s="1">
        <v>7.441E8</v>
      </c>
      <c r="P1799" s="1">
        <v>3.711E8</v>
      </c>
      <c r="Q1799" s="1">
        <v>-5000000.0</v>
      </c>
      <c r="R1799" s="1">
        <v>1.146E8</v>
      </c>
      <c r="S1799" s="1">
        <v>1.145E8</v>
      </c>
      <c r="W1799" s="4" t="str">
        <f>Raw_Data!C1798&amp;"|"&amp;Raw_Data!D1798&amp;"|"&amp;TEXT(Raw_Data!B1798,"yyyy-mm-dd")</f>
        <v>Trimble|TRMB|2021-07-02</v>
      </c>
    </row>
    <row r="1800">
      <c r="A1800" s="1">
        <v>1798.0</v>
      </c>
      <c r="B1800" s="11">
        <v>44197.0</v>
      </c>
      <c r="C1800" s="1" t="s">
        <v>934</v>
      </c>
      <c r="D1800" s="1" t="s">
        <v>935</v>
      </c>
      <c r="E1800" s="1">
        <v>1.258E8</v>
      </c>
      <c r="F1800" s="1">
        <v>1.283E8</v>
      </c>
      <c r="G1800" s="1">
        <v>1.803E8</v>
      </c>
      <c r="H1800" s="1">
        <v>1.801E8</v>
      </c>
      <c r="I1800" s="1">
        <v>4.91E8</v>
      </c>
      <c r="J1800" s="1">
        <v>1.475E8</v>
      </c>
      <c r="K1800" s="1">
        <v>1.475E8</v>
      </c>
      <c r="L1800" s="1">
        <v>-1.79E7</v>
      </c>
      <c r="M1800" s="1">
        <v>-5.24E7</v>
      </c>
      <c r="N1800" s="1">
        <v>8.297E8</v>
      </c>
      <c r="O1800" s="1">
        <v>6.822E8</v>
      </c>
      <c r="P1800" s="1">
        <v>3.387E8</v>
      </c>
      <c r="Q1800" s="1">
        <v>-1.92E7</v>
      </c>
      <c r="R1800" s="1">
        <v>1.807E8</v>
      </c>
      <c r="S1800" s="1">
        <v>1.803E8</v>
      </c>
      <c r="W1800" s="4" t="str">
        <f>Raw_Data!C1799&amp;"|"&amp;Raw_Data!D1799&amp;"|"&amp;TEXT(Raw_Data!B1799,"yyyy-mm-dd")</f>
        <v>Trimble|TRMB|2021-04-02</v>
      </c>
    </row>
    <row r="1801">
      <c r="A1801" s="1">
        <v>1799.0</v>
      </c>
      <c r="B1801" s="11">
        <v>44106.0</v>
      </c>
      <c r="C1801" s="1" t="s">
        <v>934</v>
      </c>
      <c r="D1801" s="1" t="s">
        <v>935</v>
      </c>
      <c r="E1801" s="1">
        <v>1.179E8</v>
      </c>
      <c r="F1801" s="1">
        <v>9.64E7</v>
      </c>
      <c r="G1801" s="1">
        <v>8.47E7</v>
      </c>
      <c r="H1801" s="1">
        <v>1.91E8</v>
      </c>
      <c r="I1801" s="1">
        <v>4.633E8</v>
      </c>
      <c r="J1801" s="1">
        <v>1.144E8</v>
      </c>
      <c r="K1801" s="1">
        <v>1.144E8</v>
      </c>
      <c r="L1801" s="1">
        <v>-1.96E7</v>
      </c>
      <c r="M1801" s="1">
        <v>1.16E7</v>
      </c>
      <c r="N1801" s="1">
        <v>7.921E8</v>
      </c>
      <c r="O1801" s="1">
        <v>6.777E8</v>
      </c>
      <c r="P1801" s="1">
        <v>3.288E8</v>
      </c>
      <c r="Q1801" s="1">
        <v>-1.8E7</v>
      </c>
      <c r="R1801" s="1">
        <v>8.48E7</v>
      </c>
      <c r="S1801" s="1">
        <v>8.47E7</v>
      </c>
      <c r="W1801" s="4" t="str">
        <f>Raw_Data!C1800&amp;"|"&amp;Raw_Data!D1800&amp;"|"&amp;TEXT(Raw_Data!B1800,"yyyy-mm-dd")</f>
        <v>Trimble|TRMB|2021-01-01</v>
      </c>
    </row>
    <row r="1802">
      <c r="A1802" s="1">
        <v>1800.0</v>
      </c>
      <c r="B1802" s="11">
        <v>44377.0</v>
      </c>
      <c r="C1802" s="1" t="s">
        <v>936</v>
      </c>
      <c r="D1802" s="1" t="s">
        <v>937</v>
      </c>
      <c r="F1802" s="1">
        <v>2.073E9</v>
      </c>
      <c r="G1802" s="1">
        <v>1.657E9</v>
      </c>
      <c r="H1802" s="1">
        <v>3.211E9</v>
      </c>
      <c r="I1802" s="1">
        <v>6.084E9</v>
      </c>
      <c r="J1802" s="1">
        <v>0.0</v>
      </c>
      <c r="K1802" s="1">
        <v>2.543E9</v>
      </c>
      <c r="M1802" s="1">
        <v>4.15E8</v>
      </c>
      <c r="N1802" s="1">
        <v>6.084E9</v>
      </c>
      <c r="O1802" s="1">
        <v>3.541E9</v>
      </c>
      <c r="P1802" s="1">
        <v>0.0</v>
      </c>
      <c r="Q1802" s="1">
        <v>-4.7E8</v>
      </c>
      <c r="R1802" s="1">
        <v>1.658E9</v>
      </c>
      <c r="S1802" s="1">
        <v>1.559E9</v>
      </c>
      <c r="W1802" s="4" t="str">
        <f>Raw_Data!C1801&amp;"|"&amp;Raw_Data!D1801&amp;"|"&amp;TEXT(Raw_Data!B1801,"yyyy-mm-dd")</f>
        <v>Trimble|TRMB|2020-10-02</v>
      </c>
    </row>
    <row r="1803">
      <c r="A1803" s="1">
        <v>1801.0</v>
      </c>
      <c r="B1803" s="11">
        <v>44286.0</v>
      </c>
      <c r="C1803" s="1" t="s">
        <v>936</v>
      </c>
      <c r="D1803" s="1" t="s">
        <v>937</v>
      </c>
      <c r="F1803" s="1">
        <v>1.824E9</v>
      </c>
      <c r="G1803" s="1">
        <v>1.477E9</v>
      </c>
      <c r="H1803" s="1">
        <v>3.14E9</v>
      </c>
      <c r="I1803" s="1">
        <v>5.434E9</v>
      </c>
      <c r="J1803" s="1">
        <v>0.0</v>
      </c>
      <c r="K1803" s="1">
        <v>2.131E9</v>
      </c>
      <c r="M1803" s="1">
        <v>3.51E8</v>
      </c>
      <c r="N1803" s="1">
        <v>5.434E9</v>
      </c>
      <c r="O1803" s="1">
        <v>3.303E9</v>
      </c>
      <c r="P1803" s="1">
        <v>0.0</v>
      </c>
      <c r="Q1803" s="1">
        <v>-3.07E8</v>
      </c>
      <c r="R1803" s="1">
        <v>1.473E9</v>
      </c>
      <c r="S1803" s="1">
        <v>1.334E9</v>
      </c>
      <c r="W1803" s="4" t="str">
        <f>Raw_Data!C1802&amp;"|"&amp;Raw_Data!D1802&amp;"|"&amp;TEXT(Raw_Data!B1802,"yyyy-mm-dd")</f>
        <v>Truist Financial|TFC|2021-06-30</v>
      </c>
    </row>
    <row r="1804">
      <c r="A1804" s="1">
        <v>1802.0</v>
      </c>
      <c r="B1804" s="11">
        <v>44196.0</v>
      </c>
      <c r="C1804" s="1" t="s">
        <v>936</v>
      </c>
      <c r="D1804" s="1" t="s">
        <v>937</v>
      </c>
      <c r="F1804" s="1">
        <v>1.641E9</v>
      </c>
      <c r="G1804" s="1">
        <v>1.329E9</v>
      </c>
      <c r="H1804" s="1">
        <v>3.156E9</v>
      </c>
      <c r="I1804" s="1">
        <v>5.474E9</v>
      </c>
      <c r="J1804" s="1">
        <v>0.0</v>
      </c>
      <c r="K1804" s="1">
        <v>2.153E9</v>
      </c>
      <c r="M1804" s="1">
        <v>3.11E8</v>
      </c>
      <c r="N1804" s="1">
        <v>5.474E9</v>
      </c>
      <c r="O1804" s="1">
        <v>3.321E9</v>
      </c>
      <c r="P1804" s="1">
        <v>0.0</v>
      </c>
      <c r="Q1804" s="1">
        <v>-5.12E8</v>
      </c>
      <c r="R1804" s="1">
        <v>1.33E9</v>
      </c>
      <c r="S1804" s="1">
        <v>1.228E9</v>
      </c>
      <c r="W1804" s="4" t="str">
        <f>Raw_Data!C1803&amp;"|"&amp;Raw_Data!D1803&amp;"|"&amp;TEXT(Raw_Data!B1803,"yyyy-mm-dd")</f>
        <v>Truist Financial|TFC|2021-03-31</v>
      </c>
    </row>
    <row r="1805">
      <c r="A1805" s="1">
        <v>1803.0</v>
      </c>
      <c r="B1805" s="11">
        <v>44104.0</v>
      </c>
      <c r="C1805" s="1" t="s">
        <v>936</v>
      </c>
      <c r="D1805" s="1" t="s">
        <v>937</v>
      </c>
      <c r="F1805" s="1">
        <v>1.396E9</v>
      </c>
      <c r="G1805" s="1">
        <v>1.138E9</v>
      </c>
      <c r="H1805" s="1">
        <v>3.093E9</v>
      </c>
      <c r="I1805" s="1">
        <v>5.151E9</v>
      </c>
      <c r="J1805" s="1">
        <v>0.0</v>
      </c>
      <c r="K1805" s="1">
        <v>1.836E9</v>
      </c>
      <c r="M1805" s="1">
        <v>2.55E8</v>
      </c>
      <c r="N1805" s="1">
        <v>5.151E9</v>
      </c>
      <c r="O1805" s="1">
        <v>3.315E9</v>
      </c>
      <c r="P1805" s="1">
        <v>0.0</v>
      </c>
      <c r="Q1805" s="1">
        <v>-4.4E8</v>
      </c>
      <c r="R1805" s="1">
        <v>1.141E9</v>
      </c>
      <c r="S1805" s="1">
        <v>1.068E9</v>
      </c>
      <c r="W1805" s="4" t="str">
        <f>Raw_Data!C1804&amp;"|"&amp;Raw_Data!D1804&amp;"|"&amp;TEXT(Raw_Data!B1804,"yyyy-mm-dd")</f>
        <v>Truist Financial|TFC|2020-12-31</v>
      </c>
    </row>
    <row r="1806">
      <c r="A1806" s="1">
        <v>1804.0</v>
      </c>
      <c r="B1806" s="11">
        <v>44377.0</v>
      </c>
      <c r="C1806" s="1" t="s">
        <v>938</v>
      </c>
      <c r="D1806" s="1" t="s">
        <v>939</v>
      </c>
      <c r="E1806" s="1">
        <v>2.99859E8</v>
      </c>
      <c r="F1806" s="1">
        <v>8.13E7</v>
      </c>
      <c r="G1806" s="1">
        <v>6.5649E7</v>
      </c>
      <c r="H1806" s="1">
        <v>4.43384E8</v>
      </c>
      <c r="I1806" s="1">
        <v>7.73495E8</v>
      </c>
      <c r="J1806" s="1">
        <v>3.0252E7</v>
      </c>
      <c r="K1806" s="1">
        <v>3.0252E7</v>
      </c>
      <c r="L1806" s="1">
        <v>-1.3893E7</v>
      </c>
      <c r="M1806" s="1">
        <v>1.5651E7</v>
      </c>
      <c r="N1806" s="1">
        <v>1.190427E9</v>
      </c>
      <c r="O1806" s="1">
        <v>1.160175E9</v>
      </c>
      <c r="P1806" s="1">
        <v>4.16932E8</v>
      </c>
      <c r="Q1806" s="1">
        <v>5.1048E7</v>
      </c>
      <c r="R1806" s="1">
        <v>6.5649E7</v>
      </c>
      <c r="S1806" s="1">
        <v>6.5649E7</v>
      </c>
      <c r="W1806" s="4" t="str">
        <f>Raw_Data!C1805&amp;"|"&amp;Raw_Data!D1805&amp;"|"&amp;TEXT(Raw_Data!B1805,"yyyy-mm-dd")</f>
        <v>Truist Financial|TFC|2020-09-30</v>
      </c>
    </row>
    <row r="1807">
      <c r="A1807" s="1">
        <v>1805.0</v>
      </c>
      <c r="B1807" s="11">
        <v>44286.0</v>
      </c>
      <c r="C1807" s="1" t="s">
        <v>938</v>
      </c>
      <c r="D1807" s="1" t="s">
        <v>939</v>
      </c>
      <c r="E1807" s="1">
        <v>2.50709E8</v>
      </c>
      <c r="F1807" s="1">
        <v>5.0004E7</v>
      </c>
      <c r="G1807" s="1">
        <v>6.8005E7</v>
      </c>
      <c r="H1807" s="1">
        <v>3.52119E8</v>
      </c>
      <c r="I1807" s="1">
        <v>6.5501E8</v>
      </c>
      <c r="J1807" s="1">
        <v>5.2182E7</v>
      </c>
      <c r="K1807" s="1">
        <v>5.2182E7</v>
      </c>
      <c r="L1807" s="1">
        <v>-1.3185E7</v>
      </c>
      <c r="M1807" s="1">
        <v>-1.8001E7</v>
      </c>
      <c r="N1807" s="1">
        <v>1.036018E9</v>
      </c>
      <c r="O1807" s="1">
        <v>9.83836E8</v>
      </c>
      <c r="P1807" s="1">
        <v>3.81008E8</v>
      </c>
      <c r="Q1807" s="1">
        <v>-2178000.0</v>
      </c>
      <c r="R1807" s="1">
        <v>6.8005E7</v>
      </c>
      <c r="S1807" s="1">
        <v>6.8005E7</v>
      </c>
      <c r="W1807" s="4" t="str">
        <f>Raw_Data!C1806&amp;"|"&amp;Raw_Data!D1806&amp;"|"&amp;TEXT(Raw_Data!B1806,"yyyy-mm-dd")</f>
        <v>Twitter|TWTR|2021-06-30</v>
      </c>
    </row>
    <row r="1808">
      <c r="A1808" s="1">
        <v>1806.0</v>
      </c>
      <c r="B1808" s="11">
        <v>44196.0</v>
      </c>
      <c r="C1808" s="1" t="s">
        <v>938</v>
      </c>
      <c r="D1808" s="1" t="s">
        <v>939</v>
      </c>
      <c r="E1808" s="1">
        <v>2.4794E8</v>
      </c>
      <c r="F1808" s="1">
        <v>2.24019E8</v>
      </c>
      <c r="G1808" s="1">
        <v>2.22116E8</v>
      </c>
      <c r="H1808" s="1">
        <v>2.06403E8</v>
      </c>
      <c r="I1808" s="1">
        <v>8.56117E8</v>
      </c>
      <c r="J1808" s="1">
        <v>4.01774E8</v>
      </c>
      <c r="K1808" s="1">
        <v>4.01774E8</v>
      </c>
      <c r="L1808" s="1">
        <v>-4.0166E7</v>
      </c>
      <c r="M1808" s="1">
        <v>1903000.0</v>
      </c>
      <c r="N1808" s="1">
        <v>1.289041E9</v>
      </c>
      <c r="O1808" s="1">
        <v>8.87267E8</v>
      </c>
      <c r="P1808" s="1">
        <v>4.32924E8</v>
      </c>
      <c r="Q1808" s="1">
        <v>-1.77755E8</v>
      </c>
      <c r="R1808" s="1">
        <v>2.22116E8</v>
      </c>
      <c r="S1808" s="1">
        <v>2.22116E8</v>
      </c>
      <c r="W1808" s="4" t="str">
        <f>Raw_Data!C1807&amp;"|"&amp;Raw_Data!D1807&amp;"|"&amp;TEXT(Raw_Data!B1807,"yyyy-mm-dd")</f>
        <v>Twitter|TWTR|2021-03-31</v>
      </c>
    </row>
    <row r="1809">
      <c r="A1809" s="1">
        <v>1807.0</v>
      </c>
      <c r="B1809" s="11">
        <v>44104.0</v>
      </c>
      <c r="C1809" s="1" t="s">
        <v>938</v>
      </c>
      <c r="D1809" s="1" t="s">
        <v>939</v>
      </c>
      <c r="E1809" s="1">
        <v>2.08877E8</v>
      </c>
      <c r="F1809" s="1">
        <v>2.9683E7</v>
      </c>
      <c r="G1809" s="1">
        <v>2.8659E7</v>
      </c>
      <c r="H1809" s="1">
        <v>3.09861E8</v>
      </c>
      <c r="I1809" s="1">
        <v>5.74845E8</v>
      </c>
      <c r="J1809" s="1">
        <v>5.6107E7</v>
      </c>
      <c r="K1809" s="1">
        <v>5.6107E7</v>
      </c>
      <c r="L1809" s="1">
        <v>-3.9614E7</v>
      </c>
      <c r="M1809" s="1">
        <v>1024000.0</v>
      </c>
      <c r="N1809" s="1">
        <v>9.36233E8</v>
      </c>
      <c r="O1809" s="1">
        <v>8.80126E8</v>
      </c>
      <c r="P1809" s="1">
        <v>3.61388E8</v>
      </c>
      <c r="Q1809" s="1">
        <v>-2.6424E7</v>
      </c>
      <c r="R1809" s="1">
        <v>2.8659E7</v>
      </c>
      <c r="S1809" s="1">
        <v>2.8659E7</v>
      </c>
      <c r="W1809" s="4" t="str">
        <f>Raw_Data!C1808&amp;"|"&amp;Raw_Data!D1808&amp;"|"&amp;TEXT(Raw_Data!B1808,"yyyy-mm-dd")</f>
        <v>Twitter|TWTR|2020-12-31</v>
      </c>
    </row>
    <row r="1810">
      <c r="A1810" s="1">
        <v>1808.0</v>
      </c>
      <c r="B1810" s="11">
        <v>44286.0</v>
      </c>
      <c r="C1810" s="1" t="s">
        <v>940</v>
      </c>
      <c r="D1810" s="1" t="s">
        <v>941</v>
      </c>
      <c r="E1810" s="1">
        <v>2.1813E7</v>
      </c>
      <c r="F1810" s="1">
        <v>3.8296E7</v>
      </c>
      <c r="G1810" s="1">
        <v>3.6976E7</v>
      </c>
      <c r="H1810" s="1">
        <v>7.7961E7</v>
      </c>
      <c r="I1810" s="1">
        <v>1.44207E8</v>
      </c>
      <c r="J1810" s="1">
        <v>3.9021E7</v>
      </c>
      <c r="K1810" s="1">
        <v>3.9021E7</v>
      </c>
      <c r="L1810" s="1">
        <v>-379000.0</v>
      </c>
      <c r="M1810" s="1">
        <v>1320000.0</v>
      </c>
      <c r="N1810" s="1">
        <v>2.94802E8</v>
      </c>
      <c r="O1810" s="1">
        <v>2.55781E8</v>
      </c>
      <c r="P1810" s="1">
        <v>1.50595E8</v>
      </c>
      <c r="Q1810" s="1">
        <v>-1104000.0</v>
      </c>
      <c r="R1810" s="1">
        <v>3.6976E7</v>
      </c>
      <c r="S1810" s="1">
        <v>3.6976E7</v>
      </c>
      <c r="W1810" s="4" t="str">
        <f>Raw_Data!C1809&amp;"|"&amp;Raw_Data!D1809&amp;"|"&amp;TEXT(Raw_Data!B1809,"yyyy-mm-dd")</f>
        <v>Twitter|TWTR|2020-09-30</v>
      </c>
    </row>
    <row r="1811">
      <c r="A1811" s="1">
        <v>1809.0</v>
      </c>
      <c r="B1811" s="11">
        <v>44196.0</v>
      </c>
      <c r="C1811" s="1" t="s">
        <v>940</v>
      </c>
      <c r="D1811" s="1" t="s">
        <v>941</v>
      </c>
      <c r="E1811" s="1">
        <v>2.2411E7</v>
      </c>
      <c r="F1811" s="1">
        <v>4.8412E7</v>
      </c>
      <c r="G1811" s="1">
        <v>5.4094E7</v>
      </c>
      <c r="H1811" s="1">
        <v>6.2736E7</v>
      </c>
      <c r="I1811" s="1">
        <v>1.38669E8</v>
      </c>
      <c r="J1811" s="1">
        <v>4.8036E7</v>
      </c>
      <c r="K1811" s="1">
        <v>4.8036E7</v>
      </c>
      <c r="L1811" s="1">
        <v>-610000.0</v>
      </c>
      <c r="M1811" s="1">
        <v>-5682000.0</v>
      </c>
      <c r="N1811" s="1">
        <v>2.83285E8</v>
      </c>
      <c r="O1811" s="1">
        <v>2.35249E8</v>
      </c>
      <c r="P1811" s="1">
        <v>1.44616E8</v>
      </c>
      <c r="Q1811" s="1">
        <v>376000.0</v>
      </c>
      <c r="R1811" s="1">
        <v>5.4094E7</v>
      </c>
      <c r="S1811" s="1">
        <v>5.4094E7</v>
      </c>
      <c r="W1811" s="4" t="str">
        <f>Raw_Data!C1810&amp;"|"&amp;Raw_Data!D1810&amp;"|"&amp;TEXT(Raw_Data!B1810,"yyyy-mm-dd")</f>
        <v>Tyler Technologies|TYL|2021-03-31</v>
      </c>
    </row>
    <row r="1812">
      <c r="A1812" s="1">
        <v>1810.0</v>
      </c>
      <c r="B1812" s="11">
        <v>44104.0</v>
      </c>
      <c r="C1812" s="1" t="s">
        <v>940</v>
      </c>
      <c r="D1812" s="1" t="s">
        <v>941</v>
      </c>
      <c r="E1812" s="1">
        <v>2.1642E7</v>
      </c>
      <c r="F1812" s="1">
        <v>4.9936E7</v>
      </c>
      <c r="G1812" s="1">
        <v>3.9284E7</v>
      </c>
      <c r="H1812" s="1">
        <v>6.6819E7</v>
      </c>
      <c r="I1812" s="1">
        <v>1.43509E8</v>
      </c>
      <c r="J1812" s="1">
        <v>4.9656E7</v>
      </c>
      <c r="K1812" s="1">
        <v>4.9656E7</v>
      </c>
      <c r="L1812" s="1">
        <v>-610000.0</v>
      </c>
      <c r="M1812" s="1">
        <v>1.0652E7</v>
      </c>
      <c r="N1812" s="1">
        <v>2.85746E8</v>
      </c>
      <c r="O1812" s="1">
        <v>2.3609E8</v>
      </c>
      <c r="P1812" s="1">
        <v>1.42237E8</v>
      </c>
      <c r="Q1812" s="1">
        <v>280000.0</v>
      </c>
      <c r="R1812" s="1">
        <v>3.9284E7</v>
      </c>
      <c r="S1812" s="1">
        <v>3.9284E7</v>
      </c>
      <c r="W1812" s="4" t="str">
        <f>Raw_Data!C1811&amp;"|"&amp;Raw_Data!D1811&amp;"|"&amp;TEXT(Raw_Data!B1811,"yyyy-mm-dd")</f>
        <v>Tyler Technologies|TYL|2020-12-31</v>
      </c>
    </row>
    <row r="1813">
      <c r="A1813" s="1">
        <v>1811.0</v>
      </c>
      <c r="B1813" s="11">
        <v>44012.0</v>
      </c>
      <c r="C1813" s="1" t="s">
        <v>940</v>
      </c>
      <c r="D1813" s="1" t="s">
        <v>941</v>
      </c>
      <c r="E1813" s="1">
        <v>2.1949E7</v>
      </c>
      <c r="F1813" s="1">
        <v>4.1811E7</v>
      </c>
      <c r="G1813" s="1">
        <v>5.3892E7</v>
      </c>
      <c r="H1813" s="1">
        <v>6.2521E7</v>
      </c>
      <c r="I1813" s="1">
        <v>1.31203E8</v>
      </c>
      <c r="J1813" s="1">
        <v>4.1341E7</v>
      </c>
      <c r="K1813" s="1">
        <v>4.1341E7</v>
      </c>
      <c r="L1813" s="1">
        <v>-610000.0</v>
      </c>
      <c r="M1813" s="1">
        <v>-1.2081E7</v>
      </c>
      <c r="N1813" s="1">
        <v>2.71091E8</v>
      </c>
      <c r="O1813" s="1">
        <v>2.2975E8</v>
      </c>
      <c r="P1813" s="1">
        <v>1.39888E8</v>
      </c>
      <c r="Q1813" s="1">
        <v>470000.0</v>
      </c>
      <c r="R1813" s="1">
        <v>5.3892E7</v>
      </c>
      <c r="S1813" s="1">
        <v>5.3892E7</v>
      </c>
      <c r="W1813" s="4" t="str">
        <f>Raw_Data!C1812&amp;"|"&amp;Raw_Data!D1812&amp;"|"&amp;TEXT(Raw_Data!B1812,"yyyy-mm-dd")</f>
        <v>Tyler Technologies|TYL|2020-09-30</v>
      </c>
    </row>
    <row r="1814">
      <c r="A1814" s="1">
        <v>1812.0</v>
      </c>
      <c r="B1814" s="11">
        <v>44380.0</v>
      </c>
      <c r="C1814" s="1" t="s">
        <v>942</v>
      </c>
      <c r="D1814" s="1" t="s">
        <v>943</v>
      </c>
      <c r="F1814" s="1">
        <v>9.66E8</v>
      </c>
      <c r="G1814" s="1">
        <v>7.49E8</v>
      </c>
      <c r="H1814" s="1">
        <v>5.62E8</v>
      </c>
      <c r="I1814" s="1">
        <v>1.675E9</v>
      </c>
      <c r="J1814" s="1">
        <v>1.113E9</v>
      </c>
      <c r="K1814" s="1">
        <v>1.113E9</v>
      </c>
      <c r="L1814" s="1">
        <v>-1.05E8</v>
      </c>
      <c r="M1814" s="1">
        <v>2.13E8</v>
      </c>
      <c r="N1814" s="1">
        <v>1.2478E10</v>
      </c>
      <c r="O1814" s="1">
        <v>1.1365E10</v>
      </c>
      <c r="P1814" s="1">
        <v>1.0803E10</v>
      </c>
      <c r="Q1814" s="1">
        <v>-1.47E8</v>
      </c>
      <c r="R1814" s="1">
        <v>7.53E8</v>
      </c>
      <c r="S1814" s="1">
        <v>7.49E8</v>
      </c>
      <c r="W1814" s="4" t="str">
        <f>Raw_Data!C1813&amp;"|"&amp;Raw_Data!D1813&amp;"|"&amp;TEXT(Raw_Data!B1813,"yyyy-mm-dd")</f>
        <v>Tyler Technologies|TYL|2020-06-30</v>
      </c>
    </row>
    <row r="1815">
      <c r="A1815" s="1">
        <v>1813.0</v>
      </c>
      <c r="B1815" s="11">
        <v>44289.0</v>
      </c>
      <c r="C1815" s="1" t="s">
        <v>942</v>
      </c>
      <c r="D1815" s="1" t="s">
        <v>943</v>
      </c>
      <c r="F1815" s="1">
        <v>6.24E8</v>
      </c>
      <c r="G1815" s="1">
        <v>4.76E8</v>
      </c>
      <c r="H1815" s="1">
        <v>5.34E8</v>
      </c>
      <c r="I1815" s="1">
        <v>1.348E9</v>
      </c>
      <c r="J1815" s="1">
        <v>8.14E8</v>
      </c>
      <c r="K1815" s="1">
        <v>8.14E8</v>
      </c>
      <c r="L1815" s="1">
        <v>-1.1E8</v>
      </c>
      <c r="M1815" s="1">
        <v>1.47E8</v>
      </c>
      <c r="N1815" s="1">
        <v>1.13E10</v>
      </c>
      <c r="O1815" s="1">
        <v>1.0486E10</v>
      </c>
      <c r="P1815" s="1">
        <v>9.952E9</v>
      </c>
      <c r="Q1815" s="1">
        <v>-1.9E8</v>
      </c>
      <c r="R1815" s="1">
        <v>4.77E8</v>
      </c>
      <c r="S1815" s="1">
        <v>4.76E8</v>
      </c>
      <c r="W1815" s="4" t="str">
        <f>Raw_Data!C1814&amp;"|"&amp;Raw_Data!D1814&amp;"|"&amp;TEXT(Raw_Data!B1814,"yyyy-mm-dd")</f>
        <v>Tyson Foods|TSN|2021-07-03</v>
      </c>
    </row>
    <row r="1816">
      <c r="A1816" s="1">
        <v>1814.0</v>
      </c>
      <c r="B1816" s="11">
        <v>44198.0</v>
      </c>
      <c r="C1816" s="1" t="s">
        <v>942</v>
      </c>
      <c r="D1816" s="1" t="s">
        <v>943</v>
      </c>
      <c r="F1816" s="1">
        <v>6.16E8</v>
      </c>
      <c r="G1816" s="1">
        <v>4.67E8</v>
      </c>
      <c r="H1816" s="1">
        <v>4.75E8</v>
      </c>
      <c r="I1816" s="1">
        <v>1.297E9</v>
      </c>
      <c r="J1816" s="1">
        <v>8.22E8</v>
      </c>
      <c r="K1816" s="1">
        <v>8.22E8</v>
      </c>
      <c r="L1816" s="1">
        <v>-1.1E8</v>
      </c>
      <c r="M1816" s="1">
        <v>1.44E8</v>
      </c>
      <c r="N1816" s="1">
        <v>1.046E10</v>
      </c>
      <c r="O1816" s="1">
        <v>9.638E9</v>
      </c>
      <c r="P1816" s="1">
        <v>9.163E9</v>
      </c>
      <c r="Q1816" s="1">
        <v>-2.06E8</v>
      </c>
      <c r="R1816" s="1">
        <v>4.72E8</v>
      </c>
      <c r="S1816" s="1">
        <v>4.67E8</v>
      </c>
      <c r="W1816" s="4" t="str">
        <f>Raw_Data!C1815&amp;"|"&amp;Raw_Data!D1815&amp;"|"&amp;TEXT(Raw_Data!B1815,"yyyy-mm-dd")</f>
        <v>Tyson Foods|TSN|2021-04-03</v>
      </c>
    </row>
    <row r="1817">
      <c r="A1817" s="1">
        <v>1815.0</v>
      </c>
      <c r="B1817" s="11">
        <v>44107.0</v>
      </c>
      <c r="C1817" s="1" t="s">
        <v>942</v>
      </c>
      <c r="D1817" s="1" t="s">
        <v>943</v>
      </c>
      <c r="F1817" s="1">
        <v>7.81E8</v>
      </c>
      <c r="G1817" s="1">
        <v>6.13E8</v>
      </c>
      <c r="H1817" s="1">
        <v>5.62E8</v>
      </c>
      <c r="I1817" s="1">
        <v>1.807E9</v>
      </c>
      <c r="J1817" s="1">
        <v>1.245E9</v>
      </c>
      <c r="K1817" s="1">
        <v>1.245E9</v>
      </c>
      <c r="L1817" s="1">
        <v>-1.24E8</v>
      </c>
      <c r="M1817" s="1">
        <v>1.65E8</v>
      </c>
      <c r="N1817" s="1">
        <v>1.146E10</v>
      </c>
      <c r="O1817" s="1">
        <v>1.0215E10</v>
      </c>
      <c r="P1817" s="1">
        <v>9.653E9</v>
      </c>
      <c r="Q1817" s="1">
        <v>-4.64E8</v>
      </c>
      <c r="R1817" s="1">
        <v>6.16E8</v>
      </c>
      <c r="S1817" s="1">
        <v>6.13E8</v>
      </c>
      <c r="W1817" s="4" t="str">
        <f>Raw_Data!C1816&amp;"|"&amp;Raw_Data!D1816&amp;"|"&amp;TEXT(Raw_Data!B1816,"yyyy-mm-dd")</f>
        <v>Tyson Foods|TSN|2021-01-02</v>
      </c>
    </row>
    <row r="1818">
      <c r="A1818" s="1">
        <v>1816.0</v>
      </c>
      <c r="B1818" s="11">
        <v>44377.0</v>
      </c>
      <c r="C1818" s="1" t="s">
        <v>944</v>
      </c>
      <c r="D1818" s="1" t="s">
        <v>945</v>
      </c>
      <c r="F1818" s="1">
        <v>2.539E9</v>
      </c>
      <c r="G1818" s="1">
        <v>1.982E9</v>
      </c>
      <c r="H1818" s="1">
        <v>3.018E9</v>
      </c>
      <c r="I1818" s="1">
        <v>5.907E9</v>
      </c>
      <c r="J1818" s="1">
        <v>0.0</v>
      </c>
      <c r="K1818" s="1">
        <v>2.579E9</v>
      </c>
      <c r="M1818" s="1">
        <v>5.51E8</v>
      </c>
      <c r="N1818" s="1">
        <v>5.907E9</v>
      </c>
      <c r="O1818" s="1">
        <v>3.328E9</v>
      </c>
      <c r="P1818" s="1">
        <v>0.0</v>
      </c>
      <c r="Q1818" s="1">
        <v>-4.0E7</v>
      </c>
      <c r="R1818" s="1">
        <v>1.988E9</v>
      </c>
      <c r="S1818" s="1">
        <v>1.914E9</v>
      </c>
      <c r="W1818" s="4" t="str">
        <f>Raw_Data!C1817&amp;"|"&amp;Raw_Data!D1817&amp;"|"&amp;TEXT(Raw_Data!B1817,"yyyy-mm-dd")</f>
        <v>Tyson Foods|TSN|2020-10-03</v>
      </c>
    </row>
    <row r="1819">
      <c r="A1819" s="1">
        <v>1817.0</v>
      </c>
      <c r="B1819" s="11">
        <v>44286.0</v>
      </c>
      <c r="C1819" s="1" t="s">
        <v>944</v>
      </c>
      <c r="D1819" s="1" t="s">
        <v>945</v>
      </c>
      <c r="F1819" s="1">
        <v>2.892E9</v>
      </c>
      <c r="G1819" s="1">
        <v>2.28E9</v>
      </c>
      <c r="H1819" s="1">
        <v>3.024E9</v>
      </c>
      <c r="I1819" s="1">
        <v>6.237E9</v>
      </c>
      <c r="J1819" s="1">
        <v>0.0</v>
      </c>
      <c r="K1819" s="1">
        <v>2.93E9</v>
      </c>
      <c r="M1819" s="1">
        <v>6.07E8</v>
      </c>
      <c r="N1819" s="1">
        <v>6.237E9</v>
      </c>
      <c r="O1819" s="1">
        <v>3.307E9</v>
      </c>
      <c r="P1819" s="1">
        <v>0.0</v>
      </c>
      <c r="Q1819" s="1">
        <v>-3.8E7</v>
      </c>
      <c r="R1819" s="1">
        <v>2.285E9</v>
      </c>
      <c r="S1819" s="1">
        <v>2.175E9</v>
      </c>
      <c r="W1819" s="4" t="str">
        <f>Raw_Data!C1818&amp;"|"&amp;Raw_Data!D1818&amp;"|"&amp;TEXT(Raw_Data!B1818,"yyyy-mm-dd")</f>
        <v>U.S. Bancorp|USB|2021-06-30</v>
      </c>
    </row>
    <row r="1820">
      <c r="A1820" s="1">
        <v>1818.0</v>
      </c>
      <c r="B1820" s="11">
        <v>44196.0</v>
      </c>
      <c r="C1820" s="1" t="s">
        <v>944</v>
      </c>
      <c r="D1820" s="1" t="s">
        <v>945</v>
      </c>
      <c r="F1820" s="1">
        <v>1.92E9</v>
      </c>
      <c r="G1820" s="1">
        <v>1.519E9</v>
      </c>
      <c r="H1820" s="1">
        <v>2.878E9</v>
      </c>
      <c r="I1820" s="1">
        <v>5.238E9</v>
      </c>
      <c r="J1820" s="1">
        <v>0.0</v>
      </c>
      <c r="K1820" s="1">
        <v>1.739E9</v>
      </c>
      <c r="M1820" s="1">
        <v>3.95E8</v>
      </c>
      <c r="N1820" s="1">
        <v>5.238E9</v>
      </c>
      <c r="O1820" s="1">
        <v>3.499E9</v>
      </c>
      <c r="P1820" s="1">
        <v>0.0</v>
      </c>
      <c r="Q1820" s="1">
        <v>1.81E8</v>
      </c>
      <c r="R1820" s="1">
        <v>1.525E9</v>
      </c>
      <c r="S1820" s="1">
        <v>1.425E9</v>
      </c>
      <c r="W1820" s="4" t="str">
        <f>Raw_Data!C1819&amp;"|"&amp;Raw_Data!D1819&amp;"|"&amp;TEXT(Raw_Data!B1819,"yyyy-mm-dd")</f>
        <v>U.S. Bancorp|USB|2021-03-31</v>
      </c>
    </row>
    <row r="1821">
      <c r="A1821" s="1">
        <v>1819.0</v>
      </c>
      <c r="B1821" s="11">
        <v>44104.0</v>
      </c>
      <c r="C1821" s="1" t="s">
        <v>944</v>
      </c>
      <c r="D1821" s="1" t="s">
        <v>945</v>
      </c>
      <c r="F1821" s="1">
        <v>1.933E9</v>
      </c>
      <c r="G1821" s="1">
        <v>1.58E9</v>
      </c>
      <c r="H1821" s="1">
        <v>2.876E9</v>
      </c>
      <c r="I1821" s="1">
        <v>5.259E9</v>
      </c>
      <c r="J1821" s="1">
        <v>0.0</v>
      </c>
      <c r="K1821" s="1">
        <v>2.026E9</v>
      </c>
      <c r="M1821" s="1">
        <v>3.47E8</v>
      </c>
      <c r="N1821" s="1">
        <v>5.259E9</v>
      </c>
      <c r="O1821" s="1">
        <v>3.233E9</v>
      </c>
      <c r="P1821" s="1">
        <v>0.0</v>
      </c>
      <c r="Q1821" s="1">
        <v>-9.3E7</v>
      </c>
      <c r="R1821" s="1">
        <v>1.586E9</v>
      </c>
      <c r="S1821" s="1">
        <v>1.494E9</v>
      </c>
      <c r="W1821" s="4" t="str">
        <f>Raw_Data!C1820&amp;"|"&amp;Raw_Data!D1820&amp;"|"&amp;TEXT(Raw_Data!B1820,"yyyy-mm-dd")</f>
        <v>U.S. Bancorp|USB|2020-12-31</v>
      </c>
    </row>
    <row r="1822">
      <c r="A1822" s="1">
        <v>1820.0</v>
      </c>
      <c r="B1822" s="11">
        <v>44408.0</v>
      </c>
      <c r="C1822" s="1" t="s">
        <v>946</v>
      </c>
      <c r="D1822" s="1" t="s">
        <v>947</v>
      </c>
      <c r="F1822" s="1">
        <v>3.31882E8</v>
      </c>
      <c r="G1822" s="1">
        <v>2.50893E8</v>
      </c>
      <c r="H1822" s="1">
        <v>4.65347E8</v>
      </c>
      <c r="I1822" s="1">
        <v>7.97963E8</v>
      </c>
      <c r="J1822" s="1">
        <v>3.31259E8</v>
      </c>
      <c r="K1822" s="1">
        <v>3.31259E8</v>
      </c>
      <c r="L1822" s="1">
        <v>-425000.0</v>
      </c>
      <c r="M1822" s="1">
        <v>8.0989E7</v>
      </c>
      <c r="N1822" s="1">
        <v>1.967207E9</v>
      </c>
      <c r="O1822" s="1">
        <v>1.635948E9</v>
      </c>
      <c r="P1822" s="1">
        <v>1.169244E9</v>
      </c>
      <c r="Q1822" s="1">
        <v>623000.0</v>
      </c>
      <c r="R1822" s="1">
        <v>2.50893E8</v>
      </c>
      <c r="S1822" s="1">
        <v>2.50893E8</v>
      </c>
      <c r="W1822" s="4" t="str">
        <f>Raw_Data!C1821&amp;"|"&amp;Raw_Data!D1821&amp;"|"&amp;TEXT(Raw_Data!B1821,"yyyy-mm-dd")</f>
        <v>U.S. Bancorp|USB|2020-09-30</v>
      </c>
    </row>
    <row r="1823">
      <c r="A1823" s="1">
        <v>1821.0</v>
      </c>
      <c r="B1823" s="11">
        <v>44317.0</v>
      </c>
      <c r="C1823" s="1" t="s">
        <v>946</v>
      </c>
      <c r="D1823" s="1" t="s">
        <v>947</v>
      </c>
      <c r="F1823" s="1">
        <v>3.04966E8</v>
      </c>
      <c r="G1823" s="1">
        <v>2.30289E8</v>
      </c>
      <c r="H1823" s="1">
        <v>4.46214E8</v>
      </c>
      <c r="I1823" s="1">
        <v>7.53788E8</v>
      </c>
      <c r="J1823" s="1">
        <v>3.02985E8</v>
      </c>
      <c r="K1823" s="1">
        <v>3.02985E8</v>
      </c>
      <c r="L1823" s="1">
        <v>-358000.0</v>
      </c>
      <c r="M1823" s="1">
        <v>7.4677E7</v>
      </c>
      <c r="N1823" s="1">
        <v>1.938519E9</v>
      </c>
      <c r="O1823" s="1">
        <v>1.635534E9</v>
      </c>
      <c r="P1823" s="1">
        <v>1.184731E9</v>
      </c>
      <c r="Q1823" s="1">
        <v>1981000.0</v>
      </c>
      <c r="R1823" s="1">
        <v>2.30289E8</v>
      </c>
      <c r="S1823" s="1">
        <v>2.30289E8</v>
      </c>
      <c r="W1823" s="4" t="str">
        <f>Raw_Data!C1822&amp;"|"&amp;Raw_Data!D1822&amp;"|"&amp;TEXT(Raw_Data!B1822,"yyyy-mm-dd")</f>
        <v>Ulta Beauty|ULTA|2021-07-31</v>
      </c>
    </row>
    <row r="1824">
      <c r="A1824" s="1">
        <v>1822.0</v>
      </c>
      <c r="B1824" s="11">
        <v>44226.0</v>
      </c>
      <c r="C1824" s="1" t="s">
        <v>946</v>
      </c>
      <c r="D1824" s="1" t="s">
        <v>947</v>
      </c>
      <c r="F1824" s="1">
        <v>2.23809E8</v>
      </c>
      <c r="G1824" s="1">
        <v>1.71494E8</v>
      </c>
      <c r="H1824" s="1">
        <v>8.47035E8</v>
      </c>
      <c r="I1824" s="1">
        <v>1.156328E9</v>
      </c>
      <c r="J1824" s="1">
        <v>3.07075E8</v>
      </c>
      <c r="K1824" s="1">
        <v>3.07075E8</v>
      </c>
      <c r="L1824" s="1">
        <v>-463000.0</v>
      </c>
      <c r="M1824" s="1">
        <v>5.2315E7</v>
      </c>
      <c r="N1824" s="1">
        <v>2.198701E9</v>
      </c>
      <c r="O1824" s="1">
        <v>1.891626E9</v>
      </c>
      <c r="P1824" s="1">
        <v>1.042373E9</v>
      </c>
      <c r="Q1824" s="1">
        <v>-8.3266E7</v>
      </c>
      <c r="R1824" s="1">
        <v>1.71494E8</v>
      </c>
      <c r="S1824" s="1">
        <v>1.71494E8</v>
      </c>
      <c r="W1824" s="4" t="str">
        <f>Raw_Data!C1823&amp;"|"&amp;Raw_Data!D1823&amp;"|"&amp;TEXT(Raw_Data!B1823,"yyyy-mm-dd")</f>
        <v>Ulta Beauty|ULTA|2021-05-01</v>
      </c>
    </row>
    <row r="1825">
      <c r="A1825" s="1">
        <v>1823.0</v>
      </c>
      <c r="B1825" s="11">
        <v>44135.0</v>
      </c>
      <c r="C1825" s="1" t="s">
        <v>946</v>
      </c>
      <c r="D1825" s="1" t="s">
        <v>947</v>
      </c>
      <c r="F1825" s="1">
        <v>9.9894E7</v>
      </c>
      <c r="G1825" s="1">
        <v>7.4798E7</v>
      </c>
      <c r="H1825" s="1">
        <v>4.16378E8</v>
      </c>
      <c r="I1825" s="1">
        <v>5.45519E8</v>
      </c>
      <c r="J1825" s="1">
        <v>1.24901E8</v>
      </c>
      <c r="K1825" s="1">
        <v>1.24901E8</v>
      </c>
      <c r="L1825" s="1">
        <v>-1383000.0</v>
      </c>
      <c r="M1825" s="1">
        <v>2.5096E7</v>
      </c>
      <c r="N1825" s="1">
        <v>1.552033E9</v>
      </c>
      <c r="O1825" s="1">
        <v>1.427132E9</v>
      </c>
      <c r="P1825" s="1">
        <v>1.006514E9</v>
      </c>
      <c r="Q1825" s="1">
        <v>-2.5007E7</v>
      </c>
      <c r="R1825" s="1">
        <v>7.4798E7</v>
      </c>
      <c r="S1825" s="1">
        <v>7.4798E7</v>
      </c>
      <c r="W1825" s="4" t="str">
        <f>Raw_Data!C1824&amp;"|"&amp;Raw_Data!D1824&amp;"|"&amp;TEXT(Raw_Data!B1824,"yyyy-mm-dd")</f>
        <v>Ulta Beauty|ULTA|2021-01-30</v>
      </c>
    </row>
    <row r="1826">
      <c r="A1826" s="1">
        <v>1824.0</v>
      </c>
      <c r="B1826" s="11">
        <v>44377.0</v>
      </c>
      <c r="C1826" s="1" t="s">
        <v>948</v>
      </c>
      <c r="D1826" s="1" t="s">
        <v>949</v>
      </c>
      <c r="F1826" s="1">
        <v>6.9234E7</v>
      </c>
      <c r="G1826" s="1">
        <v>5.9207E7</v>
      </c>
      <c r="H1826" s="1">
        <v>5.45503E8</v>
      </c>
      <c r="I1826" s="1">
        <v>6.69229E8</v>
      </c>
      <c r="J1826" s="1">
        <v>1.23726E8</v>
      </c>
      <c r="K1826" s="1">
        <v>1.23726E8</v>
      </c>
      <c r="L1826" s="1">
        <v>-1.3307E7</v>
      </c>
      <c r="M1826" s="1">
        <v>1.0027E7</v>
      </c>
      <c r="N1826" s="1">
        <v>1.351534E9</v>
      </c>
      <c r="O1826" s="1">
        <v>1.227808E9</v>
      </c>
      <c r="P1826" s="1">
        <v>6.82305E8</v>
      </c>
      <c r="Q1826" s="1">
        <v>-5.4492E7</v>
      </c>
      <c r="R1826" s="1">
        <v>5.9207E7</v>
      </c>
      <c r="S1826" s="1">
        <v>5.9207E7</v>
      </c>
      <c r="W1826" s="4" t="str">
        <f>Raw_Data!C1825&amp;"|"&amp;Raw_Data!D1825&amp;"|"&amp;TEXT(Raw_Data!B1825,"yyyy-mm-dd")</f>
        <v>Ulta Beauty|ULTA|2020-10-31</v>
      </c>
    </row>
    <row r="1827">
      <c r="A1827" s="1">
        <v>1825.0</v>
      </c>
      <c r="B1827" s="11">
        <v>44286.0</v>
      </c>
      <c r="C1827" s="1" t="s">
        <v>948</v>
      </c>
      <c r="D1827" s="1" t="s">
        <v>949</v>
      </c>
      <c r="F1827" s="1">
        <v>8.7633E7</v>
      </c>
      <c r="G1827" s="1">
        <v>7.7752E7</v>
      </c>
      <c r="H1827" s="1">
        <v>5.16138E8</v>
      </c>
      <c r="I1827" s="1">
        <v>6.28641E8</v>
      </c>
      <c r="J1827" s="1">
        <v>1.12503E8</v>
      </c>
      <c r="K1827" s="1">
        <v>1.12503E8</v>
      </c>
      <c r="L1827" s="1">
        <v>-1.4137E7</v>
      </c>
      <c r="M1827" s="1">
        <v>9881000.0</v>
      </c>
      <c r="N1827" s="1">
        <v>1.257195E9</v>
      </c>
      <c r="O1827" s="1">
        <v>1.144692E9</v>
      </c>
      <c r="P1827" s="1">
        <v>6.28554E8</v>
      </c>
      <c r="Q1827" s="1">
        <v>-2.487E7</v>
      </c>
      <c r="R1827" s="1">
        <v>7.7752E7</v>
      </c>
      <c r="S1827" s="1">
        <v>7.7752E7</v>
      </c>
      <c r="W1827" s="4" t="str">
        <f>Raw_Data!C1826&amp;"|"&amp;Raw_Data!D1826&amp;"|"&amp;TEXT(Raw_Data!B1826,"yyyy-mm-dd")</f>
        <v>Under Armour (Class A)|UAA|2021-06-30</v>
      </c>
    </row>
    <row r="1828">
      <c r="A1828" s="1">
        <v>1826.0</v>
      </c>
      <c r="B1828" s="11">
        <v>44196.0</v>
      </c>
      <c r="C1828" s="1" t="s">
        <v>948</v>
      </c>
      <c r="D1828" s="1" t="s">
        <v>949</v>
      </c>
      <c r="F1828" s="1">
        <v>2.19144E8</v>
      </c>
      <c r="G1828" s="1">
        <v>1.84453E8</v>
      </c>
      <c r="H1828" s="1">
        <v>5.81178E8</v>
      </c>
      <c r="I1828" s="1">
        <v>7.05998E8</v>
      </c>
      <c r="J1828" s="1">
        <v>1.1782E8</v>
      </c>
      <c r="K1828" s="1">
        <v>1.1782E8</v>
      </c>
      <c r="L1828" s="1">
        <v>-1.5008E7</v>
      </c>
      <c r="M1828" s="1">
        <v>3.4691E7</v>
      </c>
      <c r="N1828" s="1">
        <v>1.403766E9</v>
      </c>
      <c r="O1828" s="1">
        <v>1.285946E9</v>
      </c>
      <c r="P1828" s="1">
        <v>6.97768E8</v>
      </c>
      <c r="Q1828" s="1">
        <v>1.01324E8</v>
      </c>
      <c r="R1828" s="1">
        <v>1.84453E8</v>
      </c>
      <c r="S1828" s="1">
        <v>1.84453E8</v>
      </c>
      <c r="W1828" s="4" t="str">
        <f>Raw_Data!C1827&amp;"|"&amp;Raw_Data!D1827&amp;"|"&amp;TEXT(Raw_Data!B1827,"yyyy-mm-dd")</f>
        <v>Under Armour (Class A)|UAA|2021-03-31</v>
      </c>
    </row>
    <row r="1829">
      <c r="A1829" s="1">
        <v>1827.0</v>
      </c>
      <c r="B1829" s="11">
        <v>44104.0</v>
      </c>
      <c r="C1829" s="1" t="s">
        <v>948</v>
      </c>
      <c r="D1829" s="1" t="s">
        <v>949</v>
      </c>
      <c r="F1829" s="1">
        <v>3.5232E7</v>
      </c>
      <c r="G1829" s="1">
        <v>3.8946E7</v>
      </c>
      <c r="H1829" s="1">
        <v>5.55049E8</v>
      </c>
      <c r="I1829" s="1">
        <v>6.8632E8</v>
      </c>
      <c r="J1829" s="1">
        <v>1.31271E8</v>
      </c>
      <c r="K1829" s="1">
        <v>1.31271E8</v>
      </c>
      <c r="L1829" s="1">
        <v>-1.4955E7</v>
      </c>
      <c r="M1829" s="1">
        <v>-3714000.0</v>
      </c>
      <c r="N1829" s="1">
        <v>1.433021E9</v>
      </c>
      <c r="O1829" s="1">
        <v>1.30175E9</v>
      </c>
      <c r="P1829" s="1">
        <v>7.46701E8</v>
      </c>
      <c r="Q1829" s="1">
        <v>-9.6039E7</v>
      </c>
      <c r="R1829" s="1">
        <v>3.8946E7</v>
      </c>
      <c r="S1829" s="1">
        <v>3.8946E7</v>
      </c>
      <c r="W1829" s="4" t="str">
        <f>Raw_Data!C1828&amp;"|"&amp;Raw_Data!D1828&amp;"|"&amp;TEXT(Raw_Data!B1828,"yyyy-mm-dd")</f>
        <v>Under Armour (Class A)|UAA|2020-12-31</v>
      </c>
    </row>
    <row r="1830">
      <c r="A1830" s="1">
        <v>1828.0</v>
      </c>
      <c r="B1830" s="11">
        <v>44377.0</v>
      </c>
      <c r="C1830" s="1" t="s">
        <v>950</v>
      </c>
      <c r="D1830" s="1" t="s">
        <v>951</v>
      </c>
      <c r="F1830" s="1">
        <v>6.9234E7</v>
      </c>
      <c r="G1830" s="1">
        <v>5.9207E7</v>
      </c>
      <c r="H1830" s="1">
        <v>5.45503E8</v>
      </c>
      <c r="I1830" s="1">
        <v>6.69229E8</v>
      </c>
      <c r="J1830" s="1">
        <v>1.23726E8</v>
      </c>
      <c r="K1830" s="1">
        <v>1.23726E8</v>
      </c>
      <c r="L1830" s="1">
        <v>-1.3307E7</v>
      </c>
      <c r="M1830" s="1">
        <v>1.0027E7</v>
      </c>
      <c r="N1830" s="1">
        <v>1.351534E9</v>
      </c>
      <c r="O1830" s="1">
        <v>1.227808E9</v>
      </c>
      <c r="P1830" s="1">
        <v>6.82305E8</v>
      </c>
      <c r="Q1830" s="1">
        <v>-5.4492E7</v>
      </c>
      <c r="R1830" s="1">
        <v>5.9207E7</v>
      </c>
      <c r="S1830" s="1">
        <v>5.9207E7</v>
      </c>
      <c r="W1830" s="4" t="str">
        <f>Raw_Data!C1829&amp;"|"&amp;Raw_Data!D1829&amp;"|"&amp;TEXT(Raw_Data!B1829,"yyyy-mm-dd")</f>
        <v>Under Armour (Class A)|UAA|2020-09-30</v>
      </c>
    </row>
    <row r="1831">
      <c r="A1831" s="1">
        <v>1829.0</v>
      </c>
      <c r="B1831" s="11">
        <v>44286.0</v>
      </c>
      <c r="C1831" s="1" t="s">
        <v>950</v>
      </c>
      <c r="D1831" s="1" t="s">
        <v>951</v>
      </c>
      <c r="F1831" s="1">
        <v>8.7633E7</v>
      </c>
      <c r="G1831" s="1">
        <v>7.7752E7</v>
      </c>
      <c r="H1831" s="1">
        <v>5.16138E8</v>
      </c>
      <c r="I1831" s="1">
        <v>6.28641E8</v>
      </c>
      <c r="J1831" s="1">
        <v>1.12503E8</v>
      </c>
      <c r="K1831" s="1">
        <v>1.12503E8</v>
      </c>
      <c r="L1831" s="1">
        <v>-1.4137E7</v>
      </c>
      <c r="M1831" s="1">
        <v>9881000.0</v>
      </c>
      <c r="N1831" s="1">
        <v>1.257195E9</v>
      </c>
      <c r="O1831" s="1">
        <v>1.144692E9</v>
      </c>
      <c r="P1831" s="1">
        <v>6.28554E8</v>
      </c>
      <c r="Q1831" s="1">
        <v>-2.487E7</v>
      </c>
      <c r="R1831" s="1">
        <v>7.7752E7</v>
      </c>
      <c r="S1831" s="1">
        <v>7.7752E7</v>
      </c>
      <c r="W1831" s="4" t="str">
        <f>Raw_Data!C1830&amp;"|"&amp;Raw_Data!D1830&amp;"|"&amp;TEXT(Raw_Data!B1830,"yyyy-mm-dd")</f>
        <v>Under Armour (Class C)|UA|2021-06-30</v>
      </c>
    </row>
    <row r="1832">
      <c r="A1832" s="1">
        <v>1830.0</v>
      </c>
      <c r="B1832" s="11">
        <v>44196.0</v>
      </c>
      <c r="C1832" s="1" t="s">
        <v>950</v>
      </c>
      <c r="D1832" s="1" t="s">
        <v>951</v>
      </c>
      <c r="F1832" s="1">
        <v>2.19144E8</v>
      </c>
      <c r="G1832" s="1">
        <v>1.84453E8</v>
      </c>
      <c r="H1832" s="1">
        <v>5.81178E8</v>
      </c>
      <c r="I1832" s="1">
        <v>7.05998E8</v>
      </c>
      <c r="J1832" s="1">
        <v>1.1782E8</v>
      </c>
      <c r="K1832" s="1">
        <v>1.1782E8</v>
      </c>
      <c r="L1832" s="1">
        <v>-1.5008E7</v>
      </c>
      <c r="M1832" s="1">
        <v>3.4691E7</v>
      </c>
      <c r="N1832" s="1">
        <v>1.403766E9</v>
      </c>
      <c r="O1832" s="1">
        <v>1.285946E9</v>
      </c>
      <c r="P1832" s="1">
        <v>6.97768E8</v>
      </c>
      <c r="Q1832" s="1">
        <v>1.01324E8</v>
      </c>
      <c r="R1832" s="1">
        <v>1.84453E8</v>
      </c>
      <c r="S1832" s="1">
        <v>1.84453E8</v>
      </c>
      <c r="W1832" s="4" t="str">
        <f>Raw_Data!C1831&amp;"|"&amp;Raw_Data!D1831&amp;"|"&amp;TEXT(Raw_Data!B1831,"yyyy-mm-dd")</f>
        <v>Under Armour (Class C)|UA|2021-03-31</v>
      </c>
    </row>
    <row r="1833">
      <c r="A1833" s="1">
        <v>1831.0</v>
      </c>
      <c r="B1833" s="11">
        <v>44104.0</v>
      </c>
      <c r="C1833" s="1" t="s">
        <v>950</v>
      </c>
      <c r="D1833" s="1" t="s">
        <v>951</v>
      </c>
      <c r="F1833" s="1">
        <v>3.5232E7</v>
      </c>
      <c r="G1833" s="1">
        <v>3.8946E7</v>
      </c>
      <c r="H1833" s="1">
        <v>5.55049E8</v>
      </c>
      <c r="I1833" s="1">
        <v>6.8632E8</v>
      </c>
      <c r="J1833" s="1">
        <v>1.31271E8</v>
      </c>
      <c r="K1833" s="1">
        <v>1.31271E8</v>
      </c>
      <c r="L1833" s="1">
        <v>-1.4955E7</v>
      </c>
      <c r="M1833" s="1">
        <v>-3714000.0</v>
      </c>
      <c r="N1833" s="1">
        <v>1.433021E9</v>
      </c>
      <c r="O1833" s="1">
        <v>1.30175E9</v>
      </c>
      <c r="P1833" s="1">
        <v>7.46701E8</v>
      </c>
      <c r="Q1833" s="1">
        <v>-9.6039E7</v>
      </c>
      <c r="R1833" s="1">
        <v>3.8946E7</v>
      </c>
      <c r="S1833" s="1">
        <v>3.8946E7</v>
      </c>
      <c r="W1833" s="4" t="str">
        <f>Raw_Data!C1832&amp;"|"&amp;Raw_Data!D1832&amp;"|"&amp;TEXT(Raw_Data!B1832,"yyyy-mm-dd")</f>
        <v>Under Armour (Class C)|UA|2020-12-31</v>
      </c>
    </row>
    <row r="1834">
      <c r="A1834" s="1">
        <v>1832.0</v>
      </c>
      <c r="B1834" s="11">
        <v>44377.0</v>
      </c>
      <c r="C1834" s="1" t="s">
        <v>952</v>
      </c>
      <c r="D1834" s="1" t="s">
        <v>953</v>
      </c>
      <c r="F1834" s="1">
        <v>2.316E9</v>
      </c>
      <c r="G1834" s="1">
        <v>1.798E9</v>
      </c>
      <c r="I1834" s="1">
        <v>3.314E9</v>
      </c>
      <c r="J1834" s="1">
        <v>2.48E9</v>
      </c>
      <c r="K1834" s="1">
        <v>2.48E9</v>
      </c>
      <c r="L1834" s="1">
        <v>-2.82E8</v>
      </c>
      <c r="M1834" s="1">
        <v>5.18E8</v>
      </c>
      <c r="N1834" s="1">
        <v>5.504E9</v>
      </c>
      <c r="O1834" s="1">
        <v>3.024E9</v>
      </c>
      <c r="P1834" s="1">
        <v>2.19E9</v>
      </c>
      <c r="Q1834" s="1">
        <v>-1.64E8</v>
      </c>
      <c r="R1834" s="1">
        <v>1.798E9</v>
      </c>
      <c r="S1834" s="1">
        <v>1.798E9</v>
      </c>
      <c r="W1834" s="4" t="str">
        <f>Raw_Data!C1833&amp;"|"&amp;Raw_Data!D1833&amp;"|"&amp;TEXT(Raw_Data!B1833,"yyyy-mm-dd")</f>
        <v>Under Armour (Class C)|UA|2020-09-30</v>
      </c>
    </row>
    <row r="1835">
      <c r="A1835" s="1">
        <v>1833.0</v>
      </c>
      <c r="B1835" s="11">
        <v>44286.0</v>
      </c>
      <c r="C1835" s="1" t="s">
        <v>952</v>
      </c>
      <c r="D1835" s="1" t="s">
        <v>953</v>
      </c>
      <c r="F1835" s="1">
        <v>1.754E9</v>
      </c>
      <c r="G1835" s="1">
        <v>1.341E9</v>
      </c>
      <c r="I1835" s="1">
        <v>2.868E9</v>
      </c>
      <c r="J1835" s="1">
        <v>1.999E9</v>
      </c>
      <c r="K1835" s="1">
        <v>1.999E9</v>
      </c>
      <c r="L1835" s="1">
        <v>-2.9E8</v>
      </c>
      <c r="M1835" s="1">
        <v>4.13E8</v>
      </c>
      <c r="N1835" s="1">
        <v>5.001E9</v>
      </c>
      <c r="O1835" s="1">
        <v>3.002E9</v>
      </c>
      <c r="P1835" s="1">
        <v>2.133E9</v>
      </c>
      <c r="Q1835" s="1">
        <v>-2.45E8</v>
      </c>
      <c r="R1835" s="1">
        <v>1.341E9</v>
      </c>
      <c r="S1835" s="1">
        <v>1.341E9</v>
      </c>
      <c r="W1835" s="4" t="str">
        <f>Raw_Data!C1834&amp;"|"&amp;Raw_Data!D1834&amp;"|"&amp;TEXT(Raw_Data!B1834,"yyyy-mm-dd")</f>
        <v>Union Pacific|UNP|2021-06-30</v>
      </c>
    </row>
    <row r="1836">
      <c r="A1836" s="1">
        <v>1834.0</v>
      </c>
      <c r="B1836" s="11">
        <v>44196.0</v>
      </c>
      <c r="C1836" s="1" t="s">
        <v>952</v>
      </c>
      <c r="D1836" s="1" t="s">
        <v>953</v>
      </c>
      <c r="F1836" s="1">
        <v>1.793E9</v>
      </c>
      <c r="G1836" s="1">
        <v>1.38E9</v>
      </c>
      <c r="I1836" s="1">
        <v>3.089E9</v>
      </c>
      <c r="J1836" s="1">
        <v>2.019E9</v>
      </c>
      <c r="K1836" s="1">
        <v>2.019E9</v>
      </c>
      <c r="L1836" s="1">
        <v>-2.79E8</v>
      </c>
      <c r="M1836" s="1">
        <v>4.13E8</v>
      </c>
      <c r="N1836" s="1">
        <v>5.141E9</v>
      </c>
      <c r="O1836" s="1">
        <v>3.122E9</v>
      </c>
      <c r="P1836" s="1">
        <v>2.052E9</v>
      </c>
      <c r="Q1836" s="1">
        <v>-2.26E8</v>
      </c>
      <c r="R1836" s="1">
        <v>1.38E9</v>
      </c>
      <c r="S1836" s="1">
        <v>1.38E9</v>
      </c>
      <c r="W1836" s="4" t="str">
        <f>Raw_Data!C1835&amp;"|"&amp;Raw_Data!D1835&amp;"|"&amp;TEXT(Raw_Data!B1835,"yyyy-mm-dd")</f>
        <v>Union Pacific|UNP|2021-03-31</v>
      </c>
    </row>
    <row r="1837">
      <c r="A1837" s="1">
        <v>1835.0</v>
      </c>
      <c r="B1837" s="11">
        <v>44104.0</v>
      </c>
      <c r="C1837" s="1" t="s">
        <v>952</v>
      </c>
      <c r="D1837" s="1" t="s">
        <v>953</v>
      </c>
      <c r="F1837" s="1">
        <v>1.773E9</v>
      </c>
      <c r="G1837" s="1">
        <v>1.363E9</v>
      </c>
      <c r="I1837" s="1">
        <v>2.897E9</v>
      </c>
      <c r="J1837" s="1">
        <v>2.043E9</v>
      </c>
      <c r="K1837" s="1">
        <v>2.043E9</v>
      </c>
      <c r="L1837" s="1">
        <v>-2.95E8</v>
      </c>
      <c r="M1837" s="1">
        <v>4.1E8</v>
      </c>
      <c r="N1837" s="1">
        <v>4.919E9</v>
      </c>
      <c r="O1837" s="1">
        <v>2.876E9</v>
      </c>
      <c r="P1837" s="1">
        <v>2.022E9</v>
      </c>
      <c r="Q1837" s="1">
        <v>-2.7E8</v>
      </c>
      <c r="R1837" s="1">
        <v>1.363E9</v>
      </c>
      <c r="S1837" s="1">
        <v>1.363E9</v>
      </c>
      <c r="W1837" s="4" t="str">
        <f>Raw_Data!C1836&amp;"|"&amp;Raw_Data!D1836&amp;"|"&amp;TEXT(Raw_Data!B1836,"yyyy-mm-dd")</f>
        <v>Union Pacific|UNP|2020-12-31</v>
      </c>
    </row>
    <row r="1838">
      <c r="A1838" s="1">
        <v>1836.0</v>
      </c>
      <c r="B1838" s="11">
        <v>44377.0</v>
      </c>
      <c r="C1838" s="1" t="s">
        <v>954</v>
      </c>
      <c r="D1838" s="1" t="s">
        <v>955</v>
      </c>
      <c r="F1838" s="1">
        <v>-5.64E8</v>
      </c>
      <c r="G1838" s="1">
        <v>-4.34E8</v>
      </c>
      <c r="H1838" s="1">
        <v>1.39E8</v>
      </c>
      <c r="I1838" s="1">
        <v>5.12E8</v>
      </c>
      <c r="J1838" s="1">
        <v>-1.204E9</v>
      </c>
      <c r="K1838" s="1">
        <v>-1.204E9</v>
      </c>
      <c r="L1838" s="1">
        <v>-4.04E8</v>
      </c>
      <c r="M1838" s="1">
        <v>-1.3E8</v>
      </c>
      <c r="N1838" s="1">
        <v>5.471E9</v>
      </c>
      <c r="O1838" s="1">
        <v>6.675E9</v>
      </c>
      <c r="P1838" s="1">
        <v>4.959E9</v>
      </c>
      <c r="Q1838" s="1">
        <v>6.4E8</v>
      </c>
      <c r="R1838" s="1">
        <v>-4.34E8</v>
      </c>
      <c r="S1838" s="1">
        <v>-4.34E8</v>
      </c>
      <c r="W1838" s="4" t="str">
        <f>Raw_Data!C1837&amp;"|"&amp;Raw_Data!D1837&amp;"|"&amp;TEXT(Raw_Data!B1837,"yyyy-mm-dd")</f>
        <v>Union Pacific|UNP|2020-09-30</v>
      </c>
    </row>
    <row r="1839">
      <c r="A1839" s="1">
        <v>1837.0</v>
      </c>
      <c r="B1839" s="11">
        <v>44286.0</v>
      </c>
      <c r="C1839" s="1" t="s">
        <v>954</v>
      </c>
      <c r="D1839" s="1" t="s">
        <v>955</v>
      </c>
      <c r="F1839" s="1">
        <v>-1.751E9</v>
      </c>
      <c r="G1839" s="1">
        <v>-1.357E9</v>
      </c>
      <c r="H1839" s="1">
        <v>8.5E7</v>
      </c>
      <c r="I1839" s="1">
        <v>-1.402E9</v>
      </c>
      <c r="J1839" s="1">
        <v>-2.984E9</v>
      </c>
      <c r="K1839" s="1">
        <v>-2.984E9</v>
      </c>
      <c r="L1839" s="1">
        <v>-3.36E8</v>
      </c>
      <c r="M1839" s="1">
        <v>-3.94E8</v>
      </c>
      <c r="N1839" s="1">
        <v>3.221E9</v>
      </c>
      <c r="O1839" s="1">
        <v>6.205E9</v>
      </c>
      <c r="P1839" s="1">
        <v>4.623E9</v>
      </c>
      <c r="Q1839" s="1">
        <v>1.233E9</v>
      </c>
      <c r="R1839" s="1">
        <v>-1.357E9</v>
      </c>
      <c r="S1839" s="1">
        <v>-1.357E9</v>
      </c>
      <c r="W1839" s="4" t="str">
        <f>Raw_Data!C1838&amp;"|"&amp;Raw_Data!D1838&amp;"|"&amp;TEXT(Raw_Data!B1838,"yyyy-mm-dd")</f>
        <v>United Airlines|UAL|2021-06-30</v>
      </c>
    </row>
    <row r="1840">
      <c r="A1840" s="1">
        <v>1838.0</v>
      </c>
      <c r="B1840" s="11">
        <v>44196.0</v>
      </c>
      <c r="C1840" s="1" t="s">
        <v>954</v>
      </c>
      <c r="D1840" s="1" t="s">
        <v>955</v>
      </c>
      <c r="F1840" s="1">
        <v>-2.373E9</v>
      </c>
      <c r="G1840" s="1">
        <v>-1.897E9</v>
      </c>
      <c r="H1840" s="1">
        <v>1.67E8</v>
      </c>
      <c r="I1840" s="1">
        <v>-9.17E8</v>
      </c>
      <c r="J1840" s="1">
        <v>-2.452E9</v>
      </c>
      <c r="K1840" s="1">
        <v>-2.452E9</v>
      </c>
      <c r="L1840" s="1">
        <v>-3.34E8</v>
      </c>
      <c r="M1840" s="1">
        <v>-4.76E8</v>
      </c>
      <c r="N1840" s="1">
        <v>3.412E9</v>
      </c>
      <c r="O1840" s="1">
        <v>5.864E9</v>
      </c>
      <c r="P1840" s="1">
        <v>4.329E9</v>
      </c>
      <c r="Q1840" s="1">
        <v>7.9E7</v>
      </c>
      <c r="R1840" s="1">
        <v>-1.897E9</v>
      </c>
      <c r="S1840" s="1">
        <v>-1.897E9</v>
      </c>
      <c r="W1840" s="4" t="str">
        <f>Raw_Data!C1839&amp;"|"&amp;Raw_Data!D1839&amp;"|"&amp;TEXT(Raw_Data!B1839,"yyyy-mm-dd")</f>
        <v>United Airlines|UAL|2021-03-31</v>
      </c>
    </row>
    <row r="1841">
      <c r="A1841" s="1">
        <v>1839.0</v>
      </c>
      <c r="B1841" s="11">
        <v>44104.0</v>
      </c>
      <c r="C1841" s="1" t="s">
        <v>954</v>
      </c>
      <c r="D1841" s="1" t="s">
        <v>955</v>
      </c>
      <c r="F1841" s="1">
        <v>-2.332E9</v>
      </c>
      <c r="G1841" s="1">
        <v>-1.841E9</v>
      </c>
      <c r="H1841" s="1">
        <v>5.3E7</v>
      </c>
      <c r="I1841" s="1">
        <v>-1.334E9</v>
      </c>
      <c r="J1841" s="1">
        <v>-2.692E9</v>
      </c>
      <c r="K1841" s="1">
        <v>-2.692E9</v>
      </c>
      <c r="L1841" s="1">
        <v>-3.29E8</v>
      </c>
      <c r="M1841" s="1">
        <v>-4.91E8</v>
      </c>
      <c r="N1841" s="1">
        <v>2.489E9</v>
      </c>
      <c r="O1841" s="1">
        <v>5.181E9</v>
      </c>
      <c r="P1841" s="1">
        <v>3.823E9</v>
      </c>
      <c r="Q1841" s="1">
        <v>3.6E8</v>
      </c>
      <c r="R1841" s="1">
        <v>-1.841E9</v>
      </c>
      <c r="S1841" s="1">
        <v>-1.841E9</v>
      </c>
      <c r="W1841" s="4" t="str">
        <f>Raw_Data!C1840&amp;"|"&amp;Raw_Data!D1840&amp;"|"&amp;TEXT(Raw_Data!B1840,"yyyy-mm-dd")</f>
        <v>United Airlines|UAL|2020-12-31</v>
      </c>
    </row>
    <row r="1842">
      <c r="A1842" s="1">
        <v>1840.0</v>
      </c>
      <c r="B1842" s="11">
        <v>44377.0</v>
      </c>
      <c r="C1842" s="1" t="s">
        <v>956</v>
      </c>
      <c r="D1842" s="1" t="s">
        <v>957</v>
      </c>
      <c r="F1842" s="1">
        <v>3.436E9</v>
      </c>
      <c r="G1842" s="1">
        <v>2.676E9</v>
      </c>
      <c r="I1842" s="1">
        <v>6.094E9</v>
      </c>
      <c r="J1842" s="1">
        <v>3.575E9</v>
      </c>
      <c r="K1842" s="1">
        <v>3.575E9</v>
      </c>
      <c r="L1842" s="1">
        <v>-1.67E8</v>
      </c>
      <c r="M1842" s="1">
        <v>7.6E8</v>
      </c>
      <c r="N1842" s="1">
        <v>2.3424E10</v>
      </c>
      <c r="O1842" s="1">
        <v>1.9849E10</v>
      </c>
      <c r="P1842" s="1">
        <v>1.733E10</v>
      </c>
      <c r="Q1842" s="1">
        <v>-1.39E8</v>
      </c>
      <c r="R1842" s="1">
        <v>2.676E9</v>
      </c>
      <c r="S1842" s="1">
        <v>2.676E9</v>
      </c>
      <c r="W1842" s="4" t="str">
        <f>Raw_Data!C1841&amp;"|"&amp;Raw_Data!D1841&amp;"|"&amp;TEXT(Raw_Data!B1841,"yyyy-mm-dd")</f>
        <v>United Airlines|UAL|2020-09-30</v>
      </c>
    </row>
    <row r="1843">
      <c r="A1843" s="1">
        <v>1841.0</v>
      </c>
      <c r="B1843" s="11">
        <v>44286.0</v>
      </c>
      <c r="C1843" s="1" t="s">
        <v>956</v>
      </c>
      <c r="D1843" s="1" t="s">
        <v>957</v>
      </c>
      <c r="F1843" s="1">
        <v>6.204E9</v>
      </c>
      <c r="G1843" s="1">
        <v>4.792E9</v>
      </c>
      <c r="I1843" s="1">
        <v>8.97E9</v>
      </c>
      <c r="J1843" s="1">
        <v>6.51E9</v>
      </c>
      <c r="K1843" s="1">
        <v>6.51E9</v>
      </c>
      <c r="L1843" s="1">
        <v>-1.77E8</v>
      </c>
      <c r="M1843" s="1">
        <v>1.412E9</v>
      </c>
      <c r="N1843" s="1">
        <v>2.2908E10</v>
      </c>
      <c r="O1843" s="1">
        <v>1.6398E10</v>
      </c>
      <c r="P1843" s="1">
        <v>1.3938E10</v>
      </c>
      <c r="Q1843" s="1">
        <v>-3.06E8</v>
      </c>
      <c r="R1843" s="1">
        <v>4.792E9</v>
      </c>
      <c r="S1843" s="1">
        <v>4.792E9</v>
      </c>
      <c r="W1843" s="4" t="str">
        <f>Raw_Data!C1842&amp;"|"&amp;Raw_Data!D1842&amp;"|"&amp;TEXT(Raw_Data!B1842,"yyyy-mm-dd")</f>
        <v>United Parcel Service|UPS|2021-06-30</v>
      </c>
    </row>
    <row r="1844">
      <c r="A1844" s="1">
        <v>1842.0</v>
      </c>
      <c r="B1844" s="11">
        <v>44196.0</v>
      </c>
      <c r="C1844" s="1" t="s">
        <v>956</v>
      </c>
      <c r="D1844" s="1" t="s">
        <v>957</v>
      </c>
      <c r="F1844" s="1">
        <v>-4.288E9</v>
      </c>
      <c r="G1844" s="1">
        <v>-3.347E9</v>
      </c>
      <c r="I1844" s="1">
        <v>-2.065E9</v>
      </c>
      <c r="J1844" s="1">
        <v>-5.499E9</v>
      </c>
      <c r="K1844" s="1">
        <v>-5.499E9</v>
      </c>
      <c r="L1844" s="1">
        <v>-1.75E8</v>
      </c>
      <c r="M1844" s="1">
        <v>-9.41E8</v>
      </c>
      <c r="N1844" s="1">
        <v>2.4896E10</v>
      </c>
      <c r="O1844" s="1">
        <v>3.0395E10</v>
      </c>
      <c r="P1844" s="1">
        <v>2.6961E10</v>
      </c>
      <c r="Q1844" s="1">
        <v>1.211E9</v>
      </c>
      <c r="R1844" s="1">
        <v>-3.347E9</v>
      </c>
      <c r="S1844" s="1">
        <v>-3.347E9</v>
      </c>
      <c r="W1844" s="4" t="str">
        <f>Raw_Data!C1843&amp;"|"&amp;Raw_Data!D1843&amp;"|"&amp;TEXT(Raw_Data!B1843,"yyyy-mm-dd")</f>
        <v>United Parcel Service|UPS|2021-03-31</v>
      </c>
    </row>
    <row r="1845">
      <c r="A1845" s="1">
        <v>1843.0</v>
      </c>
      <c r="B1845" s="11">
        <v>44104.0</v>
      </c>
      <c r="C1845" s="1" t="s">
        <v>956</v>
      </c>
      <c r="D1845" s="1" t="s">
        <v>957</v>
      </c>
      <c r="F1845" s="1">
        <v>2.525E9</v>
      </c>
      <c r="G1845" s="1">
        <v>1.957E9</v>
      </c>
      <c r="I1845" s="1">
        <v>5.001E9</v>
      </c>
      <c r="J1845" s="1">
        <v>2.748E9</v>
      </c>
      <c r="K1845" s="1">
        <v>2.748E9</v>
      </c>
      <c r="L1845" s="1">
        <v>-1.76E8</v>
      </c>
      <c r="M1845" s="1">
        <v>5.68E8</v>
      </c>
      <c r="N1845" s="1">
        <v>2.1238E10</v>
      </c>
      <c r="O1845" s="1">
        <v>1.849E10</v>
      </c>
      <c r="P1845" s="1">
        <v>1.6237E10</v>
      </c>
      <c r="Q1845" s="1">
        <v>-2.23E8</v>
      </c>
      <c r="R1845" s="1">
        <v>1.957E9</v>
      </c>
      <c r="S1845" s="1">
        <v>1.957E9</v>
      </c>
      <c r="W1845" s="4" t="str">
        <f>Raw_Data!C1844&amp;"|"&amp;Raw_Data!D1844&amp;"|"&amp;TEXT(Raw_Data!B1844,"yyyy-mm-dd")</f>
        <v>United Parcel Service|UPS|2020-12-31</v>
      </c>
    </row>
    <row r="1846">
      <c r="A1846" s="1">
        <v>1844.0</v>
      </c>
      <c r="B1846" s="11">
        <v>44377.0</v>
      </c>
      <c r="C1846" s="1" t="s">
        <v>958</v>
      </c>
      <c r="D1846" s="1" t="s">
        <v>959</v>
      </c>
      <c r="F1846" s="1">
        <v>3.77E8</v>
      </c>
      <c r="G1846" s="1">
        <v>2.93E8</v>
      </c>
      <c r="H1846" s="1">
        <v>3.01E8</v>
      </c>
      <c r="I1846" s="1">
        <v>8.84E8</v>
      </c>
      <c r="J1846" s="1">
        <v>4.93E8</v>
      </c>
      <c r="K1846" s="1">
        <v>4.93E8</v>
      </c>
      <c r="L1846" s="1">
        <v>-1.0E8</v>
      </c>
      <c r="M1846" s="1">
        <v>8.4E7</v>
      </c>
      <c r="N1846" s="1">
        <v>2.287E9</v>
      </c>
      <c r="O1846" s="1">
        <v>1.794E9</v>
      </c>
      <c r="P1846" s="1">
        <v>1.403E9</v>
      </c>
      <c r="Q1846" s="1">
        <v>-1.16E8</v>
      </c>
      <c r="R1846" s="1">
        <v>2.93E8</v>
      </c>
      <c r="S1846" s="1">
        <v>2.93E8</v>
      </c>
      <c r="W1846" s="4" t="str">
        <f>Raw_Data!C1845&amp;"|"&amp;Raw_Data!D1845&amp;"|"&amp;TEXT(Raw_Data!B1845,"yyyy-mm-dd")</f>
        <v>United Parcel Service|UPS|2020-09-30</v>
      </c>
    </row>
    <row r="1847">
      <c r="A1847" s="1">
        <v>1845.0</v>
      </c>
      <c r="B1847" s="11">
        <v>44286.0</v>
      </c>
      <c r="C1847" s="1" t="s">
        <v>958</v>
      </c>
      <c r="D1847" s="1" t="s">
        <v>959</v>
      </c>
      <c r="F1847" s="1">
        <v>2.75E8</v>
      </c>
      <c r="G1847" s="1">
        <v>2.03E8</v>
      </c>
      <c r="H1847" s="1">
        <v>2.5E8</v>
      </c>
      <c r="I1847" s="1">
        <v>7.25E8</v>
      </c>
      <c r="J1847" s="1">
        <v>3.84E8</v>
      </c>
      <c r="K1847" s="1">
        <v>3.84E8</v>
      </c>
      <c r="L1847" s="1">
        <v>-9.9E7</v>
      </c>
      <c r="M1847" s="1">
        <v>7.2E7</v>
      </c>
      <c r="N1847" s="1">
        <v>2.057E9</v>
      </c>
      <c r="O1847" s="1">
        <v>1.673E9</v>
      </c>
      <c r="P1847" s="1">
        <v>1.332E9</v>
      </c>
      <c r="Q1847" s="1">
        <v>-1.09E8</v>
      </c>
      <c r="R1847" s="1">
        <v>2.03E8</v>
      </c>
      <c r="S1847" s="1">
        <v>2.03E8</v>
      </c>
      <c r="W1847" s="4" t="str">
        <f>Raw_Data!C1846&amp;"|"&amp;Raw_Data!D1846&amp;"|"&amp;TEXT(Raw_Data!B1846,"yyyy-mm-dd")</f>
        <v>United Rentals|URI|2021-06-30</v>
      </c>
    </row>
    <row r="1848">
      <c r="A1848" s="1">
        <v>1846.0</v>
      </c>
      <c r="B1848" s="11">
        <v>44196.0</v>
      </c>
      <c r="C1848" s="1" t="s">
        <v>958</v>
      </c>
      <c r="D1848" s="1" t="s">
        <v>959</v>
      </c>
      <c r="F1848" s="1">
        <v>3.87E8</v>
      </c>
      <c r="G1848" s="1">
        <v>2.97E8</v>
      </c>
      <c r="H1848" s="1">
        <v>2.58E8</v>
      </c>
      <c r="I1848" s="1">
        <v>8.84E8</v>
      </c>
      <c r="J1848" s="1">
        <v>5.3E8</v>
      </c>
      <c r="K1848" s="1">
        <v>5.3E8</v>
      </c>
      <c r="L1848" s="1">
        <v>-1.01E8</v>
      </c>
      <c r="M1848" s="1">
        <v>9.0E7</v>
      </c>
      <c r="N1848" s="1">
        <v>2.279E9</v>
      </c>
      <c r="O1848" s="1">
        <v>1.749E9</v>
      </c>
      <c r="P1848" s="1">
        <v>1.395E9</v>
      </c>
      <c r="Q1848" s="1">
        <v>-1.43E8</v>
      </c>
      <c r="R1848" s="1">
        <v>2.97E8</v>
      </c>
      <c r="S1848" s="1">
        <v>2.97E8</v>
      </c>
      <c r="W1848" s="4" t="str">
        <f>Raw_Data!C1847&amp;"|"&amp;Raw_Data!D1847&amp;"|"&amp;TEXT(Raw_Data!B1847,"yyyy-mm-dd")</f>
        <v>United Rentals|URI|2021-03-31</v>
      </c>
    </row>
    <row r="1849">
      <c r="A1849" s="1">
        <v>1847.0</v>
      </c>
      <c r="B1849" s="11">
        <v>44104.0</v>
      </c>
      <c r="C1849" s="1" t="s">
        <v>958</v>
      </c>
      <c r="D1849" s="1" t="s">
        <v>959</v>
      </c>
      <c r="F1849" s="1">
        <v>2.75E8</v>
      </c>
      <c r="G1849" s="1">
        <v>2.08E8</v>
      </c>
      <c r="H1849" s="1">
        <v>2.32E8</v>
      </c>
      <c r="I1849" s="1">
        <v>8.98E8</v>
      </c>
      <c r="J1849" s="1">
        <v>5.69E8</v>
      </c>
      <c r="K1849" s="1">
        <v>5.69E8</v>
      </c>
      <c r="L1849" s="1">
        <v>-1.19E8</v>
      </c>
      <c r="M1849" s="1">
        <v>6.7E7</v>
      </c>
      <c r="N1849" s="1">
        <v>2.187E9</v>
      </c>
      <c r="O1849" s="1">
        <v>1.618E9</v>
      </c>
      <c r="P1849" s="1">
        <v>1.289E9</v>
      </c>
      <c r="Q1849" s="1">
        <v>-2.94E8</v>
      </c>
      <c r="R1849" s="1">
        <v>2.08E8</v>
      </c>
      <c r="S1849" s="1">
        <v>2.08E8</v>
      </c>
      <c r="W1849" s="4" t="str">
        <f>Raw_Data!C1848&amp;"|"&amp;Raw_Data!D1848&amp;"|"&amp;TEXT(Raw_Data!B1848,"yyyy-mm-dd")</f>
        <v>United Rentals|URI|2020-12-31</v>
      </c>
    </row>
    <row r="1850">
      <c r="A1850" s="1">
        <v>1848.0</v>
      </c>
      <c r="B1850" s="11">
        <v>44377.0</v>
      </c>
      <c r="C1850" s="1" t="s">
        <v>960</v>
      </c>
      <c r="D1850" s="1" t="s">
        <v>961</v>
      </c>
      <c r="F1850" s="1">
        <v>5.568E9</v>
      </c>
      <c r="G1850" s="1">
        <v>4.266E9</v>
      </c>
      <c r="H1850" s="1">
        <v>1.0359E10</v>
      </c>
      <c r="I1850" s="1">
        <v>1.7115E10</v>
      </c>
      <c r="J1850" s="1">
        <v>5.978E9</v>
      </c>
      <c r="K1850" s="1">
        <v>5.978E9</v>
      </c>
      <c r="L1850" s="1">
        <v>-4.1E8</v>
      </c>
      <c r="M1850" s="1">
        <v>1.196E9</v>
      </c>
      <c r="N1850" s="1">
        <v>7.1321E10</v>
      </c>
      <c r="O1850" s="1">
        <v>6.5343E10</v>
      </c>
      <c r="P1850" s="1">
        <v>5.4206E10</v>
      </c>
      <c r="Q1850" s="1">
        <v>-4.1E8</v>
      </c>
      <c r="R1850" s="1">
        <v>4.372E9</v>
      </c>
      <c r="S1850" s="1">
        <v>4.266E9</v>
      </c>
      <c r="W1850" s="4" t="str">
        <f>Raw_Data!C1849&amp;"|"&amp;Raw_Data!D1849&amp;"|"&amp;TEXT(Raw_Data!B1849,"yyyy-mm-dd")</f>
        <v>United Rentals|URI|2020-09-30</v>
      </c>
    </row>
    <row r="1851">
      <c r="A1851" s="1">
        <v>1849.0</v>
      </c>
      <c r="B1851" s="11">
        <v>44286.0</v>
      </c>
      <c r="C1851" s="1" t="s">
        <v>960</v>
      </c>
      <c r="D1851" s="1" t="s">
        <v>961</v>
      </c>
      <c r="F1851" s="1">
        <v>6.342E9</v>
      </c>
      <c r="G1851" s="1">
        <v>4.862E9</v>
      </c>
      <c r="H1851" s="1">
        <v>1.0223E10</v>
      </c>
      <c r="I1851" s="1">
        <v>1.772E10</v>
      </c>
      <c r="J1851" s="1">
        <v>6.739E9</v>
      </c>
      <c r="K1851" s="1">
        <v>6.739E9</v>
      </c>
      <c r="L1851" s="1">
        <v>-3.97E8</v>
      </c>
      <c r="M1851" s="1">
        <v>1.364E9</v>
      </c>
      <c r="N1851" s="1">
        <v>7.0196E10</v>
      </c>
      <c r="O1851" s="1">
        <v>6.3457E10</v>
      </c>
      <c r="P1851" s="1">
        <v>5.2476E10</v>
      </c>
      <c r="Q1851" s="1">
        <v>-3.97E8</v>
      </c>
      <c r="R1851" s="1">
        <v>4.978E9</v>
      </c>
      <c r="S1851" s="1">
        <v>4.862E9</v>
      </c>
      <c r="W1851" s="4" t="str">
        <f>Raw_Data!C1850&amp;"|"&amp;Raw_Data!D1850&amp;"|"&amp;TEXT(Raw_Data!B1850,"yyyy-mm-dd")</f>
        <v>UnitedHealth Group|UNH|2021-06-30</v>
      </c>
    </row>
    <row r="1852">
      <c r="A1852" s="1">
        <v>1850.0</v>
      </c>
      <c r="B1852" s="11">
        <v>44196.0</v>
      </c>
      <c r="C1852" s="1" t="s">
        <v>960</v>
      </c>
      <c r="D1852" s="1" t="s">
        <v>961</v>
      </c>
      <c r="F1852" s="1">
        <v>3.116E9</v>
      </c>
      <c r="G1852" s="1">
        <v>2.212E9</v>
      </c>
      <c r="H1852" s="1">
        <v>1.1514E10</v>
      </c>
      <c r="I1852" s="1">
        <v>1.5763E10</v>
      </c>
      <c r="J1852" s="1">
        <v>3.517E9</v>
      </c>
      <c r="K1852" s="1">
        <v>3.517E9</v>
      </c>
      <c r="L1852" s="1">
        <v>-4.01E8</v>
      </c>
      <c r="M1852" s="1">
        <v>7.64E8</v>
      </c>
      <c r="N1852" s="1">
        <v>6.5467E10</v>
      </c>
      <c r="O1852" s="1">
        <v>6.195E10</v>
      </c>
      <c r="P1852" s="1">
        <v>4.9704E10</v>
      </c>
      <c r="Q1852" s="1">
        <v>-4.01E8</v>
      </c>
      <c r="R1852" s="1">
        <v>2.352E9</v>
      </c>
      <c r="S1852" s="1">
        <v>2.212E9</v>
      </c>
      <c r="W1852" s="4" t="str">
        <f>Raw_Data!C1851&amp;"|"&amp;Raw_Data!D1851&amp;"|"&amp;TEXT(Raw_Data!B1851,"yyyy-mm-dd")</f>
        <v>UnitedHealth Group|UNH|2021-03-31</v>
      </c>
    </row>
    <row r="1853">
      <c r="A1853" s="1">
        <v>1851.0</v>
      </c>
      <c r="B1853" s="11">
        <v>44104.0</v>
      </c>
      <c r="C1853" s="1" t="s">
        <v>960</v>
      </c>
      <c r="D1853" s="1" t="s">
        <v>961</v>
      </c>
      <c r="F1853" s="1">
        <v>4.256E9</v>
      </c>
      <c r="G1853" s="1">
        <v>3.172E9</v>
      </c>
      <c r="H1853" s="1">
        <v>1.0174E10</v>
      </c>
      <c r="I1853" s="1">
        <v>1.5544E10</v>
      </c>
      <c r="J1853" s="1">
        <v>4.651E9</v>
      </c>
      <c r="K1853" s="1">
        <v>4.651E9</v>
      </c>
      <c r="L1853" s="1">
        <v>-3.95E8</v>
      </c>
      <c r="M1853" s="1">
        <v>1.0E9</v>
      </c>
      <c r="N1853" s="1">
        <v>6.5115E10</v>
      </c>
      <c r="O1853" s="1">
        <v>6.0464E10</v>
      </c>
      <c r="P1853" s="1">
        <v>4.9571E10</v>
      </c>
      <c r="Q1853" s="1">
        <v>-3.95E8</v>
      </c>
      <c r="R1853" s="1">
        <v>3.256E9</v>
      </c>
      <c r="S1853" s="1">
        <v>3.172E9</v>
      </c>
      <c r="W1853" s="4" t="str">
        <f>Raw_Data!C1852&amp;"|"&amp;Raw_Data!D1852&amp;"|"&amp;TEXT(Raw_Data!B1852,"yyyy-mm-dd")</f>
        <v>UnitedHealth Group|UNH|2020-12-31</v>
      </c>
    </row>
    <row r="1854">
      <c r="A1854" s="1">
        <v>1852.0</v>
      </c>
      <c r="B1854" s="11">
        <v>44377.0</v>
      </c>
      <c r="C1854" s="1" t="s">
        <v>962</v>
      </c>
      <c r="D1854" s="1" t="s">
        <v>963</v>
      </c>
      <c r="F1854" s="1">
        <v>4.26798E8</v>
      </c>
      <c r="G1854" s="1">
        <v>3.25024E8</v>
      </c>
      <c r="H1854" s="1">
        <v>2.9149E7</v>
      </c>
      <c r="I1854" s="1">
        <v>1.371912E9</v>
      </c>
      <c r="J1854" s="1">
        <v>4.38968E8</v>
      </c>
      <c r="K1854" s="1">
        <v>4.38968E8</v>
      </c>
      <c r="L1854" s="1">
        <v>-2.1709E7</v>
      </c>
      <c r="M1854" s="1">
        <v>1.01522E8</v>
      </c>
      <c r="N1854" s="1">
        <v>3.19788E9</v>
      </c>
      <c r="O1854" s="1">
        <v>2.758912E9</v>
      </c>
      <c r="P1854" s="1">
        <v>1.825968E9</v>
      </c>
      <c r="Q1854" s="1">
        <v>-1.217E7</v>
      </c>
      <c r="R1854" s="1">
        <v>3.25276E8</v>
      </c>
      <c r="S1854" s="1">
        <v>3.24363E8</v>
      </c>
      <c r="W1854" s="4" t="str">
        <f>Raw_Data!C1853&amp;"|"&amp;Raw_Data!D1853&amp;"|"&amp;TEXT(Raw_Data!B1853,"yyyy-mm-dd")</f>
        <v>UnitedHealth Group|UNH|2020-09-30</v>
      </c>
    </row>
    <row r="1855">
      <c r="A1855" s="1">
        <v>1853.0</v>
      </c>
      <c r="B1855" s="11">
        <v>44286.0</v>
      </c>
      <c r="C1855" s="1" t="s">
        <v>962</v>
      </c>
      <c r="D1855" s="1" t="s">
        <v>963</v>
      </c>
      <c r="F1855" s="1">
        <v>2.72877E8</v>
      </c>
      <c r="G1855" s="1">
        <v>2.09091E8</v>
      </c>
      <c r="H1855" s="1">
        <v>3.1324E7</v>
      </c>
      <c r="I1855" s="1">
        <v>1.168104E9</v>
      </c>
      <c r="J1855" s="1">
        <v>2.95669E8</v>
      </c>
      <c r="K1855" s="1">
        <v>2.95669E8</v>
      </c>
      <c r="L1855" s="1">
        <v>-2.2861E7</v>
      </c>
      <c r="M1855" s="1">
        <v>6.3807E7</v>
      </c>
      <c r="N1855" s="1">
        <v>3.012987E9</v>
      </c>
      <c r="O1855" s="1">
        <v>2.717318E9</v>
      </c>
      <c r="P1855" s="1">
        <v>1.844883E9</v>
      </c>
      <c r="Q1855" s="1">
        <v>-2.2792E7</v>
      </c>
      <c r="R1855" s="1">
        <v>2.0907E8</v>
      </c>
      <c r="S1855" s="1">
        <v>2.08539E8</v>
      </c>
      <c r="W1855" s="4" t="str">
        <f>Raw_Data!C1854&amp;"|"&amp;Raw_Data!D1854&amp;"|"&amp;TEXT(Raw_Data!B1854,"yyyy-mm-dd")</f>
        <v>Universal Health Services|UHS|2021-06-30</v>
      </c>
    </row>
    <row r="1856">
      <c r="A1856" s="1">
        <v>1854.0</v>
      </c>
      <c r="B1856" s="11">
        <v>44196.0</v>
      </c>
      <c r="C1856" s="1" t="s">
        <v>962</v>
      </c>
      <c r="D1856" s="1" t="s">
        <v>963</v>
      </c>
      <c r="F1856" s="1">
        <v>4.02378E8</v>
      </c>
      <c r="G1856" s="1">
        <v>3.08708E8</v>
      </c>
      <c r="H1856" s="1">
        <v>3.1092E7</v>
      </c>
      <c r="I1856" s="1">
        <v>1.269541E9</v>
      </c>
      <c r="J1856" s="1">
        <v>4.14959E8</v>
      </c>
      <c r="K1856" s="1">
        <v>4.14959E8</v>
      </c>
      <c r="L1856" s="1">
        <v>-2.1823E7</v>
      </c>
      <c r="M1856" s="1">
        <v>9.4644E7</v>
      </c>
      <c r="N1856" s="1">
        <v>3.086935E9</v>
      </c>
      <c r="O1856" s="1">
        <v>2.671976E9</v>
      </c>
      <c r="P1856" s="1">
        <v>1.817394E9</v>
      </c>
      <c r="Q1856" s="1">
        <v>-1.2581E7</v>
      </c>
      <c r="R1856" s="1">
        <v>3.07734E8</v>
      </c>
      <c r="S1856" s="1">
        <v>3.07714E8</v>
      </c>
      <c r="W1856" s="4" t="str">
        <f>Raw_Data!C1855&amp;"|"&amp;Raw_Data!D1855&amp;"|"&amp;TEXT(Raw_Data!B1855,"yyyy-mm-dd")</f>
        <v>Universal Health Services|UHS|2021-03-31</v>
      </c>
    </row>
    <row r="1857">
      <c r="A1857" s="1">
        <v>1855.0</v>
      </c>
      <c r="B1857" s="11">
        <v>44104.0</v>
      </c>
      <c r="C1857" s="1" t="s">
        <v>962</v>
      </c>
      <c r="D1857" s="1" t="s">
        <v>963</v>
      </c>
      <c r="F1857" s="1">
        <v>3.23264E8</v>
      </c>
      <c r="G1857" s="1">
        <v>2.41279E8</v>
      </c>
      <c r="H1857" s="1">
        <v>2.8488E7</v>
      </c>
      <c r="I1857" s="1">
        <v>1.170784E9</v>
      </c>
      <c r="J1857" s="1">
        <v>3.4967E8</v>
      </c>
      <c r="K1857" s="1">
        <v>3.4967E8</v>
      </c>
      <c r="L1857" s="1">
        <v>-2.5095E7</v>
      </c>
      <c r="M1857" s="1">
        <v>7.9172E7</v>
      </c>
      <c r="N1857" s="1">
        <v>2.912541E9</v>
      </c>
      <c r="O1857" s="1">
        <v>2.562871E9</v>
      </c>
      <c r="P1857" s="1">
        <v>1.741757E9</v>
      </c>
      <c r="Q1857" s="1">
        <v>-2.6406E7</v>
      </c>
      <c r="R1857" s="1">
        <v>2.44092E8</v>
      </c>
      <c r="S1857" s="1">
        <v>2.40489E8</v>
      </c>
      <c r="W1857" s="4" t="str">
        <f>Raw_Data!C1856&amp;"|"&amp;Raw_Data!D1856&amp;"|"&amp;TEXT(Raw_Data!B1856,"yyyy-mm-dd")</f>
        <v>Universal Health Services|UHS|2020-12-31</v>
      </c>
    </row>
    <row r="1858">
      <c r="A1858" s="1">
        <v>1856.0</v>
      </c>
      <c r="B1858" s="11">
        <v>44377.0</v>
      </c>
      <c r="C1858" s="1" t="s">
        <v>964</v>
      </c>
      <c r="D1858" s="1" t="s">
        <v>965</v>
      </c>
      <c r="F1858" s="1">
        <v>4.61E8</v>
      </c>
      <c r="G1858" s="1">
        <v>1.62E8</v>
      </c>
      <c r="H1858" s="1">
        <v>1.61E8</v>
      </c>
      <c r="I1858" s="1">
        <v>1.285E9</v>
      </c>
      <c r="J1858" s="1">
        <v>5.24E8</v>
      </c>
      <c r="K1858" s="1">
        <v>5.24E8</v>
      </c>
      <c r="L1858" s="1">
        <v>-1.5E8</v>
      </c>
      <c r="M1858" s="1">
        <v>1.69E8</v>
      </c>
      <c r="N1858" s="1">
        <v>2.6326E10</v>
      </c>
      <c r="O1858" s="1">
        <v>2.5802E10</v>
      </c>
      <c r="P1858" s="1">
        <v>2.5041E10</v>
      </c>
      <c r="Q1858" s="1">
        <v>-6.3E7</v>
      </c>
      <c r="R1858" s="1">
        <v>2.92E8</v>
      </c>
      <c r="S1858" s="1">
        <v>1.6E8</v>
      </c>
      <c r="W1858" s="4" t="str">
        <f>Raw_Data!C1857&amp;"|"&amp;Raw_Data!D1857&amp;"|"&amp;TEXT(Raw_Data!B1857,"yyyy-mm-dd")</f>
        <v>Universal Health Services|UHS|2020-09-30</v>
      </c>
    </row>
    <row r="1859">
      <c r="A1859" s="1">
        <v>1857.0</v>
      </c>
      <c r="B1859" s="11">
        <v>44286.0</v>
      </c>
      <c r="C1859" s="1" t="s">
        <v>964</v>
      </c>
      <c r="D1859" s="1" t="s">
        <v>965</v>
      </c>
      <c r="F1859" s="1">
        <v>-7.7E8</v>
      </c>
      <c r="G1859" s="1">
        <v>-7.04E8</v>
      </c>
      <c r="H1859" s="1">
        <v>1.94E8</v>
      </c>
      <c r="I1859" s="1">
        <v>1.58E8</v>
      </c>
      <c r="J1859" s="1">
        <v>-6.52E8</v>
      </c>
      <c r="K1859" s="1">
        <v>-6.52E8</v>
      </c>
      <c r="L1859" s="1">
        <v>-1.49E8</v>
      </c>
      <c r="M1859" s="1">
        <v>-1.48E8</v>
      </c>
      <c r="N1859" s="1">
        <v>1.9686E10</v>
      </c>
      <c r="O1859" s="1">
        <v>2.0338E10</v>
      </c>
      <c r="P1859" s="1">
        <v>1.9528E10</v>
      </c>
      <c r="Q1859" s="1">
        <v>-1.18E8</v>
      </c>
      <c r="R1859" s="1">
        <v>-6.22E8</v>
      </c>
      <c r="S1859" s="1">
        <v>-7.05E8</v>
      </c>
      <c r="W1859" s="4" t="str">
        <f>Raw_Data!C1858&amp;"|"&amp;Raw_Data!D1858&amp;"|"&amp;TEXT(Raw_Data!B1858,"yyyy-mm-dd")</f>
        <v>Valero Energy|VLO|2021-06-30</v>
      </c>
    </row>
    <row r="1860">
      <c r="A1860" s="1">
        <v>1858.0</v>
      </c>
      <c r="B1860" s="11">
        <v>44196.0</v>
      </c>
      <c r="C1860" s="1" t="s">
        <v>964</v>
      </c>
      <c r="D1860" s="1" t="s">
        <v>965</v>
      </c>
      <c r="F1860" s="1">
        <v>-5.98E8</v>
      </c>
      <c r="G1860" s="1">
        <v>-3.59E8</v>
      </c>
      <c r="H1860" s="1">
        <v>2.14E8</v>
      </c>
      <c r="I1860" s="1">
        <v>2.76E8</v>
      </c>
      <c r="J1860" s="1">
        <v>-4.6E8</v>
      </c>
      <c r="K1860" s="1">
        <v>-4.6E8</v>
      </c>
      <c r="L1860" s="1">
        <v>-1.53E8</v>
      </c>
      <c r="M1860" s="1">
        <v>-2.89E8</v>
      </c>
      <c r="N1860" s="1">
        <v>1.5298E10</v>
      </c>
      <c r="O1860" s="1">
        <v>1.5758E10</v>
      </c>
      <c r="P1860" s="1">
        <v>1.5022E10</v>
      </c>
      <c r="Q1860" s="1">
        <v>-1.38E8</v>
      </c>
      <c r="R1860" s="1">
        <v>-3.09E8</v>
      </c>
      <c r="S1860" s="1">
        <v>-3.6E8</v>
      </c>
      <c r="W1860" s="4" t="str">
        <f>Raw_Data!C1859&amp;"|"&amp;Raw_Data!D1859&amp;"|"&amp;TEXT(Raw_Data!B1859,"yyyy-mm-dd")</f>
        <v>Valero Energy|VLO|2021-03-31</v>
      </c>
    </row>
    <row r="1861">
      <c r="A1861" s="1">
        <v>1859.0</v>
      </c>
      <c r="B1861" s="11">
        <v>44104.0</v>
      </c>
      <c r="C1861" s="1" t="s">
        <v>964</v>
      </c>
      <c r="D1861" s="1" t="s">
        <v>965</v>
      </c>
      <c r="F1861" s="1">
        <v>-7.16E8</v>
      </c>
      <c r="G1861" s="1">
        <v>-4.64E8</v>
      </c>
      <c r="H1861" s="1">
        <v>1.78E8</v>
      </c>
      <c r="I1861" s="1">
        <v>1.22E8</v>
      </c>
      <c r="J1861" s="1">
        <v>-5.83E8</v>
      </c>
      <c r="K1861" s="1">
        <v>-5.83E8</v>
      </c>
      <c r="L1861" s="1">
        <v>-1.43E8</v>
      </c>
      <c r="M1861" s="1">
        <v>-3.37E8</v>
      </c>
      <c r="N1861" s="1">
        <v>1.447E10</v>
      </c>
      <c r="O1861" s="1">
        <v>1.5053E10</v>
      </c>
      <c r="P1861" s="1">
        <v>1.4348E10</v>
      </c>
      <c r="Q1861" s="1">
        <v>-1.33E8</v>
      </c>
      <c r="R1861" s="1">
        <v>-3.79E8</v>
      </c>
      <c r="S1861" s="1">
        <v>-4.65E8</v>
      </c>
      <c r="W1861" s="4" t="str">
        <f>Raw_Data!C1860&amp;"|"&amp;Raw_Data!D1860&amp;"|"&amp;TEXT(Raw_Data!B1860,"yyyy-mm-dd")</f>
        <v>Valero Energy|VLO|2020-12-31</v>
      </c>
    </row>
    <row r="1862">
      <c r="A1862" s="1">
        <v>1860.0</v>
      </c>
      <c r="B1862" s="11">
        <v>44377.0</v>
      </c>
      <c r="C1862" s="1" t="s">
        <v>966</v>
      </c>
      <c r="D1862" s="1" t="s">
        <v>967</v>
      </c>
      <c r="F1862" s="1">
        <v>9.1929E7</v>
      </c>
      <c r="G1862" s="1">
        <v>8.6391E7</v>
      </c>
      <c r="H1862" s="1">
        <v>3.0588E7</v>
      </c>
      <c r="I1862" s="1">
        <v>4.28582E8</v>
      </c>
      <c r="J1862" s="1">
        <v>1.64294E8</v>
      </c>
      <c r="K1862" s="1">
        <v>1.64294E8</v>
      </c>
      <c r="L1862" s="1">
        <v>-1.10051E8</v>
      </c>
      <c r="M1862" s="1">
        <v>3641000.0</v>
      </c>
      <c r="N1862" s="1">
        <v>9.23376E8</v>
      </c>
      <c r="O1862" s="1">
        <v>7.59082E8</v>
      </c>
      <c r="P1862" s="1">
        <v>4.94794E8</v>
      </c>
      <c r="Q1862" s="1">
        <v>-7.2365E7</v>
      </c>
      <c r="R1862" s="1">
        <v>8.8288E7</v>
      </c>
      <c r="S1862" s="1">
        <v>8.6391E7</v>
      </c>
      <c r="W1862" s="4" t="str">
        <f>Raw_Data!C1861&amp;"|"&amp;Raw_Data!D1861&amp;"|"&amp;TEXT(Raw_Data!B1861,"yyyy-mm-dd")</f>
        <v>Valero Energy|VLO|2020-09-30</v>
      </c>
    </row>
    <row r="1863">
      <c r="A1863" s="1">
        <v>1861.0</v>
      </c>
      <c r="B1863" s="11">
        <v>44286.0</v>
      </c>
      <c r="C1863" s="1" t="s">
        <v>966</v>
      </c>
      <c r="D1863" s="1" t="s">
        <v>967</v>
      </c>
      <c r="F1863" s="1">
        <v>-5.3245E7</v>
      </c>
      <c r="G1863" s="1">
        <v>-5.7209E7</v>
      </c>
      <c r="H1863" s="1">
        <v>4.0309E7</v>
      </c>
      <c r="I1863" s="1">
        <v>4.31384E8</v>
      </c>
      <c r="J1863" s="1">
        <v>1.55427E8</v>
      </c>
      <c r="K1863" s="1">
        <v>1.55427E8</v>
      </c>
      <c r="L1863" s="1">
        <v>-1.10767E8</v>
      </c>
      <c r="M1863" s="1">
        <v>2153000.0</v>
      </c>
      <c r="N1863" s="1">
        <v>9.097E8</v>
      </c>
      <c r="O1863" s="1">
        <v>7.54273E8</v>
      </c>
      <c r="P1863" s="1">
        <v>4.78316E8</v>
      </c>
      <c r="Q1863" s="1">
        <v>-2.08672E8</v>
      </c>
      <c r="R1863" s="1">
        <v>-5.5398E7</v>
      </c>
      <c r="S1863" s="1">
        <v>-5.7209E7</v>
      </c>
      <c r="W1863" s="4" t="str">
        <f>Raw_Data!C1862&amp;"|"&amp;Raw_Data!D1862&amp;"|"&amp;TEXT(Raw_Data!B1862,"yyyy-mm-dd")</f>
        <v>Ventas|VTR|2021-06-30</v>
      </c>
    </row>
    <row r="1864">
      <c r="A1864" s="1">
        <v>1862.0</v>
      </c>
      <c r="B1864" s="11">
        <v>44196.0</v>
      </c>
      <c r="C1864" s="1" t="s">
        <v>966</v>
      </c>
      <c r="D1864" s="1" t="s">
        <v>967</v>
      </c>
      <c r="F1864" s="1">
        <v>1.11274E8</v>
      </c>
      <c r="G1864" s="1">
        <v>1.10451E8</v>
      </c>
      <c r="H1864" s="1">
        <v>2.3411E7</v>
      </c>
      <c r="I1864" s="1">
        <v>4.85269E8</v>
      </c>
      <c r="J1864" s="1">
        <v>7.0392E7</v>
      </c>
      <c r="K1864" s="1">
        <v>7.0392E7</v>
      </c>
      <c r="L1864" s="1">
        <v>-1.14208E8</v>
      </c>
      <c r="M1864" s="1">
        <v>-679000.0</v>
      </c>
      <c r="N1864" s="1">
        <v>9.38226E8</v>
      </c>
      <c r="O1864" s="1">
        <v>8.67834E8</v>
      </c>
      <c r="P1864" s="1">
        <v>4.52957E8</v>
      </c>
      <c r="Q1864" s="1">
        <v>4.0882E7</v>
      </c>
      <c r="R1864" s="1">
        <v>1.11953E8</v>
      </c>
      <c r="S1864" s="1">
        <v>1.10451E8</v>
      </c>
      <c r="W1864" s="4" t="str">
        <f>Raw_Data!C1863&amp;"|"&amp;Raw_Data!D1863&amp;"|"&amp;TEXT(Raw_Data!B1863,"yyyy-mm-dd")</f>
        <v>Ventas|VTR|2021-03-31</v>
      </c>
    </row>
    <row r="1865">
      <c r="A1865" s="1">
        <v>1863.0</v>
      </c>
      <c r="B1865" s="11">
        <v>44104.0</v>
      </c>
      <c r="C1865" s="1" t="s">
        <v>966</v>
      </c>
      <c r="D1865" s="1" t="s">
        <v>967</v>
      </c>
      <c r="F1865" s="1">
        <v>1.0542E7</v>
      </c>
      <c r="G1865" s="1">
        <v>1.2751E7</v>
      </c>
      <c r="H1865" s="1">
        <v>3.4228E7</v>
      </c>
      <c r="I1865" s="1">
        <v>4.18692E8</v>
      </c>
      <c r="J1865" s="1">
        <v>1.35098E8</v>
      </c>
      <c r="K1865" s="1">
        <v>1.35098E8</v>
      </c>
      <c r="L1865" s="1">
        <v>-1.15505E8</v>
      </c>
      <c r="M1865" s="1">
        <v>-3195000.0</v>
      </c>
      <c r="N1865" s="1">
        <v>9.19233E8</v>
      </c>
      <c r="O1865" s="1">
        <v>7.84135E8</v>
      </c>
      <c r="P1865" s="1">
        <v>5.00541E8</v>
      </c>
      <c r="Q1865" s="1">
        <v>-1.24556E8</v>
      </c>
      <c r="R1865" s="1">
        <v>1.3737E7</v>
      </c>
      <c r="S1865" s="1">
        <v>1.2751E7</v>
      </c>
      <c r="W1865" s="4" t="str">
        <f>Raw_Data!C1864&amp;"|"&amp;Raw_Data!D1864&amp;"|"&amp;TEXT(Raw_Data!B1864,"yyyy-mm-dd")</f>
        <v>Ventas|VTR|2020-12-31</v>
      </c>
    </row>
    <row r="1866">
      <c r="A1866" s="1">
        <v>1864.0</v>
      </c>
      <c r="B1866" s="11">
        <v>44377.0</v>
      </c>
      <c r="C1866" s="1" t="s">
        <v>968</v>
      </c>
      <c r="D1866" s="1" t="s">
        <v>969</v>
      </c>
      <c r="E1866" s="1">
        <v>1.9808E7</v>
      </c>
      <c r="F1866" s="1">
        <v>1.87874E8</v>
      </c>
      <c r="G1866" s="1">
        <v>1.47772E8</v>
      </c>
      <c r="H1866" s="1">
        <v>4.8822E7</v>
      </c>
      <c r="I1866" s="1">
        <v>2.81609E8</v>
      </c>
      <c r="J1866" s="1">
        <v>2.12979E8</v>
      </c>
      <c r="K1866" s="1">
        <v>2.12979E8</v>
      </c>
      <c r="L1866" s="1">
        <v>-2.3064E7</v>
      </c>
      <c r="M1866" s="1">
        <v>4.0102E7</v>
      </c>
      <c r="N1866" s="1">
        <v>3.29405E8</v>
      </c>
      <c r="O1866" s="1">
        <v>1.16426E8</v>
      </c>
      <c r="P1866" s="1">
        <v>4.7796E7</v>
      </c>
      <c r="Q1866" s="1">
        <v>-2.5105E7</v>
      </c>
      <c r="R1866" s="1">
        <v>1.47772E8</v>
      </c>
      <c r="S1866" s="1">
        <v>1.47772E8</v>
      </c>
      <c r="W1866" s="4" t="str">
        <f>Raw_Data!C1865&amp;"|"&amp;Raw_Data!D1865&amp;"|"&amp;TEXT(Raw_Data!B1865,"yyyy-mm-dd")</f>
        <v>Ventas|VTR|2020-09-30</v>
      </c>
    </row>
    <row r="1867">
      <c r="A1867" s="1">
        <v>1865.0</v>
      </c>
      <c r="B1867" s="11">
        <v>44286.0</v>
      </c>
      <c r="C1867" s="1" t="s">
        <v>968</v>
      </c>
      <c r="D1867" s="1" t="s">
        <v>969</v>
      </c>
      <c r="E1867" s="1">
        <v>2.0311E7</v>
      </c>
      <c r="F1867" s="1">
        <v>1.88317E8</v>
      </c>
      <c r="G1867" s="1">
        <v>1.50354E8</v>
      </c>
      <c r="H1867" s="1">
        <v>4.5935E7</v>
      </c>
      <c r="I1867" s="1">
        <v>2.76653E8</v>
      </c>
      <c r="J1867" s="1">
        <v>2.10407E8</v>
      </c>
      <c r="K1867" s="1">
        <v>2.10407E8</v>
      </c>
      <c r="L1867" s="1">
        <v>-2.2534E7</v>
      </c>
      <c r="M1867" s="1">
        <v>3.7963E7</v>
      </c>
      <c r="N1867" s="1">
        <v>3.23621E8</v>
      </c>
      <c r="O1867" s="1">
        <v>1.13214E8</v>
      </c>
      <c r="P1867" s="1">
        <v>4.6968E7</v>
      </c>
      <c r="Q1867" s="1">
        <v>-2.209E7</v>
      </c>
      <c r="R1867" s="1">
        <v>1.50354E8</v>
      </c>
      <c r="S1867" s="1">
        <v>1.50354E8</v>
      </c>
      <c r="W1867" s="4" t="str">
        <f>Raw_Data!C1866&amp;"|"&amp;Raw_Data!D1866&amp;"|"&amp;TEXT(Raw_Data!B1866,"yyyy-mm-dd")</f>
        <v>Verisign|VRSN|2021-06-30</v>
      </c>
    </row>
    <row r="1868">
      <c r="A1868" s="1">
        <v>1866.0</v>
      </c>
      <c r="B1868" s="11">
        <v>44196.0</v>
      </c>
      <c r="C1868" s="1" t="s">
        <v>968</v>
      </c>
      <c r="D1868" s="1" t="s">
        <v>969</v>
      </c>
      <c r="E1868" s="1">
        <v>1.9403E7</v>
      </c>
      <c r="F1868" s="1">
        <v>1.82896E8</v>
      </c>
      <c r="G1868" s="1">
        <v>1.57314E8</v>
      </c>
      <c r="H1868" s="1">
        <v>5.0401E7</v>
      </c>
      <c r="I1868" s="1">
        <v>2.74312E8</v>
      </c>
      <c r="J1868" s="1">
        <v>2.04508E8</v>
      </c>
      <c r="K1868" s="1">
        <v>2.04508E8</v>
      </c>
      <c r="L1868" s="1">
        <v>-2.2537E7</v>
      </c>
      <c r="M1868" s="1">
        <v>2.5582E7</v>
      </c>
      <c r="N1868" s="1">
        <v>3.20284E8</v>
      </c>
      <c r="O1868" s="1">
        <v>1.15776E8</v>
      </c>
      <c r="P1868" s="1">
        <v>4.5972E7</v>
      </c>
      <c r="Q1868" s="1">
        <v>-2.1612E7</v>
      </c>
      <c r="R1868" s="1">
        <v>1.57314E8</v>
      </c>
      <c r="S1868" s="1">
        <v>1.57314E8</v>
      </c>
      <c r="W1868" s="4" t="str">
        <f>Raw_Data!C1867&amp;"|"&amp;Raw_Data!D1867&amp;"|"&amp;TEXT(Raw_Data!B1867,"yyyy-mm-dd")</f>
        <v>Verisign|VRSN|2021-03-31</v>
      </c>
    </row>
    <row r="1869">
      <c r="A1869" s="1">
        <v>1867.0</v>
      </c>
      <c r="B1869" s="11">
        <v>44104.0</v>
      </c>
      <c r="C1869" s="1" t="s">
        <v>968</v>
      </c>
      <c r="D1869" s="1" t="s">
        <v>969</v>
      </c>
      <c r="E1869" s="1">
        <v>1.9708E7</v>
      </c>
      <c r="F1869" s="1">
        <v>1.84887E8</v>
      </c>
      <c r="G1869" s="1">
        <v>1.70979E8</v>
      </c>
      <c r="H1869" s="1">
        <v>4.6498E7</v>
      </c>
      <c r="I1869" s="1">
        <v>2.72855E8</v>
      </c>
      <c r="J1869" s="1">
        <v>2.06649E8</v>
      </c>
      <c r="K1869" s="1">
        <v>2.06649E8</v>
      </c>
      <c r="L1869" s="1">
        <v>-2.2537E7</v>
      </c>
      <c r="M1869" s="1">
        <v>1.3908E7</v>
      </c>
      <c r="N1869" s="1">
        <v>3.17879E8</v>
      </c>
      <c r="O1869" s="1">
        <v>1.1123E8</v>
      </c>
      <c r="P1869" s="1">
        <v>4.5024E7</v>
      </c>
      <c r="Q1869" s="1">
        <v>-2.1762E7</v>
      </c>
      <c r="R1869" s="1">
        <v>1.70979E8</v>
      </c>
      <c r="S1869" s="1">
        <v>1.70979E8</v>
      </c>
      <c r="W1869" s="4" t="str">
        <f>Raw_Data!C1868&amp;"|"&amp;Raw_Data!D1868&amp;"|"&amp;TEXT(Raw_Data!B1868,"yyyy-mm-dd")</f>
        <v>Verisign|VRSN|2020-12-31</v>
      </c>
    </row>
    <row r="1870">
      <c r="A1870" s="1">
        <v>1868.0</v>
      </c>
      <c r="B1870" s="11">
        <v>44377.0</v>
      </c>
      <c r="C1870" s="1" t="s">
        <v>970</v>
      </c>
      <c r="D1870" s="1" t="s">
        <v>971</v>
      </c>
      <c r="F1870" s="1">
        <v>2.354E8</v>
      </c>
      <c r="G1870" s="1">
        <v>1.54E8</v>
      </c>
      <c r="H1870" s="1">
        <v>1.135E8</v>
      </c>
      <c r="I1870" s="1">
        <v>4.826E8</v>
      </c>
      <c r="J1870" s="1">
        <v>2.653E8</v>
      </c>
      <c r="K1870" s="1">
        <v>2.653E8</v>
      </c>
      <c r="L1870" s="1">
        <v>-3.15E7</v>
      </c>
      <c r="M1870" s="1">
        <v>8.38E7</v>
      </c>
      <c r="N1870" s="1">
        <v>7.475E8</v>
      </c>
      <c r="O1870" s="1">
        <v>4.822E8</v>
      </c>
      <c r="P1870" s="1">
        <v>2.649E8</v>
      </c>
      <c r="Q1870" s="1">
        <v>-2.99E7</v>
      </c>
      <c r="R1870" s="1">
        <v>1.516E8</v>
      </c>
      <c r="S1870" s="1">
        <v>1.54E8</v>
      </c>
      <c r="W1870" s="4" t="str">
        <f>Raw_Data!C1869&amp;"|"&amp;Raw_Data!D1869&amp;"|"&amp;TEXT(Raw_Data!B1869,"yyyy-mm-dd")</f>
        <v>Verisign|VRSN|2020-09-30</v>
      </c>
    </row>
    <row r="1871">
      <c r="A1871" s="1">
        <v>1869.0</v>
      </c>
      <c r="B1871" s="11">
        <v>44286.0</v>
      </c>
      <c r="C1871" s="1" t="s">
        <v>970</v>
      </c>
      <c r="D1871" s="1" t="s">
        <v>971</v>
      </c>
      <c r="F1871" s="1">
        <v>2.167E8</v>
      </c>
      <c r="G1871" s="1">
        <v>1.686E8</v>
      </c>
      <c r="H1871" s="1">
        <v>1.193E8</v>
      </c>
      <c r="I1871" s="1">
        <v>4.637E8</v>
      </c>
      <c r="J1871" s="1">
        <v>2.509E8</v>
      </c>
      <c r="K1871" s="1">
        <v>2.509E8</v>
      </c>
      <c r="L1871" s="1">
        <v>-3.54E7</v>
      </c>
      <c r="M1871" s="1">
        <v>4.87E7</v>
      </c>
      <c r="N1871" s="1">
        <v>7.261E8</v>
      </c>
      <c r="O1871" s="1">
        <v>4.752E8</v>
      </c>
      <c r="P1871" s="1">
        <v>2.624E8</v>
      </c>
      <c r="Q1871" s="1">
        <v>-3.25E7</v>
      </c>
      <c r="R1871" s="1">
        <v>1.68E8</v>
      </c>
      <c r="S1871" s="1">
        <v>1.686E8</v>
      </c>
      <c r="W1871" s="4" t="str">
        <f>Raw_Data!C1870&amp;"|"&amp;Raw_Data!D1870&amp;"|"&amp;TEXT(Raw_Data!B1870,"yyyy-mm-dd")</f>
        <v>Verisk Analytics|VRSK|2021-06-30</v>
      </c>
    </row>
    <row r="1872">
      <c r="A1872" s="1">
        <v>1870.0</v>
      </c>
      <c r="B1872" s="11">
        <v>44196.0</v>
      </c>
      <c r="C1872" s="1" t="s">
        <v>970</v>
      </c>
      <c r="D1872" s="1" t="s">
        <v>971</v>
      </c>
      <c r="F1872" s="1">
        <v>2.16E8</v>
      </c>
      <c r="G1872" s="1">
        <v>1.762E8</v>
      </c>
      <c r="H1872" s="1">
        <v>1.074E8</v>
      </c>
      <c r="I1872" s="1">
        <v>4.529E8</v>
      </c>
      <c r="J1872" s="1">
        <v>2.523E8</v>
      </c>
      <c r="K1872" s="1">
        <v>2.523E8</v>
      </c>
      <c r="L1872" s="1">
        <v>-3.53E7</v>
      </c>
      <c r="M1872" s="1">
        <v>3.98E7</v>
      </c>
      <c r="N1872" s="1">
        <v>7.134E8</v>
      </c>
      <c r="O1872" s="1">
        <v>4.611E8</v>
      </c>
      <c r="P1872" s="1">
        <v>2.605E8</v>
      </c>
      <c r="Q1872" s="1">
        <v>-3.63E7</v>
      </c>
      <c r="R1872" s="1">
        <v>1.762E8</v>
      </c>
      <c r="S1872" s="1">
        <v>1.762E8</v>
      </c>
      <c r="W1872" s="4" t="str">
        <f>Raw_Data!C1871&amp;"|"&amp;Raw_Data!D1871&amp;"|"&amp;TEXT(Raw_Data!B1871,"yyyy-mm-dd")</f>
        <v>Verisk Analytics|VRSK|2021-03-31</v>
      </c>
    </row>
    <row r="1873">
      <c r="A1873" s="1">
        <v>1871.0</v>
      </c>
      <c r="B1873" s="11">
        <v>44104.0</v>
      </c>
      <c r="C1873" s="1" t="s">
        <v>970</v>
      </c>
      <c r="D1873" s="1" t="s">
        <v>971</v>
      </c>
      <c r="F1873" s="1">
        <v>2.4E8</v>
      </c>
      <c r="G1873" s="1">
        <v>1.858E8</v>
      </c>
      <c r="H1873" s="1">
        <v>9.59E7</v>
      </c>
      <c r="I1873" s="1">
        <v>4.627E8</v>
      </c>
      <c r="J1873" s="1">
        <v>2.759E8</v>
      </c>
      <c r="K1873" s="1">
        <v>2.759E8</v>
      </c>
      <c r="L1873" s="1">
        <v>-3.53E7</v>
      </c>
      <c r="M1873" s="1">
        <v>5.42E7</v>
      </c>
      <c r="N1873" s="1">
        <v>7.027E8</v>
      </c>
      <c r="O1873" s="1">
        <v>4.268E8</v>
      </c>
      <c r="P1873" s="1">
        <v>2.4E8</v>
      </c>
      <c r="Q1873" s="1">
        <v>-3.59E7</v>
      </c>
      <c r="R1873" s="1">
        <v>1.858E8</v>
      </c>
      <c r="S1873" s="1">
        <v>1.858E8</v>
      </c>
      <c r="W1873" s="4" t="str">
        <f>Raw_Data!C1872&amp;"|"&amp;Raw_Data!D1872&amp;"|"&amp;TEXT(Raw_Data!B1872,"yyyy-mm-dd")</f>
        <v>Verisk Analytics|VRSK|2020-12-31</v>
      </c>
    </row>
    <row r="1874">
      <c r="A1874" s="1">
        <v>1872.0</v>
      </c>
      <c r="B1874" s="11">
        <v>44377.0</v>
      </c>
      <c r="C1874" s="1" t="s">
        <v>972</v>
      </c>
      <c r="D1874" s="1" t="s">
        <v>973</v>
      </c>
      <c r="F1874" s="1">
        <v>7.824E9</v>
      </c>
      <c r="G1874" s="1">
        <v>5.8E9</v>
      </c>
      <c r="H1874" s="1">
        <v>6.973E9</v>
      </c>
      <c r="I1874" s="1">
        <v>1.9509E10</v>
      </c>
      <c r="J1874" s="1">
        <v>8.516E9</v>
      </c>
      <c r="K1874" s="1">
        <v>8.516E9</v>
      </c>
      <c r="L1874" s="1">
        <v>-8.44E8</v>
      </c>
      <c r="M1874" s="1">
        <v>1.875E9</v>
      </c>
      <c r="N1874" s="1">
        <v>3.3764E10</v>
      </c>
      <c r="O1874" s="1">
        <v>2.5248E10</v>
      </c>
      <c r="P1874" s="1">
        <v>1.4255E10</v>
      </c>
      <c r="Q1874" s="1">
        <v>-6.92E8</v>
      </c>
      <c r="R1874" s="1">
        <v>5.949E9</v>
      </c>
      <c r="S1874" s="1">
        <v>5.8E9</v>
      </c>
      <c r="W1874" s="4" t="str">
        <f>Raw_Data!C1873&amp;"|"&amp;Raw_Data!D1873&amp;"|"&amp;TEXT(Raw_Data!B1873,"yyyy-mm-dd")</f>
        <v>Verisk Analytics|VRSK|2020-09-30</v>
      </c>
    </row>
    <row r="1875">
      <c r="A1875" s="1">
        <v>1873.0</v>
      </c>
      <c r="B1875" s="11">
        <v>44286.0</v>
      </c>
      <c r="C1875" s="1" t="s">
        <v>972</v>
      </c>
      <c r="D1875" s="1" t="s">
        <v>973</v>
      </c>
      <c r="F1875" s="1">
        <v>7.078E9</v>
      </c>
      <c r="G1875" s="1">
        <v>5.245E9</v>
      </c>
      <c r="H1875" s="1">
        <v>6.822E9</v>
      </c>
      <c r="I1875" s="1">
        <v>1.9345E10</v>
      </c>
      <c r="J1875" s="1">
        <v>8.349E9</v>
      </c>
      <c r="K1875" s="1">
        <v>8.349E9</v>
      </c>
      <c r="L1875" s="1">
        <v>-1.101E9</v>
      </c>
      <c r="M1875" s="1">
        <v>1.7E9</v>
      </c>
      <c r="N1875" s="1">
        <v>3.2867E10</v>
      </c>
      <c r="O1875" s="1">
        <v>2.4518E10</v>
      </c>
      <c r="P1875" s="1">
        <v>1.3522E10</v>
      </c>
      <c r="Q1875" s="1">
        <v>-1.271E9</v>
      </c>
      <c r="R1875" s="1">
        <v>5.378E9</v>
      </c>
      <c r="S1875" s="1">
        <v>5.245E9</v>
      </c>
      <c r="W1875" s="4" t="str">
        <f>Raw_Data!C1874&amp;"|"&amp;Raw_Data!D1874&amp;"|"&amp;TEXT(Raw_Data!B1874,"yyyy-mm-dd")</f>
        <v>Verizon Communications|VZ|2021-06-30</v>
      </c>
    </row>
    <row r="1876">
      <c r="A1876" s="1">
        <v>1874.0</v>
      </c>
      <c r="B1876" s="11">
        <v>44196.0</v>
      </c>
      <c r="C1876" s="1" t="s">
        <v>972</v>
      </c>
      <c r="D1876" s="1" t="s">
        <v>973</v>
      </c>
      <c r="F1876" s="1">
        <v>6.253E9</v>
      </c>
      <c r="G1876" s="1">
        <v>4.588E9</v>
      </c>
      <c r="H1876" s="1">
        <v>7.951E9</v>
      </c>
      <c r="I1876" s="1">
        <v>1.987E10</v>
      </c>
      <c r="J1876" s="1">
        <v>7.722E9</v>
      </c>
      <c r="K1876" s="1">
        <v>7.722E9</v>
      </c>
      <c r="L1876" s="1">
        <v>-1.08E9</v>
      </c>
      <c r="M1876" s="1">
        <v>1.535E9</v>
      </c>
      <c r="N1876" s="1">
        <v>3.4692E10</v>
      </c>
      <c r="O1876" s="1">
        <v>2.697E10</v>
      </c>
      <c r="P1876" s="1">
        <v>1.4822E10</v>
      </c>
      <c r="Q1876" s="1">
        <v>-1.469E9</v>
      </c>
      <c r="R1876" s="1">
        <v>4.718E9</v>
      </c>
      <c r="S1876" s="1">
        <v>4.588E9</v>
      </c>
      <c r="W1876" s="4" t="str">
        <f>Raw_Data!C1875&amp;"|"&amp;Raw_Data!D1875&amp;"|"&amp;TEXT(Raw_Data!B1875,"yyyy-mm-dd")</f>
        <v>Verizon Communications|VZ|2021-03-31</v>
      </c>
    </row>
    <row r="1877">
      <c r="A1877" s="1">
        <v>1875.0</v>
      </c>
      <c r="B1877" s="11">
        <v>44104.0</v>
      </c>
      <c r="C1877" s="1" t="s">
        <v>972</v>
      </c>
      <c r="D1877" s="1" t="s">
        <v>973</v>
      </c>
      <c r="F1877" s="1">
        <v>5.851E9</v>
      </c>
      <c r="G1877" s="1">
        <v>4.357E9</v>
      </c>
      <c r="H1877" s="1">
        <v>7.043E9</v>
      </c>
      <c r="I1877" s="1">
        <v>1.9209E10</v>
      </c>
      <c r="J1877" s="1">
        <v>7.974E9</v>
      </c>
      <c r="K1877" s="1">
        <v>7.974E9</v>
      </c>
      <c r="L1877" s="1">
        <v>-1.044E9</v>
      </c>
      <c r="M1877" s="1">
        <v>1.347E9</v>
      </c>
      <c r="N1877" s="1">
        <v>3.1543E10</v>
      </c>
      <c r="O1877" s="1">
        <v>2.3569E10</v>
      </c>
      <c r="P1877" s="1">
        <v>1.2334E10</v>
      </c>
      <c r="Q1877" s="1">
        <v>-2.123E9</v>
      </c>
      <c r="R1877" s="1">
        <v>4.504E9</v>
      </c>
      <c r="S1877" s="1">
        <v>4.357E9</v>
      </c>
      <c r="W1877" s="4" t="str">
        <f>Raw_Data!C1876&amp;"|"&amp;Raw_Data!D1876&amp;"|"&amp;TEXT(Raw_Data!B1876,"yyyy-mm-dd")</f>
        <v>Verizon Communications|VZ|2020-12-31</v>
      </c>
    </row>
    <row r="1878">
      <c r="A1878" s="1">
        <v>1876.0</v>
      </c>
      <c r="B1878" s="11">
        <v>44377.0</v>
      </c>
      <c r="C1878" s="1" t="s">
        <v>974</v>
      </c>
      <c r="D1878" s="1" t="s">
        <v>975</v>
      </c>
      <c r="F1878" s="1">
        <v>-4.4255E7</v>
      </c>
      <c r="G1878" s="1">
        <v>6.6924E7</v>
      </c>
      <c r="H1878" s="1">
        <v>1.94669E8</v>
      </c>
      <c r="I1878" s="1">
        <v>1.58308E8</v>
      </c>
      <c r="J1878" s="1">
        <v>-3.6361E7</v>
      </c>
      <c r="K1878" s="1">
        <v>-3.6361E7</v>
      </c>
      <c r="L1878" s="1">
        <v>-1.5478E7</v>
      </c>
      <c r="M1878" s="1">
        <v>-1.11179E8</v>
      </c>
      <c r="N1878" s="1">
        <v>1.79337E9</v>
      </c>
      <c r="O1878" s="1">
        <v>1.829731E9</v>
      </c>
      <c r="P1878" s="1">
        <v>1.635062E9</v>
      </c>
      <c r="Q1878" s="1">
        <v>-7894000.0</v>
      </c>
      <c r="R1878" s="1">
        <v>6.6924E7</v>
      </c>
      <c r="S1878" s="1">
        <v>6.6924E7</v>
      </c>
      <c r="W1878" s="4" t="str">
        <f>Raw_Data!C1877&amp;"|"&amp;Raw_Data!D1877&amp;"|"&amp;TEXT(Raw_Data!B1877,"yyyy-mm-dd")</f>
        <v>Verizon Communications|VZ|2020-09-30</v>
      </c>
    </row>
    <row r="1879">
      <c r="A1879" s="1">
        <v>1877.0</v>
      </c>
      <c r="B1879" s="11">
        <v>44286.0</v>
      </c>
      <c r="C1879" s="1" t="s">
        <v>974</v>
      </c>
      <c r="D1879" s="1" t="s">
        <v>975</v>
      </c>
      <c r="F1879" s="1">
        <v>8.2096E8</v>
      </c>
      <c r="G1879" s="1">
        <v>6.53138E8</v>
      </c>
      <c r="H1879" s="1">
        <v>1.92077E8</v>
      </c>
      <c r="I1879" s="1">
        <v>1.076003E9</v>
      </c>
      <c r="J1879" s="1">
        <v>8.83926E8</v>
      </c>
      <c r="K1879" s="1">
        <v>8.83926E8</v>
      </c>
      <c r="L1879" s="1">
        <v>-1.5678E7</v>
      </c>
      <c r="M1879" s="1">
        <v>1.67822E8</v>
      </c>
      <c r="N1879" s="1">
        <v>1.724305E9</v>
      </c>
      <c r="O1879" s="1">
        <v>8.40379E8</v>
      </c>
      <c r="P1879" s="1">
        <v>6.48302E8</v>
      </c>
      <c r="Q1879" s="1">
        <v>-6.2966E7</v>
      </c>
      <c r="R1879" s="1">
        <v>6.53138E8</v>
      </c>
      <c r="S1879" s="1">
        <v>6.53138E8</v>
      </c>
      <c r="W1879" s="4" t="str">
        <f>Raw_Data!C1878&amp;"|"&amp;Raw_Data!D1878&amp;"|"&amp;TEXT(Raw_Data!B1878,"yyyy-mm-dd")</f>
        <v>Vertex Pharmaceuticals|VRTX|2021-06-30</v>
      </c>
    </row>
    <row r="1880">
      <c r="A1880" s="1">
        <v>1878.0</v>
      </c>
      <c r="B1880" s="11">
        <v>44196.0</v>
      </c>
      <c r="C1880" s="1" t="s">
        <v>974</v>
      </c>
      <c r="D1880" s="1" t="s">
        <v>975</v>
      </c>
      <c r="F1880" s="1">
        <v>8.88623E8</v>
      </c>
      <c r="G1880" s="1">
        <v>6.0419E8</v>
      </c>
      <c r="H1880" s="1">
        <v>2.11843E8</v>
      </c>
      <c r="I1880" s="1">
        <v>9.58135E8</v>
      </c>
      <c r="J1880" s="1">
        <v>7.46292E8</v>
      </c>
      <c r="K1880" s="1">
        <v>7.46292E8</v>
      </c>
      <c r="L1880" s="1">
        <v>-1.6288E7</v>
      </c>
      <c r="M1880" s="1">
        <v>2.84433E8</v>
      </c>
      <c r="N1880" s="1">
        <v>1.62782E9</v>
      </c>
      <c r="O1880" s="1">
        <v>8.81528E8</v>
      </c>
      <c r="P1880" s="1">
        <v>6.69685E8</v>
      </c>
      <c r="Q1880" s="1">
        <v>1.42331E8</v>
      </c>
      <c r="R1880" s="1">
        <v>6.0419E8</v>
      </c>
      <c r="S1880" s="1">
        <v>6.0419E8</v>
      </c>
      <c r="W1880" s="4" t="str">
        <f>Raw_Data!C1879&amp;"|"&amp;Raw_Data!D1879&amp;"|"&amp;TEXT(Raw_Data!B1879,"yyyy-mm-dd")</f>
        <v>Vertex Pharmaceuticals|VRTX|2021-03-31</v>
      </c>
    </row>
    <row r="1881">
      <c r="A1881" s="1">
        <v>1879.0</v>
      </c>
      <c r="B1881" s="11">
        <v>44104.0</v>
      </c>
      <c r="C1881" s="1" t="s">
        <v>974</v>
      </c>
      <c r="D1881" s="1" t="s">
        <v>975</v>
      </c>
      <c r="F1881" s="1">
        <v>7.45871E8</v>
      </c>
      <c r="G1881" s="1">
        <v>6.67434E8</v>
      </c>
      <c r="H1881" s="1">
        <v>1.84551E8</v>
      </c>
      <c r="I1881" s="1">
        <v>8.58592E8</v>
      </c>
      <c r="J1881" s="1">
        <v>6.74041E8</v>
      </c>
      <c r="K1881" s="1">
        <v>6.74041E8</v>
      </c>
      <c r="L1881" s="1">
        <v>-1.3856E7</v>
      </c>
      <c r="M1881" s="1">
        <v>7.8437E7</v>
      </c>
      <c r="N1881" s="1">
        <v>1.538271E9</v>
      </c>
      <c r="O1881" s="1">
        <v>8.6423E8</v>
      </c>
      <c r="P1881" s="1">
        <v>6.79679E8</v>
      </c>
      <c r="Q1881" s="1">
        <v>7.183E7</v>
      </c>
      <c r="R1881" s="1">
        <v>6.67434E8</v>
      </c>
      <c r="S1881" s="1">
        <v>6.67434E8</v>
      </c>
      <c r="W1881" s="4" t="str">
        <f>Raw_Data!C1880&amp;"|"&amp;Raw_Data!D1880&amp;"|"&amp;TEXT(Raw_Data!B1880,"yyyy-mm-dd")</f>
        <v>Vertex Pharmaceuticals|VRTX|2020-12-31</v>
      </c>
    </row>
    <row r="1882">
      <c r="A1882" s="1">
        <v>1880.0</v>
      </c>
      <c r="B1882" s="11">
        <v>44380.0</v>
      </c>
      <c r="C1882" s="1" t="s">
        <v>976</v>
      </c>
      <c r="D1882" s="1" t="s">
        <v>977</v>
      </c>
      <c r="F1882" s="1">
        <v>1.7915E8</v>
      </c>
      <c r="G1882" s="1">
        <v>3.24245E8</v>
      </c>
      <c r="H1882" s="1">
        <v>1.099034E9</v>
      </c>
      <c r="I1882" s="1">
        <v>1.240406E9</v>
      </c>
      <c r="J1882" s="1">
        <v>1.41372E8</v>
      </c>
      <c r="K1882" s="1">
        <v>1.41372E8</v>
      </c>
      <c r="L1882" s="1">
        <v>-3.4917E7</v>
      </c>
      <c r="M1882" s="1">
        <v>2.5178E7</v>
      </c>
      <c r="N1882" s="1">
        <v>2.194557E9</v>
      </c>
      <c r="O1882" s="1">
        <v>2.053185E9</v>
      </c>
      <c r="P1882" s="1">
        <v>9.54151E8</v>
      </c>
      <c r="Q1882" s="1">
        <v>3.7778E7</v>
      </c>
      <c r="R1882" s="1">
        <v>1.53972E8</v>
      </c>
      <c r="S1882" s="1">
        <v>3.24245E8</v>
      </c>
      <c r="W1882" s="4" t="str">
        <f>Raw_Data!C1881&amp;"|"&amp;Raw_Data!D1881&amp;"|"&amp;TEXT(Raw_Data!B1881,"yyyy-mm-dd")</f>
        <v>Vertex Pharmaceuticals|VRTX|2020-09-30</v>
      </c>
    </row>
    <row r="1883">
      <c r="A1883" s="1">
        <v>1881.0</v>
      </c>
      <c r="B1883" s="11">
        <v>44289.0</v>
      </c>
      <c r="C1883" s="1" t="s">
        <v>976</v>
      </c>
      <c r="D1883" s="1" t="s">
        <v>977</v>
      </c>
      <c r="F1883" s="1">
        <v>8.9049E7</v>
      </c>
      <c r="G1883" s="1">
        <v>8.952E7</v>
      </c>
      <c r="H1883" s="1">
        <v>1.155947E9</v>
      </c>
      <c r="I1883" s="1">
        <v>1.350573E9</v>
      </c>
      <c r="J1883" s="1">
        <v>1.94626E8</v>
      </c>
      <c r="K1883" s="1">
        <v>1.94626E8</v>
      </c>
      <c r="L1883" s="1">
        <v>-3.7971E7</v>
      </c>
      <c r="M1883" s="1">
        <v>2.7306E7</v>
      </c>
      <c r="N1883" s="1">
        <v>2.582672E9</v>
      </c>
      <c r="O1883" s="1">
        <v>2.388046E9</v>
      </c>
      <c r="P1883" s="1">
        <v>1.232099E9</v>
      </c>
      <c r="Q1883" s="1">
        <v>-1.05577E8</v>
      </c>
      <c r="R1883" s="1">
        <v>6.1743E7</v>
      </c>
      <c r="S1883" s="1">
        <v>8.952E7</v>
      </c>
      <c r="W1883" s="4" t="str">
        <f>Raw_Data!C1882&amp;"|"&amp;Raw_Data!D1882&amp;"|"&amp;TEXT(Raw_Data!B1882,"yyyy-mm-dd")</f>
        <v>VF Corporation|VFC|2021-07-03</v>
      </c>
    </row>
    <row r="1884">
      <c r="A1884" s="1">
        <v>1882.0</v>
      </c>
      <c r="B1884" s="11">
        <v>44191.0</v>
      </c>
      <c r="C1884" s="1" t="s">
        <v>976</v>
      </c>
      <c r="D1884" s="1" t="s">
        <v>977</v>
      </c>
      <c r="F1884" s="1">
        <v>3.86707E8</v>
      </c>
      <c r="G1884" s="1">
        <v>3.4724E8</v>
      </c>
      <c r="H1884" s="1">
        <v>1.195245E9</v>
      </c>
      <c r="I1884" s="1">
        <v>1.649017E9</v>
      </c>
      <c r="J1884" s="1">
        <v>4.53772E8</v>
      </c>
      <c r="K1884" s="1">
        <v>4.53772E8</v>
      </c>
      <c r="L1884" s="1">
        <v>-3.4315E7</v>
      </c>
      <c r="M1884" s="1">
        <v>5.9048E7</v>
      </c>
      <c r="N1884" s="1">
        <v>2.971541E9</v>
      </c>
      <c r="O1884" s="1">
        <v>2.517769E9</v>
      </c>
      <c r="P1884" s="1">
        <v>1.322524E9</v>
      </c>
      <c r="Q1884" s="1">
        <v>-6.7065E7</v>
      </c>
      <c r="R1884" s="1">
        <v>3.27659E8</v>
      </c>
      <c r="S1884" s="1">
        <v>3.4724E8</v>
      </c>
      <c r="W1884" s="4" t="str">
        <f>Raw_Data!C1883&amp;"|"&amp;Raw_Data!D1883&amp;"|"&amp;TEXT(Raw_Data!B1883,"yyyy-mm-dd")</f>
        <v>VF Corporation|VFC|2021-04-03</v>
      </c>
    </row>
    <row r="1885">
      <c r="A1885" s="1">
        <v>1883.0</v>
      </c>
      <c r="B1885" s="11">
        <v>44100.0</v>
      </c>
      <c r="C1885" s="1" t="s">
        <v>976</v>
      </c>
      <c r="D1885" s="1" t="s">
        <v>977</v>
      </c>
      <c r="F1885" s="1">
        <v>2.93661E8</v>
      </c>
      <c r="G1885" s="1">
        <v>2.56722E8</v>
      </c>
      <c r="H1885" s="1">
        <v>9.9796E8</v>
      </c>
      <c r="I1885" s="1">
        <v>1.329118E9</v>
      </c>
      <c r="J1885" s="1">
        <v>3.31158E8</v>
      </c>
      <c r="K1885" s="1">
        <v>3.31158E8</v>
      </c>
      <c r="L1885" s="1">
        <v>-3.4107E7</v>
      </c>
      <c r="M1885" s="1">
        <v>5.0415E7</v>
      </c>
      <c r="N1885" s="1">
        <v>2.608324E9</v>
      </c>
      <c r="O1885" s="1">
        <v>2.277166E9</v>
      </c>
      <c r="P1885" s="1">
        <v>1.279206E9</v>
      </c>
      <c r="Q1885" s="1">
        <v>-3.7497E7</v>
      </c>
      <c r="R1885" s="1">
        <v>2.43246E8</v>
      </c>
      <c r="S1885" s="1">
        <v>2.56722E8</v>
      </c>
      <c r="W1885" s="4" t="str">
        <f>Raw_Data!C1884&amp;"|"&amp;Raw_Data!D1884&amp;"|"&amp;TEXT(Raw_Data!B1884,"yyyy-mm-dd")</f>
        <v>VF Corporation|VFC|2020-12-26</v>
      </c>
    </row>
    <row r="1886">
      <c r="A1886" s="1">
        <v>1884.0</v>
      </c>
      <c r="B1886" s="11">
        <v>44286.0</v>
      </c>
      <c r="C1886" s="1" t="s">
        <v>978</v>
      </c>
      <c r="D1886" s="1" t="s">
        <v>979</v>
      </c>
      <c r="F1886" s="1">
        <v>1.137E9</v>
      </c>
      <c r="G1886" s="1">
        <v>9.11E8</v>
      </c>
      <c r="H1886" s="1">
        <v>1.434E9</v>
      </c>
      <c r="I1886" s="1">
        <v>3.049E9</v>
      </c>
      <c r="J1886" s="1">
        <v>1.516E9</v>
      </c>
      <c r="K1886" s="1">
        <v>1.516E9</v>
      </c>
      <c r="L1886" s="1">
        <v>-2.59E8</v>
      </c>
      <c r="M1886" s="1">
        <v>2.26E8</v>
      </c>
      <c r="N1886" s="1">
        <v>7.412E9</v>
      </c>
      <c r="O1886" s="1">
        <v>5.896E9</v>
      </c>
      <c r="P1886" s="1">
        <v>4.363E9</v>
      </c>
      <c r="Q1886" s="1">
        <v>-3.79E8</v>
      </c>
      <c r="R1886" s="1">
        <v>9.11E8</v>
      </c>
      <c r="S1886" s="1">
        <v>9.11E8</v>
      </c>
      <c r="W1886" s="4" t="str">
        <f>Raw_Data!C1885&amp;"|"&amp;Raw_Data!D1885&amp;"|"&amp;TEXT(Raw_Data!B1885,"yyyy-mm-dd")</f>
        <v>VF Corporation|VFC|2020-09-26</v>
      </c>
    </row>
    <row r="1887">
      <c r="A1887" s="1">
        <v>1885.0</v>
      </c>
      <c r="B1887" s="11">
        <v>44196.0</v>
      </c>
      <c r="C1887" s="1" t="s">
        <v>978</v>
      </c>
      <c r="D1887" s="1" t="s">
        <v>979</v>
      </c>
      <c r="F1887" s="1">
        <v>8.84E8</v>
      </c>
      <c r="G1887" s="1">
        <v>8.1E8</v>
      </c>
      <c r="H1887" s="1">
        <v>1.399E9</v>
      </c>
      <c r="I1887" s="1">
        <v>2.417E9</v>
      </c>
      <c r="J1887" s="1">
        <v>9.18E8</v>
      </c>
      <c r="K1887" s="1">
        <v>9.18E8</v>
      </c>
      <c r="L1887" s="1">
        <v>-2.68E8</v>
      </c>
      <c r="M1887" s="1">
        <v>1.58E8</v>
      </c>
      <c r="N1887" s="1">
        <v>6.225E9</v>
      </c>
      <c r="O1887" s="1">
        <v>5.307E9</v>
      </c>
      <c r="P1887" s="1">
        <v>3.808E9</v>
      </c>
      <c r="Q1887" s="1">
        <v>-3.4E7</v>
      </c>
      <c r="R1887" s="1">
        <v>7.26E8</v>
      </c>
      <c r="S1887" s="1">
        <v>8.1E8</v>
      </c>
      <c r="W1887" s="4" t="str">
        <f>Raw_Data!C1886&amp;"|"&amp;Raw_Data!D1886&amp;"|"&amp;TEXT(Raw_Data!B1886,"yyyy-mm-dd")</f>
        <v>ViacomCBS|VIAC|2021-03-31</v>
      </c>
    </row>
    <row r="1888">
      <c r="A1888" s="1">
        <v>1886.0</v>
      </c>
      <c r="B1888" s="11">
        <v>44104.0</v>
      </c>
      <c r="C1888" s="1" t="s">
        <v>978</v>
      </c>
      <c r="D1888" s="1" t="s">
        <v>979</v>
      </c>
      <c r="F1888" s="1">
        <v>6.62E8</v>
      </c>
      <c r="G1888" s="1">
        <v>6.15E8</v>
      </c>
      <c r="H1888" s="1">
        <v>1.391E9</v>
      </c>
      <c r="I1888" s="1">
        <v>2.482E9</v>
      </c>
      <c r="J1888" s="1">
        <v>9.92E8</v>
      </c>
      <c r="K1888" s="1">
        <v>9.92E8</v>
      </c>
      <c r="L1888" s="1">
        <v>-2.59E8</v>
      </c>
      <c r="M1888" s="1">
        <v>3.8E7</v>
      </c>
      <c r="N1888" s="1">
        <v>6.116E9</v>
      </c>
      <c r="O1888" s="1">
        <v>5.124E9</v>
      </c>
      <c r="P1888" s="1">
        <v>3.634E9</v>
      </c>
      <c r="Q1888" s="1">
        <v>-3.3E8</v>
      </c>
      <c r="R1888" s="1">
        <v>6.24E8</v>
      </c>
      <c r="S1888" s="1">
        <v>6.15E8</v>
      </c>
      <c r="W1888" s="4" t="str">
        <f>Raw_Data!C1887&amp;"|"&amp;Raw_Data!D1887&amp;"|"&amp;TEXT(Raw_Data!B1887,"yyyy-mm-dd")</f>
        <v>ViacomCBS|VIAC|2020-12-31</v>
      </c>
    </row>
    <row r="1889">
      <c r="A1889" s="1">
        <v>1887.0</v>
      </c>
      <c r="B1889" s="11">
        <v>44012.0</v>
      </c>
      <c r="C1889" s="1" t="s">
        <v>978</v>
      </c>
      <c r="D1889" s="1" t="s">
        <v>979</v>
      </c>
      <c r="F1889" s="1">
        <v>9.25E8</v>
      </c>
      <c r="G1889" s="1">
        <v>4.81E8</v>
      </c>
      <c r="H1889" s="1">
        <v>1.24E9</v>
      </c>
      <c r="I1889" s="1">
        <v>2.79E9</v>
      </c>
      <c r="J1889" s="1">
        <v>1.451E9</v>
      </c>
      <c r="K1889" s="1">
        <v>1.451E9</v>
      </c>
      <c r="L1889" s="1">
        <v>-2.63E8</v>
      </c>
      <c r="M1889" s="1">
        <v>2.02E8</v>
      </c>
      <c r="N1889" s="1">
        <v>6.275E9</v>
      </c>
      <c r="O1889" s="1">
        <v>4.824E9</v>
      </c>
      <c r="P1889" s="1">
        <v>3.485E9</v>
      </c>
      <c r="Q1889" s="1">
        <v>-5.26E8</v>
      </c>
      <c r="R1889" s="1">
        <v>7.23E8</v>
      </c>
      <c r="S1889" s="1">
        <v>4.81E8</v>
      </c>
      <c r="W1889" s="4" t="str">
        <f>Raw_Data!C1888&amp;"|"&amp;Raw_Data!D1888&amp;"|"&amp;TEXT(Raw_Data!B1888,"yyyy-mm-dd")</f>
        <v>ViacomCBS|VIAC|2020-09-30</v>
      </c>
    </row>
    <row r="1890">
      <c r="A1890" s="1">
        <v>1888.0</v>
      </c>
      <c r="B1890" s="11">
        <v>44377.0</v>
      </c>
      <c r="C1890" s="1" t="s">
        <v>980</v>
      </c>
      <c r="D1890" s="1" t="s">
        <v>981</v>
      </c>
      <c r="E1890" s="1">
        <v>1.438E8</v>
      </c>
      <c r="F1890" s="1">
        <v>-2.191E8</v>
      </c>
      <c r="G1890" s="1">
        <v>-2.792E8</v>
      </c>
      <c r="H1890" s="1">
        <v>9.814E8</v>
      </c>
      <c r="I1890" s="1">
        <v>1.9841E9</v>
      </c>
      <c r="J1890" s="1">
        <v>8.589E8</v>
      </c>
      <c r="K1890" s="1">
        <v>8.589E8</v>
      </c>
      <c r="L1890" s="1">
        <v>-1.671E8</v>
      </c>
      <c r="M1890" s="1">
        <v>6.01E7</v>
      </c>
      <c r="N1890" s="1">
        <v>4.5778E9</v>
      </c>
      <c r="O1890" s="1">
        <v>3.7189E9</v>
      </c>
      <c r="P1890" s="1">
        <v>2.5937E9</v>
      </c>
      <c r="Q1890" s="1">
        <v>-1.078E9</v>
      </c>
      <c r="R1890" s="1">
        <v>-2.792E8</v>
      </c>
      <c r="S1890" s="1">
        <v>-2.792E8</v>
      </c>
      <c r="W1890" s="4" t="str">
        <f>Raw_Data!C1889&amp;"|"&amp;Raw_Data!D1889&amp;"|"&amp;TEXT(Raw_Data!B1889,"yyyy-mm-dd")</f>
        <v>ViacomCBS|VIAC|2020-06-30</v>
      </c>
    </row>
    <row r="1891">
      <c r="A1891" s="1">
        <v>1889.0</v>
      </c>
      <c r="B1891" s="11">
        <v>44286.0</v>
      </c>
      <c r="C1891" s="1" t="s">
        <v>980</v>
      </c>
      <c r="D1891" s="1" t="s">
        <v>981</v>
      </c>
      <c r="E1891" s="1">
        <v>1.63E8</v>
      </c>
      <c r="F1891" s="1">
        <v>-4.413E8</v>
      </c>
      <c r="G1891" s="1">
        <v>-1.0376E9</v>
      </c>
      <c r="H1891" s="1">
        <v>9.687E8</v>
      </c>
      <c r="I1891" s="1">
        <v>1.8607E9</v>
      </c>
      <c r="J1891" s="1">
        <v>7.29E8</v>
      </c>
      <c r="K1891" s="1">
        <v>7.29E8</v>
      </c>
      <c r="L1891" s="1">
        <v>-1.69E8</v>
      </c>
      <c r="M1891" s="1">
        <v>5.963E8</v>
      </c>
      <c r="N1891" s="1">
        <v>4.4303E9</v>
      </c>
      <c r="O1891" s="1">
        <v>3.7013E9</v>
      </c>
      <c r="P1891" s="1">
        <v>2.5696E9</v>
      </c>
      <c r="Q1891" s="1">
        <v>-1.1703E9</v>
      </c>
      <c r="R1891" s="1">
        <v>-1.0376E9</v>
      </c>
      <c r="S1891" s="1">
        <v>-1.0376E9</v>
      </c>
      <c r="W1891" s="4" t="str">
        <f>Raw_Data!C1890&amp;"|"&amp;Raw_Data!D1890&amp;"|"&amp;TEXT(Raw_Data!B1890,"yyyy-mm-dd")</f>
        <v>Viatris|VTRS|2021-06-30</v>
      </c>
    </row>
    <row r="1892">
      <c r="A1892" s="1">
        <v>1890.0</v>
      </c>
      <c r="B1892" s="11">
        <v>44196.0</v>
      </c>
      <c r="C1892" s="1" t="s">
        <v>980</v>
      </c>
      <c r="D1892" s="1" t="s">
        <v>981</v>
      </c>
      <c r="E1892" s="1">
        <v>1.533E8</v>
      </c>
      <c r="F1892" s="1">
        <v>-1.0135E9</v>
      </c>
      <c r="G1892" s="1">
        <v>-9.158E8</v>
      </c>
      <c r="H1892" s="1">
        <v>1.3587E9</v>
      </c>
      <c r="I1892" s="1">
        <v>1.3613E9</v>
      </c>
      <c r="J1892" s="1">
        <v>-1.507E8</v>
      </c>
      <c r="K1892" s="1">
        <v>-1.507E8</v>
      </c>
      <c r="L1892" s="1">
        <v>-1.444E8</v>
      </c>
      <c r="M1892" s="1">
        <v>-9.77E7</v>
      </c>
      <c r="N1892" s="1">
        <v>3.6235E9</v>
      </c>
      <c r="O1892" s="1">
        <v>3.7742E9</v>
      </c>
      <c r="P1892" s="1">
        <v>2.2622E9</v>
      </c>
      <c r="Q1892" s="1">
        <v>-8.628E8</v>
      </c>
      <c r="R1892" s="1">
        <v>-9.158E8</v>
      </c>
      <c r="S1892" s="1">
        <v>-9.158E8</v>
      </c>
      <c r="W1892" s="4" t="str">
        <f>Raw_Data!C1891&amp;"|"&amp;Raw_Data!D1891&amp;"|"&amp;TEXT(Raw_Data!B1891,"yyyy-mm-dd")</f>
        <v>Viatris|VTRS|2021-03-31</v>
      </c>
    </row>
    <row r="1893">
      <c r="A1893" s="1">
        <v>1891.0</v>
      </c>
      <c r="B1893" s="11">
        <v>44104.0</v>
      </c>
      <c r="C1893" s="1" t="s">
        <v>980</v>
      </c>
      <c r="D1893" s="1" t="s">
        <v>981</v>
      </c>
      <c r="E1893" s="1">
        <v>1.26E8</v>
      </c>
      <c r="F1893" s="1">
        <v>2.416E8</v>
      </c>
      <c r="G1893" s="1">
        <v>1.857E8</v>
      </c>
      <c r="H1893" s="1">
        <v>6.152E8</v>
      </c>
      <c r="I1893" s="1">
        <v>1.2602E9</v>
      </c>
      <c r="J1893" s="1">
        <v>5.19E8</v>
      </c>
      <c r="K1893" s="1">
        <v>5.19E8</v>
      </c>
      <c r="L1893" s="1">
        <v>-1.173E8</v>
      </c>
      <c r="M1893" s="1">
        <v>5.59E7</v>
      </c>
      <c r="N1893" s="1">
        <v>2.9721E9</v>
      </c>
      <c r="O1893" s="1">
        <v>2.4531E9</v>
      </c>
      <c r="P1893" s="1">
        <v>1.7119E9</v>
      </c>
      <c r="Q1893" s="1">
        <v>-2.774E8</v>
      </c>
      <c r="R1893" s="1">
        <v>1.857E8</v>
      </c>
      <c r="S1893" s="1">
        <v>1.857E8</v>
      </c>
      <c r="W1893" s="4" t="str">
        <f>Raw_Data!C1892&amp;"|"&amp;Raw_Data!D1892&amp;"|"&amp;TEXT(Raw_Data!B1892,"yyyy-mm-dd")</f>
        <v>Viatris|VTRS|2020-12-31</v>
      </c>
    </row>
    <row r="1894">
      <c r="A1894" s="1">
        <v>1892.0</v>
      </c>
      <c r="B1894" s="11">
        <v>44377.0</v>
      </c>
      <c r="C1894" s="1" t="s">
        <v>982</v>
      </c>
      <c r="D1894" s="1" t="s">
        <v>983</v>
      </c>
      <c r="F1894" s="1">
        <v>4.389E9</v>
      </c>
      <c r="G1894" s="1">
        <v>2.575E9</v>
      </c>
      <c r="H1894" s="1">
        <v>1.678E9</v>
      </c>
      <c r="I1894" s="1">
        <v>5.944E9</v>
      </c>
      <c r="J1894" s="1">
        <v>4.062E9</v>
      </c>
      <c r="K1894" s="1">
        <v>4.062E9</v>
      </c>
      <c r="L1894" s="1">
        <v>-1.31E8</v>
      </c>
      <c r="M1894" s="1">
        <v>1.814E9</v>
      </c>
      <c r="N1894" s="1">
        <v>6.13E9</v>
      </c>
      <c r="O1894" s="1">
        <v>2.068E9</v>
      </c>
      <c r="P1894" s="1">
        <v>1.86E8</v>
      </c>
      <c r="Q1894" s="1">
        <v>3.27E8</v>
      </c>
      <c r="R1894" s="1">
        <v>2.575E9</v>
      </c>
      <c r="S1894" s="1">
        <v>2.515E9</v>
      </c>
      <c r="W1894" s="4" t="str">
        <f>Raw_Data!C1893&amp;"|"&amp;Raw_Data!D1893&amp;"|"&amp;TEXT(Raw_Data!B1893,"yyyy-mm-dd")</f>
        <v>Viatris|VTRS|2020-09-30</v>
      </c>
    </row>
    <row r="1895">
      <c r="A1895" s="1">
        <v>1893.0</v>
      </c>
      <c r="B1895" s="11">
        <v>44286.0</v>
      </c>
      <c r="C1895" s="1" t="s">
        <v>982</v>
      </c>
      <c r="D1895" s="1" t="s">
        <v>983</v>
      </c>
      <c r="F1895" s="1">
        <v>3.628E9</v>
      </c>
      <c r="G1895" s="1">
        <v>3.026E9</v>
      </c>
      <c r="H1895" s="1">
        <v>1.613E9</v>
      </c>
      <c r="I1895" s="1">
        <v>5.55E9</v>
      </c>
      <c r="J1895" s="1">
        <v>3.584E9</v>
      </c>
      <c r="K1895" s="1">
        <v>3.584E9</v>
      </c>
      <c r="L1895" s="1">
        <v>-1.21E8</v>
      </c>
      <c r="M1895" s="1">
        <v>6.02E8</v>
      </c>
      <c r="N1895" s="1">
        <v>5.729E9</v>
      </c>
      <c r="O1895" s="1">
        <v>2.145E9</v>
      </c>
      <c r="P1895" s="1">
        <v>1.79E8</v>
      </c>
      <c r="Q1895" s="1">
        <v>4.4E7</v>
      </c>
      <c r="R1895" s="1">
        <v>3.026E9</v>
      </c>
      <c r="S1895" s="1">
        <v>2.951E9</v>
      </c>
      <c r="W1895" s="4" t="str">
        <f>Raw_Data!C1894&amp;"|"&amp;Raw_Data!D1894&amp;"|"&amp;TEXT(Raw_Data!B1894,"yyyy-mm-dd")</f>
        <v>Visa|V|2021-06-30</v>
      </c>
    </row>
    <row r="1896">
      <c r="A1896" s="1">
        <v>1894.0</v>
      </c>
      <c r="B1896" s="11">
        <v>44196.0</v>
      </c>
      <c r="C1896" s="1" t="s">
        <v>982</v>
      </c>
      <c r="D1896" s="1" t="s">
        <v>983</v>
      </c>
      <c r="F1896" s="1">
        <v>3.748E9</v>
      </c>
      <c r="G1896" s="1">
        <v>3.126E9</v>
      </c>
      <c r="H1896" s="1">
        <v>1.472E9</v>
      </c>
      <c r="I1896" s="1">
        <v>5.514E9</v>
      </c>
      <c r="J1896" s="1">
        <v>3.845E9</v>
      </c>
      <c r="K1896" s="1">
        <v>3.845E9</v>
      </c>
      <c r="L1896" s="1">
        <v>-1.36E8</v>
      </c>
      <c r="M1896" s="1">
        <v>6.22E8</v>
      </c>
      <c r="N1896" s="1">
        <v>5.687E9</v>
      </c>
      <c r="O1896" s="1">
        <v>1.842E9</v>
      </c>
      <c r="P1896" s="1">
        <v>1.73E8</v>
      </c>
      <c r="Q1896" s="1">
        <v>-9.7E7</v>
      </c>
      <c r="R1896" s="1">
        <v>3.126E9</v>
      </c>
      <c r="S1896" s="1">
        <v>3.038E9</v>
      </c>
      <c r="W1896" s="4" t="str">
        <f>Raw_Data!C1895&amp;"|"&amp;Raw_Data!D1895&amp;"|"&amp;TEXT(Raw_Data!B1895,"yyyy-mm-dd")</f>
        <v>Visa|V|2021-03-31</v>
      </c>
    </row>
    <row r="1897">
      <c r="A1897" s="1">
        <v>1895.0</v>
      </c>
      <c r="B1897" s="11">
        <v>44104.0</v>
      </c>
      <c r="C1897" s="1" t="s">
        <v>982</v>
      </c>
      <c r="D1897" s="1" t="s">
        <v>983</v>
      </c>
      <c r="F1897" s="1">
        <v>3.055E9</v>
      </c>
      <c r="G1897" s="1">
        <v>2.137E9</v>
      </c>
      <c r="H1897" s="1">
        <v>1.537E9</v>
      </c>
      <c r="I1897" s="1">
        <v>4.91E9</v>
      </c>
      <c r="J1897" s="1">
        <v>3.177E9</v>
      </c>
      <c r="K1897" s="1">
        <v>3.177E9</v>
      </c>
      <c r="L1897" s="1">
        <v>-1.68E8</v>
      </c>
      <c r="M1897" s="1">
        <v>9.18E8</v>
      </c>
      <c r="N1897" s="1">
        <v>5.101E9</v>
      </c>
      <c r="O1897" s="1">
        <v>1.924E9</v>
      </c>
      <c r="P1897" s="1">
        <v>1.91E8</v>
      </c>
      <c r="Q1897" s="1">
        <v>-1.22E8</v>
      </c>
      <c r="R1897" s="1">
        <v>2.137E9</v>
      </c>
      <c r="S1897" s="1">
        <v>2.06E9</v>
      </c>
      <c r="W1897" s="4" t="str">
        <f>Raw_Data!C1896&amp;"|"&amp;Raw_Data!D1896&amp;"|"&amp;TEXT(Raw_Data!B1896,"yyyy-mm-dd")</f>
        <v>Visa|V|2020-12-31</v>
      </c>
    </row>
    <row r="1898">
      <c r="A1898" s="1">
        <v>1896.0</v>
      </c>
      <c r="B1898" s="11">
        <v>44377.0</v>
      </c>
      <c r="C1898" s="1" t="s">
        <v>984</v>
      </c>
      <c r="D1898" s="1" t="s">
        <v>985</v>
      </c>
      <c r="F1898" s="1">
        <v>7.9673E7</v>
      </c>
      <c r="G1898" s="1">
        <v>6.4512E7</v>
      </c>
      <c r="H1898" s="1">
        <v>3.0602E7</v>
      </c>
      <c r="I1898" s="1">
        <v>2.19447E8</v>
      </c>
      <c r="J1898" s="1">
        <v>9.9068E7</v>
      </c>
      <c r="K1898" s="1">
        <v>9.9068E7</v>
      </c>
      <c r="L1898" s="1">
        <v>-5.1894E7</v>
      </c>
      <c r="M1898" s="1">
        <v>2841000.0</v>
      </c>
      <c r="N1898" s="1">
        <v>4.10367E8</v>
      </c>
      <c r="O1898" s="1">
        <v>3.11299E8</v>
      </c>
      <c r="P1898" s="1">
        <v>1.9092E8</v>
      </c>
      <c r="Q1898" s="1">
        <v>-1.9395E7</v>
      </c>
      <c r="R1898" s="1">
        <v>7.6832E7</v>
      </c>
      <c r="S1898" s="1">
        <v>4.8036E7</v>
      </c>
      <c r="W1898" s="4" t="str">
        <f>Raw_Data!C1897&amp;"|"&amp;Raw_Data!D1897&amp;"|"&amp;TEXT(Raw_Data!B1897,"yyyy-mm-dd")</f>
        <v>Visa|V|2020-09-30</v>
      </c>
    </row>
    <row r="1899">
      <c r="A1899" s="1">
        <v>1897.0</v>
      </c>
      <c r="B1899" s="11">
        <v>44286.0</v>
      </c>
      <c r="C1899" s="1" t="s">
        <v>984</v>
      </c>
      <c r="D1899" s="1" t="s">
        <v>985</v>
      </c>
      <c r="F1899" s="1">
        <v>2.8977E7</v>
      </c>
      <c r="G1899" s="1">
        <v>2.055E7</v>
      </c>
      <c r="H1899" s="1">
        <v>4.4186E7</v>
      </c>
      <c r="I1899" s="1">
        <v>2.17228E8</v>
      </c>
      <c r="J1899" s="1">
        <v>7.7688E7</v>
      </c>
      <c r="K1899" s="1">
        <v>7.7688E7</v>
      </c>
      <c r="L1899" s="1">
        <v>-5.0064E7</v>
      </c>
      <c r="M1899" s="1">
        <v>1984000.0</v>
      </c>
      <c r="N1899" s="1">
        <v>4.0905E8</v>
      </c>
      <c r="O1899" s="1">
        <v>3.31362E8</v>
      </c>
      <c r="P1899" s="1">
        <v>1.91822E8</v>
      </c>
      <c r="Q1899" s="1">
        <v>-4.8711E7</v>
      </c>
      <c r="R1899" s="1">
        <v>2.6993E7</v>
      </c>
      <c r="S1899" s="1">
        <v>4074000.0</v>
      </c>
      <c r="W1899" s="4" t="str">
        <f>Raw_Data!C1898&amp;"|"&amp;Raw_Data!D1898&amp;"|"&amp;TEXT(Raw_Data!B1898,"yyyy-mm-dd")</f>
        <v>Vornado Realty Trust|VNO|2021-06-30</v>
      </c>
    </row>
    <row r="1900">
      <c r="A1900" s="1">
        <v>1898.0</v>
      </c>
      <c r="B1900" s="11">
        <v>44196.0</v>
      </c>
      <c r="C1900" s="1" t="s">
        <v>984</v>
      </c>
      <c r="D1900" s="1" t="s">
        <v>985</v>
      </c>
      <c r="F1900" s="1">
        <v>-2.10527E8</v>
      </c>
      <c r="G1900" s="1">
        <v>-1.94979E8</v>
      </c>
      <c r="H1900" s="1">
        <v>3.9122E7</v>
      </c>
      <c r="I1900" s="1">
        <v>2.21255E8</v>
      </c>
      <c r="J1900" s="1">
        <v>7.5049E7</v>
      </c>
      <c r="K1900" s="1">
        <v>7.5049E7</v>
      </c>
      <c r="L1900" s="1">
        <v>-5.4633E7</v>
      </c>
      <c r="M1900" s="1">
        <v>-1801000.0</v>
      </c>
      <c r="N1900" s="1">
        <v>4.00998E8</v>
      </c>
      <c r="O1900" s="1">
        <v>3.25949E8</v>
      </c>
      <c r="P1900" s="1">
        <v>1.79743E8</v>
      </c>
      <c r="Q1900" s="1">
        <v>-2.85576E8</v>
      </c>
      <c r="R1900" s="1">
        <v>-2.08726E8</v>
      </c>
      <c r="S1900" s="1">
        <v>-2.09142E8</v>
      </c>
      <c r="W1900" s="4" t="str">
        <f>Raw_Data!C1899&amp;"|"&amp;Raw_Data!D1899&amp;"|"&amp;TEXT(Raw_Data!B1899,"yyyy-mm-dd")</f>
        <v>Vornado Realty Trust|VNO|2021-03-31</v>
      </c>
    </row>
    <row r="1901">
      <c r="A1901" s="1">
        <v>1899.0</v>
      </c>
      <c r="B1901" s="11">
        <v>44104.0</v>
      </c>
      <c r="C1901" s="1" t="s">
        <v>984</v>
      </c>
      <c r="D1901" s="1" t="s">
        <v>985</v>
      </c>
      <c r="F1901" s="1">
        <v>9.2517E7</v>
      </c>
      <c r="G1901" s="1">
        <v>6.57E7</v>
      </c>
      <c r="H1901" s="1">
        <v>3.2407E7</v>
      </c>
      <c r="I1901" s="1">
        <v>1.94431E8</v>
      </c>
      <c r="J1901" s="1">
        <v>5.5011E7</v>
      </c>
      <c r="K1901" s="1">
        <v>5.5011E7</v>
      </c>
      <c r="L1901" s="1">
        <v>-5.7371E7</v>
      </c>
      <c r="M1901" s="1">
        <v>2.3781E7</v>
      </c>
      <c r="N1901" s="1">
        <v>3.90076E8</v>
      </c>
      <c r="O1901" s="1">
        <v>3.35065E8</v>
      </c>
      <c r="P1901" s="1">
        <v>1.95645E8</v>
      </c>
      <c r="Q1901" s="1">
        <v>3.7506E7</v>
      </c>
      <c r="R1901" s="1">
        <v>6.8736E7</v>
      </c>
      <c r="S1901" s="1">
        <v>5.3155E7</v>
      </c>
      <c r="W1901" s="4" t="str">
        <f>Raw_Data!C1900&amp;"|"&amp;Raw_Data!D1900&amp;"|"&amp;TEXT(Raw_Data!B1900,"yyyy-mm-dd")</f>
        <v>Vornado Realty Trust|VNO|2020-12-31</v>
      </c>
    </row>
    <row r="1902">
      <c r="A1902" s="1">
        <v>1900.0</v>
      </c>
      <c r="B1902" s="11">
        <v>44377.0</v>
      </c>
      <c r="C1902" s="1" t="s">
        <v>986</v>
      </c>
      <c r="D1902" s="1" t="s">
        <v>987</v>
      </c>
      <c r="F1902" s="1">
        <v>2.54063E8</v>
      </c>
      <c r="G1902" s="1">
        <v>1.95344E8</v>
      </c>
      <c r="H1902" s="1">
        <v>1.02338E8</v>
      </c>
      <c r="I1902" s="1">
        <v>3.98364E8</v>
      </c>
      <c r="J1902" s="1">
        <v>2.92854E8</v>
      </c>
      <c r="K1902" s="1">
        <v>2.92854E8</v>
      </c>
      <c r="L1902" s="1">
        <v>-4.1696E7</v>
      </c>
      <c r="M1902" s="1">
        <v>5.7283E7</v>
      </c>
      <c r="N1902" s="1">
        <v>1.361047E9</v>
      </c>
      <c r="O1902" s="1">
        <v>1.068193E9</v>
      </c>
      <c r="P1902" s="1">
        <v>9.62683E8</v>
      </c>
      <c r="Q1902" s="1">
        <v>-3.8791E7</v>
      </c>
      <c r="R1902" s="1">
        <v>1.9678E8</v>
      </c>
      <c r="S1902" s="1">
        <v>1.95344E8</v>
      </c>
      <c r="W1902" s="4" t="str">
        <f>Raw_Data!C1901&amp;"|"&amp;Raw_Data!D1901&amp;"|"&amp;TEXT(Raw_Data!B1901,"yyyy-mm-dd")</f>
        <v>Vornado Realty Trust|VNO|2020-09-30</v>
      </c>
    </row>
    <row r="1903">
      <c r="A1903" s="1">
        <v>1901.0</v>
      </c>
      <c r="B1903" s="11">
        <v>44286.0</v>
      </c>
      <c r="C1903" s="1" t="s">
        <v>986</v>
      </c>
      <c r="D1903" s="1" t="s">
        <v>987</v>
      </c>
      <c r="F1903" s="1">
        <v>2.22308E8</v>
      </c>
      <c r="G1903" s="1">
        <v>1.60614E8</v>
      </c>
      <c r="H1903" s="1">
        <v>9.0264E7</v>
      </c>
      <c r="I1903" s="1">
        <v>2.29267E8</v>
      </c>
      <c r="J1903" s="1">
        <v>1.33877E8</v>
      </c>
      <c r="K1903" s="1">
        <v>1.33877E8</v>
      </c>
      <c r="L1903" s="1">
        <v>-3.3118E7</v>
      </c>
      <c r="M1903" s="1">
        <v>6.0638E7</v>
      </c>
      <c r="N1903" s="1">
        <v>1.068344E9</v>
      </c>
      <c r="O1903" s="1">
        <v>9.34467E8</v>
      </c>
      <c r="P1903" s="1">
        <v>8.39077E8</v>
      </c>
      <c r="Q1903" s="1">
        <v>8.8431E7</v>
      </c>
      <c r="R1903" s="1">
        <v>1.6167E8</v>
      </c>
      <c r="S1903" s="1">
        <v>1.60614E8</v>
      </c>
      <c r="W1903" s="4" t="str">
        <f>Raw_Data!C1902&amp;"|"&amp;Raw_Data!D1902&amp;"|"&amp;TEXT(Raw_Data!B1902,"yyyy-mm-dd")</f>
        <v>Vulcan Materials|VMC|2021-06-30</v>
      </c>
    </row>
    <row r="1904">
      <c r="A1904" s="1">
        <v>1902.0</v>
      </c>
      <c r="B1904" s="11">
        <v>44196.0</v>
      </c>
      <c r="C1904" s="1" t="s">
        <v>986</v>
      </c>
      <c r="D1904" s="1" t="s">
        <v>987</v>
      </c>
      <c r="F1904" s="1">
        <v>1.41188E8</v>
      </c>
      <c r="G1904" s="1">
        <v>1.14518E8</v>
      </c>
      <c r="H1904" s="1">
        <v>1.00205E8</v>
      </c>
      <c r="I1904" s="1">
        <v>3.02741E8</v>
      </c>
      <c r="J1904" s="1">
        <v>1.94071E8</v>
      </c>
      <c r="K1904" s="1">
        <v>1.94071E8</v>
      </c>
      <c r="L1904" s="1">
        <v>-3.5451E7</v>
      </c>
      <c r="M1904" s="1">
        <v>2.5273E7</v>
      </c>
      <c r="N1904" s="1">
        <v>1.175119E9</v>
      </c>
      <c r="O1904" s="1">
        <v>9.81048E8</v>
      </c>
      <c r="P1904" s="1">
        <v>8.72378E8</v>
      </c>
      <c r="Q1904" s="1">
        <v>-5.2883E7</v>
      </c>
      <c r="R1904" s="1">
        <v>1.15915E8</v>
      </c>
      <c r="S1904" s="1">
        <v>1.14518E8</v>
      </c>
      <c r="W1904" s="4" t="str">
        <f>Raw_Data!C1903&amp;"|"&amp;Raw_Data!D1903&amp;"|"&amp;TEXT(Raw_Data!B1903,"yyyy-mm-dd")</f>
        <v>Vulcan Materials|VMC|2021-03-31</v>
      </c>
    </row>
    <row r="1905">
      <c r="A1905" s="1">
        <v>1903.0</v>
      </c>
      <c r="B1905" s="11">
        <v>44104.0</v>
      </c>
      <c r="C1905" s="1" t="s">
        <v>986</v>
      </c>
      <c r="D1905" s="1" t="s">
        <v>987</v>
      </c>
      <c r="F1905" s="1">
        <v>2.58109E8</v>
      </c>
      <c r="G1905" s="1">
        <v>1.99788E8</v>
      </c>
      <c r="H1905" s="1">
        <v>8.5805E7</v>
      </c>
      <c r="I1905" s="1">
        <v>3.80498E8</v>
      </c>
      <c r="J1905" s="1">
        <v>2.92834E8</v>
      </c>
      <c r="K1905" s="1">
        <v>2.92834E8</v>
      </c>
      <c r="L1905" s="1">
        <v>-3.5782E7</v>
      </c>
      <c r="M1905" s="1">
        <v>5.6984E7</v>
      </c>
      <c r="N1905" s="1">
        <v>1.30989E9</v>
      </c>
      <c r="O1905" s="1">
        <v>1.017056E9</v>
      </c>
      <c r="P1905" s="1">
        <v>9.29392E8</v>
      </c>
      <c r="Q1905" s="1">
        <v>-3.4725E7</v>
      </c>
      <c r="R1905" s="1">
        <v>2.01125E8</v>
      </c>
      <c r="S1905" s="1">
        <v>1.99788E8</v>
      </c>
      <c r="W1905" s="4" t="str">
        <f>Raw_Data!C1904&amp;"|"&amp;Raw_Data!D1904&amp;"|"&amp;TEXT(Raw_Data!B1904,"yyyy-mm-dd")</f>
        <v>Vulcan Materials|VMC|2020-12-31</v>
      </c>
    </row>
    <row r="1906">
      <c r="A1906" s="1">
        <v>1904.0</v>
      </c>
      <c r="B1906" s="11">
        <v>44377.0</v>
      </c>
      <c r="C1906" s="1" t="s">
        <v>988</v>
      </c>
      <c r="D1906" s="1" t="s">
        <v>989</v>
      </c>
      <c r="F1906" s="1">
        <v>2.9994E8</v>
      </c>
      <c r="G1906" s="1">
        <v>2.37238E8</v>
      </c>
      <c r="H1906" s="1">
        <v>1.1429E7</v>
      </c>
      <c r="I1906" s="1">
        <v>9.85741E8</v>
      </c>
      <c r="J1906" s="1">
        <v>3.44814E8</v>
      </c>
      <c r="K1906" s="1">
        <v>3.44814E8</v>
      </c>
      <c r="L1906" s="1">
        <v>-3.8096E7</v>
      </c>
      <c r="M1906" s="1">
        <v>6.2262E7</v>
      </c>
      <c r="N1906" s="1">
        <v>2.296086E9</v>
      </c>
      <c r="O1906" s="1">
        <v>1.951272E9</v>
      </c>
      <c r="P1906" s="1">
        <v>1.310345E9</v>
      </c>
      <c r="Q1906" s="1">
        <v>-4.4874E7</v>
      </c>
      <c r="R1906" s="1">
        <v>2.37678E8</v>
      </c>
      <c r="S1906" s="1">
        <v>2.37238E8</v>
      </c>
      <c r="W1906" s="4" t="str">
        <f>Raw_Data!C1905&amp;"|"&amp;Raw_Data!D1905&amp;"|"&amp;TEXT(Raw_Data!B1905,"yyyy-mm-dd")</f>
        <v>Vulcan Materials|VMC|2020-09-30</v>
      </c>
    </row>
    <row r="1907">
      <c r="A1907" s="1">
        <v>1905.0</v>
      </c>
      <c r="B1907" s="11">
        <v>44286.0</v>
      </c>
      <c r="C1907" s="1" t="s">
        <v>988</v>
      </c>
      <c r="D1907" s="1" t="s">
        <v>989</v>
      </c>
      <c r="F1907" s="1">
        <v>2.96068E8</v>
      </c>
      <c r="G1907" s="1">
        <v>2.29525E8</v>
      </c>
      <c r="H1907" s="1">
        <v>1.1264E7</v>
      </c>
      <c r="I1907" s="1">
        <v>9.48987E8</v>
      </c>
      <c r="J1907" s="1">
        <v>3.30742E8</v>
      </c>
      <c r="K1907" s="1">
        <v>3.30742E8</v>
      </c>
      <c r="L1907" s="1">
        <v>-3.6651E7</v>
      </c>
      <c r="M1907" s="1">
        <v>6.4352E7</v>
      </c>
      <c r="N1907" s="1">
        <v>2.156869E9</v>
      </c>
      <c r="O1907" s="1">
        <v>1.826127E9</v>
      </c>
      <c r="P1907" s="1">
        <v>1.207882E9</v>
      </c>
      <c r="Q1907" s="1">
        <v>-3.4674E7</v>
      </c>
      <c r="R1907" s="1">
        <v>2.31716E8</v>
      </c>
      <c r="S1907" s="1">
        <v>2.29525E8</v>
      </c>
      <c r="W1907" s="4" t="str">
        <f>Raw_Data!C1906&amp;"|"&amp;Raw_Data!D1906&amp;"|"&amp;TEXT(Raw_Data!B1906,"yyyy-mm-dd")</f>
        <v>W. R. Berkley Corporation|WRB|2021-06-30</v>
      </c>
    </row>
    <row r="1908">
      <c r="A1908" s="1">
        <v>1906.0</v>
      </c>
      <c r="B1908" s="11">
        <v>44196.0</v>
      </c>
      <c r="C1908" s="1" t="s">
        <v>988</v>
      </c>
      <c r="D1908" s="1" t="s">
        <v>989</v>
      </c>
      <c r="F1908" s="1">
        <v>3.99407E8</v>
      </c>
      <c r="G1908" s="1">
        <v>3.1215E8</v>
      </c>
      <c r="H1908" s="1">
        <v>1.1161E7</v>
      </c>
      <c r="I1908" s="1">
        <v>1.07232E9</v>
      </c>
      <c r="J1908" s="1">
        <v>4.67718E8</v>
      </c>
      <c r="K1908" s="1">
        <v>4.67718E8</v>
      </c>
      <c r="L1908" s="1">
        <v>-3.5663E7</v>
      </c>
      <c r="M1908" s="1">
        <v>8.6917E7</v>
      </c>
      <c r="N1908" s="1">
        <v>2.312471E9</v>
      </c>
      <c r="O1908" s="1">
        <v>1.844753E9</v>
      </c>
      <c r="P1908" s="1">
        <v>1.240151E9</v>
      </c>
      <c r="Q1908" s="1">
        <v>-6.8311E7</v>
      </c>
      <c r="R1908" s="1">
        <v>3.1249E8</v>
      </c>
      <c r="S1908" s="1">
        <v>3.1215E8</v>
      </c>
      <c r="W1908" s="4" t="str">
        <f>Raw_Data!C1907&amp;"|"&amp;Raw_Data!D1907&amp;"|"&amp;TEXT(Raw_Data!B1907,"yyyy-mm-dd")</f>
        <v>W. R. Berkley Corporation|WRB|2021-03-31</v>
      </c>
    </row>
    <row r="1909">
      <c r="A1909" s="1">
        <v>1907.0</v>
      </c>
      <c r="B1909" s="11">
        <v>44104.0</v>
      </c>
      <c r="C1909" s="1" t="s">
        <v>988</v>
      </c>
      <c r="D1909" s="1" t="s">
        <v>989</v>
      </c>
      <c r="F1909" s="1">
        <v>2.06414E8</v>
      </c>
      <c r="G1909" s="1">
        <v>1.51678E8</v>
      </c>
      <c r="H1909" s="1">
        <v>1.1016E7</v>
      </c>
      <c r="I1909" s="1">
        <v>8.40151E8</v>
      </c>
      <c r="J1909" s="1">
        <v>2.5126E8</v>
      </c>
      <c r="K1909" s="1">
        <v>2.5126E8</v>
      </c>
      <c r="L1909" s="1">
        <v>-3.9768E7</v>
      </c>
      <c r="M1909" s="1">
        <v>5.4048E7</v>
      </c>
      <c r="N1909" s="1">
        <v>2.039819E9</v>
      </c>
      <c r="O1909" s="1">
        <v>1.788559E9</v>
      </c>
      <c r="P1909" s="1">
        <v>1.199668E9</v>
      </c>
      <c r="Q1909" s="1">
        <v>-4.4846E7</v>
      </c>
      <c r="R1909" s="1">
        <v>1.52366E8</v>
      </c>
      <c r="S1909" s="1">
        <v>1.51678E8</v>
      </c>
      <c r="W1909" s="4" t="str">
        <f>Raw_Data!C1908&amp;"|"&amp;Raw_Data!D1908&amp;"|"&amp;TEXT(Raw_Data!B1908,"yyyy-mm-dd")</f>
        <v>W. R. Berkley Corporation|WRB|2020-12-31</v>
      </c>
    </row>
    <row r="1910">
      <c r="A1910" s="1">
        <v>1908.0</v>
      </c>
      <c r="B1910" s="11">
        <v>44377.0</v>
      </c>
      <c r="C1910" s="1" t="s">
        <v>990</v>
      </c>
      <c r="D1910" s="1" t="s">
        <v>991</v>
      </c>
      <c r="F1910" s="1">
        <v>3.19E8</v>
      </c>
      <c r="G1910" s="1">
        <v>2.25E8</v>
      </c>
      <c r="H1910" s="1">
        <v>7.9E8</v>
      </c>
      <c r="I1910" s="1">
        <v>1.124E9</v>
      </c>
      <c r="J1910" s="1">
        <v>3.34E8</v>
      </c>
      <c r="K1910" s="1">
        <v>3.34E8</v>
      </c>
      <c r="L1910" s="1">
        <v>-2.2E7</v>
      </c>
      <c r="M1910" s="1">
        <v>7.6E7</v>
      </c>
      <c r="N1910" s="1">
        <v>3.207E9</v>
      </c>
      <c r="O1910" s="1">
        <v>2.873E9</v>
      </c>
      <c r="P1910" s="1">
        <v>2.083E9</v>
      </c>
      <c r="Q1910" s="1">
        <v>-1.5E7</v>
      </c>
      <c r="R1910" s="1">
        <v>2.43E8</v>
      </c>
      <c r="S1910" s="1">
        <v>2.25E8</v>
      </c>
      <c r="W1910" s="4" t="str">
        <f>Raw_Data!C1909&amp;"|"&amp;Raw_Data!D1909&amp;"|"&amp;TEXT(Raw_Data!B1909,"yyyy-mm-dd")</f>
        <v>W. R. Berkley Corporation|WRB|2020-09-30</v>
      </c>
    </row>
    <row r="1911">
      <c r="A1911" s="1">
        <v>1909.0</v>
      </c>
      <c r="B1911" s="11">
        <v>44286.0</v>
      </c>
      <c r="C1911" s="1" t="s">
        <v>990</v>
      </c>
      <c r="D1911" s="1" t="s">
        <v>991</v>
      </c>
      <c r="F1911" s="1">
        <v>3.43E8</v>
      </c>
      <c r="G1911" s="1">
        <v>2.38E8</v>
      </c>
      <c r="H1911" s="1">
        <v>7.35E8</v>
      </c>
      <c r="I1911" s="1">
        <v>1.093E9</v>
      </c>
      <c r="J1911" s="1">
        <v>3.58E8</v>
      </c>
      <c r="K1911" s="1">
        <v>3.58E8</v>
      </c>
      <c r="L1911" s="1">
        <v>-2.1E7</v>
      </c>
      <c r="M1911" s="1">
        <v>8.8E7</v>
      </c>
      <c r="N1911" s="1">
        <v>3.084E9</v>
      </c>
      <c r="O1911" s="1">
        <v>2.726E9</v>
      </c>
      <c r="P1911" s="1">
        <v>1.991E9</v>
      </c>
      <c r="Q1911" s="1">
        <v>-1.5E7</v>
      </c>
      <c r="R1911" s="1">
        <v>2.55E8</v>
      </c>
      <c r="S1911" s="1">
        <v>2.38E8</v>
      </c>
      <c r="W1911" s="4" t="str">
        <f>Raw_Data!C1910&amp;"|"&amp;Raw_Data!D1910&amp;"|"&amp;TEXT(Raw_Data!B1910,"yyyy-mm-dd")</f>
        <v>W. W. Grainger|GWW|2021-06-30</v>
      </c>
    </row>
    <row r="1912">
      <c r="A1912" s="1">
        <v>1910.0</v>
      </c>
      <c r="B1912" s="11">
        <v>44196.0</v>
      </c>
      <c r="C1912" s="1" t="s">
        <v>990</v>
      </c>
      <c r="D1912" s="1" t="s">
        <v>991</v>
      </c>
      <c r="F1912" s="1">
        <v>2.59E8</v>
      </c>
      <c r="G1912" s="1">
        <v>1.68E8</v>
      </c>
      <c r="H1912" s="1">
        <v>6.55E8</v>
      </c>
      <c r="I1912" s="1">
        <v>1.027E9</v>
      </c>
      <c r="J1912" s="1">
        <v>3.12E8</v>
      </c>
      <c r="K1912" s="1">
        <v>3.12E8</v>
      </c>
      <c r="L1912" s="1">
        <v>-2.1E7</v>
      </c>
      <c r="M1912" s="1">
        <v>7.4E7</v>
      </c>
      <c r="N1912" s="1">
        <v>2.941E9</v>
      </c>
      <c r="O1912" s="1">
        <v>2.629E9</v>
      </c>
      <c r="P1912" s="1">
        <v>1.914E9</v>
      </c>
      <c r="Q1912" s="1">
        <v>-5.3E7</v>
      </c>
      <c r="R1912" s="1">
        <v>1.85E8</v>
      </c>
      <c r="S1912" s="1">
        <v>1.68E8</v>
      </c>
      <c r="W1912" s="4" t="str">
        <f>Raw_Data!C1911&amp;"|"&amp;Raw_Data!D1911&amp;"|"&amp;TEXT(Raw_Data!B1911,"yyyy-mm-dd")</f>
        <v>W. W. Grainger|GWW|2021-03-31</v>
      </c>
    </row>
    <row r="1913">
      <c r="A1913" s="1">
        <v>1911.0</v>
      </c>
      <c r="B1913" s="11">
        <v>44104.0</v>
      </c>
      <c r="C1913" s="1" t="s">
        <v>990</v>
      </c>
      <c r="D1913" s="1" t="s">
        <v>991</v>
      </c>
      <c r="F1913" s="1">
        <v>3.62E8</v>
      </c>
      <c r="G1913" s="1">
        <v>2.4E8</v>
      </c>
      <c r="H1913" s="1">
        <v>7.0E8</v>
      </c>
      <c r="I1913" s="1">
        <v>1.074E9</v>
      </c>
      <c r="J1913" s="1">
        <v>3.74E8</v>
      </c>
      <c r="K1913" s="1">
        <v>3.74E8</v>
      </c>
      <c r="L1913" s="1">
        <v>-2.3E7</v>
      </c>
      <c r="M1913" s="1">
        <v>1.06E8</v>
      </c>
      <c r="N1913" s="1">
        <v>3.018E9</v>
      </c>
      <c r="O1913" s="1">
        <v>2.644E9</v>
      </c>
      <c r="P1913" s="1">
        <v>1.944E9</v>
      </c>
      <c r="Q1913" s="1">
        <v>-1.2E7</v>
      </c>
      <c r="R1913" s="1">
        <v>2.56E8</v>
      </c>
      <c r="S1913" s="1">
        <v>2.4E8</v>
      </c>
      <c r="W1913" s="4" t="str">
        <f>Raw_Data!C1912&amp;"|"&amp;Raw_Data!D1912&amp;"|"&amp;TEXT(Raw_Data!B1912,"yyyy-mm-dd")</f>
        <v>W. W. Grainger|GWW|2020-12-31</v>
      </c>
    </row>
    <row r="1914">
      <c r="A1914" s="1">
        <v>1912.0</v>
      </c>
      <c r="B1914" s="11">
        <v>44286.0</v>
      </c>
      <c r="C1914" s="1" t="s">
        <v>992</v>
      </c>
      <c r="D1914" s="1" t="s">
        <v>993</v>
      </c>
      <c r="E1914" s="1">
        <v>3.77E7</v>
      </c>
      <c r="F1914" s="1">
        <v>1.582E8</v>
      </c>
      <c r="G1914" s="1">
        <v>1.124E8</v>
      </c>
      <c r="H1914" s="1">
        <v>2.217E8</v>
      </c>
      <c r="I1914" s="1">
        <v>5.382E8</v>
      </c>
      <c r="J1914" s="1">
        <v>2.093E8</v>
      </c>
      <c r="K1914" s="1">
        <v>2.093E8</v>
      </c>
      <c r="L1914" s="1">
        <v>-4.76E7</v>
      </c>
      <c r="M1914" s="1">
        <v>4.35E7</v>
      </c>
      <c r="N1914" s="1">
        <v>1.8302E9</v>
      </c>
      <c r="O1914" s="1">
        <v>1.6209E9</v>
      </c>
      <c r="P1914" s="1">
        <v>1.292E9</v>
      </c>
      <c r="Q1914" s="1">
        <v>-5.11E7</v>
      </c>
      <c r="R1914" s="1">
        <v>1.147E8</v>
      </c>
      <c r="S1914" s="1">
        <v>1.124E8</v>
      </c>
      <c r="W1914" s="4" t="str">
        <f>Raw_Data!C1913&amp;"|"&amp;Raw_Data!D1913&amp;"|"&amp;TEXT(Raw_Data!B1913,"yyyy-mm-dd")</f>
        <v>W. W. Grainger|GWW|2020-09-30</v>
      </c>
    </row>
    <row r="1915">
      <c r="A1915" s="1">
        <v>1913.0</v>
      </c>
      <c r="B1915" s="11">
        <v>44196.0</v>
      </c>
      <c r="C1915" s="1" t="s">
        <v>992</v>
      </c>
      <c r="D1915" s="1" t="s">
        <v>993</v>
      </c>
      <c r="E1915" s="1">
        <v>3.84E7</v>
      </c>
      <c r="F1915" s="1">
        <v>1.183E8</v>
      </c>
      <c r="G1915" s="1">
        <v>8.79E7</v>
      </c>
      <c r="H1915" s="1">
        <v>2.323E8</v>
      </c>
      <c r="I1915" s="1">
        <v>5.265E8</v>
      </c>
      <c r="J1915" s="1">
        <v>1.85E8</v>
      </c>
      <c r="K1915" s="1">
        <v>1.85E8</v>
      </c>
      <c r="L1915" s="1">
        <v>-4.86E7</v>
      </c>
      <c r="M1915" s="1">
        <v>3.15E7</v>
      </c>
      <c r="N1915" s="1">
        <v>2.0237E9</v>
      </c>
      <c r="O1915" s="1">
        <v>1.8387E9</v>
      </c>
      <c r="P1915" s="1">
        <v>1.4972E9</v>
      </c>
      <c r="Q1915" s="1">
        <v>-6.67E7</v>
      </c>
      <c r="R1915" s="1">
        <v>8.68E7</v>
      </c>
      <c r="S1915" s="1">
        <v>8.77E7</v>
      </c>
      <c r="W1915" s="4" t="str">
        <f>Raw_Data!C1914&amp;"|"&amp;Raw_Data!D1914&amp;"|"&amp;TEXT(Raw_Data!B1914,"yyyy-mm-dd")</f>
        <v>Wabtec|WAB|2021-03-31</v>
      </c>
    </row>
    <row r="1916">
      <c r="A1916" s="1">
        <v>1914.0</v>
      </c>
      <c r="B1916" s="11">
        <v>44104.0</v>
      </c>
      <c r="C1916" s="1" t="s">
        <v>992</v>
      </c>
      <c r="D1916" s="1" t="s">
        <v>993</v>
      </c>
      <c r="E1916" s="1">
        <v>3.65E7</v>
      </c>
      <c r="F1916" s="1">
        <v>1.754E8</v>
      </c>
      <c r="G1916" s="1">
        <v>1.281E8</v>
      </c>
      <c r="H1916" s="1">
        <v>2.382E8</v>
      </c>
      <c r="I1916" s="1">
        <v>5.712E8</v>
      </c>
      <c r="J1916" s="1">
        <v>2.262E8</v>
      </c>
      <c r="K1916" s="1">
        <v>2.262E8</v>
      </c>
      <c r="L1916" s="1">
        <v>-4.56E7</v>
      </c>
      <c r="M1916" s="1">
        <v>4.69E7</v>
      </c>
      <c r="N1916" s="1">
        <v>1.8651E9</v>
      </c>
      <c r="O1916" s="1">
        <v>1.6389E9</v>
      </c>
      <c r="P1916" s="1">
        <v>1.2939E9</v>
      </c>
      <c r="Q1916" s="1">
        <v>-5.08E7</v>
      </c>
      <c r="R1916" s="1">
        <v>1.285E8</v>
      </c>
      <c r="S1916" s="1">
        <v>1.279E8</v>
      </c>
      <c r="W1916" s="4" t="str">
        <f>Raw_Data!C1915&amp;"|"&amp;Raw_Data!D1915&amp;"|"&amp;TEXT(Raw_Data!B1915,"yyyy-mm-dd")</f>
        <v>Wabtec|WAB|2020-12-31</v>
      </c>
    </row>
    <row r="1917">
      <c r="A1917" s="1">
        <v>1915.0</v>
      </c>
      <c r="B1917" s="11">
        <v>44012.0</v>
      </c>
      <c r="C1917" s="1" t="s">
        <v>992</v>
      </c>
      <c r="D1917" s="1" t="s">
        <v>993</v>
      </c>
      <c r="E1917" s="1">
        <v>3.82E7</v>
      </c>
      <c r="F1917" s="1">
        <v>1.143E8</v>
      </c>
      <c r="G1917" s="1">
        <v>8.68E7</v>
      </c>
      <c r="H1917" s="1">
        <v>1.875E8</v>
      </c>
      <c r="I1917" s="1">
        <v>5.037E8</v>
      </c>
      <c r="J1917" s="1">
        <v>2.057E8</v>
      </c>
      <c r="K1917" s="1">
        <v>2.057E8</v>
      </c>
      <c r="L1917" s="1">
        <v>-5.14E7</v>
      </c>
      <c r="M1917" s="1">
        <v>2.85E7</v>
      </c>
      <c r="N1917" s="1">
        <v>1.7374E9</v>
      </c>
      <c r="O1917" s="1">
        <v>1.5317E9</v>
      </c>
      <c r="P1917" s="1">
        <v>1.2337E9</v>
      </c>
      <c r="Q1917" s="1">
        <v>-9.14E7</v>
      </c>
      <c r="R1917" s="1">
        <v>8.58E7</v>
      </c>
      <c r="S1917" s="1">
        <v>8.66E7</v>
      </c>
      <c r="W1917" s="4" t="str">
        <f>Raw_Data!C1916&amp;"|"&amp;Raw_Data!D1916&amp;"|"&amp;TEXT(Raw_Data!B1916,"yyyy-mm-dd")</f>
        <v>Wabtec|WAB|2020-09-30</v>
      </c>
    </row>
    <row r="1918">
      <c r="A1918" s="1">
        <v>1916.0</v>
      </c>
      <c r="B1918" s="11">
        <v>44255.0</v>
      </c>
      <c r="C1918" s="1" t="s">
        <v>994</v>
      </c>
      <c r="D1918" s="1" t="s">
        <v>995</v>
      </c>
      <c r="F1918" s="1">
        <v>9.6E8</v>
      </c>
      <c r="G1918" s="1">
        <v>1.026E9</v>
      </c>
      <c r="H1918" s="1">
        <v>5.997E9</v>
      </c>
      <c r="I1918" s="1">
        <v>6.781E9</v>
      </c>
      <c r="J1918" s="1">
        <v>7.84E8</v>
      </c>
      <c r="K1918" s="1">
        <v>7.84E8</v>
      </c>
      <c r="L1918" s="1">
        <v>-1.37E8</v>
      </c>
      <c r="M1918" s="1">
        <v>4.2E7</v>
      </c>
      <c r="N1918" s="1">
        <v>3.2779E10</v>
      </c>
      <c r="O1918" s="1">
        <v>3.1995E10</v>
      </c>
      <c r="P1918" s="1">
        <v>2.5998E10</v>
      </c>
      <c r="Q1918" s="1">
        <v>1.76E8</v>
      </c>
      <c r="R1918" s="1">
        <v>9.18E8</v>
      </c>
      <c r="S1918" s="1">
        <v>1.026E9</v>
      </c>
      <c r="W1918" s="4" t="str">
        <f>Raw_Data!C1917&amp;"|"&amp;Raw_Data!D1917&amp;"|"&amp;TEXT(Raw_Data!B1917,"yyyy-mm-dd")</f>
        <v>Wabtec|WAB|2020-06-30</v>
      </c>
    </row>
    <row r="1919">
      <c r="A1919" s="1">
        <v>1917.0</v>
      </c>
      <c r="B1919" s="11">
        <v>44165.0</v>
      </c>
      <c r="C1919" s="1" t="s">
        <v>994</v>
      </c>
      <c r="D1919" s="1" t="s">
        <v>995</v>
      </c>
      <c r="F1919" s="1">
        <v>-5.93E8</v>
      </c>
      <c r="G1919" s="1">
        <v>-3.08E8</v>
      </c>
      <c r="H1919" s="1">
        <v>5.82E9</v>
      </c>
      <c r="I1919" s="1">
        <v>6.63E9</v>
      </c>
      <c r="J1919" s="1">
        <v>8.1E8</v>
      </c>
      <c r="K1919" s="1">
        <v>8.1E8</v>
      </c>
      <c r="L1919" s="1">
        <v>-1.64E8</v>
      </c>
      <c r="M1919" s="1">
        <v>-2.07E8</v>
      </c>
      <c r="N1919" s="1">
        <v>3.1438E10</v>
      </c>
      <c r="O1919" s="1">
        <v>3.0628E10</v>
      </c>
      <c r="P1919" s="1">
        <v>2.4808E10</v>
      </c>
      <c r="Q1919" s="1">
        <v>-1.403E9</v>
      </c>
      <c r="R1919" s="1">
        <v>-3.86E8</v>
      </c>
      <c r="S1919" s="1">
        <v>-3.08E8</v>
      </c>
      <c r="W1919" s="4" t="str">
        <f>Raw_Data!C1918&amp;"|"&amp;Raw_Data!D1918&amp;"|"&amp;TEXT(Raw_Data!B1918,"yyyy-mm-dd")</f>
        <v>Walgreens Boots Alliance|WBA|2021-02-28</v>
      </c>
    </row>
    <row r="1920">
      <c r="A1920" s="1">
        <v>1918.0</v>
      </c>
      <c r="B1920" s="11">
        <v>44074.0</v>
      </c>
      <c r="C1920" s="1" t="s">
        <v>994</v>
      </c>
      <c r="D1920" s="1" t="s">
        <v>995</v>
      </c>
      <c r="F1920" s="1">
        <v>5.65E8</v>
      </c>
      <c r="G1920" s="1">
        <v>3.73E8</v>
      </c>
      <c r="H1920" s="1">
        <v>6.283E9</v>
      </c>
      <c r="I1920" s="1">
        <v>6.803E9</v>
      </c>
      <c r="J1920" s="1">
        <v>5.2E8</v>
      </c>
      <c r="K1920" s="1">
        <v>5.2E8</v>
      </c>
      <c r="L1920" s="1">
        <v>-1.02E8</v>
      </c>
      <c r="M1920" s="1">
        <v>2.08E8</v>
      </c>
      <c r="N1920" s="1">
        <v>3.4746E10</v>
      </c>
      <c r="O1920" s="1">
        <v>3.4226E10</v>
      </c>
      <c r="P1920" s="1">
        <v>2.7943E10</v>
      </c>
      <c r="Q1920" s="1">
        <v>4.5E7</v>
      </c>
      <c r="R1920" s="1">
        <v>3.57E8</v>
      </c>
      <c r="S1920" s="1">
        <v>3.73E8</v>
      </c>
      <c r="W1920" s="4" t="str">
        <f>Raw_Data!C1919&amp;"|"&amp;Raw_Data!D1919&amp;"|"&amp;TEXT(Raw_Data!B1919,"yyyy-mm-dd")</f>
        <v>Walgreens Boots Alliance|WBA|2020-11-30</v>
      </c>
    </row>
    <row r="1921">
      <c r="A1921" s="1">
        <v>1919.0</v>
      </c>
      <c r="B1921" s="11">
        <v>43982.0</v>
      </c>
      <c r="C1921" s="1" t="s">
        <v>994</v>
      </c>
      <c r="D1921" s="1" t="s">
        <v>995</v>
      </c>
      <c r="F1921" s="1">
        <v>-1.766E9</v>
      </c>
      <c r="G1921" s="1">
        <v>-1.708E9</v>
      </c>
      <c r="H1921" s="1">
        <v>6.307E9</v>
      </c>
      <c r="I1921" s="1">
        <v>6.438E9</v>
      </c>
      <c r="J1921" s="1">
        <v>1.31E8</v>
      </c>
      <c r="K1921" s="1">
        <v>1.31E8</v>
      </c>
      <c r="L1921" s="1">
        <v>-1.55E8</v>
      </c>
      <c r="M1921" s="1">
        <v>-4.0E7</v>
      </c>
      <c r="N1921" s="1">
        <v>3.4631E10</v>
      </c>
      <c r="O1921" s="1">
        <v>3.45E10</v>
      </c>
      <c r="P1921" s="1">
        <v>2.8193E10</v>
      </c>
      <c r="Q1921" s="1">
        <v>-1.897E9</v>
      </c>
      <c r="R1921" s="1">
        <v>-1.726E9</v>
      </c>
      <c r="S1921" s="1">
        <v>-1.708E9</v>
      </c>
      <c r="W1921" s="4" t="str">
        <f>Raw_Data!C1920&amp;"|"&amp;Raw_Data!D1920&amp;"|"&amp;TEXT(Raw_Data!B1920,"yyyy-mm-dd")</f>
        <v>Walgreens Boots Alliance|WBA|2020-08-31</v>
      </c>
    </row>
    <row r="1922">
      <c r="A1922" s="1">
        <v>1920.0</v>
      </c>
      <c r="B1922" s="11">
        <v>44408.0</v>
      </c>
      <c r="C1922" s="1" t="s">
        <v>996</v>
      </c>
      <c r="D1922" s="1" t="s">
        <v>997</v>
      </c>
      <c r="F1922" s="1">
        <v>5.923E9</v>
      </c>
      <c r="G1922" s="1">
        <v>4.276E9</v>
      </c>
      <c r="H1922" s="1">
        <v>2.8511E10</v>
      </c>
      <c r="I1922" s="1">
        <v>3.5865E10</v>
      </c>
      <c r="J1922" s="1">
        <v>7.354E9</v>
      </c>
      <c r="K1922" s="1">
        <v>7.354E9</v>
      </c>
      <c r="L1922" s="1">
        <v>-5.15E8</v>
      </c>
      <c r="M1922" s="1">
        <v>1.559E9</v>
      </c>
      <c r="N1922" s="1">
        <v>1.41048E11</v>
      </c>
      <c r="O1922" s="1">
        <v>1.33694E11</v>
      </c>
      <c r="P1922" s="1">
        <v>1.05183E11</v>
      </c>
      <c r="Q1922" s="1">
        <v>-1.431E9</v>
      </c>
      <c r="R1922" s="1">
        <v>4.364E9</v>
      </c>
      <c r="S1922" s="1">
        <v>4.276E9</v>
      </c>
      <c r="W1922" s="4" t="str">
        <f>Raw_Data!C1921&amp;"|"&amp;Raw_Data!D1921&amp;"|"&amp;TEXT(Raw_Data!B1921,"yyyy-mm-dd")</f>
        <v>Walgreens Boots Alliance|WBA|2020-05-31</v>
      </c>
    </row>
    <row r="1923">
      <c r="A1923" s="1">
        <v>1921.0</v>
      </c>
      <c r="B1923" s="11">
        <v>44316.0</v>
      </c>
      <c r="C1923" s="1" t="s">
        <v>996</v>
      </c>
      <c r="D1923" s="1" t="s">
        <v>997</v>
      </c>
      <c r="F1923" s="1">
        <v>3.844E9</v>
      </c>
      <c r="G1923" s="1">
        <v>2.73E9</v>
      </c>
      <c r="H1923" s="1">
        <v>2.8129E10</v>
      </c>
      <c r="I1923" s="1">
        <v>3.5038E10</v>
      </c>
      <c r="J1923" s="1">
        <v>6.909E9</v>
      </c>
      <c r="K1923" s="1">
        <v>6.909E9</v>
      </c>
      <c r="L1923" s="1">
        <v>-5.66E8</v>
      </c>
      <c r="M1923" s="1">
        <v>1.033E9</v>
      </c>
      <c r="N1923" s="1">
        <v>1.3831E11</v>
      </c>
      <c r="O1923" s="1">
        <v>1.31401E11</v>
      </c>
      <c r="P1923" s="1">
        <v>1.03272E11</v>
      </c>
      <c r="Q1923" s="1">
        <v>-3.065E9</v>
      </c>
      <c r="R1923" s="1">
        <v>2.811E9</v>
      </c>
      <c r="S1923" s="1">
        <v>2.73E9</v>
      </c>
      <c r="W1923" s="4" t="str">
        <f>Raw_Data!C1922&amp;"|"&amp;Raw_Data!D1922&amp;"|"&amp;TEXT(Raw_Data!B1922,"yyyy-mm-dd")</f>
        <v>Walmart|WMT|2021-07-31</v>
      </c>
    </row>
    <row r="1924">
      <c r="A1924" s="1">
        <v>1922.0</v>
      </c>
      <c r="B1924" s="11">
        <v>44227.0</v>
      </c>
      <c r="C1924" s="1" t="s">
        <v>996</v>
      </c>
      <c r="D1924" s="1" t="s">
        <v>997</v>
      </c>
      <c r="F1924" s="1">
        <v>-5.93E8</v>
      </c>
      <c r="G1924" s="1">
        <v>-2.091E9</v>
      </c>
      <c r="H1924" s="1">
        <v>3.0331E10</v>
      </c>
      <c r="I1924" s="1">
        <v>3.6818E10</v>
      </c>
      <c r="J1924" s="1">
        <v>6.487E9</v>
      </c>
      <c r="K1924" s="1">
        <v>6.487E9</v>
      </c>
      <c r="L1924" s="1">
        <v>-5.24E8</v>
      </c>
      <c r="M1924" s="1">
        <v>1.415E9</v>
      </c>
      <c r="N1924" s="1">
        <v>1.52079E11</v>
      </c>
      <c r="O1924" s="1">
        <v>1.45592E11</v>
      </c>
      <c r="P1924" s="1">
        <v>1.15261E11</v>
      </c>
      <c r="Q1924" s="1">
        <v>-7.08E9</v>
      </c>
      <c r="R1924" s="1">
        <v>-2.008E9</v>
      </c>
      <c r="S1924" s="1">
        <v>-2.091E9</v>
      </c>
      <c r="W1924" s="4" t="str">
        <f>Raw_Data!C1923&amp;"|"&amp;Raw_Data!D1923&amp;"|"&amp;TEXT(Raw_Data!B1923,"yyyy-mm-dd")</f>
        <v>Walmart|WMT|2021-04-30</v>
      </c>
    </row>
    <row r="1925">
      <c r="A1925" s="1">
        <v>1923.0</v>
      </c>
      <c r="B1925" s="11">
        <v>44135.0</v>
      </c>
      <c r="C1925" s="1" t="s">
        <v>996</v>
      </c>
      <c r="D1925" s="1" t="s">
        <v>997</v>
      </c>
      <c r="F1925" s="1">
        <v>7.115E9</v>
      </c>
      <c r="G1925" s="1">
        <v>5.135E9</v>
      </c>
      <c r="H1925" s="1">
        <v>2.7991E10</v>
      </c>
      <c r="I1925" s="1">
        <v>3.4369E10</v>
      </c>
      <c r="J1925" s="1">
        <v>6.378E9</v>
      </c>
      <c r="K1925" s="1">
        <v>6.378E9</v>
      </c>
      <c r="L1925" s="1">
        <v>-5.41E8</v>
      </c>
      <c r="M1925" s="1">
        <v>1.914E9</v>
      </c>
      <c r="N1925" s="1">
        <v>1.34708E11</v>
      </c>
      <c r="O1925" s="1">
        <v>1.2833E11</v>
      </c>
      <c r="P1925" s="1">
        <v>1.00339E11</v>
      </c>
      <c r="Q1925" s="1">
        <v>7.37E8</v>
      </c>
      <c r="R1925" s="1">
        <v>5.201E9</v>
      </c>
      <c r="S1925" s="1">
        <v>5.135E9</v>
      </c>
      <c r="W1925" s="4" t="str">
        <f>Raw_Data!C1924&amp;"|"&amp;Raw_Data!D1924&amp;"|"&amp;TEXT(Raw_Data!B1924,"yyyy-mm-dd")</f>
        <v>Walmart|WMT|2021-01-31</v>
      </c>
    </row>
    <row r="1926">
      <c r="A1926" s="1">
        <v>1924.0</v>
      </c>
      <c r="B1926" s="11">
        <v>44377.0</v>
      </c>
      <c r="C1926" s="1" t="s">
        <v>998</v>
      </c>
      <c r="D1926" s="1" t="s">
        <v>999</v>
      </c>
      <c r="F1926" s="1">
        <v>4.56E8</v>
      </c>
      <c r="G1926" s="1">
        <v>3.51E8</v>
      </c>
      <c r="H1926" s="1">
        <v>4.45E8</v>
      </c>
      <c r="I1926" s="1">
        <v>1.74E9</v>
      </c>
      <c r="J1926" s="1">
        <v>7.95E8</v>
      </c>
      <c r="K1926" s="1">
        <v>7.95E8</v>
      </c>
      <c r="L1926" s="1">
        <v>-9.8E7</v>
      </c>
      <c r="M1926" s="1">
        <v>1.05E8</v>
      </c>
      <c r="N1926" s="1">
        <v>4.476E9</v>
      </c>
      <c r="O1926" s="1">
        <v>3.681E9</v>
      </c>
      <c r="P1926" s="1">
        <v>2.736E9</v>
      </c>
      <c r="Q1926" s="1">
        <v>-3.39E8</v>
      </c>
      <c r="R1926" s="1">
        <v>3.51E8</v>
      </c>
      <c r="S1926" s="1">
        <v>3.51E8</v>
      </c>
      <c r="W1926" s="4" t="str">
        <f>Raw_Data!C1925&amp;"|"&amp;Raw_Data!D1925&amp;"|"&amp;TEXT(Raw_Data!B1925,"yyyy-mm-dd")</f>
        <v>Walmart|WMT|2020-10-31</v>
      </c>
    </row>
    <row r="1927">
      <c r="A1927" s="1">
        <v>1925.0</v>
      </c>
      <c r="B1927" s="11">
        <v>44286.0</v>
      </c>
      <c r="C1927" s="1" t="s">
        <v>998</v>
      </c>
      <c r="D1927" s="1" t="s">
        <v>999</v>
      </c>
      <c r="F1927" s="1">
        <v>5.45E8</v>
      </c>
      <c r="G1927" s="1">
        <v>4.21E8</v>
      </c>
      <c r="H1927" s="1">
        <v>4.58E8</v>
      </c>
      <c r="I1927" s="1">
        <v>1.598E9</v>
      </c>
      <c r="J1927" s="1">
        <v>6.68E8</v>
      </c>
      <c r="K1927" s="1">
        <v>6.68E8</v>
      </c>
      <c r="L1927" s="1">
        <v>-9.7E7</v>
      </c>
      <c r="M1927" s="1">
        <v>1.24E8</v>
      </c>
      <c r="N1927" s="1">
        <v>4.112E9</v>
      </c>
      <c r="O1927" s="1">
        <v>3.444E9</v>
      </c>
      <c r="P1927" s="1">
        <v>2.514E9</v>
      </c>
      <c r="Q1927" s="1">
        <v>-1.23E8</v>
      </c>
      <c r="R1927" s="1">
        <v>4.21E8</v>
      </c>
      <c r="S1927" s="1">
        <v>4.21E8</v>
      </c>
      <c r="W1927" s="4" t="str">
        <f>Raw_Data!C1926&amp;"|"&amp;Raw_Data!D1926&amp;"|"&amp;TEXT(Raw_Data!B1926,"yyyy-mm-dd")</f>
        <v>Waste Management|WM|2021-06-30</v>
      </c>
    </row>
    <row r="1928">
      <c r="A1928" s="1">
        <v>1926.0</v>
      </c>
      <c r="B1928" s="11">
        <v>44196.0</v>
      </c>
      <c r="C1928" s="1" t="s">
        <v>998</v>
      </c>
      <c r="D1928" s="1" t="s">
        <v>999</v>
      </c>
      <c r="F1928" s="1">
        <v>5.47E8</v>
      </c>
      <c r="G1928" s="1">
        <v>4.38E8</v>
      </c>
      <c r="H1928" s="1">
        <v>3.6E8</v>
      </c>
      <c r="I1928" s="1">
        <v>1.567E9</v>
      </c>
      <c r="J1928" s="1">
        <v>7.71E8</v>
      </c>
      <c r="K1928" s="1">
        <v>7.71E8</v>
      </c>
      <c r="L1928" s="1">
        <v>-9.7E7</v>
      </c>
      <c r="M1928" s="1">
        <v>1.09E8</v>
      </c>
      <c r="N1928" s="1">
        <v>4.067E9</v>
      </c>
      <c r="O1928" s="1">
        <v>3.296E9</v>
      </c>
      <c r="P1928" s="1">
        <v>2.5E9</v>
      </c>
      <c r="Q1928" s="1">
        <v>-2.24E8</v>
      </c>
      <c r="R1928" s="1">
        <v>4.38E8</v>
      </c>
      <c r="S1928" s="1">
        <v>4.38E8</v>
      </c>
      <c r="W1928" s="4" t="str">
        <f>Raw_Data!C1927&amp;"|"&amp;Raw_Data!D1927&amp;"|"&amp;TEXT(Raw_Data!B1927,"yyyy-mm-dd")</f>
        <v>Waste Management|WM|2021-03-31</v>
      </c>
    </row>
    <row r="1929">
      <c r="A1929" s="1">
        <v>1927.0</v>
      </c>
      <c r="B1929" s="11">
        <v>44104.0</v>
      </c>
      <c r="C1929" s="1" t="s">
        <v>998</v>
      </c>
      <c r="D1929" s="1" t="s">
        <v>999</v>
      </c>
      <c r="F1929" s="1">
        <v>5.16E8</v>
      </c>
      <c r="G1929" s="1">
        <v>3.9E8</v>
      </c>
      <c r="H1929" s="1">
        <v>4.16E8</v>
      </c>
      <c r="I1929" s="1">
        <v>1.529E9</v>
      </c>
      <c r="J1929" s="1">
        <v>6.94E8</v>
      </c>
      <c r="K1929" s="1">
        <v>6.94E8</v>
      </c>
      <c r="L1929" s="1">
        <v>-9.7E7</v>
      </c>
      <c r="M1929" s="1">
        <v>1.26E8</v>
      </c>
      <c r="N1929" s="1">
        <v>3.861E9</v>
      </c>
      <c r="O1929" s="1">
        <v>3.167E9</v>
      </c>
      <c r="P1929" s="1">
        <v>2.332E9</v>
      </c>
      <c r="Q1929" s="1">
        <v>-1.78E8</v>
      </c>
      <c r="R1929" s="1">
        <v>3.9E8</v>
      </c>
      <c r="S1929" s="1">
        <v>3.9E8</v>
      </c>
      <c r="W1929" s="4" t="str">
        <f>Raw_Data!C1928&amp;"|"&amp;Raw_Data!D1928&amp;"|"&amp;TEXT(Raw_Data!B1928,"yyyy-mm-dd")</f>
        <v>Waste Management|WM|2020-12-31</v>
      </c>
    </row>
    <row r="1930">
      <c r="A1930" s="1">
        <v>1928.0</v>
      </c>
      <c r="B1930" s="11">
        <v>44380.0</v>
      </c>
      <c r="C1930" s="1" t="s">
        <v>1000</v>
      </c>
      <c r="D1930" s="1" t="s">
        <v>1001</v>
      </c>
      <c r="E1930" s="1">
        <v>4.4949E7</v>
      </c>
      <c r="F1930" s="1">
        <v>1.97414E8</v>
      </c>
      <c r="G1930" s="1">
        <v>1.67292E8</v>
      </c>
      <c r="H1930" s="1">
        <v>1.58163E8</v>
      </c>
      <c r="I1930" s="1">
        <v>4.01393E8</v>
      </c>
      <c r="J1930" s="1">
        <v>1.96472E8</v>
      </c>
      <c r="K1930" s="1">
        <v>1.96472E8</v>
      </c>
      <c r="L1930" s="1">
        <v>-1.2027E7</v>
      </c>
      <c r="M1930" s="1">
        <v>3.0122E7</v>
      </c>
      <c r="N1930" s="1">
        <v>6.81647E8</v>
      </c>
      <c r="O1930" s="1">
        <v>4.85175E8</v>
      </c>
      <c r="P1930" s="1">
        <v>2.80254E8</v>
      </c>
      <c r="Q1930" s="1">
        <v>942000.0</v>
      </c>
      <c r="R1930" s="1">
        <v>1.67292E8</v>
      </c>
      <c r="S1930" s="1">
        <v>1.67292E8</v>
      </c>
      <c r="W1930" s="4" t="str">
        <f>Raw_Data!C1929&amp;"|"&amp;Raw_Data!D1929&amp;"|"&amp;TEXT(Raw_Data!B1929,"yyyy-mm-dd")</f>
        <v>Waste Management|WM|2020-09-30</v>
      </c>
    </row>
    <row r="1931">
      <c r="A1931" s="1">
        <v>1929.0</v>
      </c>
      <c r="B1931" s="11">
        <v>44289.0</v>
      </c>
      <c r="C1931" s="1" t="s">
        <v>1000</v>
      </c>
      <c r="D1931" s="1" t="s">
        <v>1001</v>
      </c>
      <c r="E1931" s="1">
        <v>3.8092E7</v>
      </c>
      <c r="F1931" s="1">
        <v>1.73784E8</v>
      </c>
      <c r="G1931" s="1">
        <v>1.48127E8</v>
      </c>
      <c r="H1931" s="1">
        <v>1.43145E8</v>
      </c>
      <c r="I1931" s="1">
        <v>3.54398E8</v>
      </c>
      <c r="J1931" s="1">
        <v>1.71321E8</v>
      </c>
      <c r="K1931" s="1">
        <v>1.71321E8</v>
      </c>
      <c r="L1931" s="1">
        <v>-1.0946E7</v>
      </c>
      <c r="M1931" s="1">
        <v>2.5657E7</v>
      </c>
      <c r="N1931" s="1">
        <v>6.08545E8</v>
      </c>
      <c r="O1931" s="1">
        <v>4.37224E8</v>
      </c>
      <c r="P1931" s="1">
        <v>2.54147E8</v>
      </c>
      <c r="Q1931" s="1">
        <v>2463000.0</v>
      </c>
      <c r="R1931" s="1">
        <v>1.48127E8</v>
      </c>
      <c r="S1931" s="1">
        <v>1.48127E8</v>
      </c>
      <c r="W1931" s="4" t="str">
        <f>Raw_Data!C1930&amp;"|"&amp;Raw_Data!D1930&amp;"|"&amp;TEXT(Raw_Data!B1930,"yyyy-mm-dd")</f>
        <v>Waters Corporation|WAT|2021-07-03</v>
      </c>
    </row>
    <row r="1932">
      <c r="A1932" s="1">
        <v>1930.0</v>
      </c>
      <c r="B1932" s="11">
        <v>44196.0</v>
      </c>
      <c r="C1932" s="1" t="s">
        <v>1000</v>
      </c>
      <c r="D1932" s="1" t="s">
        <v>1001</v>
      </c>
      <c r="E1932" s="1">
        <v>3.9662E7</v>
      </c>
      <c r="F1932" s="1">
        <v>2.57251E8</v>
      </c>
      <c r="G1932" s="1">
        <v>2.18311E8</v>
      </c>
      <c r="H1932" s="1">
        <v>1.53179E8</v>
      </c>
      <c r="I1932" s="1">
        <v>4.66089E8</v>
      </c>
      <c r="J1932" s="1">
        <v>2.70561E8</v>
      </c>
      <c r="K1932" s="1">
        <v>2.70561E8</v>
      </c>
      <c r="L1932" s="1">
        <v>-1.1058E7</v>
      </c>
      <c r="M1932" s="1">
        <v>3.894E7</v>
      </c>
      <c r="N1932" s="1">
        <v>7.86658E8</v>
      </c>
      <c r="O1932" s="1">
        <v>5.16097E8</v>
      </c>
      <c r="P1932" s="1">
        <v>3.20569E8</v>
      </c>
      <c r="Q1932" s="1">
        <v>-1.331E7</v>
      </c>
      <c r="R1932" s="1">
        <v>2.18311E8</v>
      </c>
      <c r="S1932" s="1">
        <v>2.18311E8</v>
      </c>
      <c r="W1932" s="4" t="str">
        <f>Raw_Data!C1931&amp;"|"&amp;Raw_Data!D1931&amp;"|"&amp;TEXT(Raw_Data!B1931,"yyyy-mm-dd")</f>
        <v>Waters Corporation|WAT|2021-04-03</v>
      </c>
    </row>
    <row r="1933">
      <c r="A1933" s="1">
        <v>1931.0</v>
      </c>
      <c r="B1933" s="11">
        <v>44100.0</v>
      </c>
      <c r="C1933" s="1" t="s">
        <v>1000</v>
      </c>
      <c r="D1933" s="1" t="s">
        <v>1001</v>
      </c>
      <c r="E1933" s="1">
        <v>3.4971E7</v>
      </c>
      <c r="F1933" s="1">
        <v>1.50437E8</v>
      </c>
      <c r="G1933" s="1">
        <v>1.26769E8</v>
      </c>
      <c r="H1933" s="1">
        <v>1.29625E8</v>
      </c>
      <c r="I1933" s="1">
        <v>3.31442E8</v>
      </c>
      <c r="J1933" s="1">
        <v>1.64189E8</v>
      </c>
      <c r="K1933" s="1">
        <v>1.64189E8</v>
      </c>
      <c r="L1933" s="1">
        <v>-1.0915E7</v>
      </c>
      <c r="M1933" s="1">
        <v>2.3668E7</v>
      </c>
      <c r="N1933" s="1">
        <v>5.93784E8</v>
      </c>
      <c r="O1933" s="1">
        <v>4.29595E8</v>
      </c>
      <c r="P1933" s="1">
        <v>2.62342E8</v>
      </c>
      <c r="Q1933" s="1">
        <v>-1.3752E7</v>
      </c>
      <c r="R1933" s="1">
        <v>1.26769E8</v>
      </c>
      <c r="S1933" s="1">
        <v>1.26769E8</v>
      </c>
      <c r="W1933" s="4" t="str">
        <f>Raw_Data!C1932&amp;"|"&amp;Raw_Data!D1932&amp;"|"&amp;TEXT(Raw_Data!B1932,"yyyy-mm-dd")</f>
        <v>Waters Corporation|WAT|2020-12-31</v>
      </c>
    </row>
    <row r="1934">
      <c r="A1934" s="1">
        <v>1932.0</v>
      </c>
      <c r="B1934" s="11">
        <v>44377.0</v>
      </c>
      <c r="C1934" s="1" t="s">
        <v>1002</v>
      </c>
      <c r="D1934" s="1" t="s">
        <v>1003</v>
      </c>
      <c r="F1934" s="1">
        <v>3.295E8</v>
      </c>
      <c r="G1934" s="1">
        <v>2.76E8</v>
      </c>
      <c r="H1934" s="1">
        <v>-2.13E7</v>
      </c>
      <c r="I1934" s="1">
        <v>6.865E8</v>
      </c>
      <c r="J1934" s="1">
        <v>3.901E8</v>
      </c>
      <c r="K1934" s="1">
        <v>3.901E8</v>
      </c>
      <c r="L1934" s="1">
        <v>-1.203E8</v>
      </c>
      <c r="M1934" s="1">
        <v>5.41E7</v>
      </c>
      <c r="N1934" s="1">
        <v>1.6762E9</v>
      </c>
      <c r="O1934" s="1">
        <v>1.2861E9</v>
      </c>
      <c r="P1934" s="1">
        <v>9.897E8</v>
      </c>
      <c r="Q1934" s="1">
        <v>-6.06E7</v>
      </c>
      <c r="R1934" s="1">
        <v>2.754E8</v>
      </c>
      <c r="S1934" s="1">
        <v>2.76E8</v>
      </c>
      <c r="W1934" s="4" t="str">
        <f>Raw_Data!C1933&amp;"|"&amp;Raw_Data!D1933&amp;"|"&amp;TEXT(Raw_Data!B1933,"yyyy-mm-dd")</f>
        <v>Waters Corporation|WAT|2020-09-26</v>
      </c>
    </row>
    <row r="1935">
      <c r="A1935" s="1">
        <v>1933.0</v>
      </c>
      <c r="B1935" s="11">
        <v>44286.0</v>
      </c>
      <c r="C1935" s="1" t="s">
        <v>1002</v>
      </c>
      <c r="D1935" s="1" t="s">
        <v>1003</v>
      </c>
      <c r="F1935" s="1">
        <v>5.849E8</v>
      </c>
      <c r="G1935" s="1">
        <v>5.101E8</v>
      </c>
      <c r="H1935" s="1">
        <v>-2.33E7</v>
      </c>
      <c r="I1935" s="1">
        <v>9.459E8</v>
      </c>
      <c r="J1935" s="1">
        <v>6.526E8</v>
      </c>
      <c r="K1935" s="1">
        <v>6.526E8</v>
      </c>
      <c r="L1935" s="1">
        <v>-1.198E8</v>
      </c>
      <c r="M1935" s="1">
        <v>7.49E7</v>
      </c>
      <c r="N1935" s="1">
        <v>2.6914E9</v>
      </c>
      <c r="O1935" s="1">
        <v>2.0388E9</v>
      </c>
      <c r="P1935" s="1">
        <v>1.7455E9</v>
      </c>
      <c r="Q1935" s="1">
        <v>-6.77E7</v>
      </c>
      <c r="R1935" s="1">
        <v>5.1E8</v>
      </c>
      <c r="S1935" s="1">
        <v>5.101E8</v>
      </c>
      <c r="W1935" s="4" t="str">
        <f>Raw_Data!C1934&amp;"|"&amp;Raw_Data!D1934&amp;"|"&amp;TEXT(Raw_Data!B1934,"yyyy-mm-dd")</f>
        <v>WEC Energy Group|WEC|2021-06-30</v>
      </c>
    </row>
    <row r="1936">
      <c r="A1936" s="1">
        <v>1934.0</v>
      </c>
      <c r="B1936" s="11">
        <v>44196.0</v>
      </c>
      <c r="C1936" s="1" t="s">
        <v>1002</v>
      </c>
      <c r="D1936" s="1" t="s">
        <v>1003</v>
      </c>
      <c r="F1936" s="1">
        <v>2.765E8</v>
      </c>
      <c r="G1936" s="1">
        <v>2.39E8</v>
      </c>
      <c r="H1936" s="1">
        <v>1200000.0</v>
      </c>
      <c r="I1936" s="1">
        <v>6.894E8</v>
      </c>
      <c r="J1936" s="1">
        <v>3.875E8</v>
      </c>
      <c r="K1936" s="1">
        <v>3.875E8</v>
      </c>
      <c r="L1936" s="1">
        <v>-1.182E8</v>
      </c>
      <c r="M1936" s="1">
        <v>3.72E7</v>
      </c>
      <c r="N1936" s="1">
        <v>1.9334E9</v>
      </c>
      <c r="O1936" s="1">
        <v>1.5459E9</v>
      </c>
      <c r="P1936" s="1">
        <v>1.244E9</v>
      </c>
      <c r="Q1936" s="1">
        <v>-1.11E8</v>
      </c>
      <c r="R1936" s="1">
        <v>2.393E8</v>
      </c>
      <c r="S1936" s="1">
        <v>2.39E8</v>
      </c>
      <c r="W1936" s="4" t="str">
        <f>Raw_Data!C1935&amp;"|"&amp;Raw_Data!D1935&amp;"|"&amp;TEXT(Raw_Data!B1935,"yyyy-mm-dd")</f>
        <v>WEC Energy Group|WEC|2021-03-31</v>
      </c>
    </row>
    <row r="1937">
      <c r="A1937" s="1">
        <v>1935.0</v>
      </c>
      <c r="B1937" s="11">
        <v>44104.0</v>
      </c>
      <c r="C1937" s="1" t="s">
        <v>1002</v>
      </c>
      <c r="D1937" s="1" t="s">
        <v>1003</v>
      </c>
      <c r="F1937" s="1">
        <v>3.137E8</v>
      </c>
      <c r="G1937" s="1">
        <v>2.668E8</v>
      </c>
      <c r="H1937" s="1">
        <v>-1.18E7</v>
      </c>
      <c r="I1937" s="1">
        <v>6.695E8</v>
      </c>
      <c r="J1937" s="1">
        <v>3.82E8</v>
      </c>
      <c r="K1937" s="1">
        <v>3.82E8</v>
      </c>
      <c r="L1937" s="1">
        <v>-1.223E8</v>
      </c>
      <c r="M1937" s="1">
        <v>4.69E7</v>
      </c>
      <c r="N1937" s="1">
        <v>1.651E9</v>
      </c>
      <c r="O1937" s="1">
        <v>1.269E9</v>
      </c>
      <c r="P1937" s="1">
        <v>9.815E8</v>
      </c>
      <c r="Q1937" s="1">
        <v>-6.83E7</v>
      </c>
      <c r="R1937" s="1">
        <v>2.668E8</v>
      </c>
      <c r="S1937" s="1">
        <v>2.668E8</v>
      </c>
      <c r="W1937" s="4" t="str">
        <f>Raw_Data!C1936&amp;"|"&amp;Raw_Data!D1936&amp;"|"&amp;TEXT(Raw_Data!B1936,"yyyy-mm-dd")</f>
        <v>WEC Energy Group|WEC|2020-12-31</v>
      </c>
    </row>
    <row r="1938">
      <c r="A1938" s="1">
        <v>1936.0</v>
      </c>
      <c r="B1938" s="11">
        <v>44377.0</v>
      </c>
      <c r="C1938" s="1" t="s">
        <v>1004</v>
      </c>
      <c r="D1938" s="1" t="s">
        <v>1005</v>
      </c>
      <c r="F1938" s="1">
        <v>8.189E9</v>
      </c>
      <c r="G1938" s="1">
        <v>6.04E9</v>
      </c>
      <c r="H1938" s="1">
        <v>1.195E10</v>
      </c>
      <c r="I1938" s="1">
        <v>2.1493E10</v>
      </c>
      <c r="J1938" s="1">
        <v>0.0</v>
      </c>
      <c r="K1938" s="1">
        <v>8.227E9</v>
      </c>
      <c r="M1938" s="1">
        <v>1.445E9</v>
      </c>
      <c r="N1938" s="1">
        <v>2.1493E10</v>
      </c>
      <c r="O1938" s="1">
        <v>1.3266E10</v>
      </c>
      <c r="P1938" s="1">
        <v>0.0</v>
      </c>
      <c r="Q1938" s="1">
        <v>-3.8E7</v>
      </c>
      <c r="R1938" s="1">
        <v>6.744E9</v>
      </c>
      <c r="S1938" s="1">
        <v>5.743E9</v>
      </c>
      <c r="W1938" s="4" t="str">
        <f>Raw_Data!C1937&amp;"|"&amp;Raw_Data!D1937&amp;"|"&amp;TEXT(Raw_Data!B1937,"yyyy-mm-dd")</f>
        <v>WEC Energy Group|WEC|2020-09-30</v>
      </c>
    </row>
    <row r="1939">
      <c r="A1939" s="1">
        <v>1937.0</v>
      </c>
      <c r="B1939" s="11">
        <v>44286.0</v>
      </c>
      <c r="C1939" s="1" t="s">
        <v>1004</v>
      </c>
      <c r="D1939" s="1" t="s">
        <v>1005</v>
      </c>
      <c r="F1939" s="1">
        <v>5.591E9</v>
      </c>
      <c r="G1939" s="1">
        <v>4.636E9</v>
      </c>
      <c r="H1939" s="1">
        <v>1.265E10</v>
      </c>
      <c r="I1939" s="1">
        <v>1.958E10</v>
      </c>
      <c r="J1939" s="1">
        <v>0.0</v>
      </c>
      <c r="K1939" s="1">
        <v>5.525E9</v>
      </c>
      <c r="M1939" s="1">
        <v>9.01E8</v>
      </c>
      <c r="N1939" s="1">
        <v>1.958E10</v>
      </c>
      <c r="O1939" s="1">
        <v>1.4055E10</v>
      </c>
      <c r="P1939" s="1">
        <v>0.0</v>
      </c>
      <c r="Q1939" s="1">
        <v>6.6E7</v>
      </c>
      <c r="R1939" s="1">
        <v>4.69E9</v>
      </c>
      <c r="S1939" s="1">
        <v>4.256E9</v>
      </c>
      <c r="W1939" s="4" t="str">
        <f>Raw_Data!C1938&amp;"|"&amp;Raw_Data!D1938&amp;"|"&amp;TEXT(Raw_Data!B1938,"yyyy-mm-dd")</f>
        <v>Wells Fargo|WFC|2021-06-30</v>
      </c>
    </row>
    <row r="1940">
      <c r="A1940" s="1">
        <v>1938.0</v>
      </c>
      <c r="B1940" s="11">
        <v>44196.0</v>
      </c>
      <c r="C1940" s="1" t="s">
        <v>1004</v>
      </c>
      <c r="D1940" s="1" t="s">
        <v>1005</v>
      </c>
      <c r="F1940" s="1">
        <v>3.302E9</v>
      </c>
      <c r="G1940" s="1">
        <v>2.992E9</v>
      </c>
      <c r="H1940" s="1">
        <v>1.2641E10</v>
      </c>
      <c r="I1940" s="1">
        <v>1.8175E10</v>
      </c>
      <c r="J1940" s="1">
        <v>0.0</v>
      </c>
      <c r="K1940" s="1">
        <v>4.083E9</v>
      </c>
      <c r="M1940" s="1">
        <v>1.08E8</v>
      </c>
      <c r="N1940" s="1">
        <v>1.8175E10</v>
      </c>
      <c r="O1940" s="1">
        <v>1.4092E10</v>
      </c>
      <c r="P1940" s="1">
        <v>0.0</v>
      </c>
      <c r="Q1940" s="1">
        <v>-7.81E8</v>
      </c>
      <c r="R1940" s="1">
        <v>3.194E9</v>
      </c>
      <c r="S1940" s="1">
        <v>2.642E9</v>
      </c>
      <c r="W1940" s="4" t="str">
        <f>Raw_Data!C1939&amp;"|"&amp;Raw_Data!D1939&amp;"|"&amp;TEXT(Raw_Data!B1939,"yyyy-mm-dd")</f>
        <v>Wells Fargo|WFC|2021-03-31</v>
      </c>
    </row>
    <row r="1941">
      <c r="A1941" s="1">
        <v>1939.0</v>
      </c>
      <c r="B1941" s="11">
        <v>44104.0</v>
      </c>
      <c r="C1941" s="1" t="s">
        <v>1004</v>
      </c>
      <c r="D1941" s="1" t="s">
        <v>1005</v>
      </c>
      <c r="F1941" s="1">
        <v>2.864E9</v>
      </c>
      <c r="G1941" s="1">
        <v>2.035E9</v>
      </c>
      <c r="H1941" s="1">
        <v>1.2461E10</v>
      </c>
      <c r="I1941" s="1">
        <v>1.81E10</v>
      </c>
      <c r="J1941" s="1">
        <v>0.0</v>
      </c>
      <c r="K1941" s="1">
        <v>3.589E9</v>
      </c>
      <c r="M1941" s="1">
        <v>6.45E8</v>
      </c>
      <c r="N1941" s="1">
        <v>1.81E10</v>
      </c>
      <c r="O1941" s="1">
        <v>1.4511E10</v>
      </c>
      <c r="P1941" s="1">
        <v>0.0</v>
      </c>
      <c r="Q1941" s="1">
        <v>-7.25E8</v>
      </c>
      <c r="R1941" s="1">
        <v>2.219E9</v>
      </c>
      <c r="S1941" s="1">
        <v>1.72E9</v>
      </c>
      <c r="W1941" s="4" t="str">
        <f>Raw_Data!C1940&amp;"|"&amp;Raw_Data!D1940&amp;"|"&amp;TEXT(Raw_Data!B1940,"yyyy-mm-dd")</f>
        <v>Wells Fargo|WFC|2020-12-31</v>
      </c>
    </row>
    <row r="1942">
      <c r="A1942" s="1">
        <v>1940.0</v>
      </c>
      <c r="B1942" s="11">
        <v>44377.0</v>
      </c>
      <c r="C1942" s="1" t="s">
        <v>1006</v>
      </c>
      <c r="D1942" s="1" t="s">
        <v>1007</v>
      </c>
      <c r="F1942" s="1">
        <v>4.3536E7</v>
      </c>
      <c r="G1942" s="1">
        <v>2.6257E7</v>
      </c>
      <c r="H1942" s="1">
        <v>3.1436E7</v>
      </c>
      <c r="I1942" s="1">
        <v>4.90603E8</v>
      </c>
      <c r="J1942" s="1">
        <v>2.18282E8</v>
      </c>
      <c r="K1942" s="1">
        <v>2.18282E8</v>
      </c>
      <c r="L1942" s="1">
        <v>-1.22341E8</v>
      </c>
      <c r="M1942" s="1">
        <v>-2221000.0</v>
      </c>
      <c r="N1942" s="1">
        <v>1.140992E9</v>
      </c>
      <c r="O1942" s="1">
        <v>9.2271E8</v>
      </c>
      <c r="P1942" s="1">
        <v>6.50389E8</v>
      </c>
      <c r="Q1942" s="1">
        <v>-1.74746E8</v>
      </c>
      <c r="R1942" s="1">
        <v>4.5757E7</v>
      </c>
      <c r="S1942" s="1">
        <v>2.6257E7</v>
      </c>
      <c r="W1942" s="4" t="str">
        <f>Raw_Data!C1941&amp;"|"&amp;Raw_Data!D1941&amp;"|"&amp;TEXT(Raw_Data!B1941,"yyyy-mm-dd")</f>
        <v>Wells Fargo|WFC|2020-09-30</v>
      </c>
    </row>
    <row r="1943">
      <c r="A1943" s="1">
        <v>1941.0</v>
      </c>
      <c r="B1943" s="11">
        <v>44286.0</v>
      </c>
      <c r="C1943" s="1" t="s">
        <v>1006</v>
      </c>
      <c r="D1943" s="1" t="s">
        <v>1007</v>
      </c>
      <c r="F1943" s="1">
        <v>7.6135E7</v>
      </c>
      <c r="G1943" s="1">
        <v>7.1546E7</v>
      </c>
      <c r="H1943" s="1">
        <v>2.9926E7</v>
      </c>
      <c r="I1943" s="1">
        <v>4.12149E8</v>
      </c>
      <c r="J1943" s="1">
        <v>1.37797E8</v>
      </c>
      <c r="K1943" s="1">
        <v>1.37797E8</v>
      </c>
      <c r="L1943" s="1">
        <v>-1.23142E8</v>
      </c>
      <c r="M1943" s="1">
        <v>3943000.0</v>
      </c>
      <c r="N1943" s="1">
        <v>1.052062E9</v>
      </c>
      <c r="O1943" s="1">
        <v>9.14265E8</v>
      </c>
      <c r="P1943" s="1">
        <v>6.39913E8</v>
      </c>
      <c r="Q1943" s="1">
        <v>-6.1662E7</v>
      </c>
      <c r="R1943" s="1">
        <v>7.2192E7</v>
      </c>
      <c r="S1943" s="1">
        <v>7.1546E7</v>
      </c>
      <c r="W1943" s="4" t="str">
        <f>Raw_Data!C1942&amp;"|"&amp;Raw_Data!D1942&amp;"|"&amp;TEXT(Raw_Data!B1942,"yyyy-mm-dd")</f>
        <v>Welltower|WELL|2021-06-30</v>
      </c>
    </row>
    <row r="1944">
      <c r="A1944" s="1">
        <v>1942.0</v>
      </c>
      <c r="B1944" s="11">
        <v>44196.0</v>
      </c>
      <c r="C1944" s="1" t="s">
        <v>1006</v>
      </c>
      <c r="D1944" s="1" t="s">
        <v>1007</v>
      </c>
      <c r="F1944" s="1">
        <v>1.55568E8</v>
      </c>
      <c r="G1944" s="1">
        <v>1.63729E8</v>
      </c>
      <c r="H1944" s="1">
        <v>2.7848E7</v>
      </c>
      <c r="I1944" s="1">
        <v>4.19534E8</v>
      </c>
      <c r="J1944" s="1">
        <v>1.48953E8</v>
      </c>
      <c r="K1944" s="1">
        <v>1.48953E8</v>
      </c>
      <c r="L1944" s="1">
        <v>-1.21173E8</v>
      </c>
      <c r="M1944" s="1">
        <v>290000.0</v>
      </c>
      <c r="N1944" s="1">
        <v>1.122016E9</v>
      </c>
      <c r="O1944" s="1">
        <v>9.73063E8</v>
      </c>
      <c r="P1944" s="1">
        <v>7.02482E8</v>
      </c>
      <c r="Q1944" s="1">
        <v>6615000.0</v>
      </c>
      <c r="R1944" s="1">
        <v>1.55278E8</v>
      </c>
      <c r="S1944" s="1">
        <v>1.63729E8</v>
      </c>
      <c r="W1944" s="4" t="str">
        <f>Raw_Data!C1943&amp;"|"&amp;Raw_Data!D1943&amp;"|"&amp;TEXT(Raw_Data!B1943,"yyyy-mm-dd")</f>
        <v>Welltower|WELL|2021-03-31</v>
      </c>
    </row>
    <row r="1945">
      <c r="A1945" s="1">
        <v>1943.0</v>
      </c>
      <c r="B1945" s="11">
        <v>44104.0</v>
      </c>
      <c r="C1945" s="1" t="s">
        <v>1006</v>
      </c>
      <c r="D1945" s="1" t="s">
        <v>1007</v>
      </c>
      <c r="F1945" s="1">
        <v>3.96981E8</v>
      </c>
      <c r="G1945" s="1">
        <v>3.25585E8</v>
      </c>
      <c r="H1945" s="1">
        <v>3.1003E7</v>
      </c>
      <c r="I1945" s="1">
        <v>4.17492E8</v>
      </c>
      <c r="J1945" s="1">
        <v>1.30957E8</v>
      </c>
      <c r="K1945" s="1">
        <v>1.30957E8</v>
      </c>
      <c r="L1945" s="1">
        <v>-1.24851E8</v>
      </c>
      <c r="M1945" s="1">
        <v>2003000.0</v>
      </c>
      <c r="N1945" s="1">
        <v>1.036874E9</v>
      </c>
      <c r="O1945" s="1">
        <v>9.05917E8</v>
      </c>
      <c r="P1945" s="1">
        <v>6.19382E8</v>
      </c>
      <c r="Q1945" s="1">
        <v>2.66024E8</v>
      </c>
      <c r="R1945" s="1">
        <v>3.94978E8</v>
      </c>
      <c r="S1945" s="1">
        <v>3.25585E8</v>
      </c>
      <c r="W1945" s="4" t="str">
        <f>Raw_Data!C1944&amp;"|"&amp;Raw_Data!D1944&amp;"|"&amp;TEXT(Raw_Data!B1944,"yyyy-mm-dd")</f>
        <v>Welltower|WELL|2020-12-31</v>
      </c>
    </row>
    <row r="1946">
      <c r="A1946" s="1">
        <v>1944.0</v>
      </c>
      <c r="B1946" s="11">
        <v>44377.0</v>
      </c>
      <c r="C1946" s="1" t="s">
        <v>1008</v>
      </c>
      <c r="D1946" s="1" t="s">
        <v>1009</v>
      </c>
      <c r="E1946" s="1">
        <v>1.38E7</v>
      </c>
      <c r="F1946" s="1">
        <v>2.196E8</v>
      </c>
      <c r="G1946" s="1">
        <v>1.873E8</v>
      </c>
      <c r="H1946" s="1">
        <v>9.14E7</v>
      </c>
      <c r="I1946" s="1">
        <v>3.151E8</v>
      </c>
      <c r="J1946" s="1">
        <v>2.114E8</v>
      </c>
      <c r="K1946" s="1">
        <v>2.114E8</v>
      </c>
      <c r="L1946" s="1">
        <v>-1900000.0</v>
      </c>
      <c r="M1946" s="1">
        <v>3.23E7</v>
      </c>
      <c r="N1946" s="1">
        <v>7.236E8</v>
      </c>
      <c r="O1946" s="1">
        <v>5.122E8</v>
      </c>
      <c r="P1946" s="1">
        <v>4.085E8</v>
      </c>
      <c r="Q1946" s="1">
        <v>8200000.0</v>
      </c>
      <c r="R1946" s="1">
        <v>1.873E8</v>
      </c>
      <c r="S1946" s="1">
        <v>1.873E8</v>
      </c>
      <c r="W1946" s="4" t="str">
        <f>Raw_Data!C1945&amp;"|"&amp;Raw_Data!D1945&amp;"|"&amp;TEXT(Raw_Data!B1945,"yyyy-mm-dd")</f>
        <v>Welltower|WELL|2020-09-30</v>
      </c>
    </row>
    <row r="1947">
      <c r="A1947" s="1">
        <v>1945.0</v>
      </c>
      <c r="B1947" s="11">
        <v>44286.0</v>
      </c>
      <c r="C1947" s="1" t="s">
        <v>1008</v>
      </c>
      <c r="D1947" s="1" t="s">
        <v>1009</v>
      </c>
      <c r="E1947" s="1">
        <v>1.22E7</v>
      </c>
      <c r="F1947" s="1">
        <v>1.799E8</v>
      </c>
      <c r="G1947" s="1">
        <v>1.512E8</v>
      </c>
      <c r="H1947" s="1">
        <v>7.92E7</v>
      </c>
      <c r="I1947" s="1">
        <v>2.719E8</v>
      </c>
      <c r="J1947" s="1">
        <v>1.783E8</v>
      </c>
      <c r="K1947" s="1">
        <v>1.783E8</v>
      </c>
      <c r="L1947" s="1">
        <v>-1900000.0</v>
      </c>
      <c r="M1947" s="1">
        <v>2.87E7</v>
      </c>
      <c r="N1947" s="1">
        <v>6.707E8</v>
      </c>
      <c r="O1947" s="1">
        <v>4.924E8</v>
      </c>
      <c r="P1947" s="1">
        <v>3.988E8</v>
      </c>
      <c r="Q1947" s="1">
        <v>1600000.0</v>
      </c>
      <c r="R1947" s="1">
        <v>1.512E8</v>
      </c>
      <c r="S1947" s="1">
        <v>1.512E8</v>
      </c>
      <c r="W1947" s="4" t="str">
        <f>Raw_Data!C1946&amp;"|"&amp;Raw_Data!D1946&amp;"|"&amp;TEXT(Raw_Data!B1946,"yyyy-mm-dd")</f>
        <v>West Pharmaceutical Services|WST|2021-06-30</v>
      </c>
    </row>
    <row r="1948">
      <c r="A1948" s="1">
        <v>1946.0</v>
      </c>
      <c r="B1948" s="11">
        <v>44196.0</v>
      </c>
      <c r="C1948" s="1" t="s">
        <v>1008</v>
      </c>
      <c r="D1948" s="1" t="s">
        <v>1009</v>
      </c>
      <c r="E1948" s="1">
        <v>1.29E7</v>
      </c>
      <c r="F1948" s="1">
        <v>1.188E8</v>
      </c>
      <c r="G1948" s="1">
        <v>9.84E7</v>
      </c>
      <c r="H1948" s="1">
        <v>7.53E7</v>
      </c>
      <c r="I1948" s="1">
        <v>2.111E8</v>
      </c>
      <c r="J1948" s="1">
        <v>1.21E8</v>
      </c>
      <c r="K1948" s="1">
        <v>1.21E8</v>
      </c>
      <c r="L1948" s="1">
        <v>-2100000.0</v>
      </c>
      <c r="M1948" s="1">
        <v>2.04E7</v>
      </c>
      <c r="N1948" s="1">
        <v>5.802E8</v>
      </c>
      <c r="O1948" s="1">
        <v>4.592E8</v>
      </c>
      <c r="P1948" s="1">
        <v>3.691E8</v>
      </c>
      <c r="Q1948" s="1">
        <v>-2200000.0</v>
      </c>
      <c r="R1948" s="1">
        <v>9.84E7</v>
      </c>
      <c r="S1948" s="1">
        <v>9.84E7</v>
      </c>
      <c r="W1948" s="4" t="str">
        <f>Raw_Data!C1947&amp;"|"&amp;Raw_Data!D1947&amp;"|"&amp;TEXT(Raw_Data!B1947,"yyyy-mm-dd")</f>
        <v>West Pharmaceutical Services|WST|2021-03-31</v>
      </c>
    </row>
    <row r="1949">
      <c r="A1949" s="1">
        <v>1947.0</v>
      </c>
      <c r="B1949" s="11">
        <v>44104.0</v>
      </c>
      <c r="C1949" s="1" t="s">
        <v>1008</v>
      </c>
      <c r="D1949" s="1" t="s">
        <v>1009</v>
      </c>
      <c r="E1949" s="1">
        <v>1.25E7</v>
      </c>
      <c r="F1949" s="1">
        <v>1.034E8</v>
      </c>
      <c r="G1949" s="1">
        <v>8.23E7</v>
      </c>
      <c r="H1949" s="1">
        <v>7.59E7</v>
      </c>
      <c r="I1949" s="1">
        <v>1.946E8</v>
      </c>
      <c r="J1949" s="1">
        <v>1.067E8</v>
      </c>
      <c r="K1949" s="1">
        <v>1.067E8</v>
      </c>
      <c r="L1949" s="1">
        <v>-2100000.0</v>
      </c>
      <c r="M1949" s="1">
        <v>2.11E7</v>
      </c>
      <c r="N1949" s="1">
        <v>5.48E8</v>
      </c>
      <c r="O1949" s="1">
        <v>4.413E8</v>
      </c>
      <c r="P1949" s="1">
        <v>3.534E8</v>
      </c>
      <c r="Q1949" s="1">
        <v>-3300000.0</v>
      </c>
      <c r="R1949" s="1">
        <v>8.23E7</v>
      </c>
      <c r="S1949" s="1">
        <v>8.23E7</v>
      </c>
      <c r="W1949" s="4" t="str">
        <f>Raw_Data!C1948&amp;"|"&amp;Raw_Data!D1948&amp;"|"&amp;TEXT(Raw_Data!B1948,"yyyy-mm-dd")</f>
        <v>West Pharmaceutical Services|WST|2020-12-31</v>
      </c>
    </row>
    <row r="1950">
      <c r="A1950" s="1">
        <v>1948.0</v>
      </c>
      <c r="B1950" s="11">
        <v>44288.0</v>
      </c>
      <c r="C1950" s="1" t="s">
        <v>1010</v>
      </c>
      <c r="D1950" s="1" t="s">
        <v>1011</v>
      </c>
      <c r="E1950" s="1">
        <v>5.55E8</v>
      </c>
      <c r="F1950" s="1">
        <v>2.49E8</v>
      </c>
      <c r="G1950" s="1">
        <v>1.97E8</v>
      </c>
      <c r="H1950" s="1">
        <v>2.87E8</v>
      </c>
      <c r="I1950" s="1">
        <v>1.124E9</v>
      </c>
      <c r="J1950" s="1">
        <v>2.82E8</v>
      </c>
      <c r="K1950" s="1">
        <v>2.82E8</v>
      </c>
      <c r="L1950" s="1">
        <v>-8.1E7</v>
      </c>
      <c r="M1950" s="1">
        <v>5.2E7</v>
      </c>
      <c r="N1950" s="1">
        <v>4.137E9</v>
      </c>
      <c r="O1950" s="1">
        <v>3.855E9</v>
      </c>
      <c r="P1950" s="1">
        <v>3.013E9</v>
      </c>
      <c r="Q1950" s="1">
        <v>-3.3E7</v>
      </c>
      <c r="R1950" s="1">
        <v>1.97E8</v>
      </c>
      <c r="S1950" s="1">
        <v>1.97E8</v>
      </c>
      <c r="W1950" s="4" t="str">
        <f>Raw_Data!C1949&amp;"|"&amp;Raw_Data!D1949&amp;"|"&amp;TEXT(Raw_Data!B1949,"yyyy-mm-dd")</f>
        <v>West Pharmaceutical Services|WST|2020-09-30</v>
      </c>
    </row>
    <row r="1951">
      <c r="A1951" s="1">
        <v>1949.0</v>
      </c>
      <c r="B1951" s="11">
        <v>44197.0</v>
      </c>
      <c r="C1951" s="1" t="s">
        <v>1010</v>
      </c>
      <c r="D1951" s="1" t="s">
        <v>1011</v>
      </c>
      <c r="E1951" s="1">
        <v>5.35E8</v>
      </c>
      <c r="F1951" s="1">
        <v>8.5E7</v>
      </c>
      <c r="G1951" s="1">
        <v>6.2E7</v>
      </c>
      <c r="H1951" s="1">
        <v>2.65E8</v>
      </c>
      <c r="I1951" s="1">
        <v>9.6E8</v>
      </c>
      <c r="J1951" s="1">
        <v>1.6E8</v>
      </c>
      <c r="K1951" s="1">
        <v>1.6E8</v>
      </c>
      <c r="L1951" s="1">
        <v>-8.1E7</v>
      </c>
      <c r="M1951" s="1">
        <v>2.3E7</v>
      </c>
      <c r="N1951" s="1">
        <v>3.943E9</v>
      </c>
      <c r="O1951" s="1">
        <v>3.783E9</v>
      </c>
      <c r="P1951" s="1">
        <v>2.983E9</v>
      </c>
      <c r="Q1951" s="1">
        <v>-7.5E7</v>
      </c>
      <c r="R1951" s="1">
        <v>6.2E7</v>
      </c>
      <c r="S1951" s="1">
        <v>6.2E7</v>
      </c>
      <c r="W1951" s="4" t="str">
        <f>Raw_Data!C1950&amp;"|"&amp;Raw_Data!D1950&amp;"|"&amp;TEXT(Raw_Data!B1950,"yyyy-mm-dd")</f>
        <v>Western Digital|WDC|2021-04-02</v>
      </c>
    </row>
    <row r="1952">
      <c r="A1952" s="1">
        <v>1950.0</v>
      </c>
      <c r="B1952" s="11">
        <v>44106.0</v>
      </c>
      <c r="C1952" s="1" t="s">
        <v>1010</v>
      </c>
      <c r="D1952" s="1" t="s">
        <v>1011</v>
      </c>
      <c r="E1952" s="1">
        <v>5.55E8</v>
      </c>
      <c r="F1952" s="1">
        <v>-3000000.0</v>
      </c>
      <c r="G1952" s="1">
        <v>-6.0E7</v>
      </c>
      <c r="H1952" s="1">
        <v>2.56E8</v>
      </c>
      <c r="I1952" s="1">
        <v>8.74E8</v>
      </c>
      <c r="J1952" s="1">
        <v>6.3E7</v>
      </c>
      <c r="K1952" s="1">
        <v>6.3E7</v>
      </c>
      <c r="L1952" s="1">
        <v>-8.4E7</v>
      </c>
      <c r="M1952" s="1">
        <v>5.7E7</v>
      </c>
      <c r="N1952" s="1">
        <v>3.922E9</v>
      </c>
      <c r="O1952" s="1">
        <v>3.859E9</v>
      </c>
      <c r="P1952" s="1">
        <v>3.048E9</v>
      </c>
      <c r="Q1952" s="1">
        <v>-6.6E7</v>
      </c>
      <c r="R1952" s="1">
        <v>-6.0E7</v>
      </c>
      <c r="S1952" s="1">
        <v>-6.0E7</v>
      </c>
      <c r="W1952" s="4" t="str">
        <f>Raw_Data!C1951&amp;"|"&amp;Raw_Data!D1951&amp;"|"&amp;TEXT(Raw_Data!B1951,"yyyy-mm-dd")</f>
        <v>Western Digital|WDC|2021-01-01</v>
      </c>
    </row>
    <row r="1953">
      <c r="A1953" s="1">
        <v>1951.0</v>
      </c>
      <c r="B1953" s="11">
        <v>44015.0</v>
      </c>
      <c r="C1953" s="1" t="s">
        <v>1010</v>
      </c>
      <c r="D1953" s="1" t="s">
        <v>1011</v>
      </c>
      <c r="E1953" s="1">
        <v>5.46E8</v>
      </c>
      <c r="F1953" s="1">
        <v>1.85E8</v>
      </c>
      <c r="G1953" s="1">
        <v>1.48E8</v>
      </c>
      <c r="H1953" s="1">
        <v>2.68E8</v>
      </c>
      <c r="I1953" s="1">
        <v>1.002E9</v>
      </c>
      <c r="J1953" s="1">
        <v>1.88E8</v>
      </c>
      <c r="K1953" s="1">
        <v>1.88E8</v>
      </c>
      <c r="L1953" s="1">
        <v>-8.7E7</v>
      </c>
      <c r="M1953" s="1">
        <v>3.7E7</v>
      </c>
      <c r="N1953" s="1">
        <v>4.287E9</v>
      </c>
      <c r="O1953" s="1">
        <v>4.099E9</v>
      </c>
      <c r="P1953" s="1">
        <v>3.285E9</v>
      </c>
      <c r="Q1953" s="1">
        <v>-3000000.0</v>
      </c>
      <c r="R1953" s="1">
        <v>1.48E8</v>
      </c>
      <c r="S1953" s="1">
        <v>1.48E8</v>
      </c>
      <c r="W1953" s="4" t="str">
        <f>Raw_Data!C1952&amp;"|"&amp;Raw_Data!D1952&amp;"|"&amp;TEXT(Raw_Data!B1952,"yyyy-mm-dd")</f>
        <v>Western Digital|WDC|2020-10-02</v>
      </c>
    </row>
    <row r="1954">
      <c r="A1954" s="1">
        <v>1952.0</v>
      </c>
      <c r="B1954" s="11">
        <v>44377.0</v>
      </c>
      <c r="C1954" s="1" t="s">
        <v>1012</v>
      </c>
      <c r="D1954" s="1" t="s">
        <v>1013</v>
      </c>
      <c r="F1954" s="1">
        <v>2.601E8</v>
      </c>
      <c r="G1954" s="1">
        <v>2.225E8</v>
      </c>
      <c r="H1954" s="1">
        <v>2.828E8</v>
      </c>
      <c r="I1954" s="1">
        <v>5.347E8</v>
      </c>
      <c r="J1954" s="1">
        <v>2.519E8</v>
      </c>
      <c r="K1954" s="1">
        <v>2.519E8</v>
      </c>
      <c r="L1954" s="1">
        <v>-2.56E7</v>
      </c>
      <c r="M1954" s="1">
        <v>3.76E7</v>
      </c>
      <c r="N1954" s="1">
        <v>1.2897E9</v>
      </c>
      <c r="O1954" s="1">
        <v>1.0378E9</v>
      </c>
      <c r="P1954" s="1">
        <v>7.55E8</v>
      </c>
      <c r="Q1954" s="1">
        <v>8200000.0</v>
      </c>
      <c r="R1954" s="1">
        <v>2.225E8</v>
      </c>
      <c r="S1954" s="1">
        <v>2.225E8</v>
      </c>
      <c r="W1954" s="4" t="str">
        <f>Raw_Data!C1953&amp;"|"&amp;Raw_Data!D1953&amp;"|"&amp;TEXT(Raw_Data!B1953,"yyyy-mm-dd")</f>
        <v>Western Digital|WDC|2020-07-03</v>
      </c>
    </row>
    <row r="1955">
      <c r="A1955" s="1">
        <v>1953.0</v>
      </c>
      <c r="B1955" s="11">
        <v>44286.0</v>
      </c>
      <c r="C1955" s="1" t="s">
        <v>1012</v>
      </c>
      <c r="D1955" s="1" t="s">
        <v>1013</v>
      </c>
      <c r="F1955" s="1">
        <v>2.029E8</v>
      </c>
      <c r="G1955" s="1">
        <v>1.818E8</v>
      </c>
      <c r="H1955" s="1">
        <v>2.743E8</v>
      </c>
      <c r="I1955" s="1">
        <v>5.04E8</v>
      </c>
      <c r="J1955" s="1">
        <v>2.297E8</v>
      </c>
      <c r="K1955" s="1">
        <v>2.297E8</v>
      </c>
      <c r="L1955" s="1">
        <v>-2.84E7</v>
      </c>
      <c r="M1955" s="1">
        <v>2.11E7</v>
      </c>
      <c r="N1955" s="1">
        <v>1.21E9</v>
      </c>
      <c r="O1955" s="1">
        <v>9.803E8</v>
      </c>
      <c r="P1955" s="1">
        <v>7.06E8</v>
      </c>
      <c r="Q1955" s="1">
        <v>-2.68E7</v>
      </c>
      <c r="R1955" s="1">
        <v>1.818E8</v>
      </c>
      <c r="S1955" s="1">
        <v>1.818E8</v>
      </c>
      <c r="W1955" s="4" t="str">
        <f>Raw_Data!C1954&amp;"|"&amp;Raw_Data!D1954&amp;"|"&amp;TEXT(Raw_Data!B1954,"yyyy-mm-dd")</f>
        <v>Western Union|WU|2021-06-30</v>
      </c>
    </row>
    <row r="1956">
      <c r="A1956" s="1">
        <v>1954.0</v>
      </c>
      <c r="B1956" s="11">
        <v>44196.0</v>
      </c>
      <c r="C1956" s="1" t="s">
        <v>1012</v>
      </c>
      <c r="D1956" s="1" t="s">
        <v>1013</v>
      </c>
      <c r="F1956" s="1">
        <v>1.99E8</v>
      </c>
      <c r="G1956" s="1">
        <v>1.771E8</v>
      </c>
      <c r="H1956" s="1">
        <v>2.786E8</v>
      </c>
      <c r="I1956" s="1">
        <v>5.146E8</v>
      </c>
      <c r="J1956" s="1">
        <v>2.36E8</v>
      </c>
      <c r="K1956" s="1">
        <v>2.36E8</v>
      </c>
      <c r="L1956" s="1">
        <v>-2.81E7</v>
      </c>
      <c r="M1956" s="1">
        <v>2.19E7</v>
      </c>
      <c r="N1956" s="1">
        <v>1.2718E9</v>
      </c>
      <c r="O1956" s="1">
        <v>1.0358E9</v>
      </c>
      <c r="P1956" s="1">
        <v>7.572E8</v>
      </c>
      <c r="Q1956" s="1">
        <v>-3.7E7</v>
      </c>
      <c r="R1956" s="1">
        <v>1.771E8</v>
      </c>
      <c r="S1956" s="1">
        <v>1.771E8</v>
      </c>
      <c r="W1956" s="4" t="str">
        <f>Raw_Data!C1955&amp;"|"&amp;Raw_Data!D1955&amp;"|"&amp;TEXT(Raw_Data!B1955,"yyyy-mm-dd")</f>
        <v>Western Union|WU|2021-03-31</v>
      </c>
    </row>
    <row r="1957">
      <c r="A1957" s="1">
        <v>1955.0</v>
      </c>
      <c r="B1957" s="11">
        <v>44104.0</v>
      </c>
      <c r="C1957" s="1" t="s">
        <v>1012</v>
      </c>
      <c r="D1957" s="1" t="s">
        <v>1013</v>
      </c>
      <c r="F1957" s="1">
        <v>2.61E8</v>
      </c>
      <c r="G1957" s="1">
        <v>2.286E8</v>
      </c>
      <c r="H1957" s="1">
        <v>2.462E8</v>
      </c>
      <c r="I1957" s="1">
        <v>5.376E8</v>
      </c>
      <c r="J1957" s="1">
        <v>2.914E8</v>
      </c>
      <c r="K1957" s="1">
        <v>2.914E8</v>
      </c>
      <c r="L1957" s="1">
        <v>-2.82E7</v>
      </c>
      <c r="M1957" s="1">
        <v>3.24E7</v>
      </c>
      <c r="N1957" s="1">
        <v>1.2585E9</v>
      </c>
      <c r="O1957" s="1">
        <v>9.671E8</v>
      </c>
      <c r="P1957" s="1">
        <v>7.209E8</v>
      </c>
      <c r="Q1957" s="1">
        <v>-3.04E7</v>
      </c>
      <c r="R1957" s="1">
        <v>2.286E8</v>
      </c>
      <c r="S1957" s="1">
        <v>2.286E8</v>
      </c>
      <c r="W1957" s="4" t="str">
        <f>Raw_Data!C1956&amp;"|"&amp;Raw_Data!D1956&amp;"|"&amp;TEXT(Raw_Data!B1956,"yyyy-mm-dd")</f>
        <v>Western Union|WU|2020-12-31</v>
      </c>
    </row>
    <row r="1958">
      <c r="A1958" s="1">
        <v>1956.0</v>
      </c>
      <c r="B1958" s="11">
        <v>44286.0</v>
      </c>
      <c r="C1958" s="1" t="s">
        <v>1014</v>
      </c>
      <c r="D1958" s="1" t="s">
        <v>1015</v>
      </c>
      <c r="F1958" s="1">
        <v>1.449E8</v>
      </c>
      <c r="G1958" s="1">
        <v>1.125E8</v>
      </c>
      <c r="H1958" s="1">
        <v>4.234E8</v>
      </c>
      <c r="I1958" s="1">
        <v>7.496E8</v>
      </c>
      <c r="J1958" s="1">
        <v>2.376E8</v>
      </c>
      <c r="K1958" s="1">
        <v>2.376E8</v>
      </c>
      <c r="L1958" s="1">
        <v>-9.49E7</v>
      </c>
      <c r="M1958" s="1">
        <v>3.05E7</v>
      </c>
      <c r="N1958" s="1">
        <v>4.4378E9</v>
      </c>
      <c r="O1958" s="1">
        <v>4.2002E9</v>
      </c>
      <c r="P1958" s="1">
        <v>3.6882E9</v>
      </c>
      <c r="Q1958" s="1">
        <v>-9.27E7</v>
      </c>
      <c r="R1958" s="1">
        <v>1.144E8</v>
      </c>
      <c r="S1958" s="1">
        <v>1.124E8</v>
      </c>
      <c r="W1958" s="4" t="str">
        <f>Raw_Data!C1957&amp;"|"&amp;Raw_Data!D1957&amp;"|"&amp;TEXT(Raw_Data!B1957,"yyyy-mm-dd")</f>
        <v>Western Union|WU|2020-09-30</v>
      </c>
    </row>
    <row r="1959">
      <c r="A1959" s="1">
        <v>1957.0</v>
      </c>
      <c r="B1959" s="11">
        <v>44196.0</v>
      </c>
      <c r="C1959" s="1" t="s">
        <v>1014</v>
      </c>
      <c r="D1959" s="1" t="s">
        <v>1015</v>
      </c>
      <c r="F1959" s="1">
        <v>2.028E8</v>
      </c>
      <c r="G1959" s="1">
        <v>1.52E8</v>
      </c>
      <c r="H1959" s="1">
        <v>3.829E8</v>
      </c>
      <c r="I1959" s="1">
        <v>7.523E8</v>
      </c>
      <c r="J1959" s="1">
        <v>2.775E8</v>
      </c>
      <c r="K1959" s="1">
        <v>2.775E8</v>
      </c>
      <c r="L1959" s="1">
        <v>-1.055E8</v>
      </c>
      <c r="M1959" s="1">
        <v>5.03E7</v>
      </c>
      <c r="N1959" s="1">
        <v>4.4015E9</v>
      </c>
      <c r="O1959" s="1">
        <v>4.124E9</v>
      </c>
      <c r="P1959" s="1">
        <v>3.6492E9</v>
      </c>
      <c r="Q1959" s="1">
        <v>-7.47E7</v>
      </c>
      <c r="R1959" s="1">
        <v>1.525E8</v>
      </c>
      <c r="S1959" s="1">
        <v>1.52E8</v>
      </c>
      <c r="W1959" s="4" t="str">
        <f>Raw_Data!C1958&amp;"|"&amp;Raw_Data!D1958&amp;"|"&amp;TEXT(Raw_Data!B1958,"yyyy-mm-dd")</f>
        <v>WestRock|WRK|2021-03-31</v>
      </c>
    </row>
    <row r="1960">
      <c r="A1960" s="1">
        <v>1958.0</v>
      </c>
      <c r="B1960" s="11">
        <v>44104.0</v>
      </c>
      <c r="C1960" s="1" t="s">
        <v>1014</v>
      </c>
      <c r="D1960" s="1" t="s">
        <v>1015</v>
      </c>
      <c r="F1960" s="1">
        <v>-1.1145E9</v>
      </c>
      <c r="G1960" s="1">
        <v>-1.156E9</v>
      </c>
      <c r="H1960" s="1">
        <v>3.651E8</v>
      </c>
      <c r="I1960" s="1">
        <v>8.73E8</v>
      </c>
      <c r="J1960" s="1">
        <v>4.089E8</v>
      </c>
      <c r="K1960" s="1">
        <v>4.089E8</v>
      </c>
      <c r="L1960" s="1">
        <v>-1.647E8</v>
      </c>
      <c r="M1960" s="1">
        <v>4.0E7</v>
      </c>
      <c r="N1960" s="1">
        <v>4.4715E9</v>
      </c>
      <c r="O1960" s="1">
        <v>4.0626E9</v>
      </c>
      <c r="P1960" s="1">
        <v>3.5985E9</v>
      </c>
      <c r="Q1960" s="1">
        <v>-1.5234E9</v>
      </c>
      <c r="R1960" s="1">
        <v>-1.1545E9</v>
      </c>
      <c r="S1960" s="1">
        <v>-1.156E9</v>
      </c>
      <c r="W1960" s="4" t="str">
        <f>Raw_Data!C1959&amp;"|"&amp;Raw_Data!D1959&amp;"|"&amp;TEXT(Raw_Data!B1959,"yyyy-mm-dd")</f>
        <v>WestRock|WRK|2020-12-31</v>
      </c>
    </row>
    <row r="1961">
      <c r="A1961" s="1">
        <v>1959.0</v>
      </c>
      <c r="B1961" s="11">
        <v>44012.0</v>
      </c>
      <c r="C1961" s="1" t="s">
        <v>1014</v>
      </c>
      <c r="D1961" s="1" t="s">
        <v>1015</v>
      </c>
      <c r="F1961" s="1">
        <v>1.992E8</v>
      </c>
      <c r="G1961" s="1">
        <v>1.785E8</v>
      </c>
      <c r="H1961" s="1">
        <v>3.645E8</v>
      </c>
      <c r="I1961" s="1">
        <v>7.658E8</v>
      </c>
      <c r="J1961" s="1">
        <v>3.017E8</v>
      </c>
      <c r="K1961" s="1">
        <v>3.017E8</v>
      </c>
      <c r="L1961" s="1">
        <v>-9.84E7</v>
      </c>
      <c r="M1961" s="1">
        <v>1.92E7</v>
      </c>
      <c r="N1961" s="1">
        <v>4.2363E9</v>
      </c>
      <c r="O1961" s="1">
        <v>3.9346E9</v>
      </c>
      <c r="P1961" s="1">
        <v>3.4705E9</v>
      </c>
      <c r="Q1961" s="1">
        <v>-1.025E8</v>
      </c>
      <c r="R1961" s="1">
        <v>1.8E8</v>
      </c>
      <c r="S1961" s="1">
        <v>1.785E8</v>
      </c>
      <c r="W1961" s="4" t="str">
        <f>Raw_Data!C1960&amp;"|"&amp;Raw_Data!D1960&amp;"|"&amp;TEXT(Raw_Data!B1960,"yyyy-mm-dd")</f>
        <v>WestRock|WRK|2020-09-30</v>
      </c>
    </row>
    <row r="1962">
      <c r="A1962" s="1">
        <v>1960.0</v>
      </c>
      <c r="B1962" s="11">
        <v>44377.0</v>
      </c>
      <c r="C1962" s="1" t="s">
        <v>1016</v>
      </c>
      <c r="D1962" s="1" t="s">
        <v>1017</v>
      </c>
      <c r="F1962" s="1">
        <v>1.352E9</v>
      </c>
      <c r="G1962" s="1">
        <v>1.028E9</v>
      </c>
      <c r="H1962" s="1">
        <v>1.2E8</v>
      </c>
      <c r="I1962" s="1">
        <v>1.561E9</v>
      </c>
      <c r="J1962" s="1">
        <v>1.432E9</v>
      </c>
      <c r="K1962" s="1">
        <v>1.432E9</v>
      </c>
      <c r="L1962" s="1">
        <v>-7.8E7</v>
      </c>
      <c r="M1962" s="1">
        <v>3.24E8</v>
      </c>
      <c r="N1962" s="1">
        <v>3.144E9</v>
      </c>
      <c r="O1962" s="1">
        <v>1.712E9</v>
      </c>
      <c r="P1962" s="1">
        <v>1.583E9</v>
      </c>
      <c r="Q1962" s="1">
        <v>-8.0E7</v>
      </c>
      <c r="R1962" s="1">
        <v>1.028E9</v>
      </c>
      <c r="S1962" s="1">
        <v>1.028E9</v>
      </c>
      <c r="W1962" s="4" t="str">
        <f>Raw_Data!C1961&amp;"|"&amp;Raw_Data!D1961&amp;"|"&amp;TEXT(Raw_Data!B1961,"yyyy-mm-dd")</f>
        <v>WestRock|WRK|2020-06-30</v>
      </c>
    </row>
    <row r="1963">
      <c r="A1963" s="1">
        <v>1961.0</v>
      </c>
      <c r="B1963" s="11">
        <v>44286.0</v>
      </c>
      <c r="C1963" s="1" t="s">
        <v>1016</v>
      </c>
      <c r="D1963" s="1" t="s">
        <v>1017</v>
      </c>
      <c r="F1963" s="1">
        <v>8.7E8</v>
      </c>
      <c r="G1963" s="1">
        <v>6.81E8</v>
      </c>
      <c r="H1963" s="1">
        <v>1.18E8</v>
      </c>
      <c r="I1963" s="1">
        <v>1.076E9</v>
      </c>
      <c r="J1963" s="1">
        <v>9.53E8</v>
      </c>
      <c r="K1963" s="1">
        <v>9.53E8</v>
      </c>
      <c r="L1963" s="1">
        <v>-7.9E7</v>
      </c>
      <c r="M1963" s="1">
        <v>1.89E8</v>
      </c>
      <c r="N1963" s="1">
        <v>2.506E9</v>
      </c>
      <c r="O1963" s="1">
        <v>1.553E9</v>
      </c>
      <c r="P1963" s="1">
        <v>1.43E9</v>
      </c>
      <c r="Q1963" s="1">
        <v>-8.3E7</v>
      </c>
      <c r="R1963" s="1">
        <v>6.81E8</v>
      </c>
      <c r="S1963" s="1">
        <v>6.81E8</v>
      </c>
      <c r="W1963" s="4" t="str">
        <f>Raw_Data!C1962&amp;"|"&amp;Raw_Data!D1962&amp;"|"&amp;TEXT(Raw_Data!B1962,"yyyy-mm-dd")</f>
        <v>Weyerhaeuser|WY|2021-06-30</v>
      </c>
    </row>
    <row r="1964">
      <c r="A1964" s="1">
        <v>1962.0</v>
      </c>
      <c r="B1964" s="11">
        <v>44196.0</v>
      </c>
      <c r="C1964" s="1" t="s">
        <v>1016</v>
      </c>
      <c r="D1964" s="1" t="s">
        <v>1017</v>
      </c>
      <c r="F1964" s="1">
        <v>3.11E8</v>
      </c>
      <c r="G1964" s="1">
        <v>2.92E8</v>
      </c>
      <c r="H1964" s="1">
        <v>1.23E8</v>
      </c>
      <c r="I1964" s="1">
        <v>6.71E8</v>
      </c>
      <c r="J1964" s="1">
        <v>5.29E8</v>
      </c>
      <c r="K1964" s="1">
        <v>5.29E8</v>
      </c>
      <c r="L1964" s="1">
        <v>-1.44E8</v>
      </c>
      <c r="M1964" s="1">
        <v>1.9E7</v>
      </c>
      <c r="N1964" s="1">
        <v>2.063E9</v>
      </c>
      <c r="O1964" s="1">
        <v>1.534E9</v>
      </c>
      <c r="P1964" s="1">
        <v>1.392E9</v>
      </c>
      <c r="Q1964" s="1">
        <v>-2.18E8</v>
      </c>
      <c r="R1964" s="1">
        <v>2.92E8</v>
      </c>
      <c r="S1964" s="1">
        <v>2.92E8</v>
      </c>
      <c r="W1964" s="4" t="str">
        <f>Raw_Data!C1963&amp;"|"&amp;Raw_Data!D1963&amp;"|"&amp;TEXT(Raw_Data!B1963,"yyyy-mm-dd")</f>
        <v>Weyerhaeuser|WY|2021-03-31</v>
      </c>
    </row>
    <row r="1965">
      <c r="A1965" s="1">
        <v>1963.0</v>
      </c>
      <c r="B1965" s="11">
        <v>44104.0</v>
      </c>
      <c r="C1965" s="1" t="s">
        <v>1016</v>
      </c>
      <c r="D1965" s="1" t="s">
        <v>1017</v>
      </c>
      <c r="F1965" s="1">
        <v>3.92E8</v>
      </c>
      <c r="G1965" s="1">
        <v>2.83E8</v>
      </c>
      <c r="H1965" s="1">
        <v>1.27E8</v>
      </c>
      <c r="I1965" s="1">
        <v>7.2E8</v>
      </c>
      <c r="J1965" s="1">
        <v>5.86E8</v>
      </c>
      <c r="K1965" s="1">
        <v>5.86E8</v>
      </c>
      <c r="L1965" s="1">
        <v>-1.11E8</v>
      </c>
      <c r="M1965" s="1">
        <v>1.09E8</v>
      </c>
      <c r="N1965" s="1">
        <v>2.11E9</v>
      </c>
      <c r="O1965" s="1">
        <v>1.524E9</v>
      </c>
      <c r="P1965" s="1">
        <v>1.39E9</v>
      </c>
      <c r="Q1965" s="1">
        <v>-1.94E8</v>
      </c>
      <c r="R1965" s="1">
        <v>2.83E8</v>
      </c>
      <c r="S1965" s="1">
        <v>2.83E8</v>
      </c>
      <c r="W1965" s="4" t="str">
        <f>Raw_Data!C1964&amp;"|"&amp;Raw_Data!D1964&amp;"|"&amp;TEXT(Raw_Data!B1964,"yyyy-mm-dd")</f>
        <v>Weyerhaeuser|WY|2020-12-31</v>
      </c>
    </row>
    <row r="1966">
      <c r="A1966" s="1">
        <v>1964.0</v>
      </c>
      <c r="B1966" s="11">
        <v>44377.0</v>
      </c>
      <c r="C1966" s="1" t="s">
        <v>1018</v>
      </c>
      <c r="D1966" s="1" t="s">
        <v>1019</v>
      </c>
      <c r="F1966" s="1">
        <v>6.74E8</v>
      </c>
      <c r="G1966" s="1">
        <v>5.81E8</v>
      </c>
      <c r="H1966" s="1">
        <v>4.99E8</v>
      </c>
      <c r="I1966" s="1">
        <v>1.09E9</v>
      </c>
      <c r="J1966" s="1">
        <v>5.81E8</v>
      </c>
      <c r="K1966" s="1">
        <v>5.81E8</v>
      </c>
      <c r="L1966" s="1">
        <v>-4.5E7</v>
      </c>
      <c r="M1966" s="1">
        <v>9.4E7</v>
      </c>
      <c r="N1966" s="1">
        <v>5.324E9</v>
      </c>
      <c r="O1966" s="1">
        <v>4.743E9</v>
      </c>
      <c r="P1966" s="1">
        <v>4.234E9</v>
      </c>
      <c r="Q1966" s="1">
        <v>9.3E7</v>
      </c>
      <c r="R1966" s="1">
        <v>5.8E8</v>
      </c>
      <c r="S1966" s="1">
        <v>5.81E8</v>
      </c>
      <c r="W1966" s="4" t="str">
        <f>Raw_Data!C1965&amp;"|"&amp;Raw_Data!D1965&amp;"|"&amp;TEXT(Raw_Data!B1965,"yyyy-mm-dd")</f>
        <v>Weyerhaeuser|WY|2020-09-30</v>
      </c>
    </row>
    <row r="1967">
      <c r="A1967" s="1">
        <v>1965.0</v>
      </c>
      <c r="B1967" s="11">
        <v>44286.0</v>
      </c>
      <c r="C1967" s="1" t="s">
        <v>1018</v>
      </c>
      <c r="D1967" s="1" t="s">
        <v>1019</v>
      </c>
      <c r="F1967" s="1">
        <v>5.99E8</v>
      </c>
      <c r="G1967" s="1">
        <v>4.33E8</v>
      </c>
      <c r="H1967" s="1">
        <v>4.9E8</v>
      </c>
      <c r="I1967" s="1">
        <v>1.148E9</v>
      </c>
      <c r="J1967" s="1">
        <v>6.41E8</v>
      </c>
      <c r="K1967" s="1">
        <v>6.41E8</v>
      </c>
      <c r="L1967" s="1">
        <v>-4.5E7</v>
      </c>
      <c r="M1967" s="1">
        <v>1.59E8</v>
      </c>
      <c r="N1967" s="1">
        <v>5.358E9</v>
      </c>
      <c r="O1967" s="1">
        <v>4.717E9</v>
      </c>
      <c r="P1967" s="1">
        <v>4.21E9</v>
      </c>
      <c r="Q1967" s="1">
        <v>-4.2E7</v>
      </c>
      <c r="R1967" s="1">
        <v>4.4E8</v>
      </c>
      <c r="S1967" s="1">
        <v>4.33E8</v>
      </c>
      <c r="W1967" s="4" t="str">
        <f>Raw_Data!C1966&amp;"|"&amp;Raw_Data!D1966&amp;"|"&amp;TEXT(Raw_Data!B1966,"yyyy-mm-dd")</f>
        <v>Whirlpool Corporation|WHR|2021-06-30</v>
      </c>
    </row>
    <row r="1968">
      <c r="A1968" s="1">
        <v>1966.0</v>
      </c>
      <c r="B1968" s="11">
        <v>44196.0</v>
      </c>
      <c r="C1968" s="1" t="s">
        <v>1018</v>
      </c>
      <c r="D1968" s="1" t="s">
        <v>1019</v>
      </c>
      <c r="F1968" s="1">
        <v>6.52E8</v>
      </c>
      <c r="G1968" s="1">
        <v>4.97E8</v>
      </c>
      <c r="H1968" s="1">
        <v>5.56E8</v>
      </c>
      <c r="I1968" s="1">
        <v>1.364E9</v>
      </c>
      <c r="J1968" s="1">
        <v>7.92E8</v>
      </c>
      <c r="K1968" s="1">
        <v>7.92E8</v>
      </c>
      <c r="L1968" s="1">
        <v>-4.7E7</v>
      </c>
      <c r="M1968" s="1">
        <v>1.51E8</v>
      </c>
      <c r="N1968" s="1">
        <v>5.798E9</v>
      </c>
      <c r="O1968" s="1">
        <v>5.006E9</v>
      </c>
      <c r="P1968" s="1">
        <v>4.434E9</v>
      </c>
      <c r="Q1968" s="1">
        <v>-1.4E8</v>
      </c>
      <c r="R1968" s="1">
        <v>5.01E8</v>
      </c>
      <c r="S1968" s="1">
        <v>4.97E8</v>
      </c>
      <c r="W1968" s="4" t="str">
        <f>Raw_Data!C1967&amp;"|"&amp;Raw_Data!D1967&amp;"|"&amp;TEXT(Raw_Data!B1967,"yyyy-mm-dd")</f>
        <v>Whirlpool Corporation|WHR|2021-03-31</v>
      </c>
    </row>
    <row r="1969">
      <c r="A1969" s="1">
        <v>1967.0</v>
      </c>
      <c r="B1969" s="11">
        <v>44104.0</v>
      </c>
      <c r="C1969" s="1" t="s">
        <v>1018</v>
      </c>
      <c r="D1969" s="1" t="s">
        <v>1019</v>
      </c>
      <c r="F1969" s="1">
        <v>5.41E8</v>
      </c>
      <c r="G1969" s="1">
        <v>3.97E8</v>
      </c>
      <c r="H1969" s="1">
        <v>5.01E8</v>
      </c>
      <c r="I1969" s="1">
        <v>1.155E9</v>
      </c>
      <c r="J1969" s="1">
        <v>6.38E8</v>
      </c>
      <c r="K1969" s="1">
        <v>6.38E8</v>
      </c>
      <c r="L1969" s="1">
        <v>-5.1E7</v>
      </c>
      <c r="M1969" s="1">
        <v>1.43E8</v>
      </c>
      <c r="N1969" s="1">
        <v>5.291E9</v>
      </c>
      <c r="O1969" s="1">
        <v>4.653E9</v>
      </c>
      <c r="P1969" s="1">
        <v>4.136E9</v>
      </c>
      <c r="Q1969" s="1">
        <v>-9.7E7</v>
      </c>
      <c r="R1969" s="1">
        <v>3.98E8</v>
      </c>
      <c r="S1969" s="1">
        <v>3.97E8</v>
      </c>
      <c r="W1969" s="4" t="str">
        <f>Raw_Data!C1968&amp;"|"&amp;Raw_Data!D1968&amp;"|"&amp;TEXT(Raw_Data!B1968,"yyyy-mm-dd")</f>
        <v>Whirlpool Corporation|WHR|2020-12-31</v>
      </c>
    </row>
    <row r="1970">
      <c r="A1970" s="1">
        <v>1968.0</v>
      </c>
      <c r="B1970" s="11">
        <v>44377.0</v>
      </c>
      <c r="C1970" s="1" t="s">
        <v>1020</v>
      </c>
      <c r="D1970" s="1" t="s">
        <v>1021</v>
      </c>
      <c r="F1970" s="1">
        <v>4.41E8</v>
      </c>
      <c r="G1970" s="1">
        <v>3.04E8</v>
      </c>
      <c r="H1970" s="1">
        <v>1.13E8</v>
      </c>
      <c r="I1970" s="1">
        <v>1.189E9</v>
      </c>
      <c r="J1970" s="1">
        <v>6.01E8</v>
      </c>
      <c r="K1970" s="1">
        <v>6.01E8</v>
      </c>
      <c r="L1970" s="1">
        <v>-2.98E8</v>
      </c>
      <c r="M1970" s="1">
        <v>1.19E8</v>
      </c>
      <c r="N1970" s="1">
        <v>2.283E9</v>
      </c>
      <c r="O1970" s="1">
        <v>1.682E9</v>
      </c>
      <c r="P1970" s="1">
        <v>1.094E9</v>
      </c>
      <c r="Q1970" s="1">
        <v>-1.6E8</v>
      </c>
      <c r="R1970" s="1">
        <v>3.22E8</v>
      </c>
      <c r="S1970" s="1">
        <v>3.04E8</v>
      </c>
      <c r="W1970" s="4" t="str">
        <f>Raw_Data!C1969&amp;"|"&amp;Raw_Data!D1969&amp;"|"&amp;TEXT(Raw_Data!B1969,"yyyy-mm-dd")</f>
        <v>Whirlpool Corporation|WHR|2020-09-30</v>
      </c>
    </row>
    <row r="1971">
      <c r="A1971" s="1">
        <v>1969.0</v>
      </c>
      <c r="B1971" s="11">
        <v>44286.0</v>
      </c>
      <c r="C1971" s="1" t="s">
        <v>1020</v>
      </c>
      <c r="D1971" s="1" t="s">
        <v>1021</v>
      </c>
      <c r="F1971" s="1">
        <v>5.76E8</v>
      </c>
      <c r="G1971" s="1">
        <v>4.26E8</v>
      </c>
      <c r="H1971" s="1">
        <v>1.23E8</v>
      </c>
      <c r="I1971" s="1">
        <v>1.299E9</v>
      </c>
      <c r="J1971" s="1">
        <v>7.39E8</v>
      </c>
      <c r="K1971" s="1">
        <v>7.39E8</v>
      </c>
      <c r="L1971" s="1">
        <v>-2.94E8</v>
      </c>
      <c r="M1971" s="1">
        <v>1.41E8</v>
      </c>
      <c r="N1971" s="1">
        <v>2.612E9</v>
      </c>
      <c r="O1971" s="1">
        <v>1.873E9</v>
      </c>
      <c r="P1971" s="1">
        <v>1.313E9</v>
      </c>
      <c r="Q1971" s="1">
        <v>-1.63E8</v>
      </c>
      <c r="R1971" s="1">
        <v>4.35E8</v>
      </c>
      <c r="S1971" s="1">
        <v>4.25E8</v>
      </c>
      <c r="W1971" s="4" t="str">
        <f>Raw_Data!C1970&amp;"|"&amp;Raw_Data!D1970&amp;"|"&amp;TEXT(Raw_Data!B1970,"yyyy-mm-dd")</f>
        <v>Williams Companies|WMB|2021-06-30</v>
      </c>
    </row>
    <row r="1972">
      <c r="A1972" s="1">
        <v>1970.0</v>
      </c>
      <c r="B1972" s="11">
        <v>44196.0</v>
      </c>
      <c r="C1972" s="1" t="s">
        <v>1020</v>
      </c>
      <c r="D1972" s="1" t="s">
        <v>1021</v>
      </c>
      <c r="F1972" s="1">
        <v>1.85E8</v>
      </c>
      <c r="G1972" s="1">
        <v>1.16E8</v>
      </c>
      <c r="H1972" s="1">
        <v>1.12E8</v>
      </c>
      <c r="I1972" s="1">
        <v>1.242E9</v>
      </c>
      <c r="J1972" s="1">
        <v>7.0E8</v>
      </c>
      <c r="K1972" s="1">
        <v>7.0E8</v>
      </c>
      <c r="L1972" s="1">
        <v>-2.9E8</v>
      </c>
      <c r="M1972" s="1">
        <v>5.5E7</v>
      </c>
      <c r="N1972" s="1">
        <v>2.092E9</v>
      </c>
      <c r="O1972" s="1">
        <v>1.392E9</v>
      </c>
      <c r="P1972" s="1">
        <v>8.5E8</v>
      </c>
      <c r="Q1972" s="1">
        <v>-5.15E8</v>
      </c>
      <c r="R1972" s="1">
        <v>1.3E8</v>
      </c>
      <c r="S1972" s="1">
        <v>1.15E8</v>
      </c>
      <c r="W1972" s="4" t="str">
        <f>Raw_Data!C1971&amp;"|"&amp;Raw_Data!D1971&amp;"|"&amp;TEXT(Raw_Data!B1971,"yyyy-mm-dd")</f>
        <v>Williams Companies|WMB|2021-03-31</v>
      </c>
    </row>
    <row r="1973">
      <c r="A1973" s="1">
        <v>1971.0</v>
      </c>
      <c r="B1973" s="11">
        <v>44104.0</v>
      </c>
      <c r="C1973" s="1" t="s">
        <v>1020</v>
      </c>
      <c r="D1973" s="1" t="s">
        <v>1021</v>
      </c>
      <c r="F1973" s="1">
        <v>4.34E8</v>
      </c>
      <c r="G1973" s="1">
        <v>3.09E8</v>
      </c>
      <c r="H1973" s="1">
        <v>1.15E8</v>
      </c>
      <c r="I1973" s="1">
        <v>1.196E9</v>
      </c>
      <c r="J1973" s="1">
        <v>6.4E8</v>
      </c>
      <c r="K1973" s="1">
        <v>6.4E8</v>
      </c>
      <c r="L1973" s="1">
        <v>-2.92E8</v>
      </c>
      <c r="M1973" s="1">
        <v>1.11E8</v>
      </c>
      <c r="N1973" s="1">
        <v>1.933E9</v>
      </c>
      <c r="O1973" s="1">
        <v>1.293E9</v>
      </c>
      <c r="P1973" s="1">
        <v>7.37E8</v>
      </c>
      <c r="Q1973" s="1">
        <v>-2.06E8</v>
      </c>
      <c r="R1973" s="1">
        <v>3.23E8</v>
      </c>
      <c r="S1973" s="1">
        <v>3.08E8</v>
      </c>
      <c r="W1973" s="4" t="str">
        <f>Raw_Data!C1972&amp;"|"&amp;Raw_Data!D1972&amp;"|"&amp;TEXT(Raw_Data!B1972,"yyyy-mm-dd")</f>
        <v>Williams Companies|WMB|2020-12-31</v>
      </c>
    </row>
    <row r="1974">
      <c r="A1974" s="1">
        <v>1972.0</v>
      </c>
      <c r="B1974" s="11">
        <v>44286.0</v>
      </c>
      <c r="C1974" s="1" t="s">
        <v>1022</v>
      </c>
      <c r="D1974" s="1" t="s">
        <v>1023</v>
      </c>
      <c r="F1974" s="1">
        <v>8.32E8</v>
      </c>
      <c r="G1974" s="1">
        <v>7.33E8</v>
      </c>
      <c r="H1974" s="1">
        <v>5.9E7</v>
      </c>
      <c r="I1974" s="1">
        <v>1.143E9</v>
      </c>
      <c r="J1974" s="1">
        <v>5.52E8</v>
      </c>
      <c r="K1974" s="1">
        <v>5.52E8</v>
      </c>
      <c r="L1974" s="1">
        <v>-5.9E7</v>
      </c>
      <c r="M1974" s="1">
        <v>9.6E7</v>
      </c>
      <c r="N1974" s="1">
        <v>2.59E9</v>
      </c>
      <c r="O1974" s="1">
        <v>2.038E9</v>
      </c>
      <c r="P1974" s="1">
        <v>1.447E9</v>
      </c>
      <c r="Q1974" s="1">
        <v>2.8E8</v>
      </c>
      <c r="R1974" s="1">
        <v>7.36E8</v>
      </c>
      <c r="S1974" s="1">
        <v>7.33E8</v>
      </c>
      <c r="W1974" s="4" t="str">
        <f>Raw_Data!C1973&amp;"|"&amp;Raw_Data!D1973&amp;"|"&amp;TEXT(Raw_Data!B1973,"yyyy-mm-dd")</f>
        <v>Williams Companies|WMB|2020-09-30</v>
      </c>
    </row>
    <row r="1975">
      <c r="A1975" s="1">
        <v>1973.0</v>
      </c>
      <c r="B1975" s="11">
        <v>44196.0</v>
      </c>
      <c r="C1975" s="1" t="s">
        <v>1022</v>
      </c>
      <c r="D1975" s="1" t="s">
        <v>1023</v>
      </c>
      <c r="F1975" s="1">
        <v>6.02E8</v>
      </c>
      <c r="G1975" s="1">
        <v>4.76E8</v>
      </c>
      <c r="H1975" s="1">
        <v>5.9E7</v>
      </c>
      <c r="I1975" s="1">
        <v>1.422E9</v>
      </c>
      <c r="J1975" s="1">
        <v>7.98E8</v>
      </c>
      <c r="K1975" s="1">
        <v>7.98E8</v>
      </c>
      <c r="L1975" s="1">
        <v>-6.0E7</v>
      </c>
      <c r="M1975" s="1">
        <v>1.19E8</v>
      </c>
      <c r="N1975" s="1">
        <v>2.764E9</v>
      </c>
      <c r="O1975" s="1">
        <v>1.966E9</v>
      </c>
      <c r="P1975" s="1">
        <v>1.342E9</v>
      </c>
      <c r="Q1975" s="1">
        <v>-1.96E8</v>
      </c>
      <c r="R1975" s="1">
        <v>4.83E8</v>
      </c>
      <c r="S1975" s="1">
        <v>4.76E8</v>
      </c>
      <c r="W1975" s="4" t="str">
        <f>Raw_Data!C1974&amp;"|"&amp;Raw_Data!D1974&amp;"|"&amp;TEXT(Raw_Data!B1974,"yyyy-mm-dd")</f>
        <v>Willis Towers Watson|WLTW|2021-03-31</v>
      </c>
    </row>
    <row r="1976">
      <c r="A1976" s="1">
        <v>1974.0</v>
      </c>
      <c r="B1976" s="11">
        <v>44104.0</v>
      </c>
      <c r="C1976" s="1" t="s">
        <v>1022</v>
      </c>
      <c r="D1976" s="1" t="s">
        <v>1023</v>
      </c>
      <c r="F1976" s="1">
        <v>1.68E8</v>
      </c>
      <c r="G1976" s="1">
        <v>1.21E8</v>
      </c>
      <c r="H1976" s="1">
        <v>6.0E7</v>
      </c>
      <c r="I1976" s="1">
        <v>7.54E8</v>
      </c>
      <c r="J1976" s="1">
        <v>1.91E8</v>
      </c>
      <c r="K1976" s="1">
        <v>1.91E8</v>
      </c>
      <c r="L1976" s="1">
        <v>-6.1E7</v>
      </c>
      <c r="M1976" s="1">
        <v>4.6E7</v>
      </c>
      <c r="N1976" s="1">
        <v>2.009E9</v>
      </c>
      <c r="O1976" s="1">
        <v>1.818E9</v>
      </c>
      <c r="P1976" s="1">
        <v>1.255E9</v>
      </c>
      <c r="Q1976" s="1">
        <v>-2.3E7</v>
      </c>
      <c r="R1976" s="1">
        <v>1.22E8</v>
      </c>
      <c r="S1976" s="1">
        <v>1.21E8</v>
      </c>
      <c r="W1976" s="4" t="str">
        <f>Raw_Data!C1975&amp;"|"&amp;Raw_Data!D1975&amp;"|"&amp;TEXT(Raw_Data!B1975,"yyyy-mm-dd")</f>
        <v>Willis Towers Watson|WLTW|2020-12-31</v>
      </c>
    </row>
    <row r="1977">
      <c r="A1977" s="1">
        <v>1975.0</v>
      </c>
      <c r="B1977" s="11">
        <v>44012.0</v>
      </c>
      <c r="C1977" s="1" t="s">
        <v>1022</v>
      </c>
      <c r="D1977" s="1" t="s">
        <v>1023</v>
      </c>
      <c r="F1977" s="1">
        <v>1.77E8</v>
      </c>
      <c r="G1977" s="1">
        <v>9.4E7</v>
      </c>
      <c r="H1977" s="1">
        <v>5.9E7</v>
      </c>
      <c r="I1977" s="1">
        <v>8.22E8</v>
      </c>
      <c r="J1977" s="1">
        <v>2.49E8</v>
      </c>
      <c r="K1977" s="1">
        <v>2.49E8</v>
      </c>
      <c r="L1977" s="1">
        <v>-6.2E7</v>
      </c>
      <c r="M1977" s="1">
        <v>7.5E7</v>
      </c>
      <c r="N1977" s="1">
        <v>2.113E9</v>
      </c>
      <c r="O1977" s="1">
        <v>1.864E9</v>
      </c>
      <c r="P1977" s="1">
        <v>1.291E9</v>
      </c>
      <c r="Q1977" s="1">
        <v>-7.2E7</v>
      </c>
      <c r="R1977" s="1">
        <v>1.02E8</v>
      </c>
      <c r="S1977" s="1">
        <v>9.4E7</v>
      </c>
      <c r="W1977" s="4" t="str">
        <f>Raw_Data!C1976&amp;"|"&amp;Raw_Data!D1976&amp;"|"&amp;TEXT(Raw_Data!B1976,"yyyy-mm-dd")</f>
        <v>Willis Towers Watson|WLTW|2020-09-30</v>
      </c>
    </row>
    <row r="1978">
      <c r="A1978" s="1">
        <v>1976.0</v>
      </c>
      <c r="B1978" s="11">
        <v>44377.0</v>
      </c>
      <c r="C1978" s="1" t="s">
        <v>1024</v>
      </c>
      <c r="D1978" s="1" t="s">
        <v>1025</v>
      </c>
      <c r="F1978" s="1">
        <v>-1.727E8</v>
      </c>
      <c r="G1978" s="1">
        <v>-1.31369E8</v>
      </c>
      <c r="H1978" s="1">
        <v>1.97545E8</v>
      </c>
      <c r="I1978" s="1">
        <v>5.94118E8</v>
      </c>
      <c r="J1978" s="1">
        <v>-2.5921E7</v>
      </c>
      <c r="K1978" s="1">
        <v>-2.5921E7</v>
      </c>
      <c r="L1978" s="1">
        <v>-1.50424E8</v>
      </c>
      <c r="M1978" s="1">
        <v>697000.0</v>
      </c>
      <c r="N1978" s="1">
        <v>9.90113E8</v>
      </c>
      <c r="O1978" s="1">
        <v>1.016034E9</v>
      </c>
      <c r="P1978" s="1">
        <v>3.95995E8</v>
      </c>
      <c r="Q1978" s="1">
        <v>-1.46779E8</v>
      </c>
      <c r="R1978" s="1">
        <v>-1.73397E8</v>
      </c>
      <c r="S1978" s="1">
        <v>-1.31369E8</v>
      </c>
      <c r="W1978" s="4" t="str">
        <f>Raw_Data!C1977&amp;"|"&amp;Raw_Data!D1977&amp;"|"&amp;TEXT(Raw_Data!B1977,"yyyy-mm-dd")</f>
        <v>Willis Towers Watson|WLTW|2020-06-30</v>
      </c>
    </row>
    <row r="1979">
      <c r="A1979" s="1">
        <v>1977.0</v>
      </c>
      <c r="B1979" s="11">
        <v>44286.0</v>
      </c>
      <c r="C1979" s="1" t="s">
        <v>1024</v>
      </c>
      <c r="D1979" s="1" t="s">
        <v>1025</v>
      </c>
      <c r="F1979" s="1">
        <v>-3.35686E8</v>
      </c>
      <c r="G1979" s="1">
        <v>-2.80978E8</v>
      </c>
      <c r="H1979" s="1">
        <v>1.79774E8</v>
      </c>
      <c r="I1979" s="1">
        <v>4.18774E8</v>
      </c>
      <c r="J1979" s="1">
        <v>-1.72632E8</v>
      </c>
      <c r="K1979" s="1">
        <v>-1.72632E8</v>
      </c>
      <c r="L1979" s="1">
        <v>-1.52852E8</v>
      </c>
      <c r="M1979" s="1">
        <v>493000.0</v>
      </c>
      <c r="N1979" s="1">
        <v>7.36682E8</v>
      </c>
      <c r="O1979" s="1">
        <v>9.09314E8</v>
      </c>
      <c r="P1979" s="1">
        <v>3.17908E8</v>
      </c>
      <c r="Q1979" s="1">
        <v>-1.63054E8</v>
      </c>
      <c r="R1979" s="1">
        <v>-3.36179E8</v>
      </c>
      <c r="S1979" s="1">
        <v>-2.80978E8</v>
      </c>
      <c r="W1979" s="4" t="str">
        <f>Raw_Data!C1978&amp;"|"&amp;Raw_Data!D1978&amp;"|"&amp;TEXT(Raw_Data!B1978,"yyyy-mm-dd")</f>
        <v>Wynn Resorts|WYNN|2021-06-30</v>
      </c>
    </row>
    <row r="1980">
      <c r="A1980" s="1">
        <v>1978.0</v>
      </c>
      <c r="B1980" s="11">
        <v>44196.0</v>
      </c>
      <c r="C1980" s="1" t="s">
        <v>1024</v>
      </c>
      <c r="D1980" s="1" t="s">
        <v>1025</v>
      </c>
      <c r="F1980" s="1">
        <v>-3.09723E8</v>
      </c>
      <c r="G1980" s="1">
        <v>-2.69502E8</v>
      </c>
      <c r="H1980" s="1">
        <v>1.73544E8</v>
      </c>
      <c r="I1980" s="1">
        <v>4.0241E8</v>
      </c>
      <c r="J1980" s="1">
        <v>-1.19911E8</v>
      </c>
      <c r="K1980" s="1">
        <v>-1.19911E8</v>
      </c>
      <c r="L1980" s="1">
        <v>-1.49287E8</v>
      </c>
      <c r="M1980" s="1">
        <v>568000.0</v>
      </c>
      <c r="N1980" s="1">
        <v>6.85995E8</v>
      </c>
      <c r="O1980" s="1">
        <v>8.05906E8</v>
      </c>
      <c r="P1980" s="1">
        <v>2.83585E8</v>
      </c>
      <c r="Q1980" s="1">
        <v>-1.89812E8</v>
      </c>
      <c r="R1980" s="1">
        <v>-3.10291E8</v>
      </c>
      <c r="S1980" s="1">
        <v>-2.69502E8</v>
      </c>
      <c r="W1980" s="4" t="str">
        <f>Raw_Data!C1979&amp;"|"&amp;Raw_Data!D1979&amp;"|"&amp;TEXT(Raw_Data!B1979,"yyyy-mm-dd")</f>
        <v>Wynn Resorts|WYNN|2021-03-31</v>
      </c>
    </row>
    <row r="1981">
      <c r="A1981" s="1">
        <v>1979.0</v>
      </c>
      <c r="B1981" s="11">
        <v>44104.0</v>
      </c>
      <c r="C1981" s="1" t="s">
        <v>1024</v>
      </c>
      <c r="D1981" s="1" t="s">
        <v>1025</v>
      </c>
      <c r="F1981" s="1">
        <v>-4.24168E8</v>
      </c>
      <c r="G1981" s="1">
        <v>-7.58142E8</v>
      </c>
      <c r="H1981" s="1">
        <v>1.60896E8</v>
      </c>
      <c r="I1981" s="1">
        <v>1.49845E8</v>
      </c>
      <c r="J1981" s="1">
        <v>-2.75707E8</v>
      </c>
      <c r="K1981" s="1">
        <v>-2.75707E8</v>
      </c>
      <c r="L1981" s="1">
        <v>-1.45142E8</v>
      </c>
      <c r="M1981" s="1">
        <v>4.07365E8</v>
      </c>
      <c r="N1981" s="1">
        <v>3.70452E8</v>
      </c>
      <c r="O1981" s="1">
        <v>6.46159E8</v>
      </c>
      <c r="P1981" s="1">
        <v>2.20607E8</v>
      </c>
      <c r="Q1981" s="1">
        <v>-1.48461E8</v>
      </c>
      <c r="R1981" s="1">
        <v>-8.31533E8</v>
      </c>
      <c r="S1981" s="1">
        <v>-7.58142E8</v>
      </c>
      <c r="W1981" s="4" t="str">
        <f>Raw_Data!C1980&amp;"|"&amp;Raw_Data!D1980&amp;"|"&amp;TEXT(Raw_Data!B1980,"yyyy-mm-dd")</f>
        <v>Wynn Resorts|WYNN|2020-12-31</v>
      </c>
    </row>
    <row r="1982">
      <c r="A1982" s="1">
        <v>1980.0</v>
      </c>
      <c r="B1982" s="11">
        <v>44469.0</v>
      </c>
      <c r="C1982" s="1" t="s">
        <v>1026</v>
      </c>
      <c r="D1982" s="1" t="s">
        <v>1027</v>
      </c>
      <c r="F1982" s="1">
        <v>6.52E8</v>
      </c>
      <c r="G1982" s="1">
        <v>6.09E8</v>
      </c>
      <c r="H1982" s="1">
        <v>5.6E7</v>
      </c>
      <c r="I1982" s="1">
        <v>1.57E9</v>
      </c>
      <c r="J1982" s="1">
        <v>8.25E8</v>
      </c>
      <c r="K1982" s="1">
        <v>8.25E8</v>
      </c>
      <c r="L1982" s="1">
        <v>-2.11E8</v>
      </c>
      <c r="M1982" s="1">
        <v>4.3E7</v>
      </c>
      <c r="N1982" s="1">
        <v>3.467E9</v>
      </c>
      <c r="O1982" s="1">
        <v>2.642E9</v>
      </c>
      <c r="P1982" s="1">
        <v>1.897E9</v>
      </c>
      <c r="Q1982" s="1">
        <v>-1.73E8</v>
      </c>
      <c r="R1982" s="1">
        <v>6.09E8</v>
      </c>
      <c r="S1982" s="1">
        <v>6.09E8</v>
      </c>
      <c r="W1982" s="4" t="str">
        <f>Raw_Data!C1981&amp;"|"&amp;Raw_Data!D1981&amp;"|"&amp;TEXT(Raw_Data!B1981,"yyyy-mm-dd")</f>
        <v>Wynn Resorts|WYNN|2020-09-30</v>
      </c>
    </row>
    <row r="1983">
      <c r="A1983" s="1">
        <v>1981.0</v>
      </c>
      <c r="B1983" s="11">
        <v>44377.0</v>
      </c>
      <c r="C1983" s="1" t="s">
        <v>1026</v>
      </c>
      <c r="D1983" s="1" t="s">
        <v>1027</v>
      </c>
      <c r="F1983" s="1">
        <v>2.73E8</v>
      </c>
      <c r="G1983" s="1">
        <v>3.11E8</v>
      </c>
      <c r="H1983" s="1">
        <v>5.5E7</v>
      </c>
      <c r="I1983" s="1">
        <v>1.179E9</v>
      </c>
      <c r="J1983" s="1">
        <v>4.39E8</v>
      </c>
      <c r="K1983" s="1">
        <v>4.39E8</v>
      </c>
      <c r="L1983" s="1">
        <v>-2.12E8</v>
      </c>
      <c r="M1983" s="1">
        <v>-3.8E7</v>
      </c>
      <c r="N1983" s="1">
        <v>3.068E9</v>
      </c>
      <c r="O1983" s="1">
        <v>2.629E9</v>
      </c>
      <c r="P1983" s="1">
        <v>1.889E9</v>
      </c>
      <c r="Q1983" s="1">
        <v>-1.66E8</v>
      </c>
      <c r="R1983" s="1">
        <v>3.11E8</v>
      </c>
      <c r="S1983" s="1">
        <v>3.11E8</v>
      </c>
      <c r="W1983" s="4" t="str">
        <f>Raw_Data!C1982&amp;"|"&amp;Raw_Data!D1982&amp;"|"&amp;TEXT(Raw_Data!B1982,"yyyy-mm-dd")</f>
        <v>Xcel Energy|XEL|2021-09-30</v>
      </c>
    </row>
    <row r="1984">
      <c r="A1984" s="1">
        <v>1982.0</v>
      </c>
      <c r="B1984" s="11">
        <v>44286.0</v>
      </c>
      <c r="C1984" s="1" t="s">
        <v>1026</v>
      </c>
      <c r="D1984" s="1" t="s">
        <v>1027</v>
      </c>
      <c r="F1984" s="1">
        <v>3.4E8</v>
      </c>
      <c r="G1984" s="1">
        <v>3.62E8</v>
      </c>
      <c r="H1984" s="1">
        <v>5.8E7</v>
      </c>
      <c r="I1984" s="1">
        <v>1.249E9</v>
      </c>
      <c r="J1984" s="1">
        <v>5.07E8</v>
      </c>
      <c r="K1984" s="1">
        <v>5.07E8</v>
      </c>
      <c r="L1984" s="1">
        <v>-2.05E8</v>
      </c>
      <c r="M1984" s="1">
        <v>-2.2E7</v>
      </c>
      <c r="N1984" s="1">
        <v>3.541E9</v>
      </c>
      <c r="O1984" s="1">
        <v>3.034E9</v>
      </c>
      <c r="P1984" s="1">
        <v>2.292E9</v>
      </c>
      <c r="Q1984" s="1">
        <v>-1.67E8</v>
      </c>
      <c r="R1984" s="1">
        <v>3.62E8</v>
      </c>
      <c r="S1984" s="1">
        <v>3.62E8</v>
      </c>
      <c r="W1984" s="4" t="str">
        <f>Raw_Data!C1983&amp;"|"&amp;Raw_Data!D1983&amp;"|"&amp;TEXT(Raw_Data!B1983,"yyyy-mm-dd")</f>
        <v>Xcel Energy|XEL|2021-06-30</v>
      </c>
    </row>
    <row r="1985">
      <c r="A1985" s="1">
        <v>1983.0</v>
      </c>
      <c r="B1985" s="11">
        <v>44196.0</v>
      </c>
      <c r="C1985" s="1" t="s">
        <v>1026</v>
      </c>
      <c r="D1985" s="1" t="s">
        <v>1027</v>
      </c>
      <c r="F1985" s="1">
        <v>2.58E8</v>
      </c>
      <c r="G1985" s="1">
        <v>2.88E8</v>
      </c>
      <c r="H1985" s="1">
        <v>2.41E8</v>
      </c>
      <c r="I1985" s="1">
        <v>1.322E9</v>
      </c>
      <c r="J1985" s="1">
        <v>4.23E8</v>
      </c>
      <c r="K1985" s="1">
        <v>4.23E8</v>
      </c>
      <c r="L1985" s="1">
        <v>-2.12E8</v>
      </c>
      <c r="M1985" s="1">
        <v>-3.0E7</v>
      </c>
      <c r="N1985" s="1">
        <v>2.947E9</v>
      </c>
      <c r="O1985" s="1">
        <v>2.524E9</v>
      </c>
      <c r="P1985" s="1">
        <v>1.625E9</v>
      </c>
      <c r="Q1985" s="1">
        <v>-1.65E8</v>
      </c>
      <c r="R1985" s="1">
        <v>2.88E8</v>
      </c>
      <c r="S1985" s="1">
        <v>2.88E8</v>
      </c>
      <c r="W1985" s="4" t="str">
        <f>Raw_Data!C1984&amp;"|"&amp;Raw_Data!D1984&amp;"|"&amp;TEXT(Raw_Data!B1984,"yyyy-mm-dd")</f>
        <v>Xcel Energy|XEL|2021-03-31</v>
      </c>
    </row>
    <row r="1986">
      <c r="A1986" s="1">
        <v>1984.0</v>
      </c>
      <c r="B1986" s="11">
        <v>44380.0</v>
      </c>
      <c r="C1986" s="1" t="s">
        <v>1028</v>
      </c>
      <c r="D1986" s="1" t="s">
        <v>1029</v>
      </c>
      <c r="E1986" s="1">
        <v>2.47975E8</v>
      </c>
      <c r="F1986" s="1">
        <v>2.11363E8</v>
      </c>
      <c r="G1986" s="1">
        <v>2.06341E8</v>
      </c>
      <c r="H1986" s="1">
        <v>1.2492E8</v>
      </c>
      <c r="I1986" s="1">
        <v>5.95165E8</v>
      </c>
      <c r="J1986" s="1">
        <v>2.10363E8</v>
      </c>
      <c r="K1986" s="1">
        <v>2.10363E8</v>
      </c>
      <c r="L1986" s="1">
        <v>-1.0276E7</v>
      </c>
      <c r="M1986" s="1">
        <v>5022000.0</v>
      </c>
      <c r="N1986" s="1">
        <v>8.78606E8</v>
      </c>
      <c r="O1986" s="1">
        <v>6.68243E8</v>
      </c>
      <c r="P1986" s="1">
        <v>2.83441E8</v>
      </c>
      <c r="Q1986" s="1">
        <v>1000000.0</v>
      </c>
      <c r="R1986" s="1">
        <v>2.06341E8</v>
      </c>
      <c r="S1986" s="1">
        <v>2.06341E8</v>
      </c>
      <c r="W1986" s="4" t="str">
        <f>Raw_Data!C1985&amp;"|"&amp;Raw_Data!D1985&amp;"|"&amp;TEXT(Raw_Data!B1985,"yyyy-mm-dd")</f>
        <v>Xcel Energy|XEL|2020-12-31</v>
      </c>
    </row>
    <row r="1987">
      <c r="A1987" s="1">
        <v>1985.0</v>
      </c>
      <c r="B1987" s="11">
        <v>44289.0</v>
      </c>
      <c r="C1987" s="1" t="s">
        <v>1028</v>
      </c>
      <c r="D1987" s="1" t="s">
        <v>1029</v>
      </c>
      <c r="E1987" s="1">
        <v>2.39863E8</v>
      </c>
      <c r="F1987" s="1">
        <v>1.95536E8</v>
      </c>
      <c r="G1987" s="1">
        <v>1.87883E8</v>
      </c>
      <c r="H1987" s="1">
        <v>1.27872E8</v>
      </c>
      <c r="I1987" s="1">
        <v>5.78136E8</v>
      </c>
      <c r="J1987" s="1">
        <v>1.99782E8</v>
      </c>
      <c r="K1987" s="1">
        <v>1.99782E8</v>
      </c>
      <c r="L1987" s="1">
        <v>-1.3578E7</v>
      </c>
      <c r="M1987" s="1">
        <v>7653000.0</v>
      </c>
      <c r="N1987" s="1">
        <v>8.50987E8</v>
      </c>
      <c r="O1987" s="1">
        <v>6.51205E8</v>
      </c>
      <c r="P1987" s="1">
        <v>2.72851E8</v>
      </c>
      <c r="Q1987" s="1">
        <v>-4246000.0</v>
      </c>
      <c r="R1987" s="1">
        <v>1.87883E8</v>
      </c>
      <c r="S1987" s="1">
        <v>1.87883E8</v>
      </c>
      <c r="W1987" s="4" t="str">
        <f>Raw_Data!C1986&amp;"|"&amp;Raw_Data!D1986&amp;"|"&amp;TEXT(Raw_Data!B1986,"yyyy-mm-dd")</f>
        <v>Xilinx|XLNX|2021-07-03</v>
      </c>
    </row>
    <row r="1988">
      <c r="A1988" s="1">
        <v>1986.0</v>
      </c>
      <c r="B1988" s="11">
        <v>44198.0</v>
      </c>
      <c r="C1988" s="1" t="s">
        <v>1028</v>
      </c>
      <c r="D1988" s="1" t="s">
        <v>1029</v>
      </c>
      <c r="E1988" s="1">
        <v>2.35018E8</v>
      </c>
      <c r="F1988" s="1">
        <v>1.76134E8</v>
      </c>
      <c r="G1988" s="1">
        <v>1.70972E8</v>
      </c>
      <c r="H1988" s="1">
        <v>1.36701E8</v>
      </c>
      <c r="I1988" s="1">
        <v>5.53875E8</v>
      </c>
      <c r="J1988" s="1">
        <v>1.72425E8</v>
      </c>
      <c r="K1988" s="1">
        <v>1.72425E8</v>
      </c>
      <c r="L1988" s="1">
        <v>-1.4228E7</v>
      </c>
      <c r="M1988" s="1">
        <v>5162000.0</v>
      </c>
      <c r="N1988" s="1">
        <v>8.03404E8</v>
      </c>
      <c r="O1988" s="1">
        <v>6.30979E8</v>
      </c>
      <c r="P1988" s="1">
        <v>2.49529E8</v>
      </c>
      <c r="Q1988" s="1">
        <v>3709000.0</v>
      </c>
      <c r="R1988" s="1">
        <v>1.70972E8</v>
      </c>
      <c r="S1988" s="1">
        <v>1.70972E8</v>
      </c>
      <c r="W1988" s="4" t="str">
        <f>Raw_Data!C1987&amp;"|"&amp;Raw_Data!D1987&amp;"|"&amp;TEXT(Raw_Data!B1987,"yyyy-mm-dd")</f>
        <v>Xilinx|XLNX|2021-04-03</v>
      </c>
    </row>
    <row r="1989">
      <c r="A1989" s="1">
        <v>1987.0</v>
      </c>
      <c r="B1989" s="11">
        <v>44100.0</v>
      </c>
      <c r="C1989" s="1" t="s">
        <v>1028</v>
      </c>
      <c r="D1989" s="1" t="s">
        <v>1029</v>
      </c>
      <c r="E1989" s="1">
        <v>2.19647E8</v>
      </c>
      <c r="F1989" s="1">
        <v>1.94646E8</v>
      </c>
      <c r="G1989" s="1">
        <v>1.93816E8</v>
      </c>
      <c r="H1989" s="1">
        <v>1.13793E8</v>
      </c>
      <c r="I1989" s="1">
        <v>5.48415E8</v>
      </c>
      <c r="J1989" s="1">
        <v>2.05417E8</v>
      </c>
      <c r="K1989" s="1">
        <v>2.05417E8</v>
      </c>
      <c r="L1989" s="1">
        <v>-1.4226E7</v>
      </c>
      <c r="M1989" s="1">
        <v>830000.0</v>
      </c>
      <c r="N1989" s="1">
        <v>7.66535E8</v>
      </c>
      <c r="O1989" s="1">
        <v>5.61118E8</v>
      </c>
      <c r="P1989" s="1">
        <v>2.1812E8</v>
      </c>
      <c r="Q1989" s="1">
        <v>-1.0771E7</v>
      </c>
      <c r="R1989" s="1">
        <v>1.93816E8</v>
      </c>
      <c r="S1989" s="1">
        <v>1.93816E8</v>
      </c>
      <c r="W1989" s="4" t="str">
        <f>Raw_Data!C1988&amp;"|"&amp;Raw_Data!D1988&amp;"|"&amp;TEXT(Raw_Data!B1988,"yyyy-mm-dd")</f>
        <v>Xilinx|XLNX|2021-01-02</v>
      </c>
    </row>
    <row r="1990">
      <c r="A1990" s="1">
        <v>1988.0</v>
      </c>
      <c r="B1990" s="11">
        <v>44377.0</v>
      </c>
      <c r="C1990" s="1" t="s">
        <v>1030</v>
      </c>
      <c r="D1990" s="1" t="s">
        <v>1031</v>
      </c>
      <c r="E1990" s="1">
        <v>5.3E7</v>
      </c>
      <c r="F1990" s="1">
        <v>1.38E8</v>
      </c>
      <c r="G1990" s="1">
        <v>1.13E8</v>
      </c>
      <c r="H1990" s="1">
        <v>3.09E8</v>
      </c>
      <c r="I1990" s="1">
        <v>5.2E8</v>
      </c>
      <c r="J1990" s="1">
        <v>1.58E8</v>
      </c>
      <c r="K1990" s="1">
        <v>1.58E8</v>
      </c>
      <c r="L1990" s="1">
        <v>-2.1E7</v>
      </c>
      <c r="M1990" s="1">
        <v>2.5E7</v>
      </c>
      <c r="N1990" s="1">
        <v>1.351E9</v>
      </c>
      <c r="O1990" s="1">
        <v>1.193E9</v>
      </c>
      <c r="P1990" s="1">
        <v>8.31E8</v>
      </c>
      <c r="Q1990" s="1">
        <v>-2.0E7</v>
      </c>
      <c r="R1990" s="1">
        <v>1.13E8</v>
      </c>
      <c r="S1990" s="1">
        <v>1.13E8</v>
      </c>
      <c r="W1990" s="4" t="str">
        <f>Raw_Data!C1989&amp;"|"&amp;Raw_Data!D1989&amp;"|"&amp;TEXT(Raw_Data!B1989,"yyyy-mm-dd")</f>
        <v>Xilinx|XLNX|2020-09-26</v>
      </c>
    </row>
    <row r="1991">
      <c r="A1991" s="1">
        <v>1989.0</v>
      </c>
      <c r="B1991" s="11">
        <v>44286.0</v>
      </c>
      <c r="C1991" s="1" t="s">
        <v>1030</v>
      </c>
      <c r="D1991" s="1" t="s">
        <v>1031</v>
      </c>
      <c r="E1991" s="1">
        <v>5.0E7</v>
      </c>
      <c r="F1991" s="1">
        <v>1.14E8</v>
      </c>
      <c r="G1991" s="1">
        <v>8.7E7</v>
      </c>
      <c r="H1991" s="1">
        <v>3.04E8</v>
      </c>
      <c r="I1991" s="1">
        <v>4.9E8</v>
      </c>
      <c r="J1991" s="1">
        <v>1.36E8</v>
      </c>
      <c r="K1991" s="1">
        <v>1.36E8</v>
      </c>
      <c r="L1991" s="1">
        <v>-2.1E7</v>
      </c>
      <c r="M1991" s="1">
        <v>2.7E7</v>
      </c>
      <c r="N1991" s="1">
        <v>1.256E9</v>
      </c>
      <c r="O1991" s="1">
        <v>1.12E9</v>
      </c>
      <c r="P1991" s="1">
        <v>7.66E8</v>
      </c>
      <c r="Q1991" s="1">
        <v>-2.2E7</v>
      </c>
      <c r="R1991" s="1">
        <v>8.7E7</v>
      </c>
      <c r="S1991" s="1">
        <v>8.7E7</v>
      </c>
      <c r="W1991" s="4" t="str">
        <f>Raw_Data!C1990&amp;"|"&amp;Raw_Data!D1990&amp;"|"&amp;TEXT(Raw_Data!B1990,"yyyy-mm-dd")</f>
        <v>Xylem|XYL|2021-06-30</v>
      </c>
    </row>
    <row r="1992">
      <c r="A1992" s="1">
        <v>1990.0</v>
      </c>
      <c r="B1992" s="11">
        <v>44196.0</v>
      </c>
      <c r="C1992" s="1" t="s">
        <v>1030</v>
      </c>
      <c r="D1992" s="1" t="s">
        <v>1031</v>
      </c>
      <c r="E1992" s="1">
        <v>4.9E7</v>
      </c>
      <c r="F1992" s="1">
        <v>1.58E8</v>
      </c>
      <c r="G1992" s="1">
        <v>1.48E8</v>
      </c>
      <c r="H1992" s="1">
        <v>2.96E8</v>
      </c>
      <c r="I1992" s="1">
        <v>5.32E8</v>
      </c>
      <c r="J1992" s="1">
        <v>1.87E8</v>
      </c>
      <c r="K1992" s="1">
        <v>1.87E8</v>
      </c>
      <c r="L1992" s="1">
        <v>-2.1E7</v>
      </c>
      <c r="M1992" s="1">
        <v>1.0E7</v>
      </c>
      <c r="N1992" s="1">
        <v>1.373E9</v>
      </c>
      <c r="O1992" s="1">
        <v>1.186E9</v>
      </c>
      <c r="P1992" s="1">
        <v>8.41E8</v>
      </c>
      <c r="Q1992" s="1">
        <v>-2.9E7</v>
      </c>
      <c r="R1992" s="1">
        <v>1.48E8</v>
      </c>
      <c r="S1992" s="1">
        <v>1.48E8</v>
      </c>
      <c r="W1992" s="4" t="str">
        <f>Raw_Data!C1991&amp;"|"&amp;Raw_Data!D1991&amp;"|"&amp;TEXT(Raw_Data!B1991,"yyyy-mm-dd")</f>
        <v>Xylem|XYL|2021-03-31</v>
      </c>
    </row>
    <row r="1993">
      <c r="A1993" s="1">
        <v>1991.0</v>
      </c>
      <c r="B1993" s="11">
        <v>44104.0</v>
      </c>
      <c r="C1993" s="1" t="s">
        <v>1030</v>
      </c>
      <c r="D1993" s="1" t="s">
        <v>1031</v>
      </c>
      <c r="E1993" s="1">
        <v>4.5E7</v>
      </c>
      <c r="F1993" s="1">
        <v>5.0E7</v>
      </c>
      <c r="G1993" s="1">
        <v>3.7E7</v>
      </c>
      <c r="H1993" s="1">
        <v>2.69E8</v>
      </c>
      <c r="I1993" s="1">
        <v>4.61E8</v>
      </c>
      <c r="J1993" s="1">
        <v>1.47E8</v>
      </c>
      <c r="K1993" s="1">
        <v>1.47E8</v>
      </c>
      <c r="L1993" s="1">
        <v>-2.2E7</v>
      </c>
      <c r="M1993" s="1">
        <v>1.3E7</v>
      </c>
      <c r="N1993" s="1">
        <v>1.22E9</v>
      </c>
      <c r="O1993" s="1">
        <v>1.073E9</v>
      </c>
      <c r="P1993" s="1">
        <v>7.59E8</v>
      </c>
      <c r="Q1993" s="1">
        <v>-9.7E7</v>
      </c>
      <c r="R1993" s="1">
        <v>3.7E7</v>
      </c>
      <c r="S1993" s="1">
        <v>3.7E7</v>
      </c>
      <c r="W1993" s="4" t="str">
        <f>Raw_Data!C1992&amp;"|"&amp;Raw_Data!D1992&amp;"|"&amp;TEXT(Raw_Data!B1992,"yyyy-mm-dd")</f>
        <v>Xylem|XYL|2020-12-31</v>
      </c>
    </row>
    <row r="1994">
      <c r="A1994" s="1">
        <v>1992.0</v>
      </c>
      <c r="B1994" s="11">
        <v>44377.0</v>
      </c>
      <c r="C1994" s="1" t="s">
        <v>1032</v>
      </c>
      <c r="D1994" s="1" t="s">
        <v>1033</v>
      </c>
      <c r="F1994" s="1">
        <v>4.07E8</v>
      </c>
      <c r="G1994" s="1">
        <v>3.91E8</v>
      </c>
      <c r="H1994" s="1">
        <v>2.31E8</v>
      </c>
      <c r="I1994" s="1">
        <v>7.86E8</v>
      </c>
      <c r="J1994" s="1">
        <v>5.6E8</v>
      </c>
      <c r="K1994" s="1">
        <v>5.6E8</v>
      </c>
      <c r="L1994" s="1">
        <v>-1.25E8</v>
      </c>
      <c r="M1994" s="1">
        <v>1.6E7</v>
      </c>
      <c r="N1994" s="1">
        <v>1.602E9</v>
      </c>
      <c r="O1994" s="1">
        <v>1.042E9</v>
      </c>
      <c r="P1994" s="1">
        <v>8.16E8</v>
      </c>
      <c r="Q1994" s="1">
        <v>-1.53E8</v>
      </c>
      <c r="R1994" s="1">
        <v>3.91E8</v>
      </c>
      <c r="S1994" s="1">
        <v>3.91E8</v>
      </c>
      <c r="W1994" s="4" t="str">
        <f>Raw_Data!C1993&amp;"|"&amp;Raw_Data!D1993&amp;"|"&amp;TEXT(Raw_Data!B1993,"yyyy-mm-dd")</f>
        <v>Xylem|XYL|2020-09-30</v>
      </c>
    </row>
    <row r="1995">
      <c r="A1995" s="1">
        <v>1993.0</v>
      </c>
      <c r="B1995" s="11">
        <v>44286.0</v>
      </c>
      <c r="C1995" s="1" t="s">
        <v>1032</v>
      </c>
      <c r="D1995" s="1" t="s">
        <v>1033</v>
      </c>
      <c r="F1995" s="1">
        <v>4.09E8</v>
      </c>
      <c r="G1995" s="1">
        <v>3.26E8</v>
      </c>
      <c r="H1995" s="1">
        <v>2.09E8</v>
      </c>
      <c r="I1995" s="1">
        <v>7.28E8</v>
      </c>
      <c r="J1995" s="1">
        <v>5.32E8</v>
      </c>
      <c r="K1995" s="1">
        <v>5.32E8</v>
      </c>
      <c r="L1995" s="1">
        <v>-1.19E8</v>
      </c>
      <c r="M1995" s="1">
        <v>8.3E7</v>
      </c>
      <c r="N1995" s="1">
        <v>1.486E9</v>
      </c>
      <c r="O1995" s="1">
        <v>9.54E8</v>
      </c>
      <c r="P1995" s="1">
        <v>7.58E8</v>
      </c>
      <c r="Q1995" s="1">
        <v>-1.23E8</v>
      </c>
      <c r="R1995" s="1">
        <v>3.26E8</v>
      </c>
      <c r="S1995" s="1">
        <v>3.26E8</v>
      </c>
      <c r="W1995" s="4" t="str">
        <f>Raw_Data!C1994&amp;"|"&amp;Raw_Data!D1994&amp;"|"&amp;TEXT(Raw_Data!B1994,"yyyy-mm-dd")</f>
        <v>Yum! Brands|YUM|2021-06-30</v>
      </c>
    </row>
    <row r="1996">
      <c r="A1996" s="1">
        <v>1994.0</v>
      </c>
      <c r="B1996" s="11">
        <v>44196.0</v>
      </c>
      <c r="C1996" s="1" t="s">
        <v>1032</v>
      </c>
      <c r="D1996" s="1" t="s">
        <v>1033</v>
      </c>
      <c r="F1996" s="1">
        <v>3.52E8</v>
      </c>
      <c r="G1996" s="1">
        <v>3.32E8</v>
      </c>
      <c r="H1996" s="1">
        <v>3.31E8</v>
      </c>
      <c r="I1996" s="1">
        <v>8.23E8</v>
      </c>
      <c r="J1996" s="1">
        <v>4.96E8</v>
      </c>
      <c r="K1996" s="1">
        <v>4.96E8</v>
      </c>
      <c r="L1996" s="1">
        <v>-1.47E8</v>
      </c>
      <c r="M1996" s="1">
        <v>2.0E7</v>
      </c>
      <c r="N1996" s="1">
        <v>1.743E9</v>
      </c>
      <c r="O1996" s="1">
        <v>1.247E9</v>
      </c>
      <c r="P1996" s="1">
        <v>9.2E8</v>
      </c>
      <c r="Q1996" s="1">
        <v>-1.44E8</v>
      </c>
      <c r="R1996" s="1">
        <v>3.32E8</v>
      </c>
      <c r="S1996" s="1">
        <v>3.32E8</v>
      </c>
      <c r="W1996" s="4" t="str">
        <f>Raw_Data!C1995&amp;"|"&amp;Raw_Data!D1995&amp;"|"&amp;TEXT(Raw_Data!B1995,"yyyy-mm-dd")</f>
        <v>Yum! Brands|YUM|2021-03-31</v>
      </c>
    </row>
    <row r="1997">
      <c r="A1997" s="1">
        <v>1995.0</v>
      </c>
      <c r="B1997" s="11">
        <v>44104.0</v>
      </c>
      <c r="C1997" s="1" t="s">
        <v>1032</v>
      </c>
      <c r="D1997" s="1" t="s">
        <v>1033</v>
      </c>
      <c r="F1997" s="1">
        <v>3.16E8</v>
      </c>
      <c r="G1997" s="1">
        <v>2.83E8</v>
      </c>
      <c r="H1997" s="1">
        <v>2.28E8</v>
      </c>
      <c r="I1997" s="1">
        <v>7.23E8</v>
      </c>
      <c r="J1997" s="1">
        <v>5.02E8</v>
      </c>
      <c r="K1997" s="1">
        <v>5.02E8</v>
      </c>
      <c r="L1997" s="1">
        <v>-1.61E8</v>
      </c>
      <c r="M1997" s="1">
        <v>3.3E7</v>
      </c>
      <c r="N1997" s="1">
        <v>1.448E9</v>
      </c>
      <c r="O1997" s="1">
        <v>9.46E8</v>
      </c>
      <c r="P1997" s="1">
        <v>7.25E8</v>
      </c>
      <c r="Q1997" s="1">
        <v>-1.86E8</v>
      </c>
      <c r="R1997" s="1">
        <v>2.83E8</v>
      </c>
      <c r="S1997" s="1">
        <v>2.83E8</v>
      </c>
      <c r="W1997" s="4" t="str">
        <f>Raw_Data!C1996&amp;"|"&amp;Raw_Data!D1996&amp;"|"&amp;TEXT(Raw_Data!B1996,"yyyy-mm-dd")</f>
        <v>Yum! Brands|YUM|2020-12-31</v>
      </c>
    </row>
    <row r="1998">
      <c r="A1998" s="1">
        <v>1996.0</v>
      </c>
      <c r="B1998" s="11">
        <v>44380.0</v>
      </c>
      <c r="C1998" s="1" t="s">
        <v>1034</v>
      </c>
      <c r="D1998" s="1" t="s">
        <v>1035</v>
      </c>
      <c r="E1998" s="1">
        <v>1.41E8</v>
      </c>
      <c r="F1998" s="1">
        <v>2.38E8</v>
      </c>
      <c r="G1998" s="1">
        <v>2.19E8</v>
      </c>
      <c r="H1998" s="1">
        <v>2.4E8</v>
      </c>
      <c r="I1998" s="1">
        <v>6.58E8</v>
      </c>
      <c r="J1998" s="1">
        <v>2.51E8</v>
      </c>
      <c r="K1998" s="1">
        <v>2.51E8</v>
      </c>
      <c r="L1998" s="1">
        <v>-7000000.0</v>
      </c>
      <c r="M1998" s="1">
        <v>1.9E7</v>
      </c>
      <c r="N1998" s="1">
        <v>1.377E9</v>
      </c>
      <c r="O1998" s="1">
        <v>1.126E9</v>
      </c>
      <c r="P1998" s="1">
        <v>7.19E8</v>
      </c>
      <c r="Q1998" s="1">
        <v>-1.3E7</v>
      </c>
      <c r="R1998" s="1">
        <v>2.19E8</v>
      </c>
      <c r="S1998" s="1">
        <v>2.19E8</v>
      </c>
      <c r="W1998" s="4" t="str">
        <f>Raw_Data!C1997&amp;"|"&amp;Raw_Data!D1997&amp;"|"&amp;TEXT(Raw_Data!B1997,"yyyy-mm-dd")</f>
        <v>Yum! Brands|YUM|2020-09-30</v>
      </c>
    </row>
    <row r="1999">
      <c r="A1999" s="1">
        <v>1997.0</v>
      </c>
      <c r="B1999" s="11">
        <v>44289.0</v>
      </c>
      <c r="C1999" s="1" t="s">
        <v>1034</v>
      </c>
      <c r="D1999" s="1" t="s">
        <v>1035</v>
      </c>
      <c r="E1999" s="1">
        <v>1.4E8</v>
      </c>
      <c r="F1999" s="1">
        <v>2.76E8</v>
      </c>
      <c r="G1999" s="1">
        <v>2.28E8</v>
      </c>
      <c r="H1999" s="1">
        <v>2.16E8</v>
      </c>
      <c r="I1999" s="1">
        <v>6.55E8</v>
      </c>
      <c r="J1999" s="1">
        <v>2.73E8</v>
      </c>
      <c r="K1999" s="1">
        <v>2.73E8</v>
      </c>
      <c r="L1999" s="1">
        <v>-7000000.0</v>
      </c>
      <c r="M1999" s="1">
        <v>4.8E7</v>
      </c>
      <c r="N1999" s="1">
        <v>1.347E9</v>
      </c>
      <c r="O1999" s="1">
        <v>1.074E9</v>
      </c>
      <c r="P1999" s="1">
        <v>6.92E8</v>
      </c>
      <c r="Q1999" s="1">
        <v>3000000.0</v>
      </c>
      <c r="R1999" s="1">
        <v>2.28E8</v>
      </c>
      <c r="S1999" s="1">
        <v>2.28E8</v>
      </c>
      <c r="W1999" s="4" t="str">
        <f>Raw_Data!C1998&amp;"|"&amp;Raw_Data!D1998&amp;"|"&amp;TEXT(Raw_Data!B1998,"yyyy-mm-dd")</f>
        <v>Zebra Technologies|ZBRA|2021-07-03</v>
      </c>
      <c r="X1999" s="4">
        <f>COUNTIF(W:W,W3)</f>
        <v>2</v>
      </c>
    </row>
    <row r="2000">
      <c r="A2000" s="1">
        <v>1998.0</v>
      </c>
      <c r="B2000" s="11">
        <v>44196.0</v>
      </c>
      <c r="C2000" s="1" t="s">
        <v>1034</v>
      </c>
      <c r="D2000" s="1" t="s">
        <v>1035</v>
      </c>
      <c r="E2000" s="1">
        <v>1.37E8</v>
      </c>
      <c r="F2000" s="1">
        <v>2.16E8</v>
      </c>
      <c r="G2000" s="1">
        <v>1.99E8</v>
      </c>
      <c r="H2000" s="1">
        <v>2.18E8</v>
      </c>
      <c r="I2000" s="1">
        <v>6.18E8</v>
      </c>
      <c r="J2000" s="1">
        <v>2.37E8</v>
      </c>
      <c r="K2000" s="1">
        <v>2.37E8</v>
      </c>
      <c r="L2000" s="1">
        <v>-7000000.0</v>
      </c>
      <c r="M2000" s="1">
        <v>1.7E7</v>
      </c>
      <c r="N2000" s="1">
        <v>1.308E9</v>
      </c>
      <c r="O2000" s="1">
        <v>1.071E9</v>
      </c>
      <c r="P2000" s="1">
        <v>6.9E8</v>
      </c>
      <c r="Q2000" s="1">
        <v>-2.1E7</v>
      </c>
      <c r="R2000" s="1">
        <v>1.99E8</v>
      </c>
      <c r="S2000" s="1">
        <v>1.99E8</v>
      </c>
      <c r="W2000" s="4" t="str">
        <f>Raw_Data!C1999&amp;"|"&amp;Raw_Data!D1999&amp;"|"&amp;TEXT(Raw_Data!B1999,"yyyy-mm-dd")</f>
        <v>Zebra Technologies|ZBRA|2021-04-03</v>
      </c>
    </row>
    <row r="2001">
      <c r="A2001" s="1">
        <v>1999.0</v>
      </c>
      <c r="B2001" s="11">
        <v>44100.0</v>
      </c>
      <c r="C2001" s="1" t="s">
        <v>1034</v>
      </c>
      <c r="D2001" s="1" t="s">
        <v>1035</v>
      </c>
      <c r="E2001" s="1">
        <v>1.13E8</v>
      </c>
      <c r="F2001" s="1">
        <v>1.38E8</v>
      </c>
      <c r="G2001" s="1">
        <v>1.16E8</v>
      </c>
      <c r="H2001" s="1">
        <v>1.9E8</v>
      </c>
      <c r="I2001" s="1">
        <v>4.93E8</v>
      </c>
      <c r="J2001" s="1">
        <v>1.7E8</v>
      </c>
      <c r="K2001" s="1">
        <v>1.7E8</v>
      </c>
      <c r="L2001" s="1">
        <v>-1.0E7</v>
      </c>
      <c r="M2001" s="1">
        <v>2.2E7</v>
      </c>
      <c r="N2001" s="1">
        <v>1.132E9</v>
      </c>
      <c r="O2001" s="1">
        <v>9.62E8</v>
      </c>
      <c r="P2001" s="1">
        <v>6.39E8</v>
      </c>
      <c r="Q2001" s="1">
        <v>-3.2E7</v>
      </c>
      <c r="R2001" s="1">
        <v>1.16E8</v>
      </c>
      <c r="S2001" s="1">
        <v>1.16E8</v>
      </c>
      <c r="W2001" s="4" t="str">
        <f>Raw_Data!C2000&amp;"|"&amp;Raw_Data!D2000&amp;"|"&amp;TEXT(Raw_Data!B2000,"yyyy-mm-dd")</f>
        <v>Zebra Technologies|ZBRA|2020-12-31</v>
      </c>
    </row>
    <row r="2002">
      <c r="A2002" s="1">
        <v>2000.0</v>
      </c>
      <c r="B2002" s="11">
        <v>44377.0</v>
      </c>
      <c r="C2002" s="1" t="s">
        <v>1036</v>
      </c>
      <c r="D2002" s="1" t="s">
        <v>1037</v>
      </c>
      <c r="E2002" s="1">
        <v>1.805E8</v>
      </c>
      <c r="F2002" s="1">
        <v>1.739E8</v>
      </c>
      <c r="G2002" s="1">
        <v>1.419E8</v>
      </c>
      <c r="H2002" s="1">
        <v>8.12E8</v>
      </c>
      <c r="I2002" s="1">
        <v>1.4532E9</v>
      </c>
      <c r="J2002" s="1">
        <v>3.061E8</v>
      </c>
      <c r="K2002" s="1">
        <v>3.061E8</v>
      </c>
      <c r="L2002" s="1">
        <v>-5.47E7</v>
      </c>
      <c r="M2002" s="1">
        <v>3.14E7</v>
      </c>
      <c r="N2002" s="1">
        <v>2.0269E9</v>
      </c>
      <c r="O2002" s="1">
        <v>1.7208E9</v>
      </c>
      <c r="P2002" s="1">
        <v>5.737E8</v>
      </c>
      <c r="Q2002" s="1">
        <v>-1.322E8</v>
      </c>
      <c r="R2002" s="1">
        <v>1.425E8</v>
      </c>
      <c r="S2002" s="1">
        <v>1.419E8</v>
      </c>
      <c r="W2002" s="4" t="str">
        <f>Raw_Data!C2001&amp;"|"&amp;Raw_Data!D2001&amp;"|"&amp;TEXT(Raw_Data!B2001,"yyyy-mm-dd")</f>
        <v>Zebra Technologies|ZBRA|2020-09-26</v>
      </c>
    </row>
    <row r="2003">
      <c r="A2003" s="1">
        <v>2001.0</v>
      </c>
      <c r="B2003" s="11">
        <v>44286.0</v>
      </c>
      <c r="C2003" s="1" t="s">
        <v>1036</v>
      </c>
      <c r="D2003" s="1" t="s">
        <v>1037</v>
      </c>
      <c r="E2003" s="1">
        <v>9.44E7</v>
      </c>
      <c r="F2003" s="1">
        <v>2.206E8</v>
      </c>
      <c r="G2003" s="1">
        <v>1.981E8</v>
      </c>
      <c r="H2003" s="1">
        <v>7.655E8</v>
      </c>
      <c r="I2003" s="1">
        <v>1.331E9</v>
      </c>
      <c r="J2003" s="1">
        <v>3.156E8</v>
      </c>
      <c r="K2003" s="1">
        <v>3.156E8</v>
      </c>
      <c r="L2003" s="1">
        <v>-5.23E7</v>
      </c>
      <c r="M2003" s="1">
        <v>2.29E7</v>
      </c>
      <c r="N2003" s="1">
        <v>1.8474E9</v>
      </c>
      <c r="O2003" s="1">
        <v>1.5318E9</v>
      </c>
      <c r="P2003" s="1">
        <v>5.164E8</v>
      </c>
      <c r="Q2003" s="1">
        <v>-9.5E7</v>
      </c>
      <c r="R2003" s="1">
        <v>1.977E8</v>
      </c>
      <c r="S2003" s="1">
        <v>1.981E8</v>
      </c>
      <c r="W2003" s="4" t="str">
        <f>Raw_Data!C2002&amp;"|"&amp;Raw_Data!D2002&amp;"|"&amp;TEXT(Raw_Data!B2002,"yyyy-mm-dd")</f>
        <v>Zimmer Biomet|ZBH|2021-06-30</v>
      </c>
    </row>
    <row r="2004">
      <c r="A2004" s="1">
        <v>2002.0</v>
      </c>
      <c r="B2004" s="11">
        <v>44196.0</v>
      </c>
      <c r="C2004" s="1" t="s">
        <v>1036</v>
      </c>
      <c r="D2004" s="1" t="s">
        <v>1037</v>
      </c>
      <c r="E2004" s="1">
        <v>1.0E8</v>
      </c>
      <c r="F2004" s="1">
        <v>1.956E8</v>
      </c>
      <c r="G2004" s="1">
        <v>3.337E8</v>
      </c>
      <c r="H2004" s="1">
        <v>8.072E8</v>
      </c>
      <c r="I2004" s="1">
        <v>1.4337E9</v>
      </c>
      <c r="J2004" s="1">
        <v>3.739E8</v>
      </c>
      <c r="K2004" s="1">
        <v>3.739E8</v>
      </c>
      <c r="L2004" s="1">
        <v>-5.31E7</v>
      </c>
      <c r="M2004" s="1">
        <v>-1.382E8</v>
      </c>
      <c r="N2004" s="1">
        <v>2.0853E9</v>
      </c>
      <c r="O2004" s="1">
        <v>1.7114E9</v>
      </c>
      <c r="P2004" s="1">
        <v>6.516E8</v>
      </c>
      <c r="Q2004" s="1">
        <v>-1.783E8</v>
      </c>
      <c r="R2004" s="1">
        <v>3.338E8</v>
      </c>
      <c r="S2004" s="1">
        <v>3.337E8</v>
      </c>
      <c r="W2004" s="4" t="str">
        <f>Raw_Data!C2003&amp;"|"&amp;Raw_Data!D2003&amp;"|"&amp;TEXT(Raw_Data!B2003,"yyyy-mm-dd")</f>
        <v>Zimmer Biomet|ZBH|2021-03-31</v>
      </c>
    </row>
    <row r="2005">
      <c r="A2005" s="1">
        <v>2003.0</v>
      </c>
      <c r="B2005" s="11">
        <v>44104.0</v>
      </c>
      <c r="C2005" s="1" t="s">
        <v>1036</v>
      </c>
      <c r="D2005" s="1" t="s">
        <v>1037</v>
      </c>
      <c r="E2005" s="1">
        <v>8.59E7</v>
      </c>
      <c r="F2005" s="1">
        <v>2.558E8</v>
      </c>
      <c r="G2005" s="1">
        <v>2.425E8</v>
      </c>
      <c r="H2005" s="1">
        <v>7.723E8</v>
      </c>
      <c r="I2005" s="1">
        <v>1.3622E9</v>
      </c>
      <c r="J2005" s="1">
        <v>3.543E8</v>
      </c>
      <c r="K2005" s="1">
        <v>3.543E8</v>
      </c>
      <c r="L2005" s="1">
        <v>-5.4E7</v>
      </c>
      <c r="M2005" s="1">
        <v>9700000.0</v>
      </c>
      <c r="N2005" s="1">
        <v>1.9293E9</v>
      </c>
      <c r="O2005" s="1">
        <v>1.575E9</v>
      </c>
      <c r="P2005" s="1">
        <v>5.671E8</v>
      </c>
      <c r="Q2005" s="1">
        <v>-9.85E7</v>
      </c>
      <c r="R2005" s="1">
        <v>2.461E8</v>
      </c>
      <c r="S2005" s="1">
        <v>2.425E8</v>
      </c>
      <c r="W2005" s="4" t="str">
        <f>Raw_Data!C2004&amp;"|"&amp;Raw_Data!D2004&amp;"|"&amp;TEXT(Raw_Data!B2004,"yyyy-mm-dd")</f>
        <v>Zimmer Biomet|ZBH|2020-12-31</v>
      </c>
    </row>
    <row r="2006">
      <c r="A2006" s="1">
        <v>2004.0</v>
      </c>
      <c r="B2006" s="11">
        <v>44377.0</v>
      </c>
      <c r="C2006" s="1" t="s">
        <v>1038</v>
      </c>
      <c r="D2006" s="1" t="s">
        <v>1039</v>
      </c>
      <c r="F2006" s="1">
        <v>4.55E8</v>
      </c>
      <c r="G2006" s="1">
        <v>3.54E8</v>
      </c>
      <c r="H2006" s="1">
        <v>3.58E8</v>
      </c>
      <c r="I2006" s="1">
        <v>8.83E8</v>
      </c>
      <c r="J2006" s="1">
        <v>0.0</v>
      </c>
      <c r="K2006" s="1">
        <v>4.61E8</v>
      </c>
      <c r="M2006" s="1">
        <v>1.01E8</v>
      </c>
      <c r="N2006" s="1">
        <v>8.83E8</v>
      </c>
      <c r="O2006" s="1">
        <v>4.22E8</v>
      </c>
      <c r="P2006" s="1">
        <v>0.0</v>
      </c>
      <c r="Q2006" s="1">
        <v>-6000000.0</v>
      </c>
      <c r="R2006" s="1">
        <v>3.54E8</v>
      </c>
      <c r="S2006" s="1">
        <v>3.4E8</v>
      </c>
      <c r="W2006" s="4" t="str">
        <f>Raw_Data!C2005&amp;"|"&amp;Raw_Data!D2005&amp;"|"&amp;TEXT(Raw_Data!B2005,"yyyy-mm-dd")</f>
        <v>Zimmer Biomet|ZBH|2020-09-30</v>
      </c>
    </row>
    <row r="2007">
      <c r="A2007" s="1">
        <v>2005.0</v>
      </c>
      <c r="B2007" s="11">
        <v>44286.0</v>
      </c>
      <c r="C2007" s="1" t="s">
        <v>1038</v>
      </c>
      <c r="D2007" s="1" t="s">
        <v>1039</v>
      </c>
      <c r="F2007" s="1">
        <v>4.11E8</v>
      </c>
      <c r="G2007" s="1">
        <v>3.22E8</v>
      </c>
      <c r="H2007" s="1">
        <v>3.78E8</v>
      </c>
      <c r="I2007" s="1">
        <v>8.37E8</v>
      </c>
      <c r="J2007" s="1">
        <v>0.0</v>
      </c>
      <c r="K2007" s="1">
        <v>4.18E8</v>
      </c>
      <c r="M2007" s="1">
        <v>8.9E7</v>
      </c>
      <c r="N2007" s="1">
        <v>8.37E8</v>
      </c>
      <c r="O2007" s="1">
        <v>4.19E8</v>
      </c>
      <c r="P2007" s="1">
        <v>0.0</v>
      </c>
      <c r="Q2007" s="1">
        <v>-7000000.0</v>
      </c>
      <c r="R2007" s="1">
        <v>3.22E8</v>
      </c>
      <c r="S2007" s="1">
        <v>3.12E8</v>
      </c>
      <c r="W2007" s="4" t="str">
        <f>Raw_Data!C2006&amp;"|"&amp;Raw_Data!D2006&amp;"|"&amp;TEXT(Raw_Data!B2006,"yyyy-mm-dd")</f>
        <v>Zions Bancorp|ZION|2021-06-30</v>
      </c>
    </row>
    <row r="2008">
      <c r="A2008" s="1">
        <v>2006.0</v>
      </c>
      <c r="B2008" s="11">
        <v>44196.0</v>
      </c>
      <c r="C2008" s="1" t="s">
        <v>1038</v>
      </c>
      <c r="D2008" s="1" t="s">
        <v>1039</v>
      </c>
      <c r="F2008" s="1">
        <v>3.59E8</v>
      </c>
      <c r="G2008" s="1">
        <v>2.84E8</v>
      </c>
      <c r="H2008" s="1">
        <v>3.63E8</v>
      </c>
      <c r="I2008" s="1">
        <v>7.78E8</v>
      </c>
      <c r="J2008" s="1">
        <v>0.0</v>
      </c>
      <c r="K2008" s="1">
        <v>3.96E8</v>
      </c>
      <c r="M2008" s="1">
        <v>7.5E7</v>
      </c>
      <c r="N2008" s="1">
        <v>7.78E8</v>
      </c>
      <c r="O2008" s="1">
        <v>3.82E8</v>
      </c>
      <c r="P2008" s="1">
        <v>0.0</v>
      </c>
      <c r="Q2008" s="1">
        <v>-3.7E7</v>
      </c>
      <c r="R2008" s="1">
        <v>2.84E8</v>
      </c>
      <c r="S2008" s="1">
        <v>2.72E8</v>
      </c>
      <c r="W2008" s="4" t="str">
        <f>Raw_Data!C2007&amp;"|"&amp;Raw_Data!D2007&amp;"|"&amp;TEXT(Raw_Data!B2007,"yyyy-mm-dd")</f>
        <v>Zions Bancorp|ZION|2021-03-31</v>
      </c>
    </row>
    <row r="2009">
      <c r="A2009" s="1">
        <v>2007.0</v>
      </c>
      <c r="B2009" s="11">
        <v>44104.0</v>
      </c>
      <c r="C2009" s="1" t="s">
        <v>1038</v>
      </c>
      <c r="D2009" s="1" t="s">
        <v>1039</v>
      </c>
      <c r="F2009" s="1">
        <v>2.15E8</v>
      </c>
      <c r="G2009" s="1">
        <v>1.75E8</v>
      </c>
      <c r="H2009" s="1">
        <v>3.53E8</v>
      </c>
      <c r="I2009" s="1">
        <v>6.67E8</v>
      </c>
      <c r="J2009" s="1">
        <v>0.0</v>
      </c>
      <c r="K2009" s="1">
        <v>2.22E8</v>
      </c>
      <c r="M2009" s="1">
        <v>4.0E7</v>
      </c>
      <c r="N2009" s="1">
        <v>6.67E8</v>
      </c>
      <c r="O2009" s="1">
        <v>4.45E8</v>
      </c>
      <c r="P2009" s="1">
        <v>0.0</v>
      </c>
      <c r="Q2009" s="1">
        <v>-7000000.0</v>
      </c>
      <c r="R2009" s="1">
        <v>1.75E8</v>
      </c>
      <c r="S2009" s="1">
        <v>1.66E8</v>
      </c>
      <c r="W2009" s="4" t="str">
        <f>Raw_Data!C2008&amp;"|"&amp;Raw_Data!D2008&amp;"|"&amp;TEXT(Raw_Data!B2008,"yyyy-mm-dd")</f>
        <v>Zions Bancorp|ZION|2020-12-31</v>
      </c>
    </row>
    <row r="2010">
      <c r="A2010" s="1">
        <v>2008.0</v>
      </c>
      <c r="B2010" s="11">
        <v>44377.0</v>
      </c>
      <c r="C2010" s="1" t="s">
        <v>1040</v>
      </c>
      <c r="D2010" s="1" t="s">
        <v>1041</v>
      </c>
      <c r="E2010" s="1">
        <v>1.2E8</v>
      </c>
      <c r="F2010" s="1">
        <v>6.36E8</v>
      </c>
      <c r="G2010" s="1">
        <v>5.12E8</v>
      </c>
      <c r="H2010" s="1">
        <v>4.95E8</v>
      </c>
      <c r="I2010" s="1">
        <v>1.382E9</v>
      </c>
      <c r="J2010" s="1">
        <v>7.26E8</v>
      </c>
      <c r="K2010" s="1">
        <v>7.26E8</v>
      </c>
      <c r="L2010" s="1">
        <v>-5.7E7</v>
      </c>
      <c r="M2010" s="1">
        <v>1.25E8</v>
      </c>
      <c r="N2010" s="1">
        <v>1.948E9</v>
      </c>
      <c r="O2010" s="1">
        <v>1.222E9</v>
      </c>
      <c r="P2010" s="1">
        <v>5.66E8</v>
      </c>
      <c r="Q2010" s="1">
        <v>-9.0E7</v>
      </c>
      <c r="R2010" s="1">
        <v>5.11E8</v>
      </c>
      <c r="S2010" s="1">
        <v>5.12E8</v>
      </c>
      <c r="W2010" s="4" t="str">
        <f>Raw_Data!C2009&amp;"|"&amp;Raw_Data!D2009&amp;"|"&amp;TEXT(Raw_Data!B2009,"yyyy-mm-dd")</f>
        <v>Zions Bancorp|ZION|2020-09-30</v>
      </c>
    </row>
    <row r="2011">
      <c r="A2011" s="1">
        <v>2009.0</v>
      </c>
      <c r="B2011" s="11">
        <v>44286.0</v>
      </c>
      <c r="C2011" s="1" t="s">
        <v>1040</v>
      </c>
      <c r="D2011" s="1" t="s">
        <v>1041</v>
      </c>
      <c r="E2011" s="1">
        <v>1.18E8</v>
      </c>
      <c r="F2011" s="1">
        <v>6.87E8</v>
      </c>
      <c r="G2011" s="1">
        <v>5.59E8</v>
      </c>
      <c r="H2011" s="1">
        <v>4.09E8</v>
      </c>
      <c r="I2011" s="1">
        <v>1.323E9</v>
      </c>
      <c r="J2011" s="1">
        <v>7.56E8</v>
      </c>
      <c r="K2011" s="1">
        <v>7.56E8</v>
      </c>
      <c r="L2011" s="1">
        <v>-5.7E7</v>
      </c>
      <c r="M2011" s="1">
        <v>1.29E8</v>
      </c>
      <c r="N2011" s="1">
        <v>1.871E9</v>
      </c>
      <c r="O2011" s="1">
        <v>1.115E9</v>
      </c>
      <c r="P2011" s="1">
        <v>5.48E8</v>
      </c>
      <c r="Q2011" s="1">
        <v>-6.9E7</v>
      </c>
      <c r="R2011" s="1">
        <v>5.58E8</v>
      </c>
      <c r="S2011" s="1">
        <v>5.59E8</v>
      </c>
      <c r="W2011" s="4" t="str">
        <f>Raw_Data!C2010&amp;"|"&amp;Raw_Data!D2010&amp;"|"&amp;TEXT(Raw_Data!B2010,"yyyy-mm-dd")</f>
        <v>Zoetis|ZTS|2021-06-30</v>
      </c>
    </row>
    <row r="2012">
      <c r="A2012" s="1">
        <v>2010.0</v>
      </c>
      <c r="B2012" s="11">
        <v>44196.0</v>
      </c>
      <c r="C2012" s="1" t="s">
        <v>1040</v>
      </c>
      <c r="D2012" s="1" t="s">
        <v>1041</v>
      </c>
      <c r="E2012" s="1">
        <v>1.33E8</v>
      </c>
      <c r="F2012" s="1">
        <v>4.2E8</v>
      </c>
      <c r="G2012" s="1">
        <v>3.59E8</v>
      </c>
      <c r="H2012" s="1">
        <v>5.18E8</v>
      </c>
      <c r="I2012" s="1">
        <v>1.221E9</v>
      </c>
      <c r="J2012" s="1">
        <v>5.3E8</v>
      </c>
      <c r="K2012" s="1">
        <v>5.3E8</v>
      </c>
      <c r="L2012" s="1">
        <v>-5.8E7</v>
      </c>
      <c r="M2012" s="1">
        <v>6.2E7</v>
      </c>
      <c r="N2012" s="1">
        <v>1.807E9</v>
      </c>
      <c r="O2012" s="1">
        <v>1.277E9</v>
      </c>
      <c r="P2012" s="1">
        <v>5.86E8</v>
      </c>
      <c r="Q2012" s="1">
        <v>-1.1E8</v>
      </c>
      <c r="R2012" s="1">
        <v>3.58E8</v>
      </c>
      <c r="S2012" s="1">
        <v>3.59E8</v>
      </c>
      <c r="W2012" s="4" t="str">
        <f>Raw_Data!C2011&amp;"|"&amp;Raw_Data!D2011&amp;"|"&amp;TEXT(Raw_Data!B2011,"yyyy-mm-dd")</f>
        <v>Zoetis|ZTS|2021-03-31</v>
      </c>
    </row>
    <row r="2013">
      <c r="A2013" s="1">
        <v>2011.0</v>
      </c>
      <c r="B2013" s="11">
        <v>44104.0</v>
      </c>
      <c r="C2013" s="1" t="s">
        <v>1040</v>
      </c>
      <c r="D2013" s="1" t="s">
        <v>1041</v>
      </c>
      <c r="E2013" s="1">
        <v>1.12E8</v>
      </c>
      <c r="F2013" s="1">
        <v>5.97E8</v>
      </c>
      <c r="G2013" s="1">
        <v>4.79E8</v>
      </c>
      <c r="H2013" s="1">
        <v>4.19E8</v>
      </c>
      <c r="I2013" s="1">
        <v>1.241E9</v>
      </c>
      <c r="J2013" s="1">
        <v>6.7E8</v>
      </c>
      <c r="K2013" s="1">
        <v>6.7E8</v>
      </c>
      <c r="L2013" s="1">
        <v>-6.2E7</v>
      </c>
      <c r="M2013" s="1">
        <v>1.18E8</v>
      </c>
      <c r="N2013" s="1">
        <v>1.786E9</v>
      </c>
      <c r="O2013" s="1">
        <v>1.116E9</v>
      </c>
      <c r="P2013" s="1">
        <v>5.45E8</v>
      </c>
      <c r="Q2013" s="1">
        <v>-7.3E7</v>
      </c>
      <c r="R2013" s="1">
        <v>4.79E8</v>
      </c>
      <c r="S2013" s="1">
        <v>4.79E8</v>
      </c>
      <c r="W2013" s="4" t="str">
        <f>Raw_Data!C2012&amp;"|"&amp;Raw_Data!D2012&amp;"|"&amp;TEXT(Raw_Data!B2012,"yyyy-mm-dd")</f>
        <v>Zoetis|ZTS|2020-12-31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6.5"/>
    <col customWidth="1" min="4" max="4" width="7.13"/>
    <col customWidth="1" min="5" max="5" width="18.38"/>
    <col customWidth="1" min="6" max="6" width="14.88"/>
    <col customWidth="1" min="7" max="7" width="11.75"/>
    <col customWidth="1" min="8" max="8" width="23.38"/>
    <col customWidth="1" min="9" max="10" width="11.25"/>
    <col customWidth="1" min="11" max="11" width="14.25"/>
    <col customWidth="1" min="12" max="12" width="13.5"/>
    <col customWidth="1" min="13" max="13" width="16.5"/>
    <col customWidth="1" min="14" max="14" width="12.13"/>
    <col customWidth="1" min="15" max="15" width="20.13"/>
    <col customWidth="1" min="16" max="16" width="13.75"/>
    <col customWidth="1" min="17" max="17" width="25.13"/>
    <col customWidth="1" min="18" max="18" width="25.88"/>
    <col customWidth="1" min="19" max="19" width="32.88"/>
  </cols>
  <sheetData>
    <row r="1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1">
        <v>0.0</v>
      </c>
      <c r="B2" s="2">
        <v>44469.0</v>
      </c>
      <c r="C2" s="1" t="s">
        <v>20</v>
      </c>
      <c r="D2" s="1" t="s">
        <v>21</v>
      </c>
      <c r="E2" s="1">
        <v>4.82E8</v>
      </c>
      <c r="F2" s="1">
        <v>1.761E9</v>
      </c>
      <c r="G2" s="1">
        <v>1.434E9</v>
      </c>
      <c r="H2" s="1">
        <v>1.739E9</v>
      </c>
      <c r="I2" s="1">
        <v>4.089E9</v>
      </c>
      <c r="J2" s="1">
        <v>1.868E9</v>
      </c>
      <c r="K2" s="1">
        <v>1.868E9</v>
      </c>
      <c r="L2" s="1">
        <v>-1.17E8</v>
      </c>
      <c r="M2" s="1">
        <v>3.24E8</v>
      </c>
      <c r="N2" s="1">
        <v>8.942E9</v>
      </c>
      <c r="O2" s="1">
        <v>7.074E9</v>
      </c>
      <c r="P2" s="1">
        <v>4.853E9</v>
      </c>
      <c r="Q2" s="1">
        <v>-1.07E8</v>
      </c>
      <c r="R2" s="1">
        <v>1.437E9</v>
      </c>
      <c r="S2" s="1">
        <v>1.434E9</v>
      </c>
    </row>
    <row r="3">
      <c r="A3" s="1">
        <v>1.0</v>
      </c>
      <c r="B3" s="2">
        <v>44377.0</v>
      </c>
      <c r="C3" s="1" t="s">
        <v>20</v>
      </c>
      <c r="D3" s="1" t="s">
        <v>21</v>
      </c>
      <c r="E3" s="1">
        <v>5.14E8</v>
      </c>
      <c r="F3" s="1">
        <v>1.94E9</v>
      </c>
      <c r="G3" s="1">
        <v>1.524E9</v>
      </c>
      <c r="H3" s="1">
        <v>1.666E9</v>
      </c>
      <c r="I3" s="1">
        <v>4.231E9</v>
      </c>
      <c r="J3" s="1">
        <v>2.051E9</v>
      </c>
      <c r="K3" s="1">
        <v>2.051E9</v>
      </c>
      <c r="L3" s="1">
        <v>-1.21E8</v>
      </c>
      <c r="M3" s="1">
        <v>4.15E8</v>
      </c>
      <c r="N3" s="1">
        <v>8.95E9</v>
      </c>
      <c r="O3" s="1">
        <v>6.899E9</v>
      </c>
      <c r="P3" s="1">
        <v>4.719E9</v>
      </c>
      <c r="Q3" s="1">
        <v>-1.11E8</v>
      </c>
      <c r="R3" s="1">
        <v>1.525E9</v>
      </c>
      <c r="S3" s="1">
        <v>1.524E9</v>
      </c>
    </row>
    <row r="4">
      <c r="A4" s="1">
        <v>2.0</v>
      </c>
      <c r="B4" s="2">
        <v>44286.0</v>
      </c>
      <c r="C4" s="1" t="s">
        <v>20</v>
      </c>
      <c r="D4" s="1" t="s">
        <v>21</v>
      </c>
      <c r="E4" s="1">
        <v>5.2E8</v>
      </c>
      <c r="F4" s="1">
        <v>1.946E9</v>
      </c>
      <c r="G4" s="1">
        <v>1.624E9</v>
      </c>
      <c r="H4" s="1">
        <v>1.72E9</v>
      </c>
      <c r="I4" s="1">
        <v>4.327E9</v>
      </c>
      <c r="J4" s="1">
        <v>2.087E9</v>
      </c>
      <c r="K4" s="1">
        <v>2.087E9</v>
      </c>
      <c r="L4" s="1">
        <v>-1.32E8</v>
      </c>
      <c r="M4" s="1">
        <v>3.19E8</v>
      </c>
      <c r="N4" s="1">
        <v>8.851E9</v>
      </c>
      <c r="O4" s="1">
        <v>6.764E9</v>
      </c>
      <c r="P4" s="1">
        <v>4.524E9</v>
      </c>
      <c r="Q4" s="1">
        <v>-1.41E8</v>
      </c>
      <c r="R4" s="1">
        <v>1.627E9</v>
      </c>
      <c r="S4" s="1">
        <v>1.624E9</v>
      </c>
    </row>
    <row r="5">
      <c r="A5" s="1">
        <v>3.0</v>
      </c>
      <c r="B5" s="2">
        <v>44196.0</v>
      </c>
      <c r="C5" s="1" t="s">
        <v>20</v>
      </c>
      <c r="D5" s="1" t="s">
        <v>21</v>
      </c>
      <c r="E5" s="1">
        <v>4.49E8</v>
      </c>
      <c r="F5" s="1">
        <v>1.706E9</v>
      </c>
      <c r="G5" s="1">
        <v>1.389E9</v>
      </c>
      <c r="H5" s="1">
        <v>1.814E9</v>
      </c>
      <c r="I5" s="1">
        <v>4.246E9</v>
      </c>
      <c r="J5" s="1">
        <v>1.983E9</v>
      </c>
      <c r="K5" s="1">
        <v>1.983E9</v>
      </c>
      <c r="L5" s="1">
        <v>-1.41E8</v>
      </c>
      <c r="M5" s="1">
        <v>3.16E8</v>
      </c>
      <c r="N5" s="1">
        <v>8.583E9</v>
      </c>
      <c r="O5" s="1">
        <v>6.6E9</v>
      </c>
      <c r="P5" s="1">
        <v>4.337E9</v>
      </c>
      <c r="Q5" s="1">
        <v>-2.77E8</v>
      </c>
      <c r="R5" s="1">
        <v>1.39E9</v>
      </c>
      <c r="S5" s="1">
        <v>1.389E9</v>
      </c>
    </row>
    <row r="6">
      <c r="A6" s="1">
        <v>4.0</v>
      </c>
      <c r="B6" s="2">
        <v>44469.0</v>
      </c>
      <c r="C6" s="1" t="s">
        <v>20</v>
      </c>
      <c r="D6" s="1" t="s">
        <v>21</v>
      </c>
      <c r="E6" s="1">
        <v>4.82E8</v>
      </c>
      <c r="F6" s="1">
        <v>1.761E9</v>
      </c>
      <c r="G6" s="1">
        <v>1.434E9</v>
      </c>
      <c r="H6" s="1">
        <v>1.739E9</v>
      </c>
      <c r="I6" s="1">
        <v>4.089E9</v>
      </c>
      <c r="J6" s="1">
        <v>1.868E9</v>
      </c>
      <c r="K6" s="1">
        <v>1.868E9</v>
      </c>
      <c r="L6" s="1">
        <v>-1.17E8</v>
      </c>
      <c r="M6" s="1">
        <v>3.24E8</v>
      </c>
      <c r="N6" s="1">
        <v>8.942E9</v>
      </c>
      <c r="O6" s="1">
        <v>7.074E9</v>
      </c>
      <c r="P6" s="1">
        <v>4.853E9</v>
      </c>
      <c r="Q6" s="1">
        <v>-1.07E8</v>
      </c>
      <c r="R6" s="1">
        <v>1.437E9</v>
      </c>
      <c r="S6" s="1">
        <v>1.434E9</v>
      </c>
    </row>
    <row r="7">
      <c r="A7" s="1">
        <v>5.0</v>
      </c>
      <c r="B7" s="2">
        <v>44377.0</v>
      </c>
      <c r="C7" s="1" t="s">
        <v>20</v>
      </c>
      <c r="D7" s="1" t="s">
        <v>21</v>
      </c>
      <c r="E7" s="1">
        <v>5.14E8</v>
      </c>
      <c r="F7" s="1">
        <v>1.94E9</v>
      </c>
      <c r="G7" s="1">
        <v>1.524E9</v>
      </c>
      <c r="H7" s="1">
        <v>1.666E9</v>
      </c>
      <c r="I7" s="1">
        <v>4.231E9</v>
      </c>
      <c r="J7" s="1">
        <v>2.051E9</v>
      </c>
      <c r="K7" s="1">
        <v>2.051E9</v>
      </c>
      <c r="L7" s="1">
        <v>-1.21E8</v>
      </c>
      <c r="M7" s="1">
        <v>4.15E8</v>
      </c>
      <c r="N7" s="1">
        <v>8.95E9</v>
      </c>
      <c r="O7" s="1">
        <v>6.899E9</v>
      </c>
      <c r="P7" s="1">
        <v>4.719E9</v>
      </c>
      <c r="Q7" s="1">
        <v>-1.11E8</v>
      </c>
      <c r="R7" s="1">
        <v>1.525E9</v>
      </c>
      <c r="S7" s="1">
        <v>1.524E9</v>
      </c>
    </row>
    <row r="8">
      <c r="A8" s="1">
        <v>6.0</v>
      </c>
      <c r="B8" s="2">
        <v>44286.0</v>
      </c>
      <c r="C8" s="1" t="s">
        <v>20</v>
      </c>
      <c r="D8" s="1" t="s">
        <v>21</v>
      </c>
      <c r="E8" s="1">
        <v>5.2E8</v>
      </c>
      <c r="F8" s="1">
        <v>1.946E9</v>
      </c>
      <c r="G8" s="1">
        <v>1.624E9</v>
      </c>
      <c r="H8" s="1">
        <v>1.72E9</v>
      </c>
      <c r="I8" s="1">
        <v>4.327E9</v>
      </c>
      <c r="J8" s="1">
        <v>2.087E9</v>
      </c>
      <c r="K8" s="1">
        <v>2.087E9</v>
      </c>
      <c r="L8" s="1">
        <v>-1.32E8</v>
      </c>
      <c r="M8" s="1">
        <v>3.19E8</v>
      </c>
      <c r="N8" s="1">
        <v>8.851E9</v>
      </c>
      <c r="O8" s="1">
        <v>6.764E9</v>
      </c>
      <c r="P8" s="1">
        <v>4.524E9</v>
      </c>
      <c r="Q8" s="1">
        <v>-1.41E8</v>
      </c>
      <c r="R8" s="1">
        <v>1.627E9</v>
      </c>
      <c r="S8" s="1">
        <v>1.624E9</v>
      </c>
    </row>
    <row r="9">
      <c r="A9" s="1">
        <v>7.0</v>
      </c>
      <c r="B9" s="2">
        <v>44196.0</v>
      </c>
      <c r="C9" s="1" t="s">
        <v>20</v>
      </c>
      <c r="D9" s="1" t="s">
        <v>21</v>
      </c>
      <c r="E9" s="1">
        <v>4.49E8</v>
      </c>
      <c r="F9" s="1">
        <v>1.706E9</v>
      </c>
      <c r="G9" s="1">
        <v>1.389E9</v>
      </c>
      <c r="H9" s="1">
        <v>1.814E9</v>
      </c>
      <c r="I9" s="1">
        <v>4.246E9</v>
      </c>
      <c r="J9" s="1">
        <v>1.983E9</v>
      </c>
      <c r="K9" s="1">
        <v>1.983E9</v>
      </c>
      <c r="L9" s="1">
        <v>-1.41E8</v>
      </c>
      <c r="M9" s="1">
        <v>3.16E8</v>
      </c>
      <c r="N9" s="1">
        <v>8.583E9</v>
      </c>
      <c r="O9" s="1">
        <v>6.6E9</v>
      </c>
      <c r="P9" s="1">
        <v>4.337E9</v>
      </c>
      <c r="Q9" s="1">
        <v>-2.77E8</v>
      </c>
      <c r="R9" s="1">
        <v>1.39E9</v>
      </c>
      <c r="S9" s="1">
        <v>1.389E9</v>
      </c>
    </row>
    <row r="10">
      <c r="A10" s="1">
        <v>8.0</v>
      </c>
      <c r="B10" s="2">
        <v>44469.0</v>
      </c>
      <c r="C10" s="1" t="s">
        <v>22</v>
      </c>
      <c r="D10" s="1" t="s">
        <v>23</v>
      </c>
      <c r="F10" s="1">
        <v>1.664E8</v>
      </c>
      <c r="G10" s="1">
        <v>1.316E8</v>
      </c>
      <c r="H10" s="1">
        <v>1.743E8</v>
      </c>
      <c r="I10" s="1">
        <v>3.403E8</v>
      </c>
      <c r="J10" s="1">
        <v>1.66E8</v>
      </c>
      <c r="K10" s="1">
        <v>1.66E8</v>
      </c>
      <c r="L10" s="1">
        <v>-1000000.0</v>
      </c>
      <c r="M10" s="1">
        <v>3.48E7</v>
      </c>
      <c r="N10" s="1">
        <v>9.146E8</v>
      </c>
      <c r="O10" s="1">
        <v>7.486E8</v>
      </c>
      <c r="P10" s="1">
        <v>5.743E8</v>
      </c>
      <c r="Q10" s="1">
        <v>400000.0</v>
      </c>
      <c r="R10" s="1">
        <v>1.316E8</v>
      </c>
      <c r="S10" s="1">
        <v>1.316E8</v>
      </c>
    </row>
    <row r="11">
      <c r="A11" s="1">
        <v>9.0</v>
      </c>
      <c r="B11" s="2">
        <v>44377.0</v>
      </c>
      <c r="C11" s="1" t="s">
        <v>22</v>
      </c>
      <c r="D11" s="1" t="s">
        <v>23</v>
      </c>
      <c r="F11" s="1">
        <v>1.513E8</v>
      </c>
      <c r="G11" s="1">
        <v>1.182E8</v>
      </c>
      <c r="H11" s="1">
        <v>1.698E8</v>
      </c>
      <c r="I11" s="1">
        <v>3.214E8</v>
      </c>
      <c r="J11" s="1">
        <v>1.516E8</v>
      </c>
      <c r="K11" s="1">
        <v>1.516E8</v>
      </c>
      <c r="L11" s="1">
        <v>-900000.0</v>
      </c>
      <c r="M11" s="1">
        <v>3.31E7</v>
      </c>
      <c r="N11" s="1">
        <v>8.598E8</v>
      </c>
      <c r="O11" s="1">
        <v>7.082E8</v>
      </c>
      <c r="P11" s="1">
        <v>5.384E8</v>
      </c>
      <c r="Q11" s="1">
        <v>-300000.0</v>
      </c>
      <c r="R11" s="1">
        <v>1.182E8</v>
      </c>
      <c r="S11" s="1">
        <v>1.182E8</v>
      </c>
    </row>
    <row r="12">
      <c r="A12" s="1">
        <v>10.0</v>
      </c>
      <c r="B12" s="2">
        <v>44286.0</v>
      </c>
      <c r="C12" s="1" t="s">
        <v>22</v>
      </c>
      <c r="D12" s="1" t="s">
        <v>23</v>
      </c>
      <c r="F12" s="1">
        <v>1.261E8</v>
      </c>
      <c r="G12" s="1">
        <v>9.77E7</v>
      </c>
      <c r="H12" s="1">
        <v>1.665E8</v>
      </c>
      <c r="I12" s="1">
        <v>2.886E8</v>
      </c>
      <c r="J12" s="1">
        <v>1.221E8</v>
      </c>
      <c r="K12" s="1">
        <v>1.221E8</v>
      </c>
      <c r="L12" s="1">
        <v>-1000000.0</v>
      </c>
      <c r="M12" s="1">
        <v>2.84E7</v>
      </c>
      <c r="N12" s="1">
        <v>7.69E8</v>
      </c>
      <c r="O12" s="1">
        <v>6.469E8</v>
      </c>
      <c r="P12" s="1">
        <v>4.804E8</v>
      </c>
      <c r="Q12" s="1">
        <v>4000000.0</v>
      </c>
      <c r="R12" s="1">
        <v>9.77E7</v>
      </c>
      <c r="S12" s="1">
        <v>9.77E7</v>
      </c>
    </row>
    <row r="13">
      <c r="A13" s="1">
        <v>11.0</v>
      </c>
      <c r="B13" s="2">
        <v>44196.0</v>
      </c>
      <c r="C13" s="1" t="s">
        <v>22</v>
      </c>
      <c r="D13" s="1" t="s">
        <v>23</v>
      </c>
      <c r="F13" s="1">
        <v>1.519E8</v>
      </c>
      <c r="G13" s="1">
        <v>1.2E8</v>
      </c>
      <c r="H13" s="1">
        <v>1.847E8</v>
      </c>
      <c r="I13" s="1">
        <v>3.241E8</v>
      </c>
      <c r="J13" s="1">
        <v>1.394E8</v>
      </c>
      <c r="K13" s="1">
        <v>1.394E8</v>
      </c>
      <c r="L13" s="1">
        <v>-1000000.0</v>
      </c>
      <c r="M13" s="1">
        <v>3.19E7</v>
      </c>
      <c r="N13" s="1">
        <v>8.345E8</v>
      </c>
      <c r="O13" s="1">
        <v>6.951E8</v>
      </c>
      <c r="P13" s="1">
        <v>5.104E8</v>
      </c>
      <c r="Q13" s="1">
        <v>1.25E7</v>
      </c>
      <c r="R13" s="1">
        <v>1.2E8</v>
      </c>
      <c r="S13" s="1">
        <v>1.2E8</v>
      </c>
    </row>
    <row r="14">
      <c r="A14" s="1">
        <v>12.0</v>
      </c>
      <c r="B14" s="2">
        <v>44469.0</v>
      </c>
      <c r="C14" s="1" t="s">
        <v>24</v>
      </c>
      <c r="D14" s="1" t="s">
        <v>25</v>
      </c>
      <c r="E14" s="1">
        <v>6.72E8</v>
      </c>
      <c r="F14" s="1">
        <v>2.493E9</v>
      </c>
      <c r="G14" s="1">
        <v>2.1E9</v>
      </c>
      <c r="H14" s="1">
        <v>2.699E9</v>
      </c>
      <c r="I14" s="1">
        <v>6.505E9</v>
      </c>
      <c r="J14" s="1">
        <v>2.614E9</v>
      </c>
      <c r="K14" s="1">
        <v>2.614E9</v>
      </c>
      <c r="L14" s="1">
        <v>-1.33E8</v>
      </c>
      <c r="M14" s="1">
        <v>3.93E8</v>
      </c>
      <c r="N14" s="1">
        <v>1.0928E10</v>
      </c>
      <c r="O14" s="1">
        <v>8.314E9</v>
      </c>
      <c r="P14" s="1">
        <v>4.423E9</v>
      </c>
      <c r="Q14" s="1">
        <v>-1.21E8</v>
      </c>
      <c r="R14" s="1">
        <v>2.1E9</v>
      </c>
      <c r="S14" s="1">
        <v>2.092E9</v>
      </c>
    </row>
    <row r="15">
      <c r="A15" s="1">
        <v>13.0</v>
      </c>
      <c r="B15" s="2">
        <v>44377.0</v>
      </c>
      <c r="C15" s="1" t="s">
        <v>24</v>
      </c>
      <c r="D15" s="1" t="s">
        <v>25</v>
      </c>
      <c r="E15" s="1">
        <v>6.54E8</v>
      </c>
      <c r="F15" s="1">
        <v>1.348E9</v>
      </c>
      <c r="G15" s="1">
        <v>1.189E9</v>
      </c>
      <c r="H15" s="1">
        <v>2.658E9</v>
      </c>
      <c r="I15" s="1">
        <v>5.786E9</v>
      </c>
      <c r="J15" s="1">
        <v>1.97E9</v>
      </c>
      <c r="K15" s="1">
        <v>1.97E9</v>
      </c>
      <c r="L15" s="1">
        <v>-1.34E8</v>
      </c>
      <c r="M15" s="1">
        <v>1.59E8</v>
      </c>
      <c r="N15" s="1">
        <v>1.0223E10</v>
      </c>
      <c r="O15" s="1">
        <v>8.253E9</v>
      </c>
      <c r="P15" s="1">
        <v>4.437E9</v>
      </c>
      <c r="Q15" s="1">
        <v>-6.22E8</v>
      </c>
      <c r="R15" s="1">
        <v>1.189E9</v>
      </c>
      <c r="S15" s="1">
        <v>1.184E9</v>
      </c>
    </row>
    <row r="16">
      <c r="A16" s="1">
        <v>14.0</v>
      </c>
      <c r="B16" s="2">
        <v>44286.0</v>
      </c>
      <c r="C16" s="1" t="s">
        <v>24</v>
      </c>
      <c r="D16" s="1" t="s">
        <v>25</v>
      </c>
      <c r="E16" s="1">
        <v>6.54E8</v>
      </c>
      <c r="F16" s="1">
        <v>2.043E9</v>
      </c>
      <c r="G16" s="1">
        <v>1.793E9</v>
      </c>
      <c r="H16" s="1">
        <v>2.716E9</v>
      </c>
      <c r="I16" s="1">
        <v>6.056E9</v>
      </c>
      <c r="J16" s="1">
        <v>2.177E9</v>
      </c>
      <c r="K16" s="1">
        <v>2.177E9</v>
      </c>
      <c r="L16" s="1">
        <v>-1.35E8</v>
      </c>
      <c r="M16" s="1">
        <v>2.5E8</v>
      </c>
      <c r="N16" s="1">
        <v>1.0456E10</v>
      </c>
      <c r="O16" s="1">
        <v>8.279E9</v>
      </c>
      <c r="P16" s="1">
        <v>4.4E9</v>
      </c>
      <c r="Q16" s="1">
        <v>-1.34E8</v>
      </c>
      <c r="R16" s="1">
        <v>1.793E9</v>
      </c>
      <c r="S16" s="1">
        <v>1.785E9</v>
      </c>
    </row>
    <row r="17">
      <c r="A17" s="1">
        <v>15.0</v>
      </c>
      <c r="B17" s="2">
        <v>44196.0</v>
      </c>
      <c r="C17" s="1" t="s">
        <v>24</v>
      </c>
      <c r="D17" s="1" t="s">
        <v>25</v>
      </c>
      <c r="E17" s="1">
        <v>6.43E8</v>
      </c>
      <c r="F17" s="1">
        <v>2.388E9</v>
      </c>
      <c r="G17" s="1">
        <v>2.162E9</v>
      </c>
      <c r="H17" s="1">
        <v>2.525E9</v>
      </c>
      <c r="I17" s="1">
        <v>6.207E9</v>
      </c>
      <c r="J17" s="1">
        <v>2.531E9</v>
      </c>
      <c r="K17" s="1">
        <v>2.531E9</v>
      </c>
      <c r="L17" s="1">
        <v>-1.36E8</v>
      </c>
      <c r="M17" s="1">
        <v>2.3E8</v>
      </c>
      <c r="N17" s="1">
        <v>1.0701E10</v>
      </c>
      <c r="O17" s="1">
        <v>8.17E9</v>
      </c>
      <c r="P17" s="1">
        <v>4.494E9</v>
      </c>
      <c r="Q17" s="1">
        <v>-1.43E8</v>
      </c>
      <c r="R17" s="1">
        <v>2.158E9</v>
      </c>
      <c r="S17" s="1">
        <v>2.151E9</v>
      </c>
    </row>
    <row r="18">
      <c r="A18" s="1">
        <v>16.0</v>
      </c>
      <c r="B18" s="2">
        <v>44469.0</v>
      </c>
      <c r="C18" s="1" t="s">
        <v>26</v>
      </c>
      <c r="D18" s="1" t="s">
        <v>27</v>
      </c>
      <c r="E18" s="1">
        <v>1.655E9</v>
      </c>
      <c r="F18" s="1">
        <v>3.688E9</v>
      </c>
      <c r="G18" s="1">
        <v>3.179E9</v>
      </c>
      <c r="H18" s="1">
        <v>2.946E9</v>
      </c>
      <c r="I18" s="1">
        <v>9.998E9</v>
      </c>
      <c r="J18" s="1">
        <v>4.897E9</v>
      </c>
      <c r="K18" s="1">
        <v>4.897E9</v>
      </c>
      <c r="L18" s="1">
        <v>-5.96E8</v>
      </c>
      <c r="M18" s="1">
        <v>5.08E8</v>
      </c>
      <c r="N18" s="1">
        <v>1.4342E10</v>
      </c>
      <c r="O18" s="1">
        <v>9.445E9</v>
      </c>
      <c r="P18" s="1">
        <v>4.344E9</v>
      </c>
      <c r="Q18" s="1">
        <v>-1.209E9</v>
      </c>
      <c r="R18" s="1">
        <v>3.18E9</v>
      </c>
      <c r="S18" s="1">
        <v>3.158E9</v>
      </c>
    </row>
    <row r="19">
      <c r="A19" s="1">
        <v>17.0</v>
      </c>
      <c r="B19" s="2">
        <v>44377.0</v>
      </c>
      <c r="C19" s="1" t="s">
        <v>26</v>
      </c>
      <c r="D19" s="1" t="s">
        <v>27</v>
      </c>
      <c r="E19" s="1">
        <v>1.784E9</v>
      </c>
      <c r="F19" s="1">
        <v>1.163E9</v>
      </c>
      <c r="G19" s="1">
        <v>7.66E8</v>
      </c>
      <c r="H19" s="1">
        <v>3.049E9</v>
      </c>
      <c r="I19" s="1">
        <v>9.461E9</v>
      </c>
      <c r="J19" s="1">
        <v>4.696E9</v>
      </c>
      <c r="K19" s="1">
        <v>4.696E9</v>
      </c>
      <c r="L19" s="1">
        <v>-6.15E8</v>
      </c>
      <c r="M19" s="1">
        <v>3.94E8</v>
      </c>
      <c r="N19" s="1">
        <v>1.3959E10</v>
      </c>
      <c r="O19" s="1">
        <v>9.263E9</v>
      </c>
      <c r="P19" s="1">
        <v>4.498E9</v>
      </c>
      <c r="Q19" s="1">
        <v>-3.533E9</v>
      </c>
      <c r="R19" s="1">
        <v>7.69E8</v>
      </c>
      <c r="S19" s="1">
        <v>7.51E8</v>
      </c>
    </row>
    <row r="20">
      <c r="A20" s="1">
        <v>18.0</v>
      </c>
      <c r="B20" s="2">
        <v>44286.0</v>
      </c>
      <c r="C20" s="1" t="s">
        <v>26</v>
      </c>
      <c r="D20" s="1" t="s">
        <v>27</v>
      </c>
      <c r="E20" s="1">
        <v>1.731E9</v>
      </c>
      <c r="F20" s="1">
        <v>3.867E9</v>
      </c>
      <c r="G20" s="1">
        <v>3.553E9</v>
      </c>
      <c r="H20" s="1">
        <v>2.741E9</v>
      </c>
      <c r="I20" s="1">
        <v>8.818E9</v>
      </c>
      <c r="J20" s="1">
        <v>4.346E9</v>
      </c>
      <c r="K20" s="1">
        <v>4.346E9</v>
      </c>
      <c r="L20" s="1">
        <v>-6.32E8</v>
      </c>
      <c r="M20" s="1">
        <v>3.12E8</v>
      </c>
      <c r="N20" s="1">
        <v>1.301E10</v>
      </c>
      <c r="O20" s="1">
        <v>8.664E9</v>
      </c>
      <c r="P20" s="1">
        <v>4.192E9</v>
      </c>
      <c r="Q20" s="1">
        <v>-4.79E8</v>
      </c>
      <c r="R20" s="1">
        <v>3.555E9</v>
      </c>
      <c r="S20" s="1">
        <v>3.536E9</v>
      </c>
    </row>
    <row r="21">
      <c r="A21" s="1">
        <v>19.0</v>
      </c>
      <c r="B21" s="2">
        <v>44196.0</v>
      </c>
      <c r="C21" s="1" t="s">
        <v>26</v>
      </c>
      <c r="D21" s="1" t="s">
        <v>27</v>
      </c>
      <c r="E21" s="1">
        <v>1.821E9</v>
      </c>
      <c r="F21" s="1">
        <v>-1.507E9</v>
      </c>
      <c r="G21" s="1">
        <v>3.6E7</v>
      </c>
      <c r="H21" s="1">
        <v>3.099E9</v>
      </c>
      <c r="I21" s="1">
        <v>1.0448E10</v>
      </c>
      <c r="J21" s="1">
        <v>5.528E9</v>
      </c>
      <c r="K21" s="1">
        <v>5.528E9</v>
      </c>
      <c r="L21" s="1">
        <v>-6.29E8</v>
      </c>
      <c r="M21" s="1">
        <v>-1.545E9</v>
      </c>
      <c r="N21" s="1">
        <v>1.3858E10</v>
      </c>
      <c r="O21" s="1">
        <v>8.33E9</v>
      </c>
      <c r="P21" s="1">
        <v>3.41E9</v>
      </c>
      <c r="Q21" s="1">
        <v>-7.035E9</v>
      </c>
      <c r="R21" s="1">
        <v>3.8E7</v>
      </c>
      <c r="S21" s="1">
        <v>2.0E7</v>
      </c>
    </row>
    <row r="22">
      <c r="A22" s="1">
        <v>20.0</v>
      </c>
      <c r="B22" s="2">
        <v>44469.0</v>
      </c>
      <c r="C22" s="1" t="s">
        <v>28</v>
      </c>
      <c r="D22" s="1" t="s">
        <v>29</v>
      </c>
      <c r="E22" s="1">
        <v>4.1041E7</v>
      </c>
      <c r="F22" s="1">
        <v>6.7271E7</v>
      </c>
      <c r="G22" s="1">
        <v>5.6953E7</v>
      </c>
      <c r="H22" s="1">
        <v>1.02779E8</v>
      </c>
      <c r="I22" s="1">
        <v>2.04256E8</v>
      </c>
      <c r="J22" s="1">
        <v>6.0436E7</v>
      </c>
      <c r="K22" s="1">
        <v>6.0436E7</v>
      </c>
      <c r="M22" s="1">
        <v>1.0318E7</v>
      </c>
      <c r="N22" s="1">
        <v>2.48142E8</v>
      </c>
      <c r="O22" s="1">
        <v>1.87706E8</v>
      </c>
      <c r="P22" s="1">
        <v>4.3886E7</v>
      </c>
      <c r="Q22" s="1">
        <v>6835000.0</v>
      </c>
      <c r="R22" s="1">
        <v>5.6953E7</v>
      </c>
      <c r="S22" s="1">
        <v>5.6953E7</v>
      </c>
    </row>
    <row r="23">
      <c r="A23" s="1">
        <v>21.0</v>
      </c>
      <c r="B23" s="2">
        <v>44377.0</v>
      </c>
      <c r="C23" s="1" t="s">
        <v>28</v>
      </c>
      <c r="D23" s="1" t="s">
        <v>29</v>
      </c>
      <c r="E23" s="1">
        <v>3.6837E7</v>
      </c>
      <c r="F23" s="1">
        <v>-9350000.0</v>
      </c>
      <c r="G23" s="1">
        <v>-2.6525E7</v>
      </c>
      <c r="H23" s="1">
        <v>1.03484E8</v>
      </c>
      <c r="I23" s="1">
        <v>2.07397E8</v>
      </c>
      <c r="J23" s="1">
        <v>6.7076E7</v>
      </c>
      <c r="K23" s="1">
        <v>6.7076E7</v>
      </c>
      <c r="M23" s="1">
        <v>1.7175E7</v>
      </c>
      <c r="N23" s="1">
        <v>2.52585E8</v>
      </c>
      <c r="O23" s="1">
        <v>1.85509E8</v>
      </c>
      <c r="P23" s="1">
        <v>4.5188E7</v>
      </c>
      <c r="Q23" s="1">
        <v>-7.6426E7</v>
      </c>
      <c r="R23" s="1">
        <v>-2.6525E7</v>
      </c>
      <c r="S23" s="1">
        <v>-2.6525E7</v>
      </c>
    </row>
    <row r="24">
      <c r="A24" s="1">
        <v>22.0</v>
      </c>
      <c r="B24" s="2">
        <v>44286.0</v>
      </c>
      <c r="C24" s="1" t="s">
        <v>28</v>
      </c>
      <c r="D24" s="1" t="s">
        <v>29</v>
      </c>
      <c r="E24" s="1">
        <v>3.2599E7</v>
      </c>
      <c r="F24" s="1">
        <v>7.3494E7</v>
      </c>
      <c r="G24" s="1">
        <v>5.6856E7</v>
      </c>
      <c r="H24" s="1">
        <v>1.00374E8</v>
      </c>
      <c r="I24" s="1">
        <v>1.95167E8</v>
      </c>
      <c r="J24" s="1">
        <v>6.2194E7</v>
      </c>
      <c r="K24" s="1">
        <v>6.2194E7</v>
      </c>
      <c r="M24" s="1">
        <v>1.6638E7</v>
      </c>
      <c r="N24" s="1">
        <v>2.41245E8</v>
      </c>
      <c r="O24" s="1">
        <v>1.79051E8</v>
      </c>
      <c r="P24" s="1">
        <v>4.6078E7</v>
      </c>
      <c r="Q24" s="1">
        <v>1.13E7</v>
      </c>
      <c r="R24" s="1">
        <v>5.6856E7</v>
      </c>
      <c r="S24" s="1">
        <v>5.6856E7</v>
      </c>
    </row>
    <row r="25">
      <c r="A25" s="1">
        <v>23.0</v>
      </c>
      <c r="B25" s="2">
        <v>44196.0</v>
      </c>
      <c r="C25" s="1" t="s">
        <v>28</v>
      </c>
      <c r="D25" s="1" t="s">
        <v>29</v>
      </c>
      <c r="E25" s="1">
        <v>3.2105E7</v>
      </c>
      <c r="F25" s="1">
        <v>8.0735E7</v>
      </c>
      <c r="G25" s="1">
        <v>6.1868E7</v>
      </c>
      <c r="H25" s="1">
        <v>8.6198E7</v>
      </c>
      <c r="I25" s="1">
        <v>1.90553E8</v>
      </c>
      <c r="J25" s="1">
        <v>7.225E7</v>
      </c>
      <c r="K25" s="1">
        <v>7.225E7</v>
      </c>
      <c r="M25" s="1">
        <v>1.8867E7</v>
      </c>
      <c r="N25" s="1">
        <v>2.31663E8</v>
      </c>
      <c r="O25" s="1">
        <v>1.59413E8</v>
      </c>
      <c r="P25" s="1">
        <v>4.111E7</v>
      </c>
      <c r="Q25" s="1">
        <v>8485000.0</v>
      </c>
      <c r="R25" s="1">
        <v>6.1868E7</v>
      </c>
      <c r="S25" s="1">
        <v>6.1868E7</v>
      </c>
    </row>
    <row r="26">
      <c r="A26" s="1">
        <v>24.0</v>
      </c>
      <c r="B26" s="2">
        <v>44439.0</v>
      </c>
      <c r="C26" s="1" t="s">
        <v>30</v>
      </c>
      <c r="D26" s="1" t="s">
        <v>31</v>
      </c>
      <c r="F26" s="1">
        <v>1.917805E9</v>
      </c>
      <c r="G26" s="1">
        <v>1.416248E9</v>
      </c>
      <c r="H26" s="1">
        <v>2.507527E9</v>
      </c>
      <c r="I26" s="1">
        <v>4.466216E9</v>
      </c>
      <c r="J26" s="1">
        <v>1.958689E9</v>
      </c>
      <c r="K26" s="1">
        <v>1.958689E9</v>
      </c>
      <c r="L26" s="1">
        <v>-1.2977E7</v>
      </c>
      <c r="M26" s="1">
        <v>4.80382E8</v>
      </c>
      <c r="N26" s="1">
        <v>1.3419284E10</v>
      </c>
      <c r="O26" s="1">
        <v>1.1460595E10</v>
      </c>
      <c r="P26" s="1">
        <v>8.953068E9</v>
      </c>
      <c r="Q26" s="1">
        <v>-4.0884E7</v>
      </c>
      <c r="R26" s="1">
        <v>1.437423E9</v>
      </c>
      <c r="S26" s="1">
        <v>1.416248E9</v>
      </c>
    </row>
    <row r="27">
      <c r="A27" s="1">
        <v>25.0</v>
      </c>
      <c r="B27" s="2">
        <v>44347.0</v>
      </c>
      <c r="C27" s="1" t="s">
        <v>30</v>
      </c>
      <c r="D27" s="1" t="s">
        <v>31</v>
      </c>
      <c r="F27" s="1">
        <v>2.094001E9</v>
      </c>
      <c r="G27" s="1">
        <v>1.549426E9</v>
      </c>
      <c r="H27" s="1">
        <v>2.285728E9</v>
      </c>
      <c r="I27" s="1">
        <v>4.404384E9</v>
      </c>
      <c r="J27" s="1">
        <v>2.118656E9</v>
      </c>
      <c r="K27" s="1">
        <v>2.118656E9</v>
      </c>
      <c r="L27" s="1">
        <v>-2.8739E7</v>
      </c>
      <c r="M27" s="1">
        <v>5.24429E8</v>
      </c>
      <c r="N27" s="1">
        <v>1.3263795E10</v>
      </c>
      <c r="O27" s="1">
        <v>1.1145139E10</v>
      </c>
      <c r="P27" s="1">
        <v>8.859411E9</v>
      </c>
      <c r="Q27" s="1">
        <v>-2.4655E7</v>
      </c>
      <c r="R27" s="1">
        <v>1.569572E9</v>
      </c>
      <c r="S27" s="1">
        <v>1.549426E9</v>
      </c>
    </row>
    <row r="28">
      <c r="A28" s="1">
        <v>26.0</v>
      </c>
      <c r="B28" s="2">
        <v>44255.0</v>
      </c>
      <c r="C28" s="1" t="s">
        <v>30</v>
      </c>
      <c r="D28" s="1" t="s">
        <v>31</v>
      </c>
      <c r="F28" s="1">
        <v>1.762443E9</v>
      </c>
      <c r="G28" s="1">
        <v>1.440859E9</v>
      </c>
      <c r="H28" s="1">
        <v>1.941717E9</v>
      </c>
      <c r="I28" s="1">
        <v>3.595232E9</v>
      </c>
      <c r="J28" s="1">
        <v>1.653515E9</v>
      </c>
      <c r="K28" s="1">
        <v>1.653515E9</v>
      </c>
      <c r="L28" s="1">
        <v>-8922000.0</v>
      </c>
      <c r="M28" s="1">
        <v>3.0095E8</v>
      </c>
      <c r="N28" s="1">
        <v>1.2088125E10</v>
      </c>
      <c r="O28" s="1">
        <v>1.043461E10</v>
      </c>
      <c r="P28" s="1">
        <v>8.492893E9</v>
      </c>
      <c r="Q28" s="1">
        <v>1.08928E8</v>
      </c>
      <c r="R28" s="1">
        <v>1.461493E9</v>
      </c>
      <c r="S28" s="1">
        <v>1.440859E9</v>
      </c>
    </row>
    <row r="29">
      <c r="A29" s="1">
        <v>27.0</v>
      </c>
      <c r="B29" s="2">
        <v>44165.0</v>
      </c>
      <c r="C29" s="1" t="s">
        <v>30</v>
      </c>
      <c r="D29" s="1" t="s">
        <v>31</v>
      </c>
      <c r="F29" s="1">
        <v>1.986867E9</v>
      </c>
      <c r="G29" s="1">
        <v>1.500276E9</v>
      </c>
      <c r="H29" s="1">
        <v>2.007627E9</v>
      </c>
      <c r="I29" s="1">
        <v>3.898296E9</v>
      </c>
      <c r="J29" s="1">
        <v>1.890669E9</v>
      </c>
      <c r="K29" s="1">
        <v>1.890669E9</v>
      </c>
      <c r="L29" s="1">
        <v>-8854000.0</v>
      </c>
      <c r="M29" s="1">
        <v>4.6481E8</v>
      </c>
      <c r="N29" s="1">
        <v>1.1762185E10</v>
      </c>
      <c r="O29" s="1">
        <v>9.871516E9</v>
      </c>
      <c r="P29" s="1">
        <v>7.863889E9</v>
      </c>
      <c r="Q29" s="1">
        <v>9.6198E7</v>
      </c>
      <c r="R29" s="1">
        <v>1.522057E9</v>
      </c>
      <c r="S29" s="1">
        <v>1.500276E9</v>
      </c>
    </row>
    <row r="30">
      <c r="A30" s="1">
        <v>28.0</v>
      </c>
      <c r="B30" s="2">
        <v>44469.0</v>
      </c>
      <c r="C30" s="1" t="s">
        <v>32</v>
      </c>
      <c r="D30" s="1" t="s">
        <v>33</v>
      </c>
      <c r="E30" s="1">
        <v>3.29E8</v>
      </c>
      <c r="F30" s="1">
        <v>7.59E8</v>
      </c>
      <c r="G30" s="1">
        <v>6.39E8</v>
      </c>
      <c r="H30" s="1">
        <v>3.87E8</v>
      </c>
      <c r="I30" s="1">
        <v>1.543E9</v>
      </c>
      <c r="J30" s="1">
        <v>8.27E8</v>
      </c>
      <c r="K30" s="1">
        <v>8.27E8</v>
      </c>
      <c r="L30" s="1">
        <v>-2.7E7</v>
      </c>
      <c r="M30" s="1">
        <v>1.2E8</v>
      </c>
      <c r="N30" s="1">
        <v>2.07E9</v>
      </c>
      <c r="O30" s="1">
        <v>1.243E9</v>
      </c>
      <c r="P30" s="1">
        <v>5.27E8</v>
      </c>
      <c r="Q30" s="1">
        <v>-6.8E7</v>
      </c>
      <c r="R30" s="1">
        <v>6.39E8</v>
      </c>
      <c r="S30" s="1">
        <v>6.39E8</v>
      </c>
    </row>
    <row r="31">
      <c r="A31" s="1">
        <v>29.0</v>
      </c>
      <c r="B31" s="2">
        <v>44377.0</v>
      </c>
      <c r="C31" s="1" t="s">
        <v>32</v>
      </c>
      <c r="D31" s="1" t="s">
        <v>33</v>
      </c>
      <c r="E31" s="1">
        <v>3.35E8</v>
      </c>
      <c r="F31" s="1">
        <v>1.002E9</v>
      </c>
      <c r="G31" s="1">
        <v>8.76E8</v>
      </c>
      <c r="H31" s="1">
        <v>4.34E8</v>
      </c>
      <c r="I31" s="1">
        <v>1.741E9</v>
      </c>
      <c r="J31" s="1">
        <v>9.72E8</v>
      </c>
      <c r="K31" s="1">
        <v>9.72E8</v>
      </c>
      <c r="L31" s="1">
        <v>-2.7E7</v>
      </c>
      <c r="M31" s="1">
        <v>1.26E8</v>
      </c>
      <c r="N31" s="1">
        <v>2.296E9</v>
      </c>
      <c r="O31" s="1">
        <v>1.324E9</v>
      </c>
      <c r="P31" s="1">
        <v>5.55E8</v>
      </c>
      <c r="Q31" s="1">
        <v>3.0E7</v>
      </c>
      <c r="R31" s="1">
        <v>8.76E8</v>
      </c>
      <c r="S31" s="1">
        <v>8.76E8</v>
      </c>
    </row>
    <row r="32">
      <c r="A32" s="1">
        <v>30.0</v>
      </c>
      <c r="B32" s="2">
        <v>44286.0</v>
      </c>
      <c r="C32" s="1" t="s">
        <v>32</v>
      </c>
      <c r="D32" s="1" t="s">
        <v>33</v>
      </c>
      <c r="E32" s="1">
        <v>3.53E8</v>
      </c>
      <c r="F32" s="1">
        <v>7.65E8</v>
      </c>
      <c r="G32" s="1">
        <v>6.19E8</v>
      </c>
      <c r="H32" s="1">
        <v>5.19E8</v>
      </c>
      <c r="I32" s="1">
        <v>1.697E9</v>
      </c>
      <c r="J32" s="1">
        <v>8.25E8</v>
      </c>
      <c r="K32" s="1">
        <v>8.25E8</v>
      </c>
      <c r="L32" s="1">
        <v>-2.8E7</v>
      </c>
      <c r="M32" s="1">
        <v>1.46E8</v>
      </c>
      <c r="N32" s="1">
        <v>2.275E9</v>
      </c>
      <c r="O32" s="1">
        <v>1.45E9</v>
      </c>
      <c r="P32" s="1">
        <v>5.78E8</v>
      </c>
      <c r="Q32" s="1">
        <v>-6.0E7</v>
      </c>
      <c r="R32" s="1">
        <v>6.19E8</v>
      </c>
      <c r="S32" s="1">
        <v>6.19E8</v>
      </c>
    </row>
    <row r="33">
      <c r="A33" s="1">
        <v>31.0</v>
      </c>
      <c r="B33" s="2">
        <v>44196.0</v>
      </c>
      <c r="C33" s="1" t="s">
        <v>32</v>
      </c>
      <c r="D33" s="1" t="s">
        <v>33</v>
      </c>
      <c r="E33" s="1">
        <v>3.48E8</v>
      </c>
      <c r="F33" s="1">
        <v>5.63E8</v>
      </c>
      <c r="G33" s="1">
        <v>5.09E8</v>
      </c>
      <c r="H33" s="1">
        <v>5.97E8</v>
      </c>
      <c r="I33" s="1">
        <v>1.595E9</v>
      </c>
      <c r="J33" s="1">
        <v>6.5E8</v>
      </c>
      <c r="K33" s="1">
        <v>6.5E8</v>
      </c>
      <c r="L33" s="1">
        <v>-2.7E7</v>
      </c>
      <c r="M33" s="1">
        <v>5.4E7</v>
      </c>
      <c r="N33" s="1">
        <v>2.412E9</v>
      </c>
      <c r="O33" s="1">
        <v>1.762E9</v>
      </c>
      <c r="P33" s="1">
        <v>8.17E8</v>
      </c>
      <c r="Q33" s="1">
        <v>-8.7E7</v>
      </c>
      <c r="R33" s="1">
        <v>5.09E8</v>
      </c>
      <c r="S33" s="1">
        <v>5.09E8</v>
      </c>
    </row>
    <row r="34">
      <c r="A34" s="1">
        <v>32.0</v>
      </c>
      <c r="B34" s="2">
        <v>44469.0</v>
      </c>
      <c r="C34" s="1" t="s">
        <v>34</v>
      </c>
      <c r="D34" s="1" t="s">
        <v>34</v>
      </c>
      <c r="F34" s="1">
        <v>6.53E8</v>
      </c>
      <c r="G34" s="1">
        <v>5.26E8</v>
      </c>
      <c r="H34" s="1">
        <v>7.16E8</v>
      </c>
      <c r="I34" s="1">
        <v>1.326E9</v>
      </c>
      <c r="J34" s="1">
        <v>6.07E8</v>
      </c>
      <c r="K34" s="1">
        <v>6.07E8</v>
      </c>
      <c r="L34" s="1">
        <v>-6.1E7</v>
      </c>
      <c r="M34" s="1">
        <v>1.2E8</v>
      </c>
      <c r="N34" s="1">
        <v>2.034E10</v>
      </c>
      <c r="O34" s="1">
        <v>1.9733E10</v>
      </c>
      <c r="P34" s="1">
        <v>1.9014E10</v>
      </c>
      <c r="Q34" s="1">
        <v>4.6E7</v>
      </c>
      <c r="R34" s="1">
        <v>5.33E8</v>
      </c>
      <c r="S34" s="1">
        <v>5.26E8</v>
      </c>
    </row>
    <row r="35">
      <c r="A35" s="1">
        <v>33.0</v>
      </c>
      <c r="B35" s="2">
        <v>44377.0</v>
      </c>
      <c r="C35" s="1" t="s">
        <v>34</v>
      </c>
      <c r="D35" s="1" t="s">
        <v>34</v>
      </c>
      <c r="F35" s="1">
        <v>8.25E8</v>
      </c>
      <c r="G35" s="1">
        <v>7.12E8</v>
      </c>
      <c r="H35" s="1">
        <v>8.15E8</v>
      </c>
      <c r="I35" s="1">
        <v>1.463E9</v>
      </c>
      <c r="J35" s="1">
        <v>6.42E8</v>
      </c>
      <c r="K35" s="1">
        <v>6.42E8</v>
      </c>
      <c r="L35" s="1">
        <v>-4.0E7</v>
      </c>
      <c r="M35" s="1">
        <v>1.13E8</v>
      </c>
      <c r="N35" s="1">
        <v>2.2926E10</v>
      </c>
      <c r="O35" s="1">
        <v>2.2284E10</v>
      </c>
      <c r="P35" s="1">
        <v>2.1463E10</v>
      </c>
      <c r="Q35" s="1">
        <v>1.83E8</v>
      </c>
      <c r="R35" s="1">
        <v>7.12E8</v>
      </c>
      <c r="S35" s="1">
        <v>7.12E8</v>
      </c>
    </row>
    <row r="36">
      <c r="A36" s="1">
        <v>34.0</v>
      </c>
      <c r="B36" s="2">
        <v>44286.0</v>
      </c>
      <c r="C36" s="1" t="s">
        <v>34</v>
      </c>
      <c r="D36" s="1" t="s">
        <v>34</v>
      </c>
      <c r="F36" s="1">
        <v>8.24E8</v>
      </c>
      <c r="G36" s="1">
        <v>6.89E8</v>
      </c>
      <c r="H36" s="1">
        <v>6.97E8</v>
      </c>
      <c r="I36" s="1">
        <v>1.548E9</v>
      </c>
      <c r="J36" s="1">
        <v>8.43E8</v>
      </c>
      <c r="K36" s="1">
        <v>8.43E8</v>
      </c>
      <c r="L36" s="1">
        <v>-8.7E7</v>
      </c>
      <c r="M36" s="1">
        <v>1.31E8</v>
      </c>
      <c r="N36" s="1">
        <v>1.8893E10</v>
      </c>
      <c r="O36" s="1">
        <v>1.805E10</v>
      </c>
      <c r="P36" s="1">
        <v>1.7345E10</v>
      </c>
      <c r="Q36" s="1">
        <v>-1.9E7</v>
      </c>
      <c r="R36" s="1">
        <v>6.93E8</v>
      </c>
      <c r="S36" s="1">
        <v>6.89E8</v>
      </c>
    </row>
    <row r="37">
      <c r="A37" s="1">
        <v>35.0</v>
      </c>
      <c r="B37" s="2">
        <v>44196.0</v>
      </c>
      <c r="C37" s="1" t="s">
        <v>34</v>
      </c>
      <c r="D37" s="1" t="s">
        <v>34</v>
      </c>
      <c r="F37" s="1">
        <v>7.56E8</v>
      </c>
      <c r="G37" s="1">
        <v>6.87E8</v>
      </c>
      <c r="H37" s="1">
        <v>7.2E8</v>
      </c>
      <c r="I37" s="1">
        <v>1.352E9</v>
      </c>
      <c r="J37" s="1">
        <v>6.15E8</v>
      </c>
      <c r="K37" s="1">
        <v>6.15E8</v>
      </c>
      <c r="L37" s="1">
        <v>-6.9E7</v>
      </c>
      <c r="M37" s="1">
        <v>6.3E7</v>
      </c>
      <c r="N37" s="1">
        <v>1.7978E10</v>
      </c>
      <c r="O37" s="1">
        <v>1.7363E10</v>
      </c>
      <c r="P37" s="1">
        <v>1.6626E10</v>
      </c>
      <c r="Q37" s="1">
        <v>1.41E8</v>
      </c>
      <c r="R37" s="1">
        <v>6.93E8</v>
      </c>
      <c r="S37" s="1">
        <v>6.87E8</v>
      </c>
    </row>
    <row r="38">
      <c r="A38" s="1">
        <v>36.0</v>
      </c>
      <c r="B38" s="2">
        <v>44442.0</v>
      </c>
      <c r="C38" s="1" t="s">
        <v>35</v>
      </c>
      <c r="D38" s="1" t="s">
        <v>36</v>
      </c>
      <c r="E38" s="1">
        <v>6.51E8</v>
      </c>
      <c r="F38" s="1">
        <v>1.418E9</v>
      </c>
      <c r="G38" s="1">
        <v>1.212E9</v>
      </c>
      <c r="H38" s="1">
        <v>1.333E9</v>
      </c>
      <c r="I38" s="1">
        <v>3.468E9</v>
      </c>
      <c r="J38" s="1">
        <v>1.441E9</v>
      </c>
      <c r="K38" s="1">
        <v>1.441E9</v>
      </c>
      <c r="L38" s="1">
        <v>-2.7E7</v>
      </c>
      <c r="M38" s="1">
        <v>2.06E8</v>
      </c>
      <c r="N38" s="1">
        <v>3.935E9</v>
      </c>
      <c r="O38" s="1">
        <v>2.494E9</v>
      </c>
      <c r="P38" s="1">
        <v>4.67E8</v>
      </c>
      <c r="Q38" s="1">
        <v>-2.3E7</v>
      </c>
      <c r="R38" s="1">
        <v>1.212E9</v>
      </c>
      <c r="S38" s="1">
        <v>1.212E9</v>
      </c>
    </row>
    <row r="39">
      <c r="A39" s="1">
        <v>37.0</v>
      </c>
      <c r="B39" s="2">
        <v>44351.0</v>
      </c>
      <c r="C39" s="1" t="s">
        <v>35</v>
      </c>
      <c r="D39" s="1" t="s">
        <v>36</v>
      </c>
      <c r="E39" s="1">
        <v>6.12E8</v>
      </c>
      <c r="F39" s="1">
        <v>1.386E9</v>
      </c>
      <c r="G39" s="1">
        <v>1.116E9</v>
      </c>
      <c r="H39" s="1">
        <v>1.329E9</v>
      </c>
      <c r="I39" s="1">
        <v>3.391E9</v>
      </c>
      <c r="J39" s="1">
        <v>1.406E9</v>
      </c>
      <c r="K39" s="1">
        <v>1.406E9</v>
      </c>
      <c r="L39" s="1">
        <v>-2.8E7</v>
      </c>
      <c r="M39" s="1">
        <v>2.7E8</v>
      </c>
      <c r="N39" s="1">
        <v>3.835E9</v>
      </c>
      <c r="O39" s="1">
        <v>2.429E9</v>
      </c>
      <c r="P39" s="1">
        <v>4.44E8</v>
      </c>
      <c r="Q39" s="1">
        <v>-2.0E7</v>
      </c>
      <c r="R39" s="1">
        <v>1.116E9</v>
      </c>
      <c r="S39" s="1">
        <v>1.116E9</v>
      </c>
    </row>
    <row r="40">
      <c r="A40" s="1">
        <v>38.0</v>
      </c>
      <c r="B40" s="2">
        <v>44260.0</v>
      </c>
      <c r="C40" s="1" t="s">
        <v>35</v>
      </c>
      <c r="D40" s="1" t="s">
        <v>36</v>
      </c>
      <c r="E40" s="1">
        <v>6.2E8</v>
      </c>
      <c r="F40" s="1">
        <v>1.433E9</v>
      </c>
      <c r="G40" s="1">
        <v>1.261E9</v>
      </c>
      <c r="H40" s="1">
        <v>1.339E9</v>
      </c>
      <c r="I40" s="1">
        <v>3.458E9</v>
      </c>
      <c r="J40" s="1">
        <v>1.454E9</v>
      </c>
      <c r="K40" s="1">
        <v>1.454E9</v>
      </c>
      <c r="L40" s="1">
        <v>-3.0E7</v>
      </c>
      <c r="M40" s="1">
        <v>1.72E8</v>
      </c>
      <c r="N40" s="1">
        <v>3.905E9</v>
      </c>
      <c r="O40" s="1">
        <v>2.451E9</v>
      </c>
      <c r="P40" s="1">
        <v>4.47E8</v>
      </c>
      <c r="Q40" s="1">
        <v>-2.1E7</v>
      </c>
      <c r="R40" s="1">
        <v>1.261E9</v>
      </c>
      <c r="S40" s="1">
        <v>1.261E9</v>
      </c>
    </row>
    <row r="41">
      <c r="A41" s="1">
        <v>39.0</v>
      </c>
      <c r="B41" s="2">
        <v>44162.0</v>
      </c>
      <c r="C41" s="1" t="s">
        <v>35</v>
      </c>
      <c r="D41" s="1" t="s">
        <v>36</v>
      </c>
      <c r="E41" s="1">
        <v>5.58E8</v>
      </c>
      <c r="F41" s="1">
        <v>1.197E9</v>
      </c>
      <c r="G41" s="1">
        <v>2.25E9</v>
      </c>
      <c r="H41" s="1">
        <v>1.184E9</v>
      </c>
      <c r="I41" s="1">
        <v>2.996E9</v>
      </c>
      <c r="J41" s="1">
        <v>1.215E9</v>
      </c>
      <c r="K41" s="1">
        <v>1.215E9</v>
      </c>
      <c r="L41" s="1">
        <v>-2.7E7</v>
      </c>
      <c r="M41" s="1">
        <v>-1.053E9</v>
      </c>
      <c r="N41" s="1">
        <v>3.424E9</v>
      </c>
      <c r="O41" s="1">
        <v>2.209E9</v>
      </c>
      <c r="P41" s="1">
        <v>4.28E8</v>
      </c>
      <c r="Q41" s="1">
        <v>-1.8E7</v>
      </c>
      <c r="R41" s="1">
        <v>2.25E9</v>
      </c>
      <c r="S41" s="1">
        <v>2.25E9</v>
      </c>
    </row>
    <row r="42">
      <c r="A42" s="1">
        <v>40.0</v>
      </c>
      <c r="B42" s="2">
        <v>44394.0</v>
      </c>
      <c r="C42" s="1" t="s">
        <v>37</v>
      </c>
      <c r="D42" s="1" t="s">
        <v>38</v>
      </c>
      <c r="F42" s="1">
        <v>2.37765E8</v>
      </c>
      <c r="G42" s="1">
        <v>1.78696E8</v>
      </c>
      <c r="H42" s="1">
        <v>9.32793E8</v>
      </c>
      <c r="I42" s="1">
        <v>1.189416E9</v>
      </c>
      <c r="J42" s="1">
        <v>2.56623E8</v>
      </c>
      <c r="K42" s="1">
        <v>2.56623E8</v>
      </c>
      <c r="L42" s="1">
        <v>-8306000.0</v>
      </c>
      <c r="M42" s="1">
        <v>5.9069E7</v>
      </c>
      <c r="N42" s="1">
        <v>2.649415E9</v>
      </c>
      <c r="O42" s="1">
        <v>2.392792E9</v>
      </c>
      <c r="P42" s="1">
        <v>1.459999E9</v>
      </c>
      <c r="Q42" s="1">
        <v>-1.8858E7</v>
      </c>
      <c r="R42" s="1">
        <v>1.78696E8</v>
      </c>
      <c r="S42" s="1">
        <v>1.78696E8</v>
      </c>
    </row>
    <row r="43">
      <c r="A43" s="1">
        <v>41.0</v>
      </c>
      <c r="B43" s="2">
        <v>44394.0</v>
      </c>
      <c r="C43" s="1" t="s">
        <v>37</v>
      </c>
      <c r="D43" s="1" t="s">
        <v>38</v>
      </c>
      <c r="F43" s="1">
        <v>2.37765E8</v>
      </c>
      <c r="G43" s="1">
        <v>1.78696E8</v>
      </c>
      <c r="H43" s="1">
        <v>9.32793E8</v>
      </c>
      <c r="I43" s="1">
        <v>1.189416E9</v>
      </c>
      <c r="J43" s="1">
        <v>2.56623E8</v>
      </c>
      <c r="K43" s="1">
        <v>2.56623E8</v>
      </c>
      <c r="L43" s="1">
        <v>-8306000.0</v>
      </c>
      <c r="M43" s="1">
        <v>0.0</v>
      </c>
      <c r="N43" s="1">
        <v>2.649415E9</v>
      </c>
      <c r="O43" s="1">
        <v>0.0</v>
      </c>
      <c r="P43" s="1">
        <v>0.0</v>
      </c>
      <c r="Q43" s="1">
        <v>0.0</v>
      </c>
      <c r="R43" s="1">
        <v>1.78696E8</v>
      </c>
      <c r="S43" s="1">
        <v>1.78696E8</v>
      </c>
    </row>
    <row r="44">
      <c r="A44" s="1">
        <v>42.0</v>
      </c>
      <c r="B44" s="2">
        <v>44310.0</v>
      </c>
      <c r="C44" s="1" t="s">
        <v>37</v>
      </c>
      <c r="D44" s="1" t="s">
        <v>38</v>
      </c>
      <c r="F44" s="1">
        <v>2.45774E8</v>
      </c>
      <c r="G44" s="1">
        <v>1.8593E8</v>
      </c>
      <c r="H44" s="1">
        <v>1.200138E9</v>
      </c>
      <c r="I44" s="1">
        <v>1.487229E9</v>
      </c>
      <c r="J44" s="1">
        <v>2.87091E8</v>
      </c>
      <c r="K44" s="1">
        <v>2.87091E8</v>
      </c>
      <c r="L44" s="1">
        <v>-1.1191E7</v>
      </c>
      <c r="M44" s="1">
        <v>5.9844E7</v>
      </c>
      <c r="N44" s="1">
        <v>3.33037E9</v>
      </c>
      <c r="O44" s="1">
        <v>3.043279E9</v>
      </c>
      <c r="P44" s="1">
        <v>1.843141E9</v>
      </c>
      <c r="Q44" s="1">
        <v>-4.1317E7</v>
      </c>
      <c r="R44" s="1">
        <v>1.8593E8</v>
      </c>
      <c r="S44" s="1">
        <v>1.8593E8</v>
      </c>
    </row>
    <row r="45">
      <c r="A45" s="1">
        <v>43.0</v>
      </c>
      <c r="B45" s="2">
        <v>44303.0</v>
      </c>
      <c r="C45" s="1" t="s">
        <v>37</v>
      </c>
      <c r="D45" s="1" t="s">
        <v>38</v>
      </c>
      <c r="F45" s="1">
        <v>2.45774E8</v>
      </c>
      <c r="G45" s="1">
        <v>1.82313E8</v>
      </c>
      <c r="H45" s="1">
        <v>1.200138E9</v>
      </c>
      <c r="I45" s="1">
        <v>1.3383225E9</v>
      </c>
      <c r="J45" s="1">
        <v>2.718565E8</v>
      </c>
      <c r="K45" s="1">
        <v>2.87091E8</v>
      </c>
      <c r="L45" s="1">
        <v>-9748500.0</v>
      </c>
      <c r="M45" s="1">
        <v>0.0</v>
      </c>
      <c r="N45" s="1">
        <v>2.9898925E9</v>
      </c>
      <c r="O45" s="1">
        <v>0.0</v>
      </c>
      <c r="P45" s="1">
        <v>0.0</v>
      </c>
      <c r="Q45" s="1">
        <v>0.0</v>
      </c>
      <c r="R45" s="1">
        <v>1.8593E8</v>
      </c>
      <c r="S45" s="1">
        <v>1.8593E8</v>
      </c>
    </row>
    <row r="46">
      <c r="A46" s="1">
        <v>44.0</v>
      </c>
      <c r="B46" s="2">
        <v>44464.0</v>
      </c>
      <c r="C46" s="1" t="s">
        <v>39</v>
      </c>
      <c r="D46" s="1" t="s">
        <v>40</v>
      </c>
      <c r="E46" s="1">
        <v>7.65E8</v>
      </c>
      <c r="F46" s="1">
        <v>1.005E9</v>
      </c>
      <c r="G46" s="1">
        <v>9.23E8</v>
      </c>
      <c r="H46" s="1">
        <v>3.68E8</v>
      </c>
      <c r="I46" s="1">
        <v>2.086E9</v>
      </c>
      <c r="J46" s="1">
        <v>9.56E8</v>
      </c>
      <c r="K46" s="1">
        <v>9.56E8</v>
      </c>
      <c r="L46" s="1">
        <v>-7000000.0</v>
      </c>
      <c r="M46" s="1">
        <v>8.2E7</v>
      </c>
      <c r="N46" s="1">
        <v>4.313E9</v>
      </c>
      <c r="O46" s="1">
        <v>3.357E9</v>
      </c>
      <c r="P46" s="1">
        <v>2.227E9</v>
      </c>
      <c r="Q46" s="1">
        <v>4.9E7</v>
      </c>
      <c r="R46" s="1">
        <v>9.23E8</v>
      </c>
      <c r="S46" s="1">
        <v>9.23E8</v>
      </c>
    </row>
    <row r="47">
      <c r="A47" s="1">
        <v>45.0</v>
      </c>
      <c r="B47" s="2">
        <v>44373.0</v>
      </c>
      <c r="C47" s="1" t="s">
        <v>39</v>
      </c>
      <c r="D47" s="1" t="s">
        <v>40</v>
      </c>
      <c r="E47" s="1">
        <v>6.59E8</v>
      </c>
      <c r="F47" s="1">
        <v>8.23E8</v>
      </c>
      <c r="G47" s="1">
        <v>7.1E8</v>
      </c>
      <c r="H47" s="1">
        <v>3.31E8</v>
      </c>
      <c r="I47" s="1">
        <v>1.83E9</v>
      </c>
      <c r="J47" s="1">
        <v>8.41E8</v>
      </c>
      <c r="K47" s="1">
        <v>8.41E8</v>
      </c>
      <c r="L47" s="1">
        <v>-1.0E7</v>
      </c>
      <c r="M47" s="1">
        <v>1.13E8</v>
      </c>
      <c r="N47" s="1">
        <v>3.85E9</v>
      </c>
      <c r="O47" s="1">
        <v>3.009E9</v>
      </c>
      <c r="P47" s="1">
        <v>2.02E9</v>
      </c>
      <c r="Q47" s="1">
        <v>-1.8E7</v>
      </c>
      <c r="R47" s="1">
        <v>7.1E8</v>
      </c>
      <c r="S47" s="1">
        <v>7.1E8</v>
      </c>
    </row>
    <row r="48">
      <c r="A48" s="1">
        <v>46.0</v>
      </c>
      <c r="B48" s="2">
        <v>44282.0</v>
      </c>
      <c r="C48" s="1" t="s">
        <v>39</v>
      </c>
      <c r="D48" s="1" t="s">
        <v>40</v>
      </c>
      <c r="E48" s="1">
        <v>6.1E8</v>
      </c>
      <c r="F48" s="1">
        <v>6.44E8</v>
      </c>
      <c r="G48" s="1">
        <v>5.55E8</v>
      </c>
      <c r="H48" s="1">
        <v>3.04E8</v>
      </c>
      <c r="I48" s="1">
        <v>1.587E9</v>
      </c>
      <c r="J48" s="1">
        <v>6.77E8</v>
      </c>
      <c r="K48" s="1">
        <v>6.77E8</v>
      </c>
      <c r="L48" s="1">
        <v>-9000000.0</v>
      </c>
      <c r="M48" s="1">
        <v>8.9E7</v>
      </c>
      <c r="N48" s="1">
        <v>3.445E9</v>
      </c>
      <c r="O48" s="1">
        <v>2.768E9</v>
      </c>
      <c r="P48" s="1">
        <v>1.858E9</v>
      </c>
      <c r="Q48" s="1">
        <v>-3.3E7</v>
      </c>
      <c r="R48" s="1">
        <v>5.55E8</v>
      </c>
      <c r="S48" s="1">
        <v>5.55E8</v>
      </c>
    </row>
    <row r="49">
      <c r="A49" s="1">
        <v>47.0</v>
      </c>
      <c r="B49" s="2">
        <v>44191.0</v>
      </c>
      <c r="C49" s="1" t="s">
        <v>39</v>
      </c>
      <c r="D49" s="1" t="s">
        <v>40</v>
      </c>
      <c r="E49" s="1">
        <v>5.73E8</v>
      </c>
      <c r="F49" s="1">
        <v>5.49E8</v>
      </c>
      <c r="G49" s="1">
        <v>1.781E9</v>
      </c>
      <c r="H49" s="1">
        <v>3.08E8</v>
      </c>
      <c r="I49" s="1">
        <v>1.451E9</v>
      </c>
      <c r="J49" s="1">
        <v>5.7E8</v>
      </c>
      <c r="K49" s="1">
        <v>5.7E8</v>
      </c>
      <c r="L49" s="1">
        <v>-9000000.0</v>
      </c>
      <c r="M49" s="1">
        <v>-1.232E9</v>
      </c>
      <c r="N49" s="1">
        <v>3.244E9</v>
      </c>
      <c r="O49" s="1">
        <v>2.674E9</v>
      </c>
      <c r="P49" s="1">
        <v>1.793E9</v>
      </c>
      <c r="Q49" s="1">
        <v>-2.1E7</v>
      </c>
      <c r="R49" s="1">
        <v>1.781E9</v>
      </c>
      <c r="S49" s="1">
        <v>1.781E9</v>
      </c>
    </row>
    <row r="50">
      <c r="A50" s="1">
        <v>48.0</v>
      </c>
      <c r="B50" s="2">
        <v>44469.0</v>
      </c>
      <c r="C50" s="1" t="s">
        <v>41</v>
      </c>
      <c r="D50" s="1" t="s">
        <v>42</v>
      </c>
      <c r="F50" s="1">
        <v>6.11E8</v>
      </c>
      <c r="G50" s="1">
        <v>3.43E8</v>
      </c>
      <c r="H50" s="1">
        <v>3.9E7</v>
      </c>
      <c r="I50" s="1">
        <v>7.6E8</v>
      </c>
      <c r="J50" s="1">
        <v>7.21E8</v>
      </c>
      <c r="K50" s="1">
        <v>7.21E8</v>
      </c>
      <c r="L50" s="1">
        <v>-2.42E8</v>
      </c>
      <c r="M50" s="1">
        <v>1.26E8</v>
      </c>
      <c r="N50" s="1">
        <v>3.036E9</v>
      </c>
      <c r="O50" s="1">
        <v>2.315E9</v>
      </c>
      <c r="P50" s="1">
        <v>2.276E9</v>
      </c>
      <c r="Q50" s="1">
        <v>-1.1E8</v>
      </c>
      <c r="R50" s="1">
        <v>4.85E8</v>
      </c>
      <c r="S50" s="1">
        <v>3.43E8</v>
      </c>
    </row>
    <row r="51">
      <c r="A51" s="1">
        <v>49.0</v>
      </c>
      <c r="B51" s="2">
        <v>44377.0</v>
      </c>
      <c r="C51" s="1" t="s">
        <v>41</v>
      </c>
      <c r="D51" s="1" t="s">
        <v>42</v>
      </c>
      <c r="F51" s="1">
        <v>-1.4E8</v>
      </c>
      <c r="G51" s="1">
        <v>2.8E7</v>
      </c>
      <c r="H51" s="1">
        <v>4.5E7</v>
      </c>
      <c r="I51" s="1">
        <v>7.28E8</v>
      </c>
      <c r="J51" s="1">
        <v>6.83E8</v>
      </c>
      <c r="K51" s="1">
        <v>6.83E8</v>
      </c>
      <c r="L51" s="1">
        <v>-2.37E8</v>
      </c>
      <c r="M51" s="1">
        <v>-5.9E7</v>
      </c>
      <c r="N51" s="1">
        <v>2.7E9</v>
      </c>
      <c r="O51" s="1">
        <v>2.017E9</v>
      </c>
      <c r="P51" s="1">
        <v>1.972E9</v>
      </c>
      <c r="Q51" s="1">
        <v>-8.23E8</v>
      </c>
      <c r="R51" s="1">
        <v>-8.1E7</v>
      </c>
      <c r="S51" s="1">
        <v>2.8E7</v>
      </c>
    </row>
    <row r="52">
      <c r="A52" s="1">
        <v>50.0</v>
      </c>
      <c r="B52" s="2">
        <v>44286.0</v>
      </c>
      <c r="C52" s="1" t="s">
        <v>41</v>
      </c>
      <c r="D52" s="1" t="s">
        <v>42</v>
      </c>
      <c r="F52" s="1">
        <v>-2.1E7</v>
      </c>
      <c r="G52" s="1">
        <v>-1.48E8</v>
      </c>
      <c r="H52" s="1">
        <v>4.6E7</v>
      </c>
      <c r="I52" s="1">
        <v>6.64E8</v>
      </c>
      <c r="J52" s="1">
        <v>6.18E8</v>
      </c>
      <c r="K52" s="1">
        <v>6.18E8</v>
      </c>
      <c r="L52" s="1">
        <v>-1.9E8</v>
      </c>
      <c r="M52" s="1">
        <v>8000000.0</v>
      </c>
      <c r="N52" s="1">
        <v>2.635E9</v>
      </c>
      <c r="O52" s="1">
        <v>2.017E9</v>
      </c>
      <c r="P52" s="1">
        <v>1.971E9</v>
      </c>
      <c r="Q52" s="1">
        <v>-6.39E8</v>
      </c>
      <c r="R52" s="1">
        <v>-2.9E7</v>
      </c>
      <c r="S52" s="1">
        <v>-1.48E8</v>
      </c>
    </row>
    <row r="53">
      <c r="A53" s="1">
        <v>51.0</v>
      </c>
      <c r="B53" s="2">
        <v>44196.0</v>
      </c>
      <c r="C53" s="1" t="s">
        <v>41</v>
      </c>
      <c r="D53" s="1" t="s">
        <v>42</v>
      </c>
      <c r="F53" s="1">
        <v>5.62E8</v>
      </c>
      <c r="G53" s="1">
        <v>3.18E8</v>
      </c>
      <c r="H53" s="1">
        <v>4.7E7</v>
      </c>
      <c r="I53" s="1">
        <v>7.24E8</v>
      </c>
      <c r="J53" s="1">
        <v>6.77E8</v>
      </c>
      <c r="K53" s="1">
        <v>6.77E8</v>
      </c>
      <c r="L53" s="1">
        <v>-2.97E8</v>
      </c>
      <c r="M53" s="1">
        <v>1.61E8</v>
      </c>
      <c r="N53" s="1">
        <v>2.56E9</v>
      </c>
      <c r="O53" s="1">
        <v>1.883E9</v>
      </c>
      <c r="P53" s="1">
        <v>1.836E9</v>
      </c>
      <c r="Q53" s="1">
        <v>-1.15E8</v>
      </c>
      <c r="R53" s="1">
        <v>4.01E8</v>
      </c>
      <c r="S53" s="1">
        <v>3.18E8</v>
      </c>
    </row>
    <row r="54">
      <c r="A54" s="1">
        <v>52.0</v>
      </c>
      <c r="B54" s="2">
        <v>44469.0</v>
      </c>
      <c r="C54" s="1" t="s">
        <v>43</v>
      </c>
      <c r="D54" s="1" t="s">
        <v>44</v>
      </c>
      <c r="F54" s="1">
        <v>1.113E9</v>
      </c>
      <c r="G54" s="1">
        <v>8.88E8</v>
      </c>
      <c r="H54" s="1">
        <v>8.69E8</v>
      </c>
      <c r="I54" s="1">
        <v>2.039E9</v>
      </c>
      <c r="J54" s="1">
        <v>1.17E9</v>
      </c>
      <c r="K54" s="1">
        <v>1.17E9</v>
      </c>
      <c r="L54" s="1">
        <v>-5.7E7</v>
      </c>
      <c r="M54" s="1">
        <v>2.25E8</v>
      </c>
      <c r="N54" s="1">
        <v>5.237E9</v>
      </c>
      <c r="O54" s="1">
        <v>4.067E9</v>
      </c>
      <c r="P54" s="1">
        <v>3.198E9</v>
      </c>
      <c r="Q54" s="1">
        <v>-5.7E7</v>
      </c>
      <c r="R54" s="1">
        <v>8.88E8</v>
      </c>
      <c r="S54" s="1">
        <v>8.88E8</v>
      </c>
    </row>
    <row r="55">
      <c r="A55" s="1">
        <v>53.0</v>
      </c>
      <c r="B55" s="2">
        <v>44377.0</v>
      </c>
      <c r="C55" s="1" t="s">
        <v>43</v>
      </c>
      <c r="D55" s="1" t="s">
        <v>44</v>
      </c>
      <c r="F55" s="1">
        <v>1.373E9</v>
      </c>
      <c r="G55" s="1">
        <v>1.105E9</v>
      </c>
      <c r="H55" s="1">
        <v>8.81E8</v>
      </c>
      <c r="I55" s="1">
        <v>2.316E9</v>
      </c>
      <c r="J55" s="1">
        <v>1.435E9</v>
      </c>
      <c r="K55" s="1">
        <v>1.435E9</v>
      </c>
      <c r="L55" s="1">
        <v>-6.2E7</v>
      </c>
      <c r="M55" s="1">
        <v>2.68E8</v>
      </c>
      <c r="N55" s="1">
        <v>5.564E9</v>
      </c>
      <c r="O55" s="1">
        <v>4.129E9</v>
      </c>
      <c r="P55" s="1">
        <v>3.248E9</v>
      </c>
      <c r="Q55" s="1">
        <v>-6.2E7</v>
      </c>
      <c r="R55" s="1">
        <v>1.105E9</v>
      </c>
      <c r="S55" s="1">
        <v>1.105E9</v>
      </c>
    </row>
    <row r="56">
      <c r="A56" s="1">
        <v>54.0</v>
      </c>
      <c r="B56" s="2">
        <v>44286.0</v>
      </c>
      <c r="C56" s="1" t="s">
        <v>43</v>
      </c>
      <c r="D56" s="1" t="s">
        <v>44</v>
      </c>
      <c r="F56" s="1">
        <v>1.603E9</v>
      </c>
      <c r="G56" s="1">
        <v>1.293E9</v>
      </c>
      <c r="H56" s="1">
        <v>8.32E8</v>
      </c>
      <c r="I56" s="1">
        <v>2.497E9</v>
      </c>
      <c r="J56" s="1">
        <v>1.665E9</v>
      </c>
      <c r="K56" s="1">
        <v>1.665E9</v>
      </c>
      <c r="L56" s="1">
        <v>-6.2E7</v>
      </c>
      <c r="M56" s="1">
        <v>3.1E8</v>
      </c>
      <c r="N56" s="1">
        <v>5.869E9</v>
      </c>
      <c r="O56" s="1">
        <v>4.204E9</v>
      </c>
      <c r="P56" s="1">
        <v>3.372E9</v>
      </c>
      <c r="Q56" s="1">
        <v>-6.2E7</v>
      </c>
      <c r="R56" s="1">
        <v>1.293E9</v>
      </c>
      <c r="S56" s="1">
        <v>1.293E9</v>
      </c>
    </row>
    <row r="57">
      <c r="A57" s="1">
        <v>55.0</v>
      </c>
      <c r="B57" s="2">
        <v>44196.0</v>
      </c>
      <c r="C57" s="1" t="s">
        <v>43</v>
      </c>
      <c r="D57" s="1" t="s">
        <v>44</v>
      </c>
      <c r="F57" s="1">
        <v>1.217E9</v>
      </c>
      <c r="G57" s="1">
        <v>9.52E8</v>
      </c>
      <c r="H57" s="1">
        <v>1.038E9</v>
      </c>
      <c r="I57" s="1">
        <v>2.316E9</v>
      </c>
      <c r="J57" s="1">
        <v>1.278E9</v>
      </c>
      <c r="K57" s="1">
        <v>1.278E9</v>
      </c>
      <c r="L57" s="1">
        <v>-6.1E7</v>
      </c>
      <c r="M57" s="1">
        <v>2.65E8</v>
      </c>
      <c r="N57" s="1">
        <v>5.913E9</v>
      </c>
      <c r="O57" s="1">
        <v>4.635E9</v>
      </c>
      <c r="P57" s="1">
        <v>3.597E9</v>
      </c>
      <c r="Q57" s="1">
        <v>-6.1E7</v>
      </c>
      <c r="R57" s="1">
        <v>9.52E8</v>
      </c>
      <c r="S57" s="1">
        <v>9.52E8</v>
      </c>
    </row>
    <row r="58">
      <c r="A58" s="1">
        <v>56.0</v>
      </c>
      <c r="B58" s="2">
        <v>44408.0</v>
      </c>
      <c r="C58" s="1" t="s">
        <v>45</v>
      </c>
      <c r="D58" s="1" t="s">
        <v>46</v>
      </c>
      <c r="E58" s="1">
        <v>1.13E8</v>
      </c>
      <c r="F58" s="1">
        <v>3.27E8</v>
      </c>
      <c r="G58" s="1">
        <v>2.64E8</v>
      </c>
      <c r="H58" s="1">
        <v>3.9E8</v>
      </c>
      <c r="I58" s="1">
        <v>8.52E8</v>
      </c>
      <c r="J58" s="1">
        <v>3.49E8</v>
      </c>
      <c r="K58" s="1">
        <v>3.49E8</v>
      </c>
      <c r="L58" s="1">
        <v>-2.1E7</v>
      </c>
      <c r="M58" s="1">
        <v>6.3E7</v>
      </c>
      <c r="N58" s="1">
        <v>1.586E9</v>
      </c>
      <c r="O58" s="1">
        <v>1.237E9</v>
      </c>
      <c r="P58" s="1">
        <v>7.34E8</v>
      </c>
      <c r="Q58" s="1">
        <v>-2.2E7</v>
      </c>
      <c r="R58" s="1">
        <v>2.64E8</v>
      </c>
      <c r="S58" s="1">
        <v>2.64E8</v>
      </c>
    </row>
    <row r="59">
      <c r="A59" s="1">
        <v>57.0</v>
      </c>
      <c r="B59" s="2">
        <v>44316.0</v>
      </c>
      <c r="C59" s="1" t="s">
        <v>45</v>
      </c>
      <c r="D59" s="1" t="s">
        <v>46</v>
      </c>
      <c r="E59" s="1">
        <v>1.09E8</v>
      </c>
      <c r="F59" s="1">
        <v>2.73E8</v>
      </c>
      <c r="G59" s="1">
        <v>2.16E8</v>
      </c>
      <c r="H59" s="1">
        <v>4.2E8</v>
      </c>
      <c r="I59" s="1">
        <v>8.17E8</v>
      </c>
      <c r="J59" s="1">
        <v>2.88E8</v>
      </c>
      <c r="K59" s="1">
        <v>2.88E8</v>
      </c>
      <c r="L59" s="1">
        <v>-2.0E7</v>
      </c>
      <c r="M59" s="1">
        <v>5.7E7</v>
      </c>
      <c r="N59" s="1">
        <v>1.525E9</v>
      </c>
      <c r="O59" s="1">
        <v>1.237E9</v>
      </c>
      <c r="P59" s="1">
        <v>7.08E8</v>
      </c>
      <c r="Q59" s="1">
        <v>-1.5E7</v>
      </c>
      <c r="R59" s="1">
        <v>2.16E8</v>
      </c>
      <c r="S59" s="1">
        <v>2.16E8</v>
      </c>
    </row>
    <row r="60">
      <c r="A60" s="1">
        <v>58.0</v>
      </c>
      <c r="B60" s="2">
        <v>44227.0</v>
      </c>
      <c r="C60" s="1" t="s">
        <v>45</v>
      </c>
      <c r="D60" s="1" t="s">
        <v>46</v>
      </c>
      <c r="E60" s="1">
        <v>1.03E8</v>
      </c>
      <c r="F60" s="1">
        <v>3.12E8</v>
      </c>
      <c r="G60" s="1">
        <v>2.88E8</v>
      </c>
      <c r="H60" s="1">
        <v>3.98E8</v>
      </c>
      <c r="I60" s="1">
        <v>8.38E8</v>
      </c>
      <c r="J60" s="1">
        <v>3.37E8</v>
      </c>
      <c r="K60" s="1">
        <v>3.37E8</v>
      </c>
      <c r="L60" s="1">
        <v>-1.9E7</v>
      </c>
      <c r="M60" s="1">
        <v>2.4E7</v>
      </c>
      <c r="N60" s="1">
        <v>1.548E9</v>
      </c>
      <c r="O60" s="1">
        <v>1.211E9</v>
      </c>
      <c r="P60" s="1">
        <v>7.1E8</v>
      </c>
      <c r="Q60" s="1">
        <v>-2.5E7</v>
      </c>
      <c r="R60" s="1">
        <v>2.88E8</v>
      </c>
      <c r="S60" s="1">
        <v>2.88E8</v>
      </c>
    </row>
    <row r="61">
      <c r="A61" s="1">
        <v>59.0</v>
      </c>
      <c r="B61" s="2">
        <v>44135.0</v>
      </c>
      <c r="C61" s="1" t="s">
        <v>45</v>
      </c>
      <c r="D61" s="1" t="s">
        <v>46</v>
      </c>
      <c r="E61" s="1">
        <v>1.02E8</v>
      </c>
      <c r="F61" s="1">
        <v>2.83E8</v>
      </c>
      <c r="G61" s="1">
        <v>2.22E8</v>
      </c>
      <c r="H61" s="1">
        <v>3.42E8</v>
      </c>
      <c r="I61" s="1">
        <v>7.88E8</v>
      </c>
      <c r="J61" s="1">
        <v>3.44E8</v>
      </c>
      <c r="K61" s="1">
        <v>3.44E8</v>
      </c>
      <c r="L61" s="1">
        <v>-1.9E7</v>
      </c>
      <c r="M61" s="1">
        <v>6.1E7</v>
      </c>
      <c r="N61" s="1">
        <v>1.483E9</v>
      </c>
      <c r="O61" s="1">
        <v>1.139E9</v>
      </c>
      <c r="P61" s="1">
        <v>6.95E8</v>
      </c>
      <c r="Q61" s="1">
        <v>-6.1E7</v>
      </c>
      <c r="R61" s="1">
        <v>2.22E8</v>
      </c>
      <c r="S61" s="1">
        <v>2.22E8</v>
      </c>
    </row>
    <row r="62">
      <c r="A62" s="1">
        <v>60.0</v>
      </c>
      <c r="B62" s="2">
        <v>44469.0</v>
      </c>
      <c r="C62" s="1" t="s">
        <v>47</v>
      </c>
      <c r="D62" s="1" t="s">
        <v>48</v>
      </c>
      <c r="E62" s="1">
        <v>2.57E7</v>
      </c>
      <c r="F62" s="1">
        <v>6.923E8</v>
      </c>
      <c r="G62" s="1">
        <v>6.104E8</v>
      </c>
      <c r="H62" s="1">
        <v>2.021E8</v>
      </c>
      <c r="I62" s="1">
        <v>8.348E8</v>
      </c>
      <c r="J62" s="1">
        <v>6.167E8</v>
      </c>
      <c r="K62" s="1">
        <v>6.167E8</v>
      </c>
      <c r="L62" s="1">
        <v>-3.34E7</v>
      </c>
      <c r="M62" s="1">
        <v>1.253E8</v>
      </c>
      <c r="N62" s="1">
        <v>2.8411E9</v>
      </c>
      <c r="O62" s="1">
        <v>2.2244E9</v>
      </c>
      <c r="P62" s="1">
        <v>2.0063E9</v>
      </c>
      <c r="Q62" s="1">
        <v>7.56E7</v>
      </c>
      <c r="R62" s="1">
        <v>5.67E8</v>
      </c>
      <c r="S62" s="1">
        <v>6.104E8</v>
      </c>
    </row>
    <row r="63">
      <c r="A63" s="1">
        <v>61.0</v>
      </c>
      <c r="B63" s="2">
        <v>44377.0</v>
      </c>
      <c r="C63" s="1" t="s">
        <v>47</v>
      </c>
      <c r="D63" s="1" t="s">
        <v>48</v>
      </c>
      <c r="E63" s="1">
        <v>2.32E7</v>
      </c>
      <c r="F63" s="1">
        <v>6.258E8</v>
      </c>
      <c r="G63" s="1">
        <v>5.336E8</v>
      </c>
      <c r="H63" s="1">
        <v>1.926E8</v>
      </c>
      <c r="I63" s="1">
        <v>8.028E8</v>
      </c>
      <c r="J63" s="1">
        <v>5.984E8</v>
      </c>
      <c r="K63" s="1">
        <v>5.984E8</v>
      </c>
      <c r="L63" s="1">
        <v>-3.56E7</v>
      </c>
      <c r="M63" s="1">
        <v>1.017E8</v>
      </c>
      <c r="N63" s="1">
        <v>2.6047E9</v>
      </c>
      <c r="O63" s="1">
        <v>2.0063E9</v>
      </c>
      <c r="P63" s="1">
        <v>1.8019E9</v>
      </c>
      <c r="Q63" s="1">
        <v>2.74E7</v>
      </c>
      <c r="R63" s="1">
        <v>5.241E8</v>
      </c>
      <c r="S63" s="1">
        <v>5.336E8</v>
      </c>
    </row>
    <row r="64">
      <c r="A64" s="1">
        <v>62.0</v>
      </c>
      <c r="B64" s="2">
        <v>44286.0</v>
      </c>
      <c r="C64" s="1" t="s">
        <v>47</v>
      </c>
      <c r="D64" s="1" t="s">
        <v>48</v>
      </c>
      <c r="E64" s="1">
        <v>2.11E7</v>
      </c>
      <c r="F64" s="1">
        <v>5.99E8</v>
      </c>
      <c r="G64" s="1">
        <v>4.731E8</v>
      </c>
      <c r="H64" s="1">
        <v>1.891E8</v>
      </c>
      <c r="I64" s="1">
        <v>7.565E8</v>
      </c>
      <c r="J64" s="1">
        <v>5.558E8</v>
      </c>
      <c r="K64" s="1">
        <v>5.558E8</v>
      </c>
      <c r="L64" s="1">
        <v>-3.61E7</v>
      </c>
      <c r="M64" s="1">
        <v>1.219E8</v>
      </c>
      <c r="N64" s="1">
        <v>2.502E9</v>
      </c>
      <c r="O64" s="1">
        <v>1.9462E9</v>
      </c>
      <c r="P64" s="1">
        <v>1.7455E9</v>
      </c>
      <c r="Q64" s="1">
        <v>4.32E7</v>
      </c>
      <c r="R64" s="1">
        <v>4.771E8</v>
      </c>
      <c r="S64" s="1">
        <v>4.731E8</v>
      </c>
    </row>
    <row r="65">
      <c r="A65" s="1">
        <v>63.0</v>
      </c>
      <c r="B65" s="2">
        <v>44196.0</v>
      </c>
      <c r="C65" s="1" t="s">
        <v>47</v>
      </c>
      <c r="D65" s="1" t="s">
        <v>48</v>
      </c>
      <c r="E65" s="1">
        <v>2.35E7</v>
      </c>
      <c r="F65" s="1">
        <v>5.903E8</v>
      </c>
      <c r="G65" s="1">
        <v>4.82E8</v>
      </c>
      <c r="H65" s="1">
        <v>1.821E8</v>
      </c>
      <c r="I65" s="1">
        <v>7.428E8</v>
      </c>
      <c r="J65" s="1">
        <v>5.625E8</v>
      </c>
      <c r="K65" s="1">
        <v>5.625E8</v>
      </c>
      <c r="L65" s="1">
        <v>-3.67E7</v>
      </c>
      <c r="M65" s="1">
        <v>1.139E8</v>
      </c>
      <c r="N65" s="1">
        <v>2.3752E9</v>
      </c>
      <c r="O65" s="1">
        <v>1.8127E9</v>
      </c>
      <c r="P65" s="1">
        <v>1.6324E9</v>
      </c>
      <c r="Q65" s="1">
        <v>2.78E7</v>
      </c>
      <c r="R65" s="1">
        <v>4.764E8</v>
      </c>
      <c r="S65" s="1">
        <v>4.82E8</v>
      </c>
    </row>
    <row r="66">
      <c r="A66" s="1">
        <v>64.0</v>
      </c>
      <c r="B66" s="2">
        <v>44469.0</v>
      </c>
      <c r="C66" s="1" t="s">
        <v>49</v>
      </c>
      <c r="D66" s="1" t="s">
        <v>50</v>
      </c>
      <c r="E66" s="1">
        <v>8.2899E7</v>
      </c>
      <c r="F66" s="1">
        <v>1.92564E8</v>
      </c>
      <c r="G66" s="1">
        <v>1.78916E8</v>
      </c>
      <c r="H66" s="1">
        <v>2.41463E8</v>
      </c>
      <c r="I66" s="1">
        <v>5.43467E8</v>
      </c>
      <c r="J66" s="1">
        <v>2.07146E8</v>
      </c>
      <c r="K66" s="1">
        <v>2.07146E8</v>
      </c>
      <c r="L66" s="1">
        <v>-1.8144E7</v>
      </c>
      <c r="M66" s="1">
        <v>1.3648E7</v>
      </c>
      <c r="N66" s="1">
        <v>8.60333E8</v>
      </c>
      <c r="O66" s="1">
        <v>6.53187E8</v>
      </c>
      <c r="P66" s="1">
        <v>3.16866E8</v>
      </c>
      <c r="Q66" s="1">
        <v>-1.4582E7</v>
      </c>
      <c r="R66" s="1">
        <v>1.78916E8</v>
      </c>
      <c r="S66" s="1">
        <v>1.78916E8</v>
      </c>
    </row>
    <row r="67">
      <c r="A67" s="1">
        <v>65.0</v>
      </c>
      <c r="B67" s="2">
        <v>44377.0</v>
      </c>
      <c r="C67" s="1" t="s">
        <v>49</v>
      </c>
      <c r="D67" s="1" t="s">
        <v>50</v>
      </c>
      <c r="E67" s="1">
        <v>7.7255E7</v>
      </c>
      <c r="F67" s="1">
        <v>1.74506E8</v>
      </c>
      <c r="G67" s="1">
        <v>1.56497E8</v>
      </c>
      <c r="H67" s="1">
        <v>2.46049E8</v>
      </c>
      <c r="I67" s="1">
        <v>5.32824E8</v>
      </c>
      <c r="J67" s="1">
        <v>1.9746E8</v>
      </c>
      <c r="K67" s="1">
        <v>1.9746E8</v>
      </c>
      <c r="L67" s="1">
        <v>-1.8037E7</v>
      </c>
      <c r="M67" s="1">
        <v>1.8009E7</v>
      </c>
      <c r="N67" s="1">
        <v>8.52824E8</v>
      </c>
      <c r="O67" s="1">
        <v>6.55364E8</v>
      </c>
      <c r="P67" s="1">
        <v>3.2E8</v>
      </c>
      <c r="Q67" s="1">
        <v>-2.2954E7</v>
      </c>
      <c r="R67" s="1">
        <v>1.56497E8</v>
      </c>
      <c r="S67" s="1">
        <v>1.56497E8</v>
      </c>
    </row>
    <row r="68">
      <c r="A68" s="1">
        <v>66.0</v>
      </c>
      <c r="B68" s="2">
        <v>44286.0</v>
      </c>
      <c r="C68" s="1" t="s">
        <v>49</v>
      </c>
      <c r="D68" s="1" t="s">
        <v>50</v>
      </c>
      <c r="E68" s="1">
        <v>8.2045E7</v>
      </c>
      <c r="F68" s="1">
        <v>1.67593E8</v>
      </c>
      <c r="G68" s="1">
        <v>1.55695E8</v>
      </c>
      <c r="H68" s="1">
        <v>2.53005E8</v>
      </c>
      <c r="I68" s="1">
        <v>5.36021E8</v>
      </c>
      <c r="J68" s="1">
        <v>1.89544E8</v>
      </c>
      <c r="K68" s="1">
        <v>1.89544E8</v>
      </c>
      <c r="L68" s="1">
        <v>-1.7834E7</v>
      </c>
      <c r="M68" s="1">
        <v>1.1898E7</v>
      </c>
      <c r="N68" s="1">
        <v>8.42708E8</v>
      </c>
      <c r="O68" s="1">
        <v>6.53164E8</v>
      </c>
      <c r="P68" s="1">
        <v>3.06687E8</v>
      </c>
      <c r="Q68" s="1">
        <v>-2.1951E7</v>
      </c>
      <c r="R68" s="1">
        <v>1.55695E8</v>
      </c>
      <c r="S68" s="1">
        <v>1.55695E8</v>
      </c>
    </row>
    <row r="69">
      <c r="A69" s="1">
        <v>67.0</v>
      </c>
      <c r="B69" s="2">
        <v>44196.0</v>
      </c>
      <c r="C69" s="1" t="s">
        <v>49</v>
      </c>
      <c r="D69" s="1" t="s">
        <v>50</v>
      </c>
      <c r="E69" s="1">
        <v>6.7228E7</v>
      </c>
      <c r="F69" s="1">
        <v>1.17528E8</v>
      </c>
      <c r="G69" s="1">
        <v>1.1337E8</v>
      </c>
      <c r="H69" s="1">
        <v>2.98739E8</v>
      </c>
      <c r="I69" s="1">
        <v>5.4244E8</v>
      </c>
      <c r="J69" s="1">
        <v>1.65579E8</v>
      </c>
      <c r="K69" s="1">
        <v>1.65579E8</v>
      </c>
      <c r="L69" s="1">
        <v>-1.7342E7</v>
      </c>
      <c r="M69" s="1">
        <v>4158000.0</v>
      </c>
      <c r="N69" s="1">
        <v>8.46287E8</v>
      </c>
      <c r="O69" s="1">
        <v>6.80708E8</v>
      </c>
      <c r="P69" s="1">
        <v>3.03847E8</v>
      </c>
      <c r="Q69" s="1">
        <v>-4.8051E7</v>
      </c>
      <c r="R69" s="1">
        <v>1.1337E8</v>
      </c>
      <c r="S69" s="1">
        <v>1.1337E8</v>
      </c>
    </row>
    <row r="70">
      <c r="A70" s="1">
        <v>68.0</v>
      </c>
      <c r="B70" s="2">
        <v>44469.0</v>
      </c>
      <c r="C70" s="1" t="s">
        <v>51</v>
      </c>
      <c r="D70" s="1" t="s">
        <v>52</v>
      </c>
      <c r="E70" s="1">
        <v>1.3289E7</v>
      </c>
      <c r="F70" s="1">
        <v>-4.89103E8</v>
      </c>
      <c r="G70" s="1">
        <v>-3.92781E8</v>
      </c>
      <c r="H70" s="1">
        <v>9.5699E7</v>
      </c>
      <c r="I70" s="1">
        <v>2.49273E8</v>
      </c>
      <c r="J70" s="1">
        <v>1.40285E8</v>
      </c>
      <c r="K70" s="1">
        <v>1.40285E8</v>
      </c>
      <c r="L70" s="1">
        <v>-5136000.0</v>
      </c>
      <c r="M70" s="1">
        <v>-1.1467E8</v>
      </c>
      <c r="N70" s="1">
        <v>8.30566E8</v>
      </c>
      <c r="O70" s="1">
        <v>6.90281E8</v>
      </c>
      <c r="P70" s="1">
        <v>5.81293E8</v>
      </c>
      <c r="Q70" s="1">
        <v>-6.29388E8</v>
      </c>
      <c r="R70" s="1">
        <v>-3.74433E8</v>
      </c>
      <c r="S70" s="1">
        <v>-3.92781E8</v>
      </c>
    </row>
    <row r="71">
      <c r="A71" s="1">
        <v>69.0</v>
      </c>
      <c r="B71" s="2">
        <v>44377.0</v>
      </c>
      <c r="C71" s="1" t="s">
        <v>51</v>
      </c>
      <c r="D71" s="1" t="s">
        <v>52</v>
      </c>
      <c r="E71" s="1">
        <v>1.3976E7</v>
      </c>
      <c r="F71" s="1">
        <v>5.53193E8</v>
      </c>
      <c r="G71" s="1">
        <v>4.246E8</v>
      </c>
      <c r="H71" s="1">
        <v>1.13393E8</v>
      </c>
      <c r="I71" s="1">
        <v>2.48417E8</v>
      </c>
      <c r="J71" s="1">
        <v>1.21048E8</v>
      </c>
      <c r="K71" s="1">
        <v>1.21048E8</v>
      </c>
      <c r="L71" s="1">
        <v>-5952000.0</v>
      </c>
      <c r="M71" s="1">
        <v>1.06985E8</v>
      </c>
      <c r="N71" s="1">
        <v>7.73896E8</v>
      </c>
      <c r="O71" s="1">
        <v>6.52848E8</v>
      </c>
      <c r="P71" s="1">
        <v>5.25479E8</v>
      </c>
      <c r="Q71" s="1">
        <v>4.32145E8</v>
      </c>
      <c r="R71" s="1">
        <v>4.46208E8</v>
      </c>
      <c r="S71" s="1">
        <v>4.246E8</v>
      </c>
    </row>
    <row r="72">
      <c r="A72" s="1">
        <v>70.0</v>
      </c>
      <c r="B72" s="2">
        <v>44286.0</v>
      </c>
      <c r="C72" s="1" t="s">
        <v>51</v>
      </c>
      <c r="D72" s="1" t="s">
        <v>52</v>
      </c>
      <c r="E72" s="1">
        <v>1.4636E7</v>
      </c>
      <c r="F72" s="1">
        <v>1.39805E8</v>
      </c>
      <c r="G72" s="1">
        <v>9.5677E7</v>
      </c>
      <c r="H72" s="1">
        <v>8.5589E7</v>
      </c>
      <c r="I72" s="1">
        <v>2.63687E8</v>
      </c>
      <c r="J72" s="1">
        <v>1.63462E8</v>
      </c>
      <c r="K72" s="1">
        <v>1.63462E8</v>
      </c>
      <c r="L72" s="1">
        <v>-1.6084E7</v>
      </c>
      <c r="M72" s="1">
        <v>2.2107E7</v>
      </c>
      <c r="N72" s="1">
        <v>8.29291E8</v>
      </c>
      <c r="O72" s="1">
        <v>6.65829E8</v>
      </c>
      <c r="P72" s="1">
        <v>5.65604E8</v>
      </c>
      <c r="Q72" s="1">
        <v>-2.3657E7</v>
      </c>
      <c r="R72" s="1">
        <v>1.17698E8</v>
      </c>
      <c r="S72" s="1">
        <v>9.5677E7</v>
      </c>
    </row>
    <row r="73">
      <c r="A73" s="1">
        <v>71.0</v>
      </c>
      <c r="B73" s="2">
        <v>44196.0</v>
      </c>
      <c r="C73" s="1" t="s">
        <v>51</v>
      </c>
      <c r="D73" s="1" t="s">
        <v>52</v>
      </c>
      <c r="E73" s="1">
        <v>1.5375E7</v>
      </c>
      <c r="F73" s="1">
        <v>9.2076E7</v>
      </c>
      <c r="G73" s="1">
        <v>8.4635E7</v>
      </c>
      <c r="H73" s="1">
        <v>1.15008E8</v>
      </c>
      <c r="I73" s="1">
        <v>2.6672E8</v>
      </c>
      <c r="J73" s="1">
        <v>1.36337E8</v>
      </c>
      <c r="K73" s="1">
        <v>1.36337E8</v>
      </c>
      <c r="L73" s="1">
        <v>-1.9152E7</v>
      </c>
      <c r="M73" s="1">
        <v>-1.0101E7</v>
      </c>
      <c r="N73" s="1">
        <v>8.79147E8</v>
      </c>
      <c r="O73" s="1">
        <v>7.4281E8</v>
      </c>
      <c r="P73" s="1">
        <v>6.12427E8</v>
      </c>
      <c r="Q73" s="1">
        <v>-4.4261E7</v>
      </c>
      <c r="R73" s="1">
        <v>1.02177E8</v>
      </c>
      <c r="S73" s="1">
        <v>8.4635E7</v>
      </c>
    </row>
    <row r="74">
      <c r="A74" s="1">
        <v>72.0</v>
      </c>
      <c r="B74" s="2">
        <v>44469.0</v>
      </c>
      <c r="C74" s="1" t="s">
        <v>53</v>
      </c>
      <c r="D74" s="1" t="s">
        <v>54</v>
      </c>
      <c r="F74" s="1">
        <v>2.45E8</v>
      </c>
      <c r="G74" s="1">
        <v>1.94E8</v>
      </c>
      <c r="H74" s="1">
        <v>4.9E7</v>
      </c>
      <c r="I74" s="1">
        <v>5.62E8</v>
      </c>
      <c r="J74" s="1">
        <v>2.57E8</v>
      </c>
      <c r="K74" s="1">
        <v>2.57E8</v>
      </c>
      <c r="L74" s="1">
        <v>-2.7E7</v>
      </c>
      <c r="M74" s="1">
        <v>5.1E7</v>
      </c>
      <c r="N74" s="1">
        <v>1.953E9</v>
      </c>
      <c r="O74" s="1">
        <v>1.696E9</v>
      </c>
      <c r="P74" s="1">
        <v>1.391E9</v>
      </c>
      <c r="Q74" s="1">
        <v>-1.2E7</v>
      </c>
      <c r="R74" s="1">
        <v>1.94E8</v>
      </c>
      <c r="S74" s="1">
        <v>1.94E8</v>
      </c>
    </row>
    <row r="75">
      <c r="A75" s="1">
        <v>73.0</v>
      </c>
      <c r="B75" s="2">
        <v>44377.0</v>
      </c>
      <c r="C75" s="1" t="s">
        <v>53</v>
      </c>
      <c r="D75" s="1" t="s">
        <v>54</v>
      </c>
      <c r="F75" s="1">
        <v>5.28E8</v>
      </c>
      <c r="G75" s="1">
        <v>3.97E8</v>
      </c>
      <c r="H75" s="1">
        <v>4.1E7</v>
      </c>
      <c r="I75" s="1">
        <v>2.46E8</v>
      </c>
      <c r="J75" s="1">
        <v>-3.6E7</v>
      </c>
      <c r="K75" s="1">
        <v>-3.6E7</v>
      </c>
      <c r="L75" s="1">
        <v>-3.6E7</v>
      </c>
      <c r="M75" s="1">
        <v>1.31E8</v>
      </c>
      <c r="N75" s="1">
        <v>1.527E9</v>
      </c>
      <c r="O75" s="1">
        <v>1.563E9</v>
      </c>
      <c r="P75" s="1">
        <v>1.281E9</v>
      </c>
      <c r="Q75" s="1">
        <v>5.64E8</v>
      </c>
      <c r="R75" s="1">
        <v>3.97E8</v>
      </c>
      <c r="S75" s="1">
        <v>3.97E8</v>
      </c>
    </row>
    <row r="76">
      <c r="A76" s="1">
        <v>74.0</v>
      </c>
      <c r="B76" s="2">
        <v>44286.0</v>
      </c>
      <c r="C76" s="1" t="s">
        <v>53</v>
      </c>
      <c r="D76" s="1" t="s">
        <v>54</v>
      </c>
      <c r="F76" s="1">
        <v>-1.73E8</v>
      </c>
      <c r="G76" s="1">
        <v>-1.31E8</v>
      </c>
      <c r="H76" s="1">
        <v>3.3E7</v>
      </c>
      <c r="I76" s="1">
        <v>-3.12E8</v>
      </c>
      <c r="J76" s="1">
        <v>-5.73E8</v>
      </c>
      <c r="K76" s="1">
        <v>-5.73E8</v>
      </c>
      <c r="L76" s="1">
        <v>-2.9E7</v>
      </c>
      <c r="M76" s="1">
        <v>-4.2E7</v>
      </c>
      <c r="N76" s="1">
        <v>7.97E8</v>
      </c>
      <c r="O76" s="1">
        <v>1.37E9</v>
      </c>
      <c r="P76" s="1">
        <v>1.109E9</v>
      </c>
      <c r="Q76" s="1">
        <v>4.0E8</v>
      </c>
      <c r="R76" s="1">
        <v>-1.31E8</v>
      </c>
      <c r="S76" s="1">
        <v>-1.31E8</v>
      </c>
    </row>
    <row r="77">
      <c r="A77" s="1">
        <v>75.0</v>
      </c>
      <c r="B77" s="2">
        <v>44196.0</v>
      </c>
      <c r="C77" s="1" t="s">
        <v>53</v>
      </c>
      <c r="D77" s="1" t="s">
        <v>54</v>
      </c>
      <c r="F77" s="1">
        <v>-6.43E8</v>
      </c>
      <c r="G77" s="1">
        <v>-4.47E8</v>
      </c>
      <c r="H77" s="1">
        <v>1.8E7</v>
      </c>
      <c r="I77" s="1">
        <v>-2.13E8</v>
      </c>
      <c r="J77" s="1">
        <v>-4.49E8</v>
      </c>
      <c r="K77" s="1">
        <v>-4.49E8</v>
      </c>
      <c r="L77" s="1">
        <v>-3.1E7</v>
      </c>
      <c r="M77" s="1">
        <v>-1.96E8</v>
      </c>
      <c r="N77" s="1">
        <v>8.08E8</v>
      </c>
      <c r="O77" s="1">
        <v>1.257E9</v>
      </c>
      <c r="P77" s="1">
        <v>1.021E9</v>
      </c>
      <c r="Q77" s="1">
        <v>-1.94E8</v>
      </c>
      <c r="R77" s="1">
        <v>-4.47E8</v>
      </c>
      <c r="S77" s="1">
        <v>-4.47E8</v>
      </c>
    </row>
    <row r="78">
      <c r="A78" s="1">
        <v>76.0</v>
      </c>
      <c r="B78" s="2">
        <v>44469.0</v>
      </c>
      <c r="C78" s="1" t="s">
        <v>55</v>
      </c>
      <c r="D78" s="1" t="s">
        <v>56</v>
      </c>
      <c r="F78" s="1">
        <v>1.24433E8</v>
      </c>
      <c r="G78" s="1">
        <v>1.03147E8</v>
      </c>
      <c r="H78" s="1">
        <v>3.7931E7</v>
      </c>
      <c r="I78" s="1">
        <v>3.84855E8</v>
      </c>
      <c r="J78" s="1">
        <v>1.36082E8</v>
      </c>
      <c r="K78" s="1">
        <v>1.36082E8</v>
      </c>
      <c r="L78" s="1">
        <v>-3.5678E7</v>
      </c>
      <c r="M78" s="1">
        <v>0.0</v>
      </c>
      <c r="N78" s="1">
        <v>5.5085E8</v>
      </c>
      <c r="O78" s="1">
        <v>4.14768E8</v>
      </c>
      <c r="P78" s="1">
        <v>1.65995E8</v>
      </c>
      <c r="Q78" s="1">
        <v>-1.1649E7</v>
      </c>
      <c r="R78" s="1">
        <v>1.24433E8</v>
      </c>
      <c r="S78" s="1">
        <v>1.01264E8</v>
      </c>
    </row>
    <row r="79">
      <c r="A79" s="1">
        <v>77.0</v>
      </c>
      <c r="B79" s="2">
        <v>44377.0</v>
      </c>
      <c r="C79" s="1" t="s">
        <v>55</v>
      </c>
      <c r="D79" s="1" t="s">
        <v>56</v>
      </c>
      <c r="F79" s="1">
        <v>4.0452E8</v>
      </c>
      <c r="G79" s="1">
        <v>3.85084E8</v>
      </c>
      <c r="H79" s="1">
        <v>3.788E7</v>
      </c>
      <c r="I79" s="1">
        <v>3.68273E8</v>
      </c>
      <c r="J79" s="1">
        <v>1.40341E8</v>
      </c>
      <c r="K79" s="1">
        <v>1.40341E8</v>
      </c>
      <c r="L79" s="1">
        <v>-3.5158E7</v>
      </c>
      <c r="M79" s="1">
        <v>0.0</v>
      </c>
      <c r="N79" s="1">
        <v>5.12228E8</v>
      </c>
      <c r="O79" s="1">
        <v>3.71887E8</v>
      </c>
      <c r="P79" s="1">
        <v>1.43955E8</v>
      </c>
      <c r="Q79" s="1">
        <v>2.64179E8</v>
      </c>
      <c r="R79" s="1">
        <v>4.0452E8</v>
      </c>
      <c r="S79" s="1">
        <v>3.80563E8</v>
      </c>
    </row>
    <row r="80">
      <c r="A80" s="1">
        <v>78.0</v>
      </c>
      <c r="B80" s="2">
        <v>44286.0</v>
      </c>
      <c r="C80" s="1" t="s">
        <v>55</v>
      </c>
      <c r="D80" s="1" t="s">
        <v>56</v>
      </c>
      <c r="F80" s="1">
        <v>2.5533E7</v>
      </c>
      <c r="G80" s="1">
        <v>8121000.0</v>
      </c>
      <c r="H80" s="1">
        <v>3.3996E7</v>
      </c>
      <c r="I80" s="1">
        <v>3.45498E8</v>
      </c>
      <c r="J80" s="1">
        <v>1.30589E8</v>
      </c>
      <c r="K80" s="1">
        <v>1.30589E8</v>
      </c>
      <c r="L80" s="1">
        <v>-3.6467E7</v>
      </c>
      <c r="M80" s="1">
        <v>0.0</v>
      </c>
      <c r="N80" s="1">
        <v>4.83386E8</v>
      </c>
      <c r="O80" s="1">
        <v>3.52797E8</v>
      </c>
      <c r="P80" s="1">
        <v>1.37888E8</v>
      </c>
      <c r="Q80" s="1">
        <v>-1.05056E8</v>
      </c>
      <c r="R80" s="1">
        <v>2.5533E7</v>
      </c>
      <c r="S80" s="1">
        <v>7979000.0</v>
      </c>
    </row>
    <row r="81">
      <c r="A81" s="1">
        <v>79.0</v>
      </c>
      <c r="B81" s="2">
        <v>44196.0</v>
      </c>
      <c r="C81" s="1" t="s">
        <v>55</v>
      </c>
      <c r="D81" s="1" t="s">
        <v>56</v>
      </c>
      <c r="F81" s="1">
        <v>4.57133E8</v>
      </c>
      <c r="G81" s="1">
        <v>4.41484E8</v>
      </c>
      <c r="H81" s="1">
        <v>3.269E7</v>
      </c>
      <c r="I81" s="1">
        <v>3.30546E8</v>
      </c>
      <c r="J81" s="1">
        <v>1.20106E8</v>
      </c>
      <c r="K81" s="1">
        <v>1.20106E8</v>
      </c>
      <c r="L81" s="1">
        <v>-3.7538E7</v>
      </c>
      <c r="M81" s="1">
        <v>0.0</v>
      </c>
      <c r="N81" s="1">
        <v>4.67313E8</v>
      </c>
      <c r="O81" s="1">
        <v>3.47207E8</v>
      </c>
      <c r="P81" s="1">
        <v>1.36767E8</v>
      </c>
      <c r="Q81" s="1">
        <v>3.37027E8</v>
      </c>
      <c r="R81" s="1">
        <v>4.57133E8</v>
      </c>
      <c r="S81" s="1">
        <v>4.3662E8</v>
      </c>
    </row>
    <row r="82">
      <c r="A82" s="1">
        <v>80.0</v>
      </c>
      <c r="B82" s="2">
        <v>44469.0</v>
      </c>
      <c r="C82" s="1" t="s">
        <v>57</v>
      </c>
      <c r="D82" s="1" t="s">
        <v>58</v>
      </c>
      <c r="E82" s="1">
        <v>6.5587E7</v>
      </c>
      <c r="F82" s="1">
        <v>2.61988E8</v>
      </c>
      <c r="G82" s="1">
        <v>1.80969E8</v>
      </c>
      <c r="H82" s="1">
        <v>4.28409E8</v>
      </c>
      <c r="I82" s="1">
        <v>7.55156E8</v>
      </c>
      <c r="J82" s="1">
        <v>2.6116E8</v>
      </c>
      <c r="K82" s="1">
        <v>2.6116E8</v>
      </c>
      <c r="M82" s="1">
        <v>8.1019E7</v>
      </c>
      <c r="N82" s="1">
        <v>1.015906E9</v>
      </c>
      <c r="O82" s="1">
        <v>7.54746E8</v>
      </c>
      <c r="P82" s="1">
        <v>2.6075E8</v>
      </c>
      <c r="Q82" s="1">
        <v>828000.0</v>
      </c>
      <c r="R82" s="1">
        <v>1.80969E8</v>
      </c>
      <c r="S82" s="1">
        <v>1.80969E8</v>
      </c>
    </row>
    <row r="83">
      <c r="A83" s="1">
        <v>81.0</v>
      </c>
      <c r="B83" s="2">
        <v>44377.0</v>
      </c>
      <c r="C83" s="1" t="s">
        <v>57</v>
      </c>
      <c r="D83" s="1" t="s">
        <v>58</v>
      </c>
      <c r="E83" s="1">
        <v>5.7715E7</v>
      </c>
      <c r="F83" s="1">
        <v>2.68802E8</v>
      </c>
      <c r="G83" s="1">
        <v>1.99714E8</v>
      </c>
      <c r="H83" s="1">
        <v>4.31921E8</v>
      </c>
      <c r="I83" s="1">
        <v>7.58538E8</v>
      </c>
      <c r="J83" s="1">
        <v>2.68902E8</v>
      </c>
      <c r="K83" s="1">
        <v>2.68902E8</v>
      </c>
      <c r="M83" s="1">
        <v>6.9088E7</v>
      </c>
      <c r="N83" s="1">
        <v>1.010808E9</v>
      </c>
      <c r="O83" s="1">
        <v>7.41906E8</v>
      </c>
      <c r="P83" s="1">
        <v>2.5227E8</v>
      </c>
      <c r="Q83" s="1">
        <v>-100000.0</v>
      </c>
      <c r="R83" s="1">
        <v>1.99714E8</v>
      </c>
      <c r="S83" s="1">
        <v>1.99714E8</v>
      </c>
    </row>
    <row r="84">
      <c r="A84" s="1">
        <v>82.0</v>
      </c>
      <c r="B84" s="2">
        <v>44286.0</v>
      </c>
      <c r="C84" s="1" t="s">
        <v>57</v>
      </c>
      <c r="D84" s="1" t="s">
        <v>58</v>
      </c>
      <c r="E84" s="1">
        <v>5.4537E7</v>
      </c>
      <c r="F84" s="1">
        <v>2.61621E8</v>
      </c>
      <c r="G84" s="1">
        <v>2.00376E8</v>
      </c>
      <c r="H84" s="1">
        <v>3.97115E8</v>
      </c>
      <c r="I84" s="1">
        <v>6.77098E8</v>
      </c>
      <c r="J84" s="1">
        <v>2.25446E8</v>
      </c>
      <c r="K84" s="1">
        <v>2.25446E8</v>
      </c>
      <c r="M84" s="1">
        <v>6.1245E7</v>
      </c>
      <c r="N84" s="1">
        <v>8.94771E8</v>
      </c>
      <c r="O84" s="1">
        <v>6.69325E8</v>
      </c>
      <c r="P84" s="1">
        <v>2.17673E8</v>
      </c>
      <c r="Q84" s="1">
        <v>3.6175E7</v>
      </c>
      <c r="R84" s="1">
        <v>2.00376E8</v>
      </c>
      <c r="S84" s="1">
        <v>2.00376E8</v>
      </c>
    </row>
    <row r="85">
      <c r="A85" s="1">
        <v>83.0</v>
      </c>
      <c r="B85" s="2">
        <v>44196.0</v>
      </c>
      <c r="C85" s="1" t="s">
        <v>57</v>
      </c>
      <c r="D85" s="1" t="s">
        <v>58</v>
      </c>
      <c r="E85" s="1">
        <v>4.8887E7</v>
      </c>
      <c r="F85" s="1">
        <v>2.14542E8</v>
      </c>
      <c r="G85" s="1">
        <v>1.58988E8</v>
      </c>
      <c r="H85" s="1">
        <v>3.48392E8</v>
      </c>
      <c r="I85" s="1">
        <v>6.10463E8</v>
      </c>
      <c r="J85" s="1">
        <v>2.13184E8</v>
      </c>
      <c r="K85" s="1">
        <v>2.13184E8</v>
      </c>
      <c r="M85" s="1">
        <v>5.5554E7</v>
      </c>
      <c r="N85" s="1">
        <v>8.3452E8</v>
      </c>
      <c r="O85" s="1">
        <v>6.21336E8</v>
      </c>
      <c r="P85" s="1">
        <v>2.24057E8</v>
      </c>
      <c r="Q85" s="1">
        <v>1358000.0</v>
      </c>
      <c r="R85" s="1">
        <v>1.58988E8</v>
      </c>
      <c r="S85" s="1">
        <v>1.58988E8</v>
      </c>
    </row>
    <row r="86">
      <c r="A86" s="1">
        <v>84.0</v>
      </c>
      <c r="B86" s="2">
        <v>44469.0</v>
      </c>
      <c r="C86" s="1" t="s">
        <v>59</v>
      </c>
      <c r="D86" s="1" t="s">
        <v>60</v>
      </c>
      <c r="F86" s="1">
        <v>1.408E8</v>
      </c>
      <c r="G86" s="1">
        <v>1.435E8</v>
      </c>
      <c r="H86" s="1">
        <v>1.6E8</v>
      </c>
      <c r="I86" s="1">
        <v>3.005E8</v>
      </c>
      <c r="J86" s="1">
        <v>1.405E8</v>
      </c>
      <c r="K86" s="1">
        <v>1.405E8</v>
      </c>
      <c r="L86" s="1">
        <v>-1.23E7</v>
      </c>
      <c r="M86" s="1">
        <v>-2800000.0</v>
      </c>
      <c r="N86" s="1">
        <v>7.17E8</v>
      </c>
      <c r="O86" s="1">
        <v>5.765E8</v>
      </c>
      <c r="P86" s="1">
        <v>4.165E8</v>
      </c>
      <c r="Q86" s="1">
        <v>300000.0</v>
      </c>
      <c r="R86" s="1">
        <v>1.436E8</v>
      </c>
      <c r="S86" s="1">
        <v>1.435E8</v>
      </c>
    </row>
    <row r="87">
      <c r="A87" s="1">
        <v>85.0</v>
      </c>
      <c r="B87" s="2">
        <v>44377.0</v>
      </c>
      <c r="C87" s="1" t="s">
        <v>59</v>
      </c>
      <c r="D87" s="1" t="s">
        <v>60</v>
      </c>
      <c r="F87" s="1">
        <v>1.362E8</v>
      </c>
      <c r="G87" s="1">
        <v>1.187E8</v>
      </c>
      <c r="H87" s="1">
        <v>1.731E8</v>
      </c>
      <c r="I87" s="1">
        <v>3.205E8</v>
      </c>
      <c r="J87" s="1">
        <v>1.474E8</v>
      </c>
      <c r="K87" s="1">
        <v>1.474E8</v>
      </c>
      <c r="L87" s="1">
        <v>-1.24E7</v>
      </c>
      <c r="M87" s="1">
        <v>1.74E7</v>
      </c>
      <c r="N87" s="1">
        <v>7.469E8</v>
      </c>
      <c r="O87" s="1">
        <v>5.995E8</v>
      </c>
      <c r="P87" s="1">
        <v>4.264E8</v>
      </c>
      <c r="Q87" s="1">
        <v>-1.12E7</v>
      </c>
      <c r="R87" s="1">
        <v>1.188E8</v>
      </c>
      <c r="S87" s="1">
        <v>1.187E8</v>
      </c>
    </row>
    <row r="88">
      <c r="A88" s="1">
        <v>86.0</v>
      </c>
      <c r="B88" s="2">
        <v>44286.0</v>
      </c>
      <c r="C88" s="1" t="s">
        <v>59</v>
      </c>
      <c r="D88" s="1" t="s">
        <v>60</v>
      </c>
      <c r="F88" s="1">
        <v>1.225E8</v>
      </c>
      <c r="G88" s="1">
        <v>1.08E8</v>
      </c>
      <c r="H88" s="1">
        <v>1.642E8</v>
      </c>
      <c r="I88" s="1">
        <v>2.974E8</v>
      </c>
      <c r="J88" s="1">
        <v>1.332E8</v>
      </c>
      <c r="K88" s="1">
        <v>1.332E8</v>
      </c>
      <c r="L88" s="1">
        <v>-1.23E7</v>
      </c>
      <c r="M88" s="1">
        <v>1.43E7</v>
      </c>
      <c r="N88" s="1">
        <v>6.943E8</v>
      </c>
      <c r="O88" s="1">
        <v>5.611E8</v>
      </c>
      <c r="P88" s="1">
        <v>3.969E8</v>
      </c>
      <c r="Q88" s="1">
        <v>-1.07E7</v>
      </c>
      <c r="R88" s="1">
        <v>1.082E8</v>
      </c>
      <c r="S88" s="1">
        <v>1.08E8</v>
      </c>
    </row>
    <row r="89">
      <c r="A89" s="1">
        <v>87.0</v>
      </c>
      <c r="B89" s="2">
        <v>44196.0</v>
      </c>
      <c r="C89" s="1" t="s">
        <v>59</v>
      </c>
      <c r="D89" s="1" t="s">
        <v>60</v>
      </c>
      <c r="F89" s="1">
        <v>1.058E8</v>
      </c>
      <c r="G89" s="1">
        <v>9.33E7</v>
      </c>
      <c r="H89" s="1">
        <v>1.566E8</v>
      </c>
      <c r="I89" s="1">
        <v>3.207E8</v>
      </c>
      <c r="J89" s="1">
        <v>1.641E8</v>
      </c>
      <c r="K89" s="1">
        <v>1.641E8</v>
      </c>
      <c r="L89" s="1">
        <v>-1.23E7</v>
      </c>
      <c r="M89" s="1">
        <v>1.24E7</v>
      </c>
      <c r="N89" s="1">
        <v>7.273E8</v>
      </c>
      <c r="O89" s="1">
        <v>5.632E8</v>
      </c>
      <c r="P89" s="1">
        <v>4.066E8</v>
      </c>
      <c r="Q89" s="1">
        <v>-5.83E7</v>
      </c>
      <c r="R89" s="1">
        <v>9.34E7</v>
      </c>
      <c r="S89" s="1">
        <v>9.33E7</v>
      </c>
    </row>
    <row r="90">
      <c r="A90" s="1">
        <v>88.0</v>
      </c>
      <c r="B90" s="2">
        <v>44469.0</v>
      </c>
      <c r="C90" s="1" t="s">
        <v>61</v>
      </c>
      <c r="D90" s="1" t="s">
        <v>62</v>
      </c>
      <c r="F90" s="1">
        <v>2.35E8</v>
      </c>
      <c r="G90" s="1">
        <v>2.56E8</v>
      </c>
      <c r="I90" s="1">
        <v>4.8E8</v>
      </c>
      <c r="J90" s="1">
        <v>2.89E8</v>
      </c>
      <c r="K90" s="1">
        <v>2.89E8</v>
      </c>
      <c r="L90" s="1">
        <v>-7.1E7</v>
      </c>
      <c r="M90" s="1">
        <v>-2.1E7</v>
      </c>
      <c r="N90" s="1">
        <v>1.024E9</v>
      </c>
      <c r="O90" s="1">
        <v>7.35E8</v>
      </c>
      <c r="P90" s="1">
        <v>5.44E8</v>
      </c>
      <c r="Q90" s="1">
        <v>-5.4E7</v>
      </c>
      <c r="R90" s="1">
        <v>2.56E8</v>
      </c>
      <c r="S90" s="1">
        <v>2.56E8</v>
      </c>
    </row>
    <row r="91">
      <c r="A91" s="1">
        <v>89.0</v>
      </c>
      <c r="B91" s="2">
        <v>44377.0</v>
      </c>
      <c r="C91" s="1" t="s">
        <v>61</v>
      </c>
      <c r="D91" s="1" t="s">
        <v>62</v>
      </c>
      <c r="F91" s="1">
        <v>1.27E8</v>
      </c>
      <c r="G91" s="1">
        <v>1.44E8</v>
      </c>
      <c r="I91" s="1">
        <v>3.67E8</v>
      </c>
      <c r="J91" s="1">
        <v>1.76E8</v>
      </c>
      <c r="K91" s="1">
        <v>1.76E8</v>
      </c>
      <c r="L91" s="1">
        <v>-7.1E7</v>
      </c>
      <c r="M91" s="1">
        <v>-1.7E7</v>
      </c>
      <c r="N91" s="1">
        <v>8.17E8</v>
      </c>
      <c r="O91" s="1">
        <v>6.41E8</v>
      </c>
      <c r="P91" s="1">
        <v>4.5E8</v>
      </c>
      <c r="Q91" s="1">
        <v>-4.9E7</v>
      </c>
      <c r="R91" s="1">
        <v>1.44E8</v>
      </c>
      <c r="S91" s="1">
        <v>1.44E8</v>
      </c>
    </row>
    <row r="92">
      <c r="A92" s="1">
        <v>90.0</v>
      </c>
      <c r="B92" s="2">
        <v>44286.0</v>
      </c>
      <c r="C92" s="1" t="s">
        <v>61</v>
      </c>
      <c r="D92" s="1" t="s">
        <v>62</v>
      </c>
      <c r="F92" s="1">
        <v>1.43E8</v>
      </c>
      <c r="G92" s="1">
        <v>1.71E8</v>
      </c>
      <c r="I92" s="1">
        <v>3.88E8</v>
      </c>
      <c r="J92" s="1">
        <v>1.98E8</v>
      </c>
      <c r="K92" s="1">
        <v>1.98E8</v>
      </c>
      <c r="L92" s="1">
        <v>-7.2E7</v>
      </c>
      <c r="M92" s="1">
        <v>-2.8E7</v>
      </c>
      <c r="N92" s="1">
        <v>9.01E8</v>
      </c>
      <c r="O92" s="1">
        <v>7.03E8</v>
      </c>
      <c r="P92" s="1">
        <v>5.13E8</v>
      </c>
      <c r="Q92" s="1">
        <v>-5.5E7</v>
      </c>
      <c r="R92" s="1">
        <v>1.71E8</v>
      </c>
      <c r="S92" s="1">
        <v>1.71E8</v>
      </c>
    </row>
    <row r="93">
      <c r="A93" s="1">
        <v>91.0</v>
      </c>
      <c r="B93" s="2">
        <v>44196.0</v>
      </c>
      <c r="C93" s="1" t="s">
        <v>61</v>
      </c>
      <c r="D93" s="1" t="s">
        <v>62</v>
      </c>
      <c r="F93" s="1">
        <v>5.4E7</v>
      </c>
      <c r="G93" s="1">
        <v>6.4E7</v>
      </c>
      <c r="H93" s="1">
        <v>2.4E7</v>
      </c>
      <c r="I93" s="1">
        <v>2.99E8</v>
      </c>
      <c r="J93" s="1">
        <v>8.8E7</v>
      </c>
      <c r="K93" s="1">
        <v>8.8E7</v>
      </c>
      <c r="L93" s="1">
        <v>-7.0E7</v>
      </c>
      <c r="M93" s="1">
        <v>-1.0E7</v>
      </c>
      <c r="N93" s="1">
        <v>8.17E8</v>
      </c>
      <c r="O93" s="1">
        <v>7.29E8</v>
      </c>
      <c r="P93" s="1">
        <v>5.18E8</v>
      </c>
      <c r="Q93" s="1">
        <v>-3.4E7</v>
      </c>
      <c r="R93" s="1">
        <v>6.4E7</v>
      </c>
      <c r="S93" s="1">
        <v>6.4E7</v>
      </c>
    </row>
    <row r="94">
      <c r="A94" s="1">
        <v>92.0</v>
      </c>
      <c r="B94" s="2">
        <v>44469.0</v>
      </c>
      <c r="C94" s="1" t="s">
        <v>63</v>
      </c>
      <c r="D94" s="1" t="s">
        <v>64</v>
      </c>
      <c r="F94" s="1">
        <v>2.26E8</v>
      </c>
      <c r="G94" s="1">
        <v>5.38E8</v>
      </c>
      <c r="H94" s="1">
        <v>1.93E9</v>
      </c>
      <c r="I94" s="1">
        <v>2.357E9</v>
      </c>
      <c r="J94" s="1">
        <v>3.18E8</v>
      </c>
      <c r="K94" s="1">
        <v>3.18E8</v>
      </c>
      <c r="L94" s="1">
        <v>-6.9E7</v>
      </c>
      <c r="M94" s="1">
        <v>2.0E7</v>
      </c>
      <c r="N94" s="1">
        <v>1.248E10</v>
      </c>
      <c r="O94" s="1">
        <v>1.2162E10</v>
      </c>
      <c r="P94" s="1">
        <v>1.0123E10</v>
      </c>
      <c r="Q94" s="1">
        <v>-9.2E7</v>
      </c>
      <c r="R94" s="1">
        <v>2.06E8</v>
      </c>
      <c r="S94" s="1">
        <v>5.08E8</v>
      </c>
    </row>
    <row r="95">
      <c r="A95" s="1">
        <v>93.0</v>
      </c>
      <c r="B95" s="2">
        <v>44377.0</v>
      </c>
      <c r="C95" s="1" t="s">
        <v>63</v>
      </c>
      <c r="D95" s="1" t="s">
        <v>64</v>
      </c>
      <c r="F95" s="1">
        <v>1.797E9</v>
      </c>
      <c r="G95" s="1">
        <v>1.625E9</v>
      </c>
      <c r="H95" s="1">
        <v>1.549E9</v>
      </c>
      <c r="I95" s="1">
        <v>3.642E9</v>
      </c>
      <c r="J95" s="1">
        <v>1.988E9</v>
      </c>
      <c r="K95" s="1">
        <v>1.988E9</v>
      </c>
      <c r="L95" s="1">
        <v>-9.1E7</v>
      </c>
      <c r="M95" s="1">
        <v>3.62E8</v>
      </c>
      <c r="N95" s="1">
        <v>1.2646E10</v>
      </c>
      <c r="O95" s="1">
        <v>1.0658E10</v>
      </c>
      <c r="P95" s="1">
        <v>9.004E9</v>
      </c>
      <c r="Q95" s="1">
        <v>-1.91E8</v>
      </c>
      <c r="R95" s="1">
        <v>1.435E9</v>
      </c>
      <c r="S95" s="1">
        <v>1.595E9</v>
      </c>
    </row>
    <row r="96">
      <c r="A96" s="1">
        <v>94.0</v>
      </c>
      <c r="B96" s="2">
        <v>44286.0</v>
      </c>
      <c r="C96" s="1" t="s">
        <v>63</v>
      </c>
      <c r="D96" s="1" t="s">
        <v>64</v>
      </c>
      <c r="F96" s="1">
        <v>3.032E9</v>
      </c>
      <c r="G96" s="1">
        <v>-1.381E9</v>
      </c>
      <c r="H96" s="1">
        <v>1.399E9</v>
      </c>
      <c r="I96" s="1">
        <v>4.643E9</v>
      </c>
      <c r="J96" s="1">
        <v>3.191E9</v>
      </c>
      <c r="K96" s="1">
        <v>3.191E9</v>
      </c>
      <c r="L96" s="1">
        <v>-8.6E7</v>
      </c>
      <c r="M96" s="1">
        <v>6.26E8</v>
      </c>
      <c r="N96" s="1">
        <v>1.2451E10</v>
      </c>
      <c r="O96" s="1">
        <v>9.26E9</v>
      </c>
      <c r="P96" s="1">
        <v>7.808E9</v>
      </c>
      <c r="Q96" s="1">
        <v>-1.59E8</v>
      </c>
      <c r="R96" s="1">
        <v>2.406E9</v>
      </c>
      <c r="S96" s="1">
        <v>-1.408E9</v>
      </c>
    </row>
    <row r="97">
      <c r="A97" s="1">
        <v>95.0</v>
      </c>
      <c r="B97" s="2">
        <v>44196.0</v>
      </c>
      <c r="C97" s="1" t="s">
        <v>63</v>
      </c>
      <c r="D97" s="1" t="s">
        <v>64</v>
      </c>
      <c r="F97" s="1">
        <v>3.31E9</v>
      </c>
      <c r="G97" s="1">
        <v>2.624E9</v>
      </c>
      <c r="H97" s="1">
        <v>1.131E9</v>
      </c>
      <c r="I97" s="1">
        <v>4.59E9</v>
      </c>
      <c r="J97" s="1">
        <v>3.429E9</v>
      </c>
      <c r="K97" s="1">
        <v>3.429E9</v>
      </c>
      <c r="L97" s="1">
        <v>-8.0E7</v>
      </c>
      <c r="M97" s="1">
        <v>6.86E8</v>
      </c>
      <c r="N97" s="1">
        <v>1.2018E10</v>
      </c>
      <c r="O97" s="1">
        <v>8.589E9</v>
      </c>
      <c r="P97" s="1">
        <v>7.428E9</v>
      </c>
      <c r="Q97" s="1">
        <v>-1.19E8</v>
      </c>
      <c r="R97" s="1">
        <v>2.624E9</v>
      </c>
      <c r="S97" s="1">
        <v>2.598E9</v>
      </c>
    </row>
    <row r="98">
      <c r="A98" s="1">
        <v>96.0</v>
      </c>
      <c r="B98" s="2">
        <v>44377.0</v>
      </c>
      <c r="C98" s="1" t="s">
        <v>65</v>
      </c>
      <c r="D98" s="1" t="s">
        <v>66</v>
      </c>
      <c r="E98" s="1">
        <v>7.675E9</v>
      </c>
      <c r="F98" s="1">
        <v>2.1985E10</v>
      </c>
      <c r="G98" s="1">
        <v>1.8525E10</v>
      </c>
      <c r="H98" s="1">
        <v>8.617E9</v>
      </c>
      <c r="I98" s="1">
        <v>3.5653E10</v>
      </c>
      <c r="J98" s="1">
        <v>1.9361E10</v>
      </c>
      <c r="K98" s="1">
        <v>1.9361E10</v>
      </c>
      <c r="L98" s="1">
        <v>-7.6E7</v>
      </c>
      <c r="M98" s="1">
        <v>3.46E9</v>
      </c>
      <c r="N98" s="1">
        <v>6.188E10</v>
      </c>
      <c r="O98" s="1">
        <v>4.2519E10</v>
      </c>
      <c r="P98" s="1">
        <v>2.6227E10</v>
      </c>
      <c r="Q98" s="1">
        <v>2.624E9</v>
      </c>
      <c r="R98" s="1">
        <v>1.8525E10</v>
      </c>
      <c r="S98" s="1">
        <v>1.8525E10</v>
      </c>
    </row>
    <row r="99">
      <c r="A99" s="1">
        <v>97.0</v>
      </c>
      <c r="B99" s="2">
        <v>44286.0</v>
      </c>
      <c r="C99" s="1" t="s">
        <v>65</v>
      </c>
      <c r="D99" s="1" t="s">
        <v>66</v>
      </c>
      <c r="E99" s="1">
        <v>7.485E9</v>
      </c>
      <c r="F99" s="1">
        <v>2.1283E10</v>
      </c>
      <c r="G99" s="1">
        <v>1.793E10</v>
      </c>
      <c r="H99" s="1">
        <v>7.289E9</v>
      </c>
      <c r="I99" s="1">
        <v>3.1211E10</v>
      </c>
      <c r="J99" s="1">
        <v>1.6437E10</v>
      </c>
      <c r="K99" s="1">
        <v>1.6437E10</v>
      </c>
      <c r="L99" s="1">
        <v>-7.6E7</v>
      </c>
      <c r="M99" s="1">
        <v>3.353E9</v>
      </c>
      <c r="N99" s="1">
        <v>5.5314E10</v>
      </c>
      <c r="O99" s="1">
        <v>3.8877E10</v>
      </c>
      <c r="P99" s="1">
        <v>2.4103E10</v>
      </c>
      <c r="Q99" s="1">
        <v>4.846E9</v>
      </c>
      <c r="R99" s="1">
        <v>1.793E10</v>
      </c>
      <c r="S99" s="1">
        <v>1.793E10</v>
      </c>
    </row>
    <row r="100">
      <c r="A100" s="1">
        <v>98.0</v>
      </c>
      <c r="B100" s="2">
        <v>44196.0</v>
      </c>
      <c r="C100" s="1" t="s">
        <v>65</v>
      </c>
      <c r="D100" s="1" t="s">
        <v>66</v>
      </c>
      <c r="E100" s="1">
        <v>7.022E9</v>
      </c>
      <c r="F100" s="1">
        <v>1.8689E10</v>
      </c>
      <c r="G100" s="1">
        <v>1.5227E10</v>
      </c>
      <c r="H100" s="1">
        <v>8.145E9</v>
      </c>
      <c r="I100" s="1">
        <v>3.0818E10</v>
      </c>
      <c r="J100" s="1">
        <v>1.5651E10</v>
      </c>
      <c r="K100" s="1">
        <v>1.5651E10</v>
      </c>
      <c r="L100" s="1">
        <v>-5.3E7</v>
      </c>
      <c r="M100" s="1">
        <v>3.462E9</v>
      </c>
      <c r="N100" s="1">
        <v>5.6898E10</v>
      </c>
      <c r="O100" s="1">
        <v>4.1247E10</v>
      </c>
      <c r="P100" s="1">
        <v>2.608E10</v>
      </c>
      <c r="Q100" s="1">
        <v>3.038E9</v>
      </c>
      <c r="R100" s="1">
        <v>1.5227E10</v>
      </c>
      <c r="S100" s="1">
        <v>1.5227E10</v>
      </c>
    </row>
    <row r="101">
      <c r="A101" s="1">
        <v>99.0</v>
      </c>
      <c r="B101" s="2">
        <v>44104.0</v>
      </c>
      <c r="C101" s="1" t="s">
        <v>65</v>
      </c>
      <c r="D101" s="1" t="s">
        <v>66</v>
      </c>
      <c r="E101" s="1">
        <v>6.856E9</v>
      </c>
      <c r="F101" s="1">
        <v>1.3359E10</v>
      </c>
      <c r="G101" s="1">
        <v>1.1247E10</v>
      </c>
      <c r="H101" s="1">
        <v>6.987E9</v>
      </c>
      <c r="I101" s="1">
        <v>2.5056E10</v>
      </c>
      <c r="J101" s="1">
        <v>1.1213E10</v>
      </c>
      <c r="K101" s="1">
        <v>1.1213E10</v>
      </c>
      <c r="L101" s="1">
        <v>-4.8E7</v>
      </c>
      <c r="M101" s="1">
        <v>2.112E9</v>
      </c>
      <c r="N101" s="1">
        <v>4.6173E10</v>
      </c>
      <c r="O101" s="1">
        <v>3.496E10</v>
      </c>
      <c r="P101" s="1">
        <v>2.1117E10</v>
      </c>
      <c r="Q101" s="1">
        <v>2.146E9</v>
      </c>
      <c r="R101" s="1">
        <v>1.1247E10</v>
      </c>
      <c r="S101" s="1">
        <v>1.1247E10</v>
      </c>
    </row>
    <row r="102">
      <c r="A102" s="1">
        <v>100.0</v>
      </c>
      <c r="B102" s="2">
        <v>44377.0</v>
      </c>
      <c r="C102" s="1" t="s">
        <v>67</v>
      </c>
      <c r="D102" s="1" t="s">
        <v>68</v>
      </c>
      <c r="E102" s="1">
        <v>7.675E9</v>
      </c>
      <c r="F102" s="1">
        <v>2.1985E10</v>
      </c>
      <c r="G102" s="1">
        <v>1.8525E10</v>
      </c>
      <c r="H102" s="1">
        <v>8.617E9</v>
      </c>
      <c r="I102" s="1">
        <v>3.5653E10</v>
      </c>
      <c r="J102" s="1">
        <v>1.9361E10</v>
      </c>
      <c r="K102" s="1">
        <v>1.9361E10</v>
      </c>
      <c r="L102" s="1">
        <v>-7.6E7</v>
      </c>
      <c r="M102" s="1">
        <v>3.46E9</v>
      </c>
      <c r="N102" s="1">
        <v>6.188E10</v>
      </c>
      <c r="O102" s="1">
        <v>4.2519E10</v>
      </c>
      <c r="P102" s="1">
        <v>2.6227E10</v>
      </c>
      <c r="Q102" s="1">
        <v>2.624E9</v>
      </c>
      <c r="R102" s="1">
        <v>1.8525E10</v>
      </c>
      <c r="S102" s="1">
        <v>1.8525E10</v>
      </c>
    </row>
    <row r="103">
      <c r="A103" s="1">
        <v>101.0</v>
      </c>
      <c r="B103" s="2">
        <v>44286.0</v>
      </c>
      <c r="C103" s="1" t="s">
        <v>67</v>
      </c>
      <c r="D103" s="1" t="s">
        <v>68</v>
      </c>
      <c r="E103" s="1">
        <v>7.485E9</v>
      </c>
      <c r="F103" s="1">
        <v>2.1283E10</v>
      </c>
      <c r="G103" s="1">
        <v>1.793E10</v>
      </c>
      <c r="H103" s="1">
        <v>7.289E9</v>
      </c>
      <c r="I103" s="1">
        <v>3.1211E10</v>
      </c>
      <c r="J103" s="1">
        <v>1.6437E10</v>
      </c>
      <c r="K103" s="1">
        <v>1.6437E10</v>
      </c>
      <c r="L103" s="1">
        <v>-7.6E7</v>
      </c>
      <c r="M103" s="1">
        <v>3.353E9</v>
      </c>
      <c r="N103" s="1">
        <v>5.5314E10</v>
      </c>
      <c r="O103" s="1">
        <v>3.8877E10</v>
      </c>
      <c r="P103" s="1">
        <v>2.4103E10</v>
      </c>
      <c r="Q103" s="1">
        <v>4.846E9</v>
      </c>
      <c r="R103" s="1">
        <v>1.793E10</v>
      </c>
      <c r="S103" s="1">
        <v>1.793E10</v>
      </c>
    </row>
    <row r="104">
      <c r="A104" s="1">
        <v>102.0</v>
      </c>
      <c r="B104" s="2">
        <v>44196.0</v>
      </c>
      <c r="C104" s="1" t="s">
        <v>67</v>
      </c>
      <c r="D104" s="1" t="s">
        <v>68</v>
      </c>
      <c r="E104" s="1">
        <v>7.022E9</v>
      </c>
      <c r="F104" s="1">
        <v>1.8689E10</v>
      </c>
      <c r="G104" s="1">
        <v>1.5227E10</v>
      </c>
      <c r="H104" s="1">
        <v>8.145E9</v>
      </c>
      <c r="I104" s="1">
        <v>3.0818E10</v>
      </c>
      <c r="J104" s="1">
        <v>1.5651E10</v>
      </c>
      <c r="K104" s="1">
        <v>1.5651E10</v>
      </c>
      <c r="L104" s="1">
        <v>-5.3E7</v>
      </c>
      <c r="M104" s="1">
        <v>3.462E9</v>
      </c>
      <c r="N104" s="1">
        <v>5.6898E10</v>
      </c>
      <c r="O104" s="1">
        <v>4.1247E10</v>
      </c>
      <c r="P104" s="1">
        <v>2.608E10</v>
      </c>
      <c r="Q104" s="1">
        <v>3.038E9</v>
      </c>
      <c r="R104" s="1">
        <v>1.5227E10</v>
      </c>
      <c r="S104" s="1">
        <v>1.5227E10</v>
      </c>
    </row>
    <row r="105">
      <c r="A105" s="1">
        <v>103.0</v>
      </c>
      <c r="B105" s="2">
        <v>44104.0</v>
      </c>
      <c r="C105" s="1" t="s">
        <v>67</v>
      </c>
      <c r="D105" s="1" t="s">
        <v>68</v>
      </c>
      <c r="E105" s="1">
        <v>6.856E9</v>
      </c>
      <c r="F105" s="1">
        <v>1.3359E10</v>
      </c>
      <c r="G105" s="1">
        <v>1.1247E10</v>
      </c>
      <c r="H105" s="1">
        <v>6.987E9</v>
      </c>
      <c r="I105" s="1">
        <v>2.5056E10</v>
      </c>
      <c r="J105" s="1">
        <v>1.1213E10</v>
      </c>
      <c r="K105" s="1">
        <v>1.1213E10</v>
      </c>
      <c r="L105" s="1">
        <v>-4.8E7</v>
      </c>
      <c r="M105" s="1">
        <v>2.112E9</v>
      </c>
      <c r="N105" s="1">
        <v>4.6173E10</v>
      </c>
      <c r="O105" s="1">
        <v>3.496E10</v>
      </c>
      <c r="P105" s="1">
        <v>2.1117E10</v>
      </c>
      <c r="Q105" s="1">
        <v>2.146E9</v>
      </c>
      <c r="R105" s="1">
        <v>1.1247E10</v>
      </c>
      <c r="S105" s="1">
        <v>1.1247E10</v>
      </c>
    </row>
    <row r="106">
      <c r="A106" s="1">
        <v>104.0</v>
      </c>
      <c r="B106" s="2">
        <v>44377.0</v>
      </c>
      <c r="C106" s="1" t="s">
        <v>69</v>
      </c>
      <c r="D106" s="1" t="s">
        <v>70</v>
      </c>
      <c r="F106" s="1">
        <v>2.909E9</v>
      </c>
      <c r="G106" s="1">
        <v>2.149E9</v>
      </c>
      <c r="H106" s="1">
        <v>4.92E8</v>
      </c>
      <c r="I106" s="1">
        <v>3.732E9</v>
      </c>
      <c r="J106" s="1">
        <v>3.24E9</v>
      </c>
      <c r="K106" s="1">
        <v>3.24E9</v>
      </c>
      <c r="L106" s="1">
        <v>-2.97E8</v>
      </c>
      <c r="M106" s="1">
        <v>7.59E8</v>
      </c>
      <c r="N106" s="1">
        <v>5.614E9</v>
      </c>
      <c r="O106" s="1">
        <v>2.374E9</v>
      </c>
      <c r="P106" s="1">
        <v>1.882E9</v>
      </c>
      <c r="Q106" s="1">
        <v>-3.31E8</v>
      </c>
      <c r="R106" s="1">
        <v>2.15E9</v>
      </c>
      <c r="S106" s="1">
        <v>2.146E9</v>
      </c>
    </row>
    <row r="107">
      <c r="A107" s="1">
        <v>105.0</v>
      </c>
      <c r="B107" s="2">
        <v>44286.0</v>
      </c>
      <c r="C107" s="1" t="s">
        <v>69</v>
      </c>
      <c r="D107" s="1" t="s">
        <v>70</v>
      </c>
      <c r="F107" s="1">
        <v>1.937E9</v>
      </c>
      <c r="G107" s="1">
        <v>1.424E9</v>
      </c>
      <c r="H107" s="1">
        <v>4.67E8</v>
      </c>
      <c r="I107" s="1">
        <v>3.273E9</v>
      </c>
      <c r="J107" s="1">
        <v>2.806E9</v>
      </c>
      <c r="K107" s="1">
        <v>2.806E9</v>
      </c>
      <c r="L107" s="1">
        <v>-3.13E8</v>
      </c>
      <c r="M107" s="1">
        <v>5.16E8</v>
      </c>
      <c r="N107" s="1">
        <v>4.88E9</v>
      </c>
      <c r="O107" s="1">
        <v>2.074E9</v>
      </c>
      <c r="P107" s="1">
        <v>1.607E9</v>
      </c>
      <c r="Q107" s="1">
        <v>-8.69E8</v>
      </c>
      <c r="R107" s="1">
        <v>1.421E9</v>
      </c>
      <c r="S107" s="1">
        <v>1.421E9</v>
      </c>
    </row>
    <row r="108">
      <c r="A108" s="1">
        <v>106.0</v>
      </c>
      <c r="B108" s="2">
        <v>44196.0</v>
      </c>
      <c r="C108" s="1" t="s">
        <v>69</v>
      </c>
      <c r="D108" s="1" t="s">
        <v>70</v>
      </c>
      <c r="F108" s="1">
        <v>2.541E9</v>
      </c>
      <c r="G108" s="1">
        <v>1.924E9</v>
      </c>
      <c r="H108" s="1">
        <v>4.34E8</v>
      </c>
      <c r="I108" s="1">
        <v>3.166E9</v>
      </c>
      <c r="J108" s="1">
        <v>2.732E9</v>
      </c>
      <c r="K108" s="1">
        <v>2.732E9</v>
      </c>
      <c r="L108" s="1">
        <v>-3.36E8</v>
      </c>
      <c r="M108" s="1">
        <v>6.19E8</v>
      </c>
      <c r="N108" s="1">
        <v>5.055E9</v>
      </c>
      <c r="O108" s="1">
        <v>2.323E9</v>
      </c>
      <c r="P108" s="1">
        <v>1.889E9</v>
      </c>
      <c r="Q108" s="1">
        <v>-1.91E8</v>
      </c>
      <c r="R108" s="1">
        <v>1.922E9</v>
      </c>
      <c r="S108" s="1">
        <v>1.922E9</v>
      </c>
    </row>
    <row r="109">
      <c r="A109" s="1">
        <v>107.0</v>
      </c>
      <c r="B109" s="2">
        <v>44104.0</v>
      </c>
      <c r="C109" s="1" t="s">
        <v>69</v>
      </c>
      <c r="D109" s="1" t="s">
        <v>70</v>
      </c>
      <c r="F109" s="1">
        <v>-3.24E8</v>
      </c>
      <c r="G109" s="1">
        <v>-9.52E8</v>
      </c>
      <c r="H109" s="1">
        <v>5.2E8</v>
      </c>
      <c r="I109" s="1">
        <v>3.718E9</v>
      </c>
      <c r="J109" s="1">
        <v>3.198E9</v>
      </c>
      <c r="K109" s="1">
        <v>3.198E9</v>
      </c>
      <c r="L109" s="1">
        <v>-3.18E8</v>
      </c>
      <c r="M109" s="1">
        <v>6.32E8</v>
      </c>
      <c r="N109" s="1">
        <v>5.678E9</v>
      </c>
      <c r="O109" s="1">
        <v>2.48E9</v>
      </c>
      <c r="P109" s="1">
        <v>1.96E9</v>
      </c>
      <c r="Q109" s="1">
        <v>-3.522E9</v>
      </c>
      <c r="R109" s="1">
        <v>-9.56E8</v>
      </c>
      <c r="S109" s="1">
        <v>-9.53E8</v>
      </c>
    </row>
    <row r="110">
      <c r="A110" s="1">
        <v>108.0</v>
      </c>
      <c r="B110" s="2">
        <v>44377.0</v>
      </c>
      <c r="C110" s="1" t="s">
        <v>71</v>
      </c>
      <c r="D110" s="1" t="s">
        <v>72</v>
      </c>
      <c r="E110" s="1">
        <v>1.1794E10</v>
      </c>
      <c r="F110" s="1">
        <v>8.646E9</v>
      </c>
      <c r="G110" s="1">
        <v>7.778E9</v>
      </c>
      <c r="H110" s="1">
        <v>2.9397E10</v>
      </c>
      <c r="I110" s="1">
        <v>4.8904E10</v>
      </c>
      <c r="J110" s="1">
        <v>7.702E9</v>
      </c>
      <c r="K110" s="1">
        <v>7.702E9</v>
      </c>
      <c r="L110" s="1">
        <v>-4.35E8</v>
      </c>
      <c r="M110" s="1">
        <v>8.68E8</v>
      </c>
      <c r="N110" s="1">
        <v>1.1308E11</v>
      </c>
      <c r="O110" s="1">
        <v>1.05378E11</v>
      </c>
      <c r="P110" s="1">
        <v>6.4176E10</v>
      </c>
      <c r="Q110" s="1">
        <v>9.44E8</v>
      </c>
      <c r="R110" s="1">
        <v>7.778E9</v>
      </c>
      <c r="S110" s="1">
        <v>7.778E9</v>
      </c>
    </row>
    <row r="111">
      <c r="A111" s="1">
        <v>109.0</v>
      </c>
      <c r="B111" s="2">
        <v>44286.0</v>
      </c>
      <c r="C111" s="1" t="s">
        <v>71</v>
      </c>
      <c r="D111" s="1" t="s">
        <v>72</v>
      </c>
      <c r="E111" s="1">
        <v>1.0584E10</v>
      </c>
      <c r="F111" s="1">
        <v>1.0263E10</v>
      </c>
      <c r="G111" s="1">
        <v>8.107E9</v>
      </c>
      <c r="H111" s="1">
        <v>2.6628E10</v>
      </c>
      <c r="I111" s="1">
        <v>4.6115E10</v>
      </c>
      <c r="J111" s="1">
        <v>8.865E9</v>
      </c>
      <c r="K111" s="1">
        <v>8.865E9</v>
      </c>
      <c r="L111" s="1">
        <v>-3.99E8</v>
      </c>
      <c r="M111" s="1">
        <v>2.156E9</v>
      </c>
      <c r="N111" s="1">
        <v>1.08518E11</v>
      </c>
      <c r="O111" s="1">
        <v>9.9653E10</v>
      </c>
      <c r="P111" s="1">
        <v>6.2403E10</v>
      </c>
      <c r="Q111" s="1">
        <v>1.398E9</v>
      </c>
      <c r="R111" s="1">
        <v>8.107E9</v>
      </c>
      <c r="S111" s="1">
        <v>8.107E9</v>
      </c>
    </row>
    <row r="112">
      <c r="A112" s="1">
        <v>110.0</v>
      </c>
      <c r="B112" s="2">
        <v>44196.0</v>
      </c>
      <c r="C112" s="1" t="s">
        <v>71</v>
      </c>
      <c r="D112" s="1" t="s">
        <v>72</v>
      </c>
      <c r="E112" s="1">
        <v>1.6466E10</v>
      </c>
      <c r="F112" s="1">
        <v>7.787E9</v>
      </c>
      <c r="G112" s="1">
        <v>7.222E9</v>
      </c>
      <c r="H112" s="1">
        <v>2.3428E10</v>
      </c>
      <c r="I112" s="1">
        <v>4.6271E10</v>
      </c>
      <c r="J112" s="1">
        <v>6.873E9</v>
      </c>
      <c r="K112" s="1">
        <v>6.873E9</v>
      </c>
      <c r="L112" s="1">
        <v>-4.14E8</v>
      </c>
      <c r="M112" s="1">
        <v>5.65E8</v>
      </c>
      <c r="N112" s="1">
        <v>1.25555E11</v>
      </c>
      <c r="O112" s="1">
        <v>1.18682E11</v>
      </c>
      <c r="P112" s="1">
        <v>7.9284E10</v>
      </c>
      <c r="Q112" s="1">
        <v>9.14E8</v>
      </c>
      <c r="R112" s="1">
        <v>7.222E9</v>
      </c>
      <c r="S112" s="1">
        <v>7.222E9</v>
      </c>
    </row>
    <row r="113">
      <c r="A113" s="1">
        <v>111.0</v>
      </c>
      <c r="B113" s="2">
        <v>44104.0</v>
      </c>
      <c r="C113" s="1" t="s">
        <v>71</v>
      </c>
      <c r="D113" s="1" t="s">
        <v>72</v>
      </c>
      <c r="E113" s="1">
        <v>9.334E9</v>
      </c>
      <c r="F113" s="1">
        <v>6.9E9</v>
      </c>
      <c r="G113" s="1">
        <v>6.331E9</v>
      </c>
      <c r="H113" s="1">
        <v>2.3449E10</v>
      </c>
      <c r="I113" s="1">
        <v>3.9039E10</v>
      </c>
      <c r="J113" s="1">
        <v>6.194E9</v>
      </c>
      <c r="K113" s="1">
        <v>6.194E9</v>
      </c>
      <c r="L113" s="1">
        <v>-4.28E8</v>
      </c>
      <c r="M113" s="1">
        <v>5.69E8</v>
      </c>
      <c r="N113" s="1">
        <v>9.6145E10</v>
      </c>
      <c r="O113" s="1">
        <v>8.9951E10</v>
      </c>
      <c r="P113" s="1">
        <v>5.7106E10</v>
      </c>
      <c r="Q113" s="1">
        <v>7.06E8</v>
      </c>
      <c r="R113" s="1">
        <v>6.331E9</v>
      </c>
      <c r="S113" s="1">
        <v>6.331E9</v>
      </c>
    </row>
    <row r="114">
      <c r="A114" s="1">
        <v>112.0</v>
      </c>
      <c r="B114" s="2">
        <v>44377.0</v>
      </c>
      <c r="C114" s="1" t="s">
        <v>73</v>
      </c>
      <c r="D114" s="1" t="s">
        <v>74</v>
      </c>
      <c r="E114" s="1">
        <v>2.6E7</v>
      </c>
      <c r="F114" s="1">
        <v>3.33E8</v>
      </c>
      <c r="G114" s="1">
        <v>2.55E8</v>
      </c>
      <c r="H114" s="1">
        <v>3.27E8</v>
      </c>
      <c r="I114" s="1">
        <v>7.45E8</v>
      </c>
      <c r="J114" s="1">
        <v>4.56E8</v>
      </c>
      <c r="K114" s="1">
        <v>4.56E8</v>
      </c>
      <c r="L114" s="1">
        <v>-4.0E7</v>
      </c>
      <c r="M114" s="1">
        <v>7.4E7</v>
      </c>
      <c r="N114" s="1">
        <v>3.454E9</v>
      </c>
      <c r="O114" s="1">
        <v>2.998E9</v>
      </c>
      <c r="P114" s="1">
        <v>2.709E9</v>
      </c>
      <c r="Q114" s="1">
        <v>-1.23E8</v>
      </c>
      <c r="R114" s="1">
        <v>2.59E8</v>
      </c>
      <c r="S114" s="1">
        <v>2.54E8</v>
      </c>
    </row>
    <row r="115">
      <c r="A115" s="1">
        <v>113.0</v>
      </c>
      <c r="B115" s="2">
        <v>44286.0</v>
      </c>
      <c r="C115" s="1" t="s">
        <v>73</v>
      </c>
      <c r="D115" s="1" t="s">
        <v>74</v>
      </c>
      <c r="E115" s="1">
        <v>2.5E7</v>
      </c>
      <c r="F115" s="1">
        <v>3.41E8</v>
      </c>
      <c r="G115" s="1">
        <v>2.67E8</v>
      </c>
      <c r="H115" s="1">
        <v>3.21E8</v>
      </c>
      <c r="I115" s="1">
        <v>6.82E8</v>
      </c>
      <c r="J115" s="1">
        <v>3.5E8</v>
      </c>
      <c r="K115" s="1">
        <v>3.5E8</v>
      </c>
      <c r="L115" s="1">
        <v>-3.6E7</v>
      </c>
      <c r="M115" s="1">
        <v>7.1E7</v>
      </c>
      <c r="N115" s="1">
        <v>3.207E9</v>
      </c>
      <c r="O115" s="1">
        <v>2.857E9</v>
      </c>
      <c r="P115" s="1">
        <v>2.525E9</v>
      </c>
      <c r="Q115" s="1">
        <v>-9000000.0</v>
      </c>
      <c r="R115" s="1">
        <v>2.7E8</v>
      </c>
      <c r="S115" s="1">
        <v>2.67E8</v>
      </c>
    </row>
    <row r="116">
      <c r="A116" s="1">
        <v>114.0</v>
      </c>
      <c r="B116" s="2">
        <v>44196.0</v>
      </c>
      <c r="C116" s="1" t="s">
        <v>73</v>
      </c>
      <c r="D116" s="1" t="s">
        <v>74</v>
      </c>
      <c r="E116" s="1">
        <v>2.3E7</v>
      </c>
      <c r="F116" s="1">
        <v>2.77E8</v>
      </c>
      <c r="G116" s="1">
        <v>2.19E8</v>
      </c>
      <c r="H116" s="1">
        <v>3.05E8</v>
      </c>
      <c r="I116" s="1">
        <v>6.51E8</v>
      </c>
      <c r="J116" s="1">
        <v>3.27E8</v>
      </c>
      <c r="K116" s="1">
        <v>3.27E8</v>
      </c>
      <c r="L116" s="1">
        <v>-3.7E7</v>
      </c>
      <c r="M116" s="1">
        <v>5.5E7</v>
      </c>
      <c r="N116" s="1">
        <v>3.103E9</v>
      </c>
      <c r="O116" s="1">
        <v>2.776E9</v>
      </c>
      <c r="P116" s="1">
        <v>2.452E9</v>
      </c>
      <c r="Q116" s="1">
        <v>-5.0E7</v>
      </c>
      <c r="R116" s="1">
        <v>2.22E8</v>
      </c>
      <c r="S116" s="1">
        <v>2.19E8</v>
      </c>
    </row>
    <row r="117">
      <c r="A117" s="1">
        <v>115.0</v>
      </c>
      <c r="B117" s="2">
        <v>44104.0</v>
      </c>
      <c r="C117" s="1" t="s">
        <v>73</v>
      </c>
      <c r="D117" s="1" t="s">
        <v>74</v>
      </c>
      <c r="E117" s="1">
        <v>2.6E7</v>
      </c>
      <c r="F117" s="1">
        <v>2.61E8</v>
      </c>
      <c r="G117" s="1">
        <v>1.98E8</v>
      </c>
      <c r="H117" s="1">
        <v>3.26E8</v>
      </c>
      <c r="I117" s="1">
        <v>6.54E8</v>
      </c>
      <c r="J117" s="1">
        <v>3.05E8</v>
      </c>
      <c r="K117" s="1">
        <v>3.05E8</v>
      </c>
      <c r="L117" s="1">
        <v>-4.4E7</v>
      </c>
      <c r="M117" s="1">
        <v>6.1E7</v>
      </c>
      <c r="N117" s="1">
        <v>3.097E9</v>
      </c>
      <c r="O117" s="1">
        <v>2.792E9</v>
      </c>
      <c r="P117" s="1">
        <v>2.443E9</v>
      </c>
      <c r="Q117" s="1">
        <v>-4.4E7</v>
      </c>
      <c r="R117" s="1">
        <v>2.0E8</v>
      </c>
      <c r="S117" s="1">
        <v>1.98E8</v>
      </c>
    </row>
    <row r="118">
      <c r="A118" s="1">
        <v>116.0</v>
      </c>
      <c r="B118" s="2">
        <v>44377.0</v>
      </c>
      <c r="C118" s="1" t="s">
        <v>75</v>
      </c>
      <c r="D118" s="1" t="s">
        <v>76</v>
      </c>
      <c r="F118" s="1">
        <v>2.39E8</v>
      </c>
      <c r="G118" s="1">
        <v>2.07E8</v>
      </c>
      <c r="H118" s="1">
        <v>-3.4E7</v>
      </c>
      <c r="I118" s="1">
        <v>6.93E8</v>
      </c>
      <c r="J118" s="1">
        <v>3.2E8</v>
      </c>
      <c r="K118" s="1">
        <v>3.2E8</v>
      </c>
      <c r="L118" s="1">
        <v>-9.6E7</v>
      </c>
      <c r="M118" s="1">
        <v>3.1E7</v>
      </c>
      <c r="N118" s="1">
        <v>1.41E9</v>
      </c>
      <c r="O118" s="1">
        <v>1.09E9</v>
      </c>
      <c r="P118" s="1">
        <v>7.17E8</v>
      </c>
      <c r="Q118" s="1">
        <v>-8.1E7</v>
      </c>
      <c r="R118" s="1">
        <v>2.08E8</v>
      </c>
      <c r="S118" s="1">
        <v>2.07E8</v>
      </c>
    </row>
    <row r="119">
      <c r="A119" s="1">
        <v>117.0</v>
      </c>
      <c r="B119" s="2">
        <v>44286.0</v>
      </c>
      <c r="C119" s="1" t="s">
        <v>75</v>
      </c>
      <c r="D119" s="1" t="s">
        <v>76</v>
      </c>
      <c r="F119" s="1">
        <v>2.62E8</v>
      </c>
      <c r="G119" s="1">
        <v>2.33E8</v>
      </c>
      <c r="H119" s="1">
        <v>-3.4E7</v>
      </c>
      <c r="I119" s="1">
        <v>7.25E8</v>
      </c>
      <c r="J119" s="1">
        <v>3.5E8</v>
      </c>
      <c r="K119" s="1">
        <v>3.5E8</v>
      </c>
      <c r="L119" s="1">
        <v>-1.0E8</v>
      </c>
      <c r="M119" s="1">
        <v>2.7E7</v>
      </c>
      <c r="N119" s="1">
        <v>1.496E9</v>
      </c>
      <c r="O119" s="1">
        <v>1.146E9</v>
      </c>
      <c r="P119" s="1">
        <v>7.71E8</v>
      </c>
      <c r="Q119" s="1">
        <v>-8.8E7</v>
      </c>
      <c r="R119" s="1">
        <v>2.35E8</v>
      </c>
      <c r="S119" s="1">
        <v>2.33E8</v>
      </c>
    </row>
    <row r="120">
      <c r="A120" s="1">
        <v>118.0</v>
      </c>
      <c r="B120" s="2">
        <v>44196.0</v>
      </c>
      <c r="C120" s="1" t="s">
        <v>75</v>
      </c>
      <c r="D120" s="1" t="s">
        <v>76</v>
      </c>
      <c r="F120" s="1">
        <v>1.37E8</v>
      </c>
      <c r="G120" s="1">
        <v>1.15E8</v>
      </c>
      <c r="H120" s="1">
        <v>-3.1E7</v>
      </c>
      <c r="I120" s="1">
        <v>5.98E8</v>
      </c>
      <c r="J120" s="1">
        <v>2.42E8</v>
      </c>
      <c r="K120" s="1">
        <v>2.42E8</v>
      </c>
      <c r="L120" s="1">
        <v>-1.08E8</v>
      </c>
      <c r="M120" s="1">
        <v>2.1E7</v>
      </c>
      <c r="N120" s="1">
        <v>1.272E9</v>
      </c>
      <c r="O120" s="1">
        <v>1.03E9</v>
      </c>
      <c r="P120" s="1">
        <v>6.74E8</v>
      </c>
      <c r="Q120" s="1">
        <v>-1.05E8</v>
      </c>
      <c r="R120" s="1">
        <v>1.16E8</v>
      </c>
      <c r="S120" s="1">
        <v>1.15E8</v>
      </c>
    </row>
    <row r="121">
      <c r="A121" s="1">
        <v>119.0</v>
      </c>
      <c r="B121" s="2">
        <v>44104.0</v>
      </c>
      <c r="C121" s="1" t="s">
        <v>75</v>
      </c>
      <c r="D121" s="1" t="s">
        <v>76</v>
      </c>
      <c r="F121" s="1">
        <v>4.32E8</v>
      </c>
      <c r="G121" s="1">
        <v>3.67E8</v>
      </c>
      <c r="H121" s="1">
        <v>-3.2E7</v>
      </c>
      <c r="I121" s="1">
        <v>8.95E8</v>
      </c>
      <c r="J121" s="1">
        <v>5.26E8</v>
      </c>
      <c r="K121" s="1">
        <v>5.26E8</v>
      </c>
      <c r="L121" s="1">
        <v>-1.1E8</v>
      </c>
      <c r="M121" s="1">
        <v>6.3E7</v>
      </c>
      <c r="N121" s="1">
        <v>1.557E9</v>
      </c>
      <c r="O121" s="1">
        <v>1.031E9</v>
      </c>
      <c r="P121" s="1">
        <v>6.62E8</v>
      </c>
      <c r="Q121" s="1">
        <v>-9.4E7</v>
      </c>
      <c r="R121" s="1">
        <v>3.69E8</v>
      </c>
      <c r="S121" s="1">
        <v>3.67E8</v>
      </c>
    </row>
    <row r="122">
      <c r="A122" s="1">
        <v>120.0</v>
      </c>
      <c r="B122" s="2">
        <v>44377.0</v>
      </c>
      <c r="C122" s="1" t="s">
        <v>77</v>
      </c>
      <c r="D122" s="1" t="s">
        <v>78</v>
      </c>
      <c r="F122" s="1">
        <v>9000000.0</v>
      </c>
      <c r="G122" s="1">
        <v>1.9E7</v>
      </c>
      <c r="H122" s="1">
        <v>2.77E8</v>
      </c>
      <c r="I122" s="1">
        <v>7.87E8</v>
      </c>
      <c r="J122" s="1">
        <v>-9.29E8</v>
      </c>
      <c r="K122" s="1">
        <v>-9.29E8</v>
      </c>
      <c r="L122" s="1">
        <v>-4.86E8</v>
      </c>
      <c r="M122" s="1">
        <v>-1.0E7</v>
      </c>
      <c r="N122" s="1">
        <v>7.478E9</v>
      </c>
      <c r="O122" s="1">
        <v>8.407E9</v>
      </c>
      <c r="P122" s="1">
        <v>6.691E9</v>
      </c>
      <c r="Q122" s="1">
        <v>9.38E8</v>
      </c>
      <c r="R122" s="1">
        <v>1.9E7</v>
      </c>
      <c r="S122" s="1">
        <v>1.9E7</v>
      </c>
    </row>
    <row r="123">
      <c r="A123" s="1">
        <v>121.0</v>
      </c>
      <c r="B123" s="2">
        <v>44286.0</v>
      </c>
      <c r="C123" s="1" t="s">
        <v>77</v>
      </c>
      <c r="D123" s="1" t="s">
        <v>78</v>
      </c>
      <c r="F123" s="1">
        <v>-1.573E9</v>
      </c>
      <c r="G123" s="1">
        <v>-1.25E9</v>
      </c>
      <c r="H123" s="1">
        <v>1.51E8</v>
      </c>
      <c r="I123" s="1">
        <v>-1.806E9</v>
      </c>
      <c r="J123" s="1">
        <v>-3.151E9</v>
      </c>
      <c r="K123" s="1">
        <v>-3.151E9</v>
      </c>
      <c r="L123" s="1">
        <v>-3.71E8</v>
      </c>
      <c r="M123" s="1">
        <v>-3.23E8</v>
      </c>
      <c r="N123" s="1">
        <v>4.008E9</v>
      </c>
      <c r="O123" s="1">
        <v>7.159E9</v>
      </c>
      <c r="P123" s="1">
        <v>5.814E9</v>
      </c>
      <c r="Q123" s="1">
        <v>1.578E9</v>
      </c>
      <c r="R123" s="1">
        <v>-1.25E9</v>
      </c>
      <c r="S123" s="1">
        <v>-1.25E9</v>
      </c>
    </row>
    <row r="124">
      <c r="A124" s="1">
        <v>122.0</v>
      </c>
      <c r="B124" s="2">
        <v>44196.0</v>
      </c>
      <c r="C124" s="1" t="s">
        <v>77</v>
      </c>
      <c r="D124" s="1" t="s">
        <v>78</v>
      </c>
      <c r="F124" s="1">
        <v>-2.809E9</v>
      </c>
      <c r="G124" s="1">
        <v>-2.178E9</v>
      </c>
      <c r="H124" s="1">
        <v>9.5E7</v>
      </c>
      <c r="I124" s="1">
        <v>-9.23E8</v>
      </c>
      <c r="J124" s="1">
        <v>-2.066E9</v>
      </c>
      <c r="K124" s="1">
        <v>-2.066E9</v>
      </c>
      <c r="L124" s="1">
        <v>-3.76E8</v>
      </c>
      <c r="M124" s="1">
        <v>-6.31E8</v>
      </c>
      <c r="N124" s="1">
        <v>4.028E9</v>
      </c>
      <c r="O124" s="1">
        <v>6.094E9</v>
      </c>
      <c r="P124" s="1">
        <v>4.951E9</v>
      </c>
      <c r="Q124" s="1">
        <v>-7.43E8</v>
      </c>
      <c r="R124" s="1">
        <v>-2.178E9</v>
      </c>
      <c r="S124" s="1">
        <v>-2.178E9</v>
      </c>
    </row>
    <row r="125">
      <c r="A125" s="1">
        <v>123.0</v>
      </c>
      <c r="B125" s="2">
        <v>44104.0</v>
      </c>
      <c r="C125" s="1" t="s">
        <v>77</v>
      </c>
      <c r="D125" s="1" t="s">
        <v>78</v>
      </c>
      <c r="F125" s="1">
        <v>-3.095E9</v>
      </c>
      <c r="G125" s="1">
        <v>-2.399E9</v>
      </c>
      <c r="H125" s="1">
        <v>7.0E7</v>
      </c>
      <c r="I125" s="1">
        <v>-2.489E9</v>
      </c>
      <c r="J125" s="1">
        <v>-3.716E9</v>
      </c>
      <c r="K125" s="1">
        <v>-3.716E9</v>
      </c>
      <c r="L125" s="1">
        <v>-3.4E8</v>
      </c>
      <c r="M125" s="1">
        <v>-6.96E8</v>
      </c>
      <c r="N125" s="1">
        <v>3.173E9</v>
      </c>
      <c r="O125" s="1">
        <v>6.889E9</v>
      </c>
      <c r="P125" s="1">
        <v>5.662E9</v>
      </c>
      <c r="Q125" s="1">
        <v>6.21E8</v>
      </c>
      <c r="R125" s="1">
        <v>-2.399E9</v>
      </c>
      <c r="S125" s="1">
        <v>-2.399E9</v>
      </c>
    </row>
    <row r="126">
      <c r="A126" s="1">
        <v>124.0</v>
      </c>
      <c r="B126" s="2">
        <v>44377.0</v>
      </c>
      <c r="C126" s="1" t="s">
        <v>79</v>
      </c>
      <c r="D126" s="1" t="s">
        <v>80</v>
      </c>
      <c r="F126" s="1">
        <v>6.35E8</v>
      </c>
      <c r="G126" s="1">
        <v>5.782E8</v>
      </c>
      <c r="H126" s="1">
        <v>-2.97E7</v>
      </c>
      <c r="I126" s="1">
        <v>1.8713E9</v>
      </c>
      <c r="J126" s="1">
        <v>8.396E8</v>
      </c>
      <c r="K126" s="1">
        <v>8.396E8</v>
      </c>
      <c r="L126" s="1">
        <v>-3.016E8</v>
      </c>
      <c r="M126" s="1">
        <v>6.12E7</v>
      </c>
      <c r="N126" s="1">
        <v>3.8265E9</v>
      </c>
      <c r="O126" s="1">
        <v>2.9869E9</v>
      </c>
      <c r="P126" s="1">
        <v>1.9552E9</v>
      </c>
      <c r="Q126" s="1">
        <v>-2.046E8</v>
      </c>
      <c r="R126" s="1">
        <v>5.738E8</v>
      </c>
      <c r="S126" s="1">
        <v>5.782E8</v>
      </c>
    </row>
    <row r="127">
      <c r="A127" s="1">
        <v>125.0</v>
      </c>
      <c r="B127" s="2">
        <v>44286.0</v>
      </c>
      <c r="C127" s="1" t="s">
        <v>79</v>
      </c>
      <c r="D127" s="1" t="s">
        <v>80</v>
      </c>
      <c r="F127" s="1">
        <v>6.333E8</v>
      </c>
      <c r="G127" s="1">
        <v>5.75E8</v>
      </c>
      <c r="H127" s="1">
        <v>-2.96E7</v>
      </c>
      <c r="I127" s="1">
        <v>1.8531E9</v>
      </c>
      <c r="J127" s="1">
        <v>8.399E8</v>
      </c>
      <c r="K127" s="1">
        <v>8.399E8</v>
      </c>
      <c r="L127" s="1">
        <v>-2.902E8</v>
      </c>
      <c r="M127" s="1">
        <v>5.45E7</v>
      </c>
      <c r="N127" s="1">
        <v>4.2811E9</v>
      </c>
      <c r="O127" s="1">
        <v>3.4412E9</v>
      </c>
      <c r="P127" s="1">
        <v>2.428E9</v>
      </c>
      <c r="Q127" s="1">
        <v>-2.066E8</v>
      </c>
      <c r="R127" s="1">
        <v>5.788E8</v>
      </c>
      <c r="S127" s="1">
        <v>5.75E8</v>
      </c>
    </row>
    <row r="128">
      <c r="A128" s="1">
        <v>126.0</v>
      </c>
      <c r="B128" s="2">
        <v>44196.0</v>
      </c>
      <c r="C128" s="1" t="s">
        <v>79</v>
      </c>
      <c r="D128" s="1" t="s">
        <v>80</v>
      </c>
      <c r="F128" s="1">
        <v>4.173E8</v>
      </c>
      <c r="G128" s="1">
        <v>4.355E8</v>
      </c>
      <c r="H128" s="1">
        <v>-2.98E7</v>
      </c>
      <c r="I128" s="1">
        <v>1.5759E9</v>
      </c>
      <c r="J128" s="1">
        <v>6.0E8</v>
      </c>
      <c r="K128" s="1">
        <v>6.0E8</v>
      </c>
      <c r="L128" s="1">
        <v>-2.883E8</v>
      </c>
      <c r="M128" s="1">
        <v>-1.74E7</v>
      </c>
      <c r="N128" s="1">
        <v>3.6106E9</v>
      </c>
      <c r="O128" s="1">
        <v>3.0106E9</v>
      </c>
      <c r="P128" s="1">
        <v>2.0347E9</v>
      </c>
      <c r="Q128" s="1">
        <v>-1.827E8</v>
      </c>
      <c r="R128" s="1">
        <v>4.347E8</v>
      </c>
      <c r="S128" s="1">
        <v>4.355E8</v>
      </c>
    </row>
    <row r="129">
      <c r="A129" s="1">
        <v>127.0</v>
      </c>
      <c r="B129" s="2">
        <v>44104.0</v>
      </c>
      <c r="C129" s="1" t="s">
        <v>79</v>
      </c>
      <c r="D129" s="1" t="s">
        <v>80</v>
      </c>
      <c r="F129" s="1">
        <v>7.47E8</v>
      </c>
      <c r="G129" s="1">
        <v>7.486E8</v>
      </c>
      <c r="H129" s="1">
        <v>-2.97E7</v>
      </c>
      <c r="I129" s="1">
        <v>1.9255E9</v>
      </c>
      <c r="J129" s="1">
        <v>9.729E8</v>
      </c>
      <c r="K129" s="1">
        <v>9.729E8</v>
      </c>
      <c r="L129" s="1">
        <v>-2.913E8</v>
      </c>
      <c r="M129" s="1">
        <v>-1200000.0</v>
      </c>
      <c r="N129" s="1">
        <v>4.0664E9</v>
      </c>
      <c r="O129" s="1">
        <v>3.0935E9</v>
      </c>
      <c r="P129" s="1">
        <v>2.1409E9</v>
      </c>
      <c r="Q129" s="1">
        <v>-2.259E8</v>
      </c>
      <c r="R129" s="1">
        <v>7.482E8</v>
      </c>
      <c r="S129" s="1">
        <v>7.486E8</v>
      </c>
    </row>
    <row r="130">
      <c r="A130" s="1">
        <v>128.0</v>
      </c>
      <c r="B130" s="2">
        <v>44377.0</v>
      </c>
      <c r="C130" s="1" t="s">
        <v>81</v>
      </c>
      <c r="D130" s="1" t="s">
        <v>82</v>
      </c>
      <c r="F130" s="1">
        <v>2.94E9</v>
      </c>
      <c r="G130" s="1">
        <v>2.28E9</v>
      </c>
      <c r="H130" s="1">
        <v>3.758E9</v>
      </c>
      <c r="I130" s="1">
        <v>7.705E9</v>
      </c>
      <c r="J130" s="1">
        <v>0.0</v>
      </c>
      <c r="K130" s="1">
        <v>2.701E9</v>
      </c>
      <c r="M130" s="1">
        <v>6.6E8</v>
      </c>
      <c r="N130" s="1">
        <v>1.0849E10</v>
      </c>
      <c r="O130" s="1">
        <v>8.148E9</v>
      </c>
      <c r="P130" s="1">
        <v>3.144E9</v>
      </c>
      <c r="Q130" s="1">
        <v>2.39E8</v>
      </c>
      <c r="R130" s="1">
        <v>2.28E9</v>
      </c>
      <c r="S130" s="1">
        <v>2.249E9</v>
      </c>
    </row>
    <row r="131">
      <c r="A131" s="1">
        <v>129.0</v>
      </c>
      <c r="B131" s="2">
        <v>44286.0</v>
      </c>
      <c r="C131" s="1" t="s">
        <v>81</v>
      </c>
      <c r="D131" s="1" t="s">
        <v>82</v>
      </c>
      <c r="F131" s="1">
        <v>2.993E9</v>
      </c>
      <c r="G131" s="1">
        <v>2.235E9</v>
      </c>
      <c r="H131" s="1">
        <v>3.316E9</v>
      </c>
      <c r="I131" s="1">
        <v>7.179E9</v>
      </c>
      <c r="J131" s="1">
        <v>0.0</v>
      </c>
      <c r="K131" s="1">
        <v>2.621E9</v>
      </c>
      <c r="M131" s="1">
        <v>7.58E8</v>
      </c>
      <c r="N131" s="1">
        <v>9.739E9</v>
      </c>
      <c r="O131" s="1">
        <v>7.118E9</v>
      </c>
      <c r="P131" s="1">
        <v>2.56E9</v>
      </c>
      <c r="Q131" s="1">
        <v>3.72E8</v>
      </c>
      <c r="R131" s="1">
        <v>2.235E9</v>
      </c>
      <c r="S131" s="1">
        <v>2.206E9</v>
      </c>
    </row>
    <row r="132">
      <c r="A132" s="1">
        <v>130.0</v>
      </c>
      <c r="B132" s="2">
        <v>44196.0</v>
      </c>
      <c r="C132" s="1" t="s">
        <v>81</v>
      </c>
      <c r="D132" s="1" t="s">
        <v>82</v>
      </c>
      <c r="F132" s="1">
        <v>1.858E9</v>
      </c>
      <c r="G132" s="1">
        <v>1.438E9</v>
      </c>
      <c r="H132" s="1">
        <v>3.601E9</v>
      </c>
      <c r="I132" s="1">
        <v>6.859E9</v>
      </c>
      <c r="J132" s="1">
        <v>0.0</v>
      </c>
      <c r="K132" s="1">
        <v>1.995E9</v>
      </c>
      <c r="M132" s="1">
        <v>4.2E8</v>
      </c>
      <c r="N132" s="1">
        <v>9.462E9</v>
      </c>
      <c r="O132" s="1">
        <v>7.467E9</v>
      </c>
      <c r="P132" s="1">
        <v>2.603E9</v>
      </c>
      <c r="Q132" s="1">
        <v>-1.37E8</v>
      </c>
      <c r="R132" s="1">
        <v>1.438E9</v>
      </c>
      <c r="S132" s="1">
        <v>1.414E9</v>
      </c>
    </row>
    <row r="133">
      <c r="A133" s="1">
        <v>131.0</v>
      </c>
      <c r="B133" s="2">
        <v>44104.0</v>
      </c>
      <c r="C133" s="1" t="s">
        <v>81</v>
      </c>
      <c r="D133" s="1" t="s">
        <v>82</v>
      </c>
      <c r="F133" s="1">
        <v>1.364E9</v>
      </c>
      <c r="G133" s="1">
        <v>1.073E9</v>
      </c>
      <c r="H133" s="1">
        <v>3.23E9</v>
      </c>
      <c r="I133" s="1">
        <v>5.823E9</v>
      </c>
      <c r="J133" s="1">
        <v>0.0</v>
      </c>
      <c r="K133" s="1">
        <v>1.36E9</v>
      </c>
      <c r="M133" s="1">
        <v>2.91E8</v>
      </c>
      <c r="N133" s="1">
        <v>8.086E9</v>
      </c>
      <c r="O133" s="1">
        <v>6.726E9</v>
      </c>
      <c r="P133" s="1">
        <v>2.263E9</v>
      </c>
      <c r="Q133" s="1">
        <v>4000000.0</v>
      </c>
      <c r="R133" s="1">
        <v>1.073E9</v>
      </c>
      <c r="S133" s="1">
        <v>1.05E9</v>
      </c>
    </row>
    <row r="134">
      <c r="A134" s="1">
        <v>132.0</v>
      </c>
      <c r="B134" s="2">
        <v>44377.0</v>
      </c>
      <c r="C134" s="1" t="s">
        <v>83</v>
      </c>
      <c r="D134" s="1" t="s">
        <v>84</v>
      </c>
      <c r="F134" s="1">
        <v>1.47E8</v>
      </c>
      <c r="G134" s="1">
        <v>9.9E7</v>
      </c>
      <c r="H134" s="1">
        <v>2.092E9</v>
      </c>
      <c r="I134" s="1">
        <v>2.662E9</v>
      </c>
      <c r="J134" s="1">
        <v>5.7E8</v>
      </c>
      <c r="K134" s="1">
        <v>5.7E8</v>
      </c>
      <c r="L134" s="1">
        <v>-3.38E8</v>
      </c>
      <c r="M134" s="1">
        <v>-3000000.0</v>
      </c>
      <c r="N134" s="1">
        <v>1.0533E10</v>
      </c>
      <c r="O134" s="1">
        <v>9.963E9</v>
      </c>
      <c r="P134" s="1">
        <v>7.871E9</v>
      </c>
      <c r="Q134" s="1">
        <v>-4.23E8</v>
      </c>
      <c r="R134" s="1">
        <v>1.5E8</v>
      </c>
      <c r="S134" s="1">
        <v>9.1E7</v>
      </c>
    </row>
    <row r="135">
      <c r="A135" s="1">
        <v>133.0</v>
      </c>
      <c r="B135" s="2">
        <v>44286.0</v>
      </c>
      <c r="C135" s="1" t="s">
        <v>83</v>
      </c>
      <c r="D135" s="1" t="s">
        <v>84</v>
      </c>
      <c r="F135" s="1">
        <v>4.728E9</v>
      </c>
      <c r="G135" s="1">
        <v>3.876E9</v>
      </c>
      <c r="H135" s="1">
        <v>2.014E9</v>
      </c>
      <c r="I135" s="1">
        <v>7.198E9</v>
      </c>
      <c r="J135" s="1">
        <v>5.184E9</v>
      </c>
      <c r="K135" s="1">
        <v>5.184E9</v>
      </c>
      <c r="L135" s="1">
        <v>-3.42E8</v>
      </c>
      <c r="M135" s="1">
        <v>7.98E8</v>
      </c>
      <c r="N135" s="1">
        <v>1.4509E10</v>
      </c>
      <c r="O135" s="1">
        <v>9.325E9</v>
      </c>
      <c r="P135" s="1">
        <v>7.311E9</v>
      </c>
      <c r="Q135" s="1">
        <v>-4.56E8</v>
      </c>
      <c r="R135" s="1">
        <v>3.93E9</v>
      </c>
      <c r="S135" s="1">
        <v>3.869E9</v>
      </c>
    </row>
    <row r="136">
      <c r="A136" s="1">
        <v>134.0</v>
      </c>
      <c r="B136" s="2">
        <v>44196.0</v>
      </c>
      <c r="C136" s="1" t="s">
        <v>83</v>
      </c>
      <c r="D136" s="1" t="s">
        <v>84</v>
      </c>
      <c r="F136" s="1">
        <v>-5.58E8</v>
      </c>
      <c r="G136" s="1">
        <v>-5.3E7</v>
      </c>
      <c r="H136" s="1">
        <v>2.054E9</v>
      </c>
      <c r="I136" s="1">
        <v>1.491E9</v>
      </c>
      <c r="J136" s="1">
        <v>-5.63E8</v>
      </c>
      <c r="K136" s="1">
        <v>-5.63E8</v>
      </c>
      <c r="L136" s="1">
        <v>-3.58E8</v>
      </c>
      <c r="M136" s="1">
        <v>-5.42E8</v>
      </c>
      <c r="N136" s="1">
        <v>9.332E9</v>
      </c>
      <c r="O136" s="1">
        <v>9.895E9</v>
      </c>
      <c r="P136" s="1">
        <v>7.841E9</v>
      </c>
      <c r="Q136" s="1">
        <v>5000000.0</v>
      </c>
      <c r="R136" s="1">
        <v>-1.6E7</v>
      </c>
      <c r="S136" s="1">
        <v>-6.0E7</v>
      </c>
    </row>
    <row r="137">
      <c r="A137" s="1">
        <v>135.0</v>
      </c>
      <c r="B137" s="2">
        <v>44104.0</v>
      </c>
      <c r="C137" s="1" t="s">
        <v>83</v>
      </c>
      <c r="D137" s="1" t="s">
        <v>84</v>
      </c>
      <c r="F137" s="1">
        <v>3.68E8</v>
      </c>
      <c r="G137" s="1">
        <v>2.88E8</v>
      </c>
      <c r="H137" s="1">
        <v>1.891E9</v>
      </c>
      <c r="I137" s="1">
        <v>2.504E9</v>
      </c>
      <c r="J137" s="1">
        <v>6.13E8</v>
      </c>
      <c r="K137" s="1">
        <v>6.13E8</v>
      </c>
      <c r="L137" s="1">
        <v>-3.79E8</v>
      </c>
      <c r="M137" s="1">
        <v>7.4E7</v>
      </c>
      <c r="N137" s="1">
        <v>9.965E9</v>
      </c>
      <c r="O137" s="1">
        <v>9.352E9</v>
      </c>
      <c r="P137" s="1">
        <v>7.461E9</v>
      </c>
      <c r="Q137" s="1">
        <v>-2.45E8</v>
      </c>
      <c r="R137" s="1">
        <v>2.94E8</v>
      </c>
      <c r="S137" s="1">
        <v>2.81E8</v>
      </c>
    </row>
    <row r="138">
      <c r="A138" s="1">
        <v>136.0</v>
      </c>
      <c r="B138" s="2">
        <v>44377.0</v>
      </c>
      <c r="C138" s="1" t="s">
        <v>85</v>
      </c>
      <c r="D138" s="1" t="s">
        <v>86</v>
      </c>
      <c r="F138" s="1">
        <v>8.207E8</v>
      </c>
      <c r="G138" s="1">
        <v>7.463E8</v>
      </c>
      <c r="H138" s="1">
        <v>2.072E8</v>
      </c>
      <c r="I138" s="1">
        <v>1.651E9</v>
      </c>
      <c r="J138" s="1">
        <v>8.875E8</v>
      </c>
      <c r="K138" s="1">
        <v>8.875E8</v>
      </c>
      <c r="L138" s="1">
        <v>-2.137E8</v>
      </c>
      <c r="M138" s="1">
        <v>7.28E7</v>
      </c>
      <c r="N138" s="1">
        <v>2.2989E9</v>
      </c>
      <c r="O138" s="1">
        <v>1.4114E9</v>
      </c>
      <c r="P138" s="1">
        <v>6.479E8</v>
      </c>
      <c r="Q138" s="1">
        <v>-6.68E7</v>
      </c>
      <c r="R138" s="1">
        <v>7.479E8</v>
      </c>
      <c r="S138" s="1">
        <v>7.463E8</v>
      </c>
    </row>
    <row r="139">
      <c r="A139" s="1">
        <v>137.0</v>
      </c>
      <c r="B139" s="2">
        <v>44286.0</v>
      </c>
      <c r="C139" s="1" t="s">
        <v>85</v>
      </c>
      <c r="D139" s="1" t="s">
        <v>86</v>
      </c>
      <c r="F139" s="1">
        <v>7.026E8</v>
      </c>
      <c r="G139" s="1">
        <v>6.45E8</v>
      </c>
      <c r="H139" s="1">
        <v>1.826E8</v>
      </c>
      <c r="I139" s="1">
        <v>1.5842E9</v>
      </c>
      <c r="J139" s="1">
        <v>8.759E8</v>
      </c>
      <c r="K139" s="1">
        <v>8.759E8</v>
      </c>
      <c r="L139" s="1">
        <v>-2.07E8</v>
      </c>
      <c r="M139" s="1">
        <v>5.03E7</v>
      </c>
      <c r="N139" s="1">
        <v>2.1585E9</v>
      </c>
      <c r="O139" s="1">
        <v>1.2826E9</v>
      </c>
      <c r="P139" s="1">
        <v>5.743E8</v>
      </c>
      <c r="Q139" s="1">
        <v>-1.733E8</v>
      </c>
      <c r="R139" s="1">
        <v>6.523E8</v>
      </c>
      <c r="S139" s="1">
        <v>6.45E8</v>
      </c>
    </row>
    <row r="140">
      <c r="A140" s="1">
        <v>138.0</v>
      </c>
      <c r="B140" s="2">
        <v>44196.0</v>
      </c>
      <c r="C140" s="1" t="s">
        <v>85</v>
      </c>
      <c r="D140" s="1" t="s">
        <v>86</v>
      </c>
      <c r="F140" s="1">
        <v>4.197E8</v>
      </c>
      <c r="G140" s="1">
        <v>3.651E8</v>
      </c>
      <c r="H140" s="1">
        <v>1.963E8</v>
      </c>
      <c r="I140" s="1">
        <v>1.5499E9</v>
      </c>
      <c r="J140" s="1">
        <v>8.598E8</v>
      </c>
      <c r="K140" s="1">
        <v>8.598E8</v>
      </c>
      <c r="L140" s="1">
        <v>-1.961E8</v>
      </c>
      <c r="M140" s="1">
        <v>5.81E7</v>
      </c>
      <c r="N140" s="1">
        <v>2.1225E9</v>
      </c>
      <c r="O140" s="1">
        <v>1.2627E9</v>
      </c>
      <c r="P140" s="1">
        <v>5.726E8</v>
      </c>
      <c r="Q140" s="1">
        <v>-4.401E8</v>
      </c>
      <c r="R140" s="1">
        <v>3.616E8</v>
      </c>
      <c r="S140" s="1">
        <v>3.651E8</v>
      </c>
    </row>
    <row r="141">
      <c r="A141" s="1">
        <v>139.0</v>
      </c>
      <c r="B141" s="2">
        <v>44104.0</v>
      </c>
      <c r="C141" s="1" t="s">
        <v>85</v>
      </c>
      <c r="D141" s="1" t="s">
        <v>86</v>
      </c>
      <c r="F141" s="1">
        <v>5.022E8</v>
      </c>
      <c r="G141" s="1">
        <v>4.644E8</v>
      </c>
      <c r="H141" s="1">
        <v>1.76E8</v>
      </c>
      <c r="I141" s="1">
        <v>1.4503E9</v>
      </c>
      <c r="J141" s="1">
        <v>8.027E8</v>
      </c>
      <c r="K141" s="1">
        <v>8.027E8</v>
      </c>
      <c r="L141" s="1">
        <v>-1.909E8</v>
      </c>
      <c r="M141" s="1">
        <v>3.93E7</v>
      </c>
      <c r="N141" s="1">
        <v>2.0129E9</v>
      </c>
      <c r="O141" s="1">
        <v>1.2102E9</v>
      </c>
      <c r="P141" s="1">
        <v>5.626E8</v>
      </c>
      <c r="Q141" s="1">
        <v>-3.005E8</v>
      </c>
      <c r="R141" s="1">
        <v>4.629E8</v>
      </c>
      <c r="S141" s="1">
        <v>4.644E8</v>
      </c>
    </row>
    <row r="142">
      <c r="A142" s="1">
        <v>140.0</v>
      </c>
      <c r="B142" s="2">
        <v>44377.0</v>
      </c>
      <c r="C142" s="1" t="s">
        <v>87</v>
      </c>
      <c r="D142" s="1" t="s">
        <v>88</v>
      </c>
      <c r="F142" s="1">
        <v>2.51E8</v>
      </c>
      <c r="G142" s="1">
        <v>2.07E8</v>
      </c>
      <c r="H142" s="1">
        <v>-1.9E7</v>
      </c>
      <c r="I142" s="1">
        <v>5.68E8</v>
      </c>
      <c r="J142" s="1">
        <v>3.49E8</v>
      </c>
      <c r="K142" s="1">
        <v>3.49E8</v>
      </c>
      <c r="L142" s="1">
        <v>-1.01E8</v>
      </c>
      <c r="M142" s="1">
        <v>4.4E7</v>
      </c>
      <c r="N142" s="1">
        <v>9.99E8</v>
      </c>
      <c r="O142" s="1">
        <v>6.5E8</v>
      </c>
      <c r="P142" s="1">
        <v>4.31E8</v>
      </c>
      <c r="Q142" s="1">
        <v>-9.8E7</v>
      </c>
      <c r="R142" s="1">
        <v>2.07E8</v>
      </c>
      <c r="S142" s="1">
        <v>2.07E8</v>
      </c>
    </row>
    <row r="143">
      <c r="A143" s="1">
        <v>141.0</v>
      </c>
      <c r="B143" s="2">
        <v>44286.0</v>
      </c>
      <c r="C143" s="1" t="s">
        <v>87</v>
      </c>
      <c r="D143" s="1" t="s">
        <v>88</v>
      </c>
      <c r="F143" s="1">
        <v>1.55E8</v>
      </c>
      <c r="G143" s="1">
        <v>1.33E8</v>
      </c>
      <c r="H143" s="1">
        <v>-2.0E7</v>
      </c>
      <c r="I143" s="1">
        <v>4.69E8</v>
      </c>
      <c r="J143" s="1">
        <v>2.49E8</v>
      </c>
      <c r="K143" s="1">
        <v>2.49E8</v>
      </c>
      <c r="L143" s="1">
        <v>-9.8E7</v>
      </c>
      <c r="M143" s="1">
        <v>2.2E7</v>
      </c>
      <c r="N143" s="1">
        <v>8.88E8</v>
      </c>
      <c r="O143" s="1">
        <v>6.39E8</v>
      </c>
      <c r="P143" s="1">
        <v>4.19E8</v>
      </c>
      <c r="Q143" s="1">
        <v>-9.4E7</v>
      </c>
      <c r="R143" s="1">
        <v>1.33E8</v>
      </c>
      <c r="S143" s="1">
        <v>1.33E8</v>
      </c>
    </row>
    <row r="144">
      <c r="A144" s="1">
        <v>142.0</v>
      </c>
      <c r="B144" s="2">
        <v>44196.0</v>
      </c>
      <c r="C144" s="1" t="s">
        <v>87</v>
      </c>
      <c r="D144" s="1" t="s">
        <v>88</v>
      </c>
      <c r="F144" s="1">
        <v>1.81E8</v>
      </c>
      <c r="G144" s="1">
        <v>1.45E8</v>
      </c>
      <c r="H144" s="1">
        <v>-1.2E7</v>
      </c>
      <c r="I144" s="1">
        <v>4.94E8</v>
      </c>
      <c r="J144" s="1">
        <v>2.75E8</v>
      </c>
      <c r="K144" s="1">
        <v>2.75E8</v>
      </c>
      <c r="L144" s="1">
        <v>-9.9E7</v>
      </c>
      <c r="M144" s="1">
        <v>3.6E7</v>
      </c>
      <c r="N144" s="1">
        <v>9.23E8</v>
      </c>
      <c r="O144" s="1">
        <v>6.48E8</v>
      </c>
      <c r="P144" s="1">
        <v>4.29E8</v>
      </c>
      <c r="Q144" s="1">
        <v>-9.4E7</v>
      </c>
      <c r="R144" s="1">
        <v>1.45E8</v>
      </c>
      <c r="S144" s="1">
        <v>1.45E8</v>
      </c>
    </row>
    <row r="145">
      <c r="A145" s="1">
        <v>143.0</v>
      </c>
      <c r="B145" s="2">
        <v>44104.0</v>
      </c>
      <c r="C145" s="1" t="s">
        <v>87</v>
      </c>
      <c r="D145" s="1" t="s">
        <v>88</v>
      </c>
      <c r="F145" s="1">
        <v>3.52E8</v>
      </c>
      <c r="G145" s="1">
        <v>2.64E8</v>
      </c>
      <c r="H145" s="1">
        <v>-1.2E7</v>
      </c>
      <c r="I145" s="1">
        <v>6.6E8</v>
      </c>
      <c r="J145" s="1">
        <v>4.45E8</v>
      </c>
      <c r="K145" s="1">
        <v>4.45E8</v>
      </c>
      <c r="L145" s="1">
        <v>-9.9E7</v>
      </c>
      <c r="M145" s="1">
        <v>8.8E7</v>
      </c>
      <c r="N145" s="1">
        <v>1.079E9</v>
      </c>
      <c r="O145" s="1">
        <v>6.34E8</v>
      </c>
      <c r="P145" s="1">
        <v>4.19E8</v>
      </c>
      <c r="Q145" s="1">
        <v>-9.3E7</v>
      </c>
      <c r="R145" s="1">
        <v>2.64E8</v>
      </c>
      <c r="S145" s="1">
        <v>2.64E8</v>
      </c>
    </row>
    <row r="146">
      <c r="A146" s="1">
        <v>144.0</v>
      </c>
      <c r="B146" s="2">
        <v>44377.0</v>
      </c>
      <c r="C146" s="1" t="s">
        <v>90</v>
      </c>
      <c r="D146" s="1" t="s">
        <v>91</v>
      </c>
      <c r="F146" s="1">
        <v>7.21E8</v>
      </c>
      <c r="G146" s="1">
        <v>5.91E8</v>
      </c>
      <c r="H146" s="1">
        <v>8.23E8</v>
      </c>
      <c r="I146" s="1">
        <v>1.72E9</v>
      </c>
      <c r="J146" s="1">
        <v>8.97E8</v>
      </c>
      <c r="K146" s="1">
        <v>8.97E8</v>
      </c>
      <c r="L146" s="1">
        <v>-1.69E8</v>
      </c>
      <c r="M146" s="1">
        <v>1.3E8</v>
      </c>
      <c r="N146" s="1">
        <v>3.42E9</v>
      </c>
      <c r="O146" s="1">
        <v>2.523E9</v>
      </c>
      <c r="P146" s="1">
        <v>1.7E9</v>
      </c>
      <c r="Q146" s="1">
        <v>-1.76E8</v>
      </c>
      <c r="R146" s="1">
        <v>5.91E8</v>
      </c>
      <c r="S146" s="1">
        <v>5.91E8</v>
      </c>
    </row>
    <row r="147">
      <c r="A147" s="1">
        <v>145.0</v>
      </c>
      <c r="B147" s="2">
        <v>44286.0</v>
      </c>
      <c r="C147" s="1" t="s">
        <v>90</v>
      </c>
      <c r="D147" s="1" t="s">
        <v>91</v>
      </c>
      <c r="F147" s="1">
        <v>4.93E8</v>
      </c>
      <c r="G147" s="1">
        <v>4.37E8</v>
      </c>
      <c r="H147" s="1">
        <v>8.23E8</v>
      </c>
      <c r="I147" s="1">
        <v>1.522E9</v>
      </c>
      <c r="J147" s="1">
        <v>6.99E8</v>
      </c>
      <c r="K147" s="1">
        <v>6.99E8</v>
      </c>
      <c r="L147" s="1">
        <v>-2.06E8</v>
      </c>
      <c r="M147" s="1">
        <v>5.6E7</v>
      </c>
      <c r="N147" s="1">
        <v>3.355E9</v>
      </c>
      <c r="O147" s="1">
        <v>2.656E9</v>
      </c>
      <c r="P147" s="1">
        <v>1.833E9</v>
      </c>
      <c r="Q147" s="1">
        <v>-2.06E8</v>
      </c>
      <c r="R147" s="1">
        <v>4.37E8</v>
      </c>
      <c r="S147" s="1">
        <v>4.37E8</v>
      </c>
    </row>
    <row r="148">
      <c r="A148" s="1">
        <v>146.0</v>
      </c>
      <c r="B148" s="2">
        <v>44196.0</v>
      </c>
      <c r="C148" s="1" t="s">
        <v>90</v>
      </c>
      <c r="D148" s="1" t="s">
        <v>91</v>
      </c>
      <c r="F148" s="1">
        <v>1.9E8</v>
      </c>
      <c r="G148" s="1">
        <v>1.77E8</v>
      </c>
      <c r="H148" s="1">
        <v>8.28E8</v>
      </c>
      <c r="I148" s="1">
        <v>1.183E9</v>
      </c>
      <c r="J148" s="1">
        <v>3.55E8</v>
      </c>
      <c r="K148" s="1">
        <v>3.55E8</v>
      </c>
      <c r="L148" s="1">
        <v>-1.65E8</v>
      </c>
      <c r="M148" s="1">
        <v>1.3E7</v>
      </c>
      <c r="N148" s="1">
        <v>3.189E9</v>
      </c>
      <c r="O148" s="1">
        <v>2.834E9</v>
      </c>
      <c r="P148" s="1">
        <v>2.006E9</v>
      </c>
      <c r="Q148" s="1">
        <v>-1.65E8</v>
      </c>
      <c r="R148" s="1">
        <v>1.77E8</v>
      </c>
      <c r="S148" s="1">
        <v>1.77E8</v>
      </c>
    </row>
    <row r="149">
      <c r="A149" s="1">
        <v>147.0</v>
      </c>
      <c r="B149" s="2">
        <v>44104.0</v>
      </c>
      <c r="C149" s="1" t="s">
        <v>90</v>
      </c>
      <c r="D149" s="1" t="s">
        <v>91</v>
      </c>
      <c r="F149" s="1">
        <v>-1.84E8</v>
      </c>
      <c r="G149" s="1">
        <v>-1.4E8</v>
      </c>
      <c r="H149" s="1">
        <v>7.62E8</v>
      </c>
      <c r="I149" s="1">
        <v>7.96E8</v>
      </c>
      <c r="J149" s="1">
        <v>3.4E7</v>
      </c>
      <c r="K149" s="1">
        <v>3.4E7</v>
      </c>
      <c r="L149" s="1">
        <v>-2.17E8</v>
      </c>
      <c r="M149" s="1">
        <v>-4.4E7</v>
      </c>
      <c r="N149" s="1">
        <v>3.013E9</v>
      </c>
      <c r="O149" s="1">
        <v>2.979E9</v>
      </c>
      <c r="P149" s="1">
        <v>2.217E9</v>
      </c>
      <c r="Q149" s="1">
        <v>-2.18E8</v>
      </c>
      <c r="R149" s="1">
        <v>-1.4E8</v>
      </c>
      <c r="S149" s="1">
        <v>-1.4E8</v>
      </c>
    </row>
    <row r="150">
      <c r="A150" s="1">
        <v>148.0</v>
      </c>
      <c r="B150" s="2">
        <v>44377.0</v>
      </c>
      <c r="C150" s="1" t="s">
        <v>95</v>
      </c>
      <c r="D150" s="1" t="s">
        <v>96</v>
      </c>
      <c r="F150" s="1">
        <v>5.7353E8</v>
      </c>
      <c r="G150" s="1">
        <v>2.92122E8</v>
      </c>
      <c r="H150" s="1">
        <v>9.13414E8</v>
      </c>
      <c r="I150" s="1">
        <v>1.888206E9</v>
      </c>
      <c r="J150" s="1">
        <v>8.47691E8</v>
      </c>
      <c r="K150" s="1">
        <v>8.47691E8</v>
      </c>
      <c r="L150" s="1">
        <v>-5.3011E7</v>
      </c>
      <c r="M150" s="1">
        <v>2.78082E8</v>
      </c>
      <c r="N150" s="1">
        <v>5.3405695E10</v>
      </c>
      <c r="O150" s="1">
        <v>5.2558004E10</v>
      </c>
      <c r="P150" s="1">
        <v>5.1517489E10</v>
      </c>
      <c r="Q150" s="1">
        <v>-2.74161E8</v>
      </c>
      <c r="R150" s="1">
        <v>2.95448E8</v>
      </c>
      <c r="S150" s="1">
        <v>2.92122E8</v>
      </c>
    </row>
    <row r="151">
      <c r="A151" s="1">
        <v>149.0</v>
      </c>
      <c r="B151" s="2">
        <v>44286.0</v>
      </c>
      <c r="C151" s="1" t="s">
        <v>95</v>
      </c>
      <c r="D151" s="1" t="s">
        <v>96</v>
      </c>
      <c r="F151" s="1">
        <v>5.66511E8</v>
      </c>
      <c r="G151" s="1">
        <v>4.35267E8</v>
      </c>
      <c r="H151" s="1">
        <v>7.30081E8</v>
      </c>
      <c r="I151" s="1">
        <v>1.533381E9</v>
      </c>
      <c r="J151" s="1">
        <v>7.02503E8</v>
      </c>
      <c r="K151" s="1">
        <v>7.02503E8</v>
      </c>
      <c r="L151" s="1">
        <v>-3.5184E7</v>
      </c>
      <c r="M151" s="1">
        <v>1.32506E8</v>
      </c>
      <c r="N151" s="1">
        <v>4.9154171E10</v>
      </c>
      <c r="O151" s="1">
        <v>4.8451668E10</v>
      </c>
      <c r="P151" s="1">
        <v>4.762079E10</v>
      </c>
      <c r="Q151" s="1">
        <v>-1.35992E8</v>
      </c>
      <c r="R151" s="1">
        <v>4.34005E8</v>
      </c>
      <c r="S151" s="1">
        <v>4.35267E8</v>
      </c>
    </row>
    <row r="152">
      <c r="A152" s="1">
        <v>150.0</v>
      </c>
      <c r="B152" s="2">
        <v>44196.0</v>
      </c>
      <c r="C152" s="1" t="s">
        <v>95</v>
      </c>
      <c r="D152" s="1" t="s">
        <v>96</v>
      </c>
      <c r="F152" s="1">
        <v>5.27882E8</v>
      </c>
      <c r="G152" s="1">
        <v>3.74845E8</v>
      </c>
      <c r="H152" s="1">
        <v>7.35068E8</v>
      </c>
      <c r="I152" s="1">
        <v>1.45223E9</v>
      </c>
      <c r="J152" s="1">
        <v>6.17609E8</v>
      </c>
      <c r="K152" s="1">
        <v>6.17609E8</v>
      </c>
      <c r="L152" s="1">
        <v>-3.4578E7</v>
      </c>
      <c r="M152" s="1">
        <v>1.49175E8</v>
      </c>
      <c r="N152" s="1">
        <v>5.2516556E10</v>
      </c>
      <c r="O152" s="1">
        <v>5.1898947E10</v>
      </c>
      <c r="P152" s="1">
        <v>5.1064326E10</v>
      </c>
      <c r="Q152" s="1">
        <v>-8.9727E7</v>
      </c>
      <c r="R152" s="1">
        <v>3.78707E8</v>
      </c>
      <c r="S152" s="1">
        <v>3.74845E8</v>
      </c>
    </row>
    <row r="153">
      <c r="A153" s="1">
        <v>151.0</v>
      </c>
      <c r="B153" s="2">
        <v>44104.0</v>
      </c>
      <c r="C153" s="1" t="s">
        <v>95</v>
      </c>
      <c r="D153" s="1" t="s">
        <v>96</v>
      </c>
      <c r="F153" s="1">
        <v>-6.143457E9</v>
      </c>
      <c r="G153" s="1">
        <v>-4.846072E9</v>
      </c>
      <c r="H153" s="1">
        <v>6.71028E8</v>
      </c>
      <c r="I153" s="1">
        <v>1.346317E9</v>
      </c>
      <c r="J153" s="1">
        <v>5.77952E8</v>
      </c>
      <c r="K153" s="1">
        <v>5.77952E8</v>
      </c>
      <c r="L153" s="1">
        <v>-3.5761E7</v>
      </c>
      <c r="M153" s="1">
        <v>-1.298952E9</v>
      </c>
      <c r="N153" s="1">
        <v>4.9244768E10</v>
      </c>
      <c r="O153" s="1">
        <v>4.8666816E10</v>
      </c>
      <c r="P153" s="1">
        <v>4.7898451E10</v>
      </c>
      <c r="Q153" s="1">
        <v>-6.721409E9</v>
      </c>
      <c r="R153" s="1">
        <v>-4.844505E9</v>
      </c>
      <c r="S153" s="1">
        <v>-4.846072E9</v>
      </c>
    </row>
    <row r="154">
      <c r="A154" s="1">
        <v>152.0</v>
      </c>
      <c r="B154" s="2">
        <v>44377.0</v>
      </c>
      <c r="C154" s="1" t="s">
        <v>97</v>
      </c>
      <c r="D154" s="1" t="s">
        <v>98</v>
      </c>
      <c r="F154" s="1">
        <v>2.91755E8</v>
      </c>
      <c r="G154" s="1">
        <v>2.31679E8</v>
      </c>
      <c r="H154" s="1">
        <v>1.57023E8</v>
      </c>
      <c r="I154" s="1">
        <v>4.73634E8</v>
      </c>
      <c r="J154" s="1">
        <v>3.16611E8</v>
      </c>
      <c r="K154" s="1">
        <v>3.16611E8</v>
      </c>
      <c r="L154" s="1">
        <v>-2.0442E7</v>
      </c>
      <c r="M154" s="1">
        <v>6.0076E7</v>
      </c>
      <c r="N154" s="1">
        <v>1.386346E9</v>
      </c>
      <c r="O154" s="1">
        <v>1.069735E9</v>
      </c>
      <c r="P154" s="1">
        <v>9.12712E8</v>
      </c>
      <c r="Q154" s="1">
        <v>-2.4856E7</v>
      </c>
      <c r="R154" s="1">
        <v>2.31679E8</v>
      </c>
      <c r="S154" s="1">
        <v>2.31679E8</v>
      </c>
    </row>
    <row r="155">
      <c r="A155" s="1">
        <v>153.0</v>
      </c>
      <c r="B155" s="2">
        <v>44286.0</v>
      </c>
      <c r="C155" s="1" t="s">
        <v>97</v>
      </c>
      <c r="D155" s="1" t="s">
        <v>98</v>
      </c>
      <c r="F155" s="1">
        <v>2.72456E8</v>
      </c>
      <c r="G155" s="1">
        <v>2.19233E8</v>
      </c>
      <c r="H155" s="1">
        <v>1.3844E8</v>
      </c>
      <c r="I155" s="1">
        <v>4.2635E8</v>
      </c>
      <c r="J155" s="1">
        <v>2.8791E8</v>
      </c>
      <c r="K155" s="1">
        <v>2.8791E8</v>
      </c>
      <c r="L155" s="1">
        <v>-1.8947E7</v>
      </c>
      <c r="M155" s="1">
        <v>5.3223E7</v>
      </c>
      <c r="N155" s="1">
        <v>1.215742E9</v>
      </c>
      <c r="O155" s="1">
        <v>9.27832E8</v>
      </c>
      <c r="P155" s="1">
        <v>7.89392E8</v>
      </c>
      <c r="Q155" s="1">
        <v>-1.5454E7</v>
      </c>
      <c r="R155" s="1">
        <v>2.19233E8</v>
      </c>
      <c r="S155" s="1">
        <v>2.19233E8</v>
      </c>
    </row>
    <row r="156">
      <c r="A156" s="1">
        <v>154.0</v>
      </c>
      <c r="B156" s="2">
        <v>44196.0</v>
      </c>
      <c r="C156" s="1" t="s">
        <v>97</v>
      </c>
      <c r="D156" s="1" t="s">
        <v>98</v>
      </c>
      <c r="F156" s="1">
        <v>2.76707E8</v>
      </c>
      <c r="G156" s="1">
        <v>2.21025E8</v>
      </c>
      <c r="H156" s="1">
        <v>1.35844E8</v>
      </c>
      <c r="I156" s="1">
        <v>4.28979E8</v>
      </c>
      <c r="J156" s="1">
        <v>2.93135E8</v>
      </c>
      <c r="K156" s="1">
        <v>2.93135E8</v>
      </c>
      <c r="L156" s="1">
        <v>-1.9465E7</v>
      </c>
      <c r="M156" s="1">
        <v>5.5682E7</v>
      </c>
      <c r="N156" s="1">
        <v>1.198947E9</v>
      </c>
      <c r="O156" s="1">
        <v>9.05812E8</v>
      </c>
      <c r="P156" s="1">
        <v>7.69968E8</v>
      </c>
      <c r="Q156" s="1">
        <v>-1.6428E7</v>
      </c>
      <c r="R156" s="1">
        <v>2.21025E8</v>
      </c>
      <c r="S156" s="1">
        <v>2.21025E8</v>
      </c>
    </row>
    <row r="157">
      <c r="A157" s="1">
        <v>155.0</v>
      </c>
      <c r="B157" s="2">
        <v>44104.0</v>
      </c>
      <c r="C157" s="1" t="s">
        <v>97</v>
      </c>
      <c r="D157" s="1" t="s">
        <v>98</v>
      </c>
      <c r="F157" s="1">
        <v>2.48075E8</v>
      </c>
      <c r="G157" s="1">
        <v>2.04581E8</v>
      </c>
      <c r="H157" s="1">
        <v>1.28482E8</v>
      </c>
      <c r="I157" s="1">
        <v>3.94237E8</v>
      </c>
      <c r="J157" s="1">
        <v>2.65755E8</v>
      </c>
      <c r="K157" s="1">
        <v>2.65755E8</v>
      </c>
      <c r="L157" s="1">
        <v>-2.1187E7</v>
      </c>
      <c r="M157" s="1">
        <v>4.3494E7</v>
      </c>
      <c r="N157" s="1">
        <v>1.126942E9</v>
      </c>
      <c r="O157" s="1">
        <v>8.61187E8</v>
      </c>
      <c r="P157" s="1">
        <v>7.32705E8</v>
      </c>
      <c r="Q157" s="1">
        <v>-1.768E7</v>
      </c>
      <c r="R157" s="1">
        <v>2.04581E8</v>
      </c>
      <c r="S157" s="1">
        <v>2.04581E8</v>
      </c>
    </row>
    <row r="158">
      <c r="A158" s="1">
        <v>156.0</v>
      </c>
      <c r="B158" s="2">
        <v>44377.0</v>
      </c>
      <c r="C158" s="1" t="s">
        <v>99</v>
      </c>
      <c r="D158" s="1" t="s">
        <v>100</v>
      </c>
      <c r="E158" s="1">
        <v>1.082E9</v>
      </c>
      <c r="F158" s="1">
        <v>5.58E8</v>
      </c>
      <c r="G158" s="1">
        <v>4.64E8</v>
      </c>
      <c r="H158" s="1">
        <v>1.384E9</v>
      </c>
      <c r="I158" s="1">
        <v>4.889E9</v>
      </c>
      <c r="J158" s="1">
        <v>2.333E9</v>
      </c>
      <c r="K158" s="1">
        <v>2.333E9</v>
      </c>
      <c r="L158" s="1">
        <v>-2.81E8</v>
      </c>
      <c r="M158" s="1">
        <v>9.4E7</v>
      </c>
      <c r="N158" s="1">
        <v>6.526E9</v>
      </c>
      <c r="O158" s="1">
        <v>4.193E9</v>
      </c>
      <c r="P158" s="1">
        <v>1.637E9</v>
      </c>
      <c r="Q158" s="1">
        <v>-1.775E9</v>
      </c>
      <c r="R158" s="1">
        <v>4.64E8</v>
      </c>
      <c r="S158" s="1">
        <v>4.64E8</v>
      </c>
    </row>
    <row r="159">
      <c r="A159" s="1">
        <v>157.0</v>
      </c>
      <c r="B159" s="2">
        <v>44286.0</v>
      </c>
      <c r="C159" s="1" t="s">
        <v>99</v>
      </c>
      <c r="D159" s="1" t="s">
        <v>100</v>
      </c>
      <c r="E159" s="1">
        <v>9.67E8</v>
      </c>
      <c r="F159" s="1">
        <v>1.857E9</v>
      </c>
      <c r="G159" s="1">
        <v>1.646E9</v>
      </c>
      <c r="H159" s="1">
        <v>1.254E9</v>
      </c>
      <c r="I159" s="1">
        <v>4.411E9</v>
      </c>
      <c r="J159" s="1">
        <v>2.129E9</v>
      </c>
      <c r="K159" s="1">
        <v>2.129E9</v>
      </c>
      <c r="L159" s="1">
        <v>-2.85E8</v>
      </c>
      <c r="M159" s="1">
        <v>2.11E8</v>
      </c>
      <c r="N159" s="1">
        <v>5.901E9</v>
      </c>
      <c r="O159" s="1">
        <v>3.772E9</v>
      </c>
      <c r="P159" s="1">
        <v>1.49E9</v>
      </c>
      <c r="Q159" s="1">
        <v>-2.72E8</v>
      </c>
      <c r="R159" s="1">
        <v>1.646E9</v>
      </c>
      <c r="S159" s="1">
        <v>1.646E9</v>
      </c>
    </row>
    <row r="160">
      <c r="A160" s="1">
        <v>158.0</v>
      </c>
      <c r="B160" s="2">
        <v>44196.0</v>
      </c>
      <c r="C160" s="1" t="s">
        <v>99</v>
      </c>
      <c r="D160" s="1" t="s">
        <v>100</v>
      </c>
      <c r="E160" s="1">
        <v>1.229E9</v>
      </c>
      <c r="F160" s="1">
        <v>1.877E9</v>
      </c>
      <c r="G160" s="1">
        <v>1.615E9</v>
      </c>
      <c r="H160" s="1">
        <v>1.773E9</v>
      </c>
      <c r="I160" s="1">
        <v>5.037E9</v>
      </c>
      <c r="J160" s="1">
        <v>2.035E9</v>
      </c>
      <c r="K160" s="1">
        <v>2.035E9</v>
      </c>
      <c r="L160" s="1">
        <v>-9.4E7</v>
      </c>
      <c r="M160" s="1">
        <v>2.62E8</v>
      </c>
      <c r="N160" s="1">
        <v>6.634E9</v>
      </c>
      <c r="O160" s="1">
        <v>4.599E9</v>
      </c>
      <c r="P160" s="1">
        <v>1.597E9</v>
      </c>
      <c r="Q160" s="1">
        <v>-1.58E8</v>
      </c>
      <c r="R160" s="1">
        <v>1.615E9</v>
      </c>
      <c r="S160" s="1">
        <v>1.615E9</v>
      </c>
    </row>
    <row r="161">
      <c r="A161" s="1">
        <v>159.0</v>
      </c>
      <c r="B161" s="2">
        <v>44104.0</v>
      </c>
      <c r="C161" s="1" t="s">
        <v>99</v>
      </c>
      <c r="D161" s="1" t="s">
        <v>100</v>
      </c>
      <c r="E161" s="1">
        <v>1.062E9</v>
      </c>
      <c r="F161" s="1">
        <v>2.206E9</v>
      </c>
      <c r="G161" s="1">
        <v>2.021E9</v>
      </c>
      <c r="H161" s="1">
        <v>1.346E9</v>
      </c>
      <c r="I161" s="1">
        <v>4.862E9</v>
      </c>
      <c r="J161" s="1">
        <v>2.453E9</v>
      </c>
      <c r="K161" s="1">
        <v>2.453E9</v>
      </c>
      <c r="L161" s="1">
        <v>-3.02E8</v>
      </c>
      <c r="M161" s="1">
        <v>1.85E8</v>
      </c>
      <c r="N161" s="1">
        <v>6.423E9</v>
      </c>
      <c r="O161" s="1">
        <v>3.97E9</v>
      </c>
      <c r="P161" s="1">
        <v>1.561E9</v>
      </c>
      <c r="Q161" s="1">
        <v>-2.47E8</v>
      </c>
      <c r="R161" s="1">
        <v>2.021E9</v>
      </c>
      <c r="S161" s="1">
        <v>2.021E9</v>
      </c>
    </row>
    <row r="162">
      <c r="A162" s="1">
        <v>160.0</v>
      </c>
      <c r="B162" s="2">
        <v>44286.0</v>
      </c>
      <c r="C162" s="1" t="s">
        <v>102</v>
      </c>
      <c r="D162" s="1" t="s">
        <v>103</v>
      </c>
      <c r="F162" s="1">
        <v>4.359E8</v>
      </c>
      <c r="G162" s="1">
        <v>3.296E8</v>
      </c>
      <c r="H162" s="1">
        <v>2.627E8</v>
      </c>
      <c r="I162" s="1">
        <v>7.275E8</v>
      </c>
      <c r="J162" s="1">
        <v>4.648E8</v>
      </c>
      <c r="K162" s="1">
        <v>4.648E8</v>
      </c>
      <c r="L162" s="1">
        <v>-2.86E7</v>
      </c>
      <c r="M162" s="1">
        <v>1.041E8</v>
      </c>
      <c r="N162" s="1">
        <v>2.3771E9</v>
      </c>
      <c r="O162" s="1">
        <v>1.9123E9</v>
      </c>
      <c r="P162" s="1">
        <v>1.6496E9</v>
      </c>
      <c r="Q162" s="1">
        <v>-2.89E7</v>
      </c>
      <c r="R162" s="1">
        <v>3.318E8</v>
      </c>
      <c r="S162" s="1">
        <v>3.296E8</v>
      </c>
    </row>
    <row r="163">
      <c r="A163" s="1">
        <v>161.0</v>
      </c>
      <c r="B163" s="2">
        <v>44196.0</v>
      </c>
      <c r="C163" s="1" t="s">
        <v>102</v>
      </c>
      <c r="D163" s="1" t="s">
        <v>103</v>
      </c>
      <c r="E163" s="1">
        <v>2.607E8</v>
      </c>
      <c r="F163" s="1">
        <v>4.602E8</v>
      </c>
      <c r="G163" s="1">
        <v>3.57E8</v>
      </c>
      <c r="H163" s="1">
        <v>1.19E7</v>
      </c>
      <c r="I163" s="1">
        <v>7.656E8</v>
      </c>
      <c r="J163" s="1">
        <v>4.93E8</v>
      </c>
      <c r="K163" s="1">
        <v>4.93E8</v>
      </c>
      <c r="L163" s="1">
        <v>-2.83E7</v>
      </c>
      <c r="M163" s="1">
        <v>1.0E8</v>
      </c>
      <c r="N163" s="1">
        <v>2.426E9</v>
      </c>
      <c r="O163" s="1">
        <v>1.933E9</v>
      </c>
      <c r="P163" s="1">
        <v>1.6604E9</v>
      </c>
      <c r="Q163" s="1">
        <v>-3.28E7</v>
      </c>
      <c r="R163" s="1">
        <v>3.602E8</v>
      </c>
      <c r="S163" s="1">
        <v>3.57E8</v>
      </c>
    </row>
    <row r="164">
      <c r="A164" s="1">
        <v>162.0</v>
      </c>
      <c r="B164" s="2">
        <v>44104.0</v>
      </c>
      <c r="C164" s="1" t="s">
        <v>102</v>
      </c>
      <c r="D164" s="1" t="s">
        <v>103</v>
      </c>
      <c r="E164" s="1">
        <v>2.607E8</v>
      </c>
      <c r="F164" s="1">
        <v>4.488E8</v>
      </c>
      <c r="G164" s="1">
        <v>3.466E8</v>
      </c>
      <c r="H164" s="1">
        <v>2.591E8</v>
      </c>
      <c r="I164" s="1">
        <v>7.349E8</v>
      </c>
      <c r="J164" s="1">
        <v>4.758E8</v>
      </c>
      <c r="K164" s="1">
        <v>4.758E8</v>
      </c>
      <c r="L164" s="1">
        <v>-2.8E7</v>
      </c>
      <c r="M164" s="1">
        <v>9.93E7</v>
      </c>
      <c r="N164" s="1">
        <v>2.3234E9</v>
      </c>
      <c r="O164" s="1">
        <v>1.8476E9</v>
      </c>
      <c r="P164" s="1">
        <v>1.5885E9</v>
      </c>
      <c r="Q164" s="1">
        <v>-2.7E7</v>
      </c>
      <c r="R164" s="1">
        <v>3.495E8</v>
      </c>
      <c r="S164" s="1">
        <v>3.466E8</v>
      </c>
    </row>
    <row r="165">
      <c r="A165" s="1">
        <v>163.0</v>
      </c>
      <c r="B165" s="2">
        <v>44012.0</v>
      </c>
      <c r="C165" s="1" t="s">
        <v>102</v>
      </c>
      <c r="D165" s="1" t="s">
        <v>103</v>
      </c>
      <c r="E165" s="1">
        <v>2.607E8</v>
      </c>
      <c r="F165" s="1">
        <v>3.285E8</v>
      </c>
      <c r="G165" s="1">
        <v>2.577E8</v>
      </c>
      <c r="H165" s="1">
        <v>2.464E8</v>
      </c>
      <c r="I165" s="1">
        <v>6.038E8</v>
      </c>
      <c r="J165" s="1">
        <v>3.574E8</v>
      </c>
      <c r="K165" s="1">
        <v>3.574E8</v>
      </c>
      <c r="L165" s="1">
        <v>-3.02E7</v>
      </c>
      <c r="M165" s="1">
        <v>6.8E7</v>
      </c>
      <c r="N165" s="1">
        <v>1.9875E9</v>
      </c>
      <c r="O165" s="1">
        <v>1.6301E9</v>
      </c>
      <c r="P165" s="1">
        <v>1.3837E9</v>
      </c>
      <c r="Q165" s="1">
        <v>-2.89E7</v>
      </c>
      <c r="R165" s="1">
        <v>2.605E8</v>
      </c>
      <c r="S165" s="1">
        <v>2.577E8</v>
      </c>
    </row>
    <row r="166">
      <c r="A166" s="1">
        <v>164.0</v>
      </c>
      <c r="B166" s="2">
        <v>44408.0</v>
      </c>
      <c r="C166" s="1" t="s">
        <v>104</v>
      </c>
      <c r="D166" s="1" t="s">
        <v>105</v>
      </c>
      <c r="E166" s="1">
        <v>3.06617E8</v>
      </c>
      <c r="F166" s="1">
        <v>5.72278E8</v>
      </c>
      <c r="G166" s="1">
        <v>5.03311E8</v>
      </c>
      <c r="H166" s="1">
        <v>1.87776E8</v>
      </c>
      <c r="I166" s="1">
        <v>1.221184E9</v>
      </c>
      <c r="J166" s="1">
        <v>6.19008E8</v>
      </c>
      <c r="K166" s="1">
        <v>6.19008E8</v>
      </c>
      <c r="L166" s="1">
        <v>-4.4659E7</v>
      </c>
      <c r="M166" s="1">
        <v>6.8967E7</v>
      </c>
      <c r="N166" s="1">
        <v>1.758853E9</v>
      </c>
      <c r="O166" s="1">
        <v>1.139845E9</v>
      </c>
      <c r="P166" s="1">
        <v>5.37669E8</v>
      </c>
      <c r="Q166" s="1">
        <v>-4.673E7</v>
      </c>
      <c r="R166" s="1">
        <v>5.03311E8</v>
      </c>
      <c r="S166" s="1">
        <v>5.03311E8</v>
      </c>
    </row>
    <row r="167">
      <c r="A167" s="1">
        <v>165.0</v>
      </c>
      <c r="B167" s="2">
        <v>44317.0</v>
      </c>
      <c r="C167" s="1" t="s">
        <v>104</v>
      </c>
      <c r="D167" s="1" t="s">
        <v>105</v>
      </c>
      <c r="E167" s="1">
        <v>3.02238E8</v>
      </c>
      <c r="F167" s="1">
        <v>4.75985E8</v>
      </c>
      <c r="G167" s="1">
        <v>4.22905E8</v>
      </c>
      <c r="H167" s="1">
        <v>1.83612E8</v>
      </c>
      <c r="I167" s="1">
        <v>1.136637E9</v>
      </c>
      <c r="J167" s="1">
        <v>5.43001E8</v>
      </c>
      <c r="K167" s="1">
        <v>5.43001E8</v>
      </c>
      <c r="L167" s="1">
        <v>-4.3066E7</v>
      </c>
      <c r="M167" s="1">
        <v>5.308E7</v>
      </c>
      <c r="N167" s="1">
        <v>1.661407E9</v>
      </c>
      <c r="O167" s="1">
        <v>1.118406E9</v>
      </c>
      <c r="P167" s="1">
        <v>5.2477E8</v>
      </c>
      <c r="Q167" s="1">
        <v>-6.7016E7</v>
      </c>
      <c r="R167" s="1">
        <v>4.22905E8</v>
      </c>
      <c r="S167" s="1">
        <v>4.22905E8</v>
      </c>
    </row>
    <row r="168">
      <c r="A168" s="1">
        <v>166.0</v>
      </c>
      <c r="B168" s="2">
        <v>44226.0</v>
      </c>
      <c r="C168" s="1" t="s">
        <v>104</v>
      </c>
      <c r="D168" s="1" t="s">
        <v>105</v>
      </c>
      <c r="E168" s="1">
        <v>2.8815E8</v>
      </c>
      <c r="F168" s="1">
        <v>4.36618E8</v>
      </c>
      <c r="G168" s="1">
        <v>3.88519E8</v>
      </c>
      <c r="H168" s="1">
        <v>1.70075E8</v>
      </c>
      <c r="I168" s="1">
        <v>1.045371E9</v>
      </c>
      <c r="J168" s="1">
        <v>4.79498E8</v>
      </c>
      <c r="K168" s="1">
        <v>4.79498E8</v>
      </c>
      <c r="L168" s="1">
        <v>-4.2479E7</v>
      </c>
      <c r="M168" s="1">
        <v>4.8099E7</v>
      </c>
      <c r="N168" s="1">
        <v>1.558458E9</v>
      </c>
      <c r="O168" s="1">
        <v>1.07896E9</v>
      </c>
      <c r="P168" s="1">
        <v>5.13087E8</v>
      </c>
      <c r="Q168" s="1">
        <v>-4.288E7</v>
      </c>
      <c r="R168" s="1">
        <v>3.88519E8</v>
      </c>
      <c r="S168" s="1">
        <v>3.88519E8</v>
      </c>
    </row>
    <row r="169">
      <c r="A169" s="1">
        <v>167.0</v>
      </c>
      <c r="B169" s="2">
        <v>44135.0</v>
      </c>
      <c r="C169" s="1" t="s">
        <v>104</v>
      </c>
      <c r="D169" s="1" t="s">
        <v>105</v>
      </c>
      <c r="E169" s="1">
        <v>2.80239E8</v>
      </c>
      <c r="F169" s="1">
        <v>4.1731E8</v>
      </c>
      <c r="G169" s="1">
        <v>3.86526E8</v>
      </c>
      <c r="H169" s="1">
        <v>1.46219E8</v>
      </c>
      <c r="I169" s="1">
        <v>1.023084E9</v>
      </c>
      <c r="J169" s="1">
        <v>4.88619E8</v>
      </c>
      <c r="K169" s="1">
        <v>4.88619E8</v>
      </c>
      <c r="L169" s="1">
        <v>-4.8593E7</v>
      </c>
      <c r="M169" s="1">
        <v>3.0784E7</v>
      </c>
      <c r="N169" s="1">
        <v>1.526295E9</v>
      </c>
      <c r="O169" s="1">
        <v>1.037676E9</v>
      </c>
      <c r="P169" s="1">
        <v>5.03211E8</v>
      </c>
      <c r="Q169" s="1">
        <v>-7.1309E7</v>
      </c>
      <c r="R169" s="1">
        <v>3.86526E8</v>
      </c>
      <c r="S169" s="1">
        <v>3.86526E8</v>
      </c>
    </row>
    <row r="170">
      <c r="A170" s="1">
        <v>168.0</v>
      </c>
      <c r="B170" s="2">
        <v>44377.0</v>
      </c>
      <c r="C170" s="1" t="s">
        <v>107</v>
      </c>
      <c r="D170" s="1" t="s">
        <v>108</v>
      </c>
      <c r="E170" s="1">
        <v>1.00879E8</v>
      </c>
      <c r="F170" s="1">
        <v>1.2886E8</v>
      </c>
      <c r="G170" s="1">
        <v>9.3716E7</v>
      </c>
      <c r="H170" s="1">
        <v>1.59089E8</v>
      </c>
      <c r="I170" s="1">
        <v>3.97521E8</v>
      </c>
      <c r="J170" s="1">
        <v>1.18094E8</v>
      </c>
      <c r="K170" s="1">
        <v>1.18094E8</v>
      </c>
      <c r="L170" s="1">
        <v>-3336000.0</v>
      </c>
      <c r="M170" s="1">
        <v>3.5144E7</v>
      </c>
      <c r="N170" s="1">
        <v>4.46654E8</v>
      </c>
      <c r="O170" s="1">
        <v>3.2856E8</v>
      </c>
      <c r="P170" s="1">
        <v>4.9133E7</v>
      </c>
      <c r="Q170" s="1">
        <v>1.0766E7</v>
      </c>
      <c r="R170" s="1">
        <v>9.3716E7</v>
      </c>
      <c r="S170" s="1">
        <v>9.3716E7</v>
      </c>
    </row>
    <row r="171">
      <c r="A171" s="1">
        <v>169.0</v>
      </c>
      <c r="B171" s="2">
        <v>44286.0</v>
      </c>
      <c r="C171" s="1" t="s">
        <v>107</v>
      </c>
      <c r="D171" s="1" t="s">
        <v>108</v>
      </c>
      <c r="E171" s="1">
        <v>1.00479E8</v>
      </c>
      <c r="F171" s="1">
        <v>4.7623E7</v>
      </c>
      <c r="G171" s="1">
        <v>7.2398E7</v>
      </c>
      <c r="H171" s="1">
        <v>1.44245E8</v>
      </c>
      <c r="I171" s="1">
        <v>3.16072E8</v>
      </c>
      <c r="J171" s="1">
        <v>5.1992E7</v>
      </c>
      <c r="K171" s="1">
        <v>5.1992E7</v>
      </c>
      <c r="L171" s="1">
        <v>-3315000.0</v>
      </c>
      <c r="M171" s="1">
        <v>-2.4775E7</v>
      </c>
      <c r="N171" s="1">
        <v>3.63226E8</v>
      </c>
      <c r="O171" s="1">
        <v>3.11234E8</v>
      </c>
      <c r="P171" s="1">
        <v>4.7154E7</v>
      </c>
      <c r="Q171" s="1">
        <v>-4369000.0</v>
      </c>
      <c r="R171" s="1">
        <v>7.2398E7</v>
      </c>
      <c r="S171" s="1">
        <v>7.2398E7</v>
      </c>
    </row>
    <row r="172">
      <c r="A172" s="1">
        <v>170.0</v>
      </c>
      <c r="B172" s="2">
        <v>44196.0</v>
      </c>
      <c r="C172" s="1" t="s">
        <v>107</v>
      </c>
      <c r="D172" s="1" t="s">
        <v>108</v>
      </c>
      <c r="E172" s="1">
        <v>9.651E7</v>
      </c>
      <c r="F172" s="1">
        <v>2.57872E8</v>
      </c>
      <c r="G172" s="1">
        <v>2.15632E8</v>
      </c>
      <c r="H172" s="1">
        <v>1.93524E8</v>
      </c>
      <c r="I172" s="1">
        <v>5.67198E8</v>
      </c>
      <c r="J172" s="1">
        <v>2.61712E8</v>
      </c>
      <c r="K172" s="1">
        <v>2.61712E8</v>
      </c>
      <c r="L172" s="1">
        <v>-2444000.0</v>
      </c>
      <c r="M172" s="1">
        <v>4.224E7</v>
      </c>
      <c r="N172" s="1">
        <v>6.23686E8</v>
      </c>
      <c r="O172" s="1">
        <v>3.61974E8</v>
      </c>
      <c r="P172" s="1">
        <v>5.6488E7</v>
      </c>
      <c r="Q172" s="1">
        <v>-3840000.0</v>
      </c>
      <c r="R172" s="1">
        <v>2.15632E8</v>
      </c>
      <c r="S172" s="1">
        <v>2.15632E8</v>
      </c>
    </row>
    <row r="173">
      <c r="A173" s="1">
        <v>171.0</v>
      </c>
      <c r="B173" s="2">
        <v>44104.0</v>
      </c>
      <c r="C173" s="1" t="s">
        <v>107</v>
      </c>
      <c r="D173" s="1" t="s">
        <v>108</v>
      </c>
      <c r="E173" s="1">
        <v>8.6616E7</v>
      </c>
      <c r="F173" s="1">
        <v>9.0144E7</v>
      </c>
      <c r="G173" s="1">
        <v>7.5627E7</v>
      </c>
      <c r="H173" s="1">
        <v>1.31093E8</v>
      </c>
      <c r="I173" s="1">
        <v>3.23491E8</v>
      </c>
      <c r="J173" s="1">
        <v>9.1634E7</v>
      </c>
      <c r="K173" s="1">
        <v>9.1634E7</v>
      </c>
      <c r="L173" s="1">
        <v>-1853000.0</v>
      </c>
      <c r="M173" s="1">
        <v>1.4517E7</v>
      </c>
      <c r="N173" s="1">
        <v>3.66965E8</v>
      </c>
      <c r="O173" s="1">
        <v>2.75331E8</v>
      </c>
      <c r="P173" s="1">
        <v>4.3474E7</v>
      </c>
      <c r="Q173" s="1">
        <v>-1490000.0</v>
      </c>
      <c r="R173" s="1">
        <v>7.5627E7</v>
      </c>
      <c r="S173" s="1">
        <v>7.5627E7</v>
      </c>
    </row>
    <row r="174">
      <c r="A174" s="1">
        <v>172.0</v>
      </c>
      <c r="B174" s="2">
        <v>44469.0</v>
      </c>
      <c r="C174" s="1" t="s">
        <v>109</v>
      </c>
      <c r="D174" s="1" t="s">
        <v>110</v>
      </c>
      <c r="F174" s="1">
        <v>1.996E9</v>
      </c>
      <c r="G174" s="1">
        <v>1.509E9</v>
      </c>
      <c r="H174" s="1">
        <v>6.844E9</v>
      </c>
      <c r="I174" s="1">
        <v>9.177E9</v>
      </c>
      <c r="J174" s="1">
        <v>2.197E9</v>
      </c>
      <c r="K174" s="1">
        <v>2.197E9</v>
      </c>
      <c r="L174" s="1">
        <v>-2.01E8</v>
      </c>
      <c r="M174" s="1">
        <v>4.94E8</v>
      </c>
      <c r="N174" s="1">
        <v>3.5822E10</v>
      </c>
      <c r="O174" s="1">
        <v>3.3625E10</v>
      </c>
      <c r="P174" s="1">
        <v>2.6645E10</v>
      </c>
      <c r="Q174" s="1">
        <v>-2.01E8</v>
      </c>
      <c r="R174" s="1">
        <v>1.502E9</v>
      </c>
      <c r="S174" s="1">
        <v>1.509E9</v>
      </c>
    </row>
    <row r="175">
      <c r="A175" s="1">
        <v>173.0</v>
      </c>
      <c r="B175" s="2">
        <v>44377.0</v>
      </c>
      <c r="C175" s="1" t="s">
        <v>109</v>
      </c>
      <c r="D175" s="1" t="s">
        <v>110</v>
      </c>
      <c r="F175" s="1">
        <v>2.353E9</v>
      </c>
      <c r="G175" s="1">
        <v>1.793E9</v>
      </c>
      <c r="H175" s="1">
        <v>6.435E9</v>
      </c>
      <c r="I175" s="1">
        <v>9.088E9</v>
      </c>
      <c r="J175" s="1">
        <v>2.563E9</v>
      </c>
      <c r="K175" s="1">
        <v>2.563E9</v>
      </c>
      <c r="L175" s="1">
        <v>-2.05E8</v>
      </c>
      <c r="M175" s="1">
        <v>5.52E8</v>
      </c>
      <c r="N175" s="1">
        <v>3.3851E10</v>
      </c>
      <c r="O175" s="1">
        <v>3.1288E10</v>
      </c>
      <c r="P175" s="1">
        <v>2.4763E10</v>
      </c>
      <c r="Q175" s="1">
        <v>-2.1E8</v>
      </c>
      <c r="R175" s="1">
        <v>1.801E9</v>
      </c>
      <c r="S175" s="1">
        <v>1.793E9</v>
      </c>
    </row>
    <row r="176">
      <c r="A176" s="1">
        <v>174.0</v>
      </c>
      <c r="B176" s="2">
        <v>44286.0</v>
      </c>
      <c r="C176" s="1" t="s">
        <v>109</v>
      </c>
      <c r="D176" s="1" t="s">
        <v>110</v>
      </c>
      <c r="F176" s="1">
        <v>2.176E9</v>
      </c>
      <c r="G176" s="1">
        <v>1.665E9</v>
      </c>
      <c r="H176" s="1">
        <v>6.238E9</v>
      </c>
      <c r="I176" s="1">
        <v>8.686E9</v>
      </c>
      <c r="J176" s="1">
        <v>2.368E9</v>
      </c>
      <c r="K176" s="1">
        <v>2.368E9</v>
      </c>
      <c r="L176" s="1">
        <v>-1.92E8</v>
      </c>
      <c r="M176" s="1">
        <v>5.09E8</v>
      </c>
      <c r="N176" s="1">
        <v>3.2385E10</v>
      </c>
      <c r="O176" s="1">
        <v>3.0017E10</v>
      </c>
      <c r="P176" s="1">
        <v>2.3699E10</v>
      </c>
      <c r="Q176" s="1">
        <v>-1.92E8</v>
      </c>
      <c r="R176" s="1">
        <v>1.667E9</v>
      </c>
      <c r="S176" s="1">
        <v>1.665E9</v>
      </c>
    </row>
    <row r="177">
      <c r="A177" s="1">
        <v>175.0</v>
      </c>
      <c r="B177" s="2">
        <v>44196.0</v>
      </c>
      <c r="C177" s="1" t="s">
        <v>109</v>
      </c>
      <c r="D177" s="1" t="s">
        <v>110</v>
      </c>
      <c r="F177" s="1">
        <v>6.11E8</v>
      </c>
      <c r="G177" s="1">
        <v>5.51E8</v>
      </c>
      <c r="H177" s="1">
        <v>6.84E9</v>
      </c>
      <c r="I177" s="1">
        <v>7.737E9</v>
      </c>
      <c r="J177" s="1">
        <v>8.05E8</v>
      </c>
      <c r="K177" s="1">
        <v>8.05E8</v>
      </c>
      <c r="L177" s="1">
        <v>-1.92E8</v>
      </c>
      <c r="M177" s="1">
        <v>6.0E7</v>
      </c>
      <c r="N177" s="1">
        <v>3.1825E10</v>
      </c>
      <c r="O177" s="1">
        <v>3.102E10</v>
      </c>
      <c r="P177" s="1">
        <v>2.4088E10</v>
      </c>
      <c r="Q177" s="1">
        <v>-1.94E8</v>
      </c>
      <c r="R177" s="1">
        <v>5.51E8</v>
      </c>
      <c r="S177" s="1">
        <v>5.51E8</v>
      </c>
    </row>
    <row r="178">
      <c r="A178" s="1">
        <v>176.0</v>
      </c>
      <c r="B178" s="2">
        <v>44377.0</v>
      </c>
      <c r="C178" s="1" t="s">
        <v>111</v>
      </c>
      <c r="D178" s="1" t="s">
        <v>112</v>
      </c>
      <c r="F178" s="1">
        <v>5.96E8</v>
      </c>
      <c r="G178" s="1">
        <v>3.79E8</v>
      </c>
      <c r="H178" s="1">
        <v>4.71E8</v>
      </c>
      <c r="I178" s="1">
        <v>1.266E9</v>
      </c>
      <c r="J178" s="1">
        <v>7.18E8</v>
      </c>
      <c r="K178" s="1">
        <v>7.18E8</v>
      </c>
      <c r="L178" s="1">
        <v>-7.8E7</v>
      </c>
      <c r="M178" s="1">
        <v>2.03E8</v>
      </c>
      <c r="N178" s="1">
        <v>2.886E9</v>
      </c>
      <c r="O178" s="1">
        <v>2.168E9</v>
      </c>
      <c r="P178" s="1">
        <v>1.62E9</v>
      </c>
      <c r="Q178" s="1">
        <v>-1.22E8</v>
      </c>
      <c r="R178" s="1">
        <v>3.93E8</v>
      </c>
      <c r="S178" s="1">
        <v>3.79E8</v>
      </c>
    </row>
    <row r="179">
      <c r="A179" s="1">
        <v>177.0</v>
      </c>
      <c r="B179" s="2">
        <v>44286.0</v>
      </c>
      <c r="C179" s="1" t="s">
        <v>111</v>
      </c>
      <c r="D179" s="1" t="s">
        <v>112</v>
      </c>
      <c r="F179" s="1">
        <v>1.167E9</v>
      </c>
      <c r="G179" s="1">
        <v>9.13E8</v>
      </c>
      <c r="H179" s="1">
        <v>4.45E8</v>
      </c>
      <c r="I179" s="1">
        <v>1.812E9</v>
      </c>
      <c r="J179" s="1">
        <v>1.286E9</v>
      </c>
      <c r="K179" s="1">
        <v>1.286E9</v>
      </c>
      <c r="L179" s="1">
        <v>-7.9E7</v>
      </c>
      <c r="M179" s="1">
        <v>2.34E8</v>
      </c>
      <c r="N179" s="1">
        <v>3.525E9</v>
      </c>
      <c r="O179" s="1">
        <v>2.239E9</v>
      </c>
      <c r="P179" s="1">
        <v>1.713E9</v>
      </c>
      <c r="Q179" s="1">
        <v>-1.19E8</v>
      </c>
      <c r="R179" s="1">
        <v>9.33E8</v>
      </c>
      <c r="S179" s="1">
        <v>9.13E8</v>
      </c>
    </row>
    <row r="180">
      <c r="A180" s="1">
        <v>178.0</v>
      </c>
      <c r="B180" s="2">
        <v>44196.0</v>
      </c>
      <c r="C180" s="1" t="s">
        <v>111</v>
      </c>
      <c r="D180" s="1" t="s">
        <v>112</v>
      </c>
      <c r="F180" s="1">
        <v>6.26E8</v>
      </c>
      <c r="G180" s="1">
        <v>5.24E8</v>
      </c>
      <c r="H180" s="1">
        <v>5.04E8</v>
      </c>
      <c r="I180" s="1">
        <v>1.333E9</v>
      </c>
      <c r="J180" s="1">
        <v>7.45E8</v>
      </c>
      <c r="K180" s="1">
        <v>7.45E8</v>
      </c>
      <c r="L180" s="1">
        <v>-8.2E7</v>
      </c>
      <c r="M180" s="1">
        <v>9.2E7</v>
      </c>
      <c r="N180" s="1">
        <v>2.965E9</v>
      </c>
      <c r="O180" s="1">
        <v>2.22E9</v>
      </c>
      <c r="P180" s="1">
        <v>1.632E9</v>
      </c>
      <c r="Q180" s="1">
        <v>-1.19E8</v>
      </c>
      <c r="R180" s="1">
        <v>5.34E8</v>
      </c>
      <c r="S180" s="1">
        <v>5.24E8</v>
      </c>
    </row>
    <row r="181">
      <c r="A181" s="1">
        <v>179.0</v>
      </c>
      <c r="B181" s="2">
        <v>44104.0</v>
      </c>
      <c r="C181" s="1" t="s">
        <v>111</v>
      </c>
      <c r="D181" s="1" t="s">
        <v>112</v>
      </c>
      <c r="F181" s="1">
        <v>3.63E8</v>
      </c>
      <c r="G181" s="1">
        <v>2.75E8</v>
      </c>
      <c r="H181" s="1">
        <v>4.22E8</v>
      </c>
      <c r="I181" s="1">
        <v>1.002E9</v>
      </c>
      <c r="J181" s="1">
        <v>4.88E8</v>
      </c>
      <c r="K181" s="1">
        <v>4.88E8</v>
      </c>
      <c r="L181" s="1">
        <v>-8.0E7</v>
      </c>
      <c r="M181" s="1">
        <v>8.2E7</v>
      </c>
      <c r="N181" s="1">
        <v>2.385E9</v>
      </c>
      <c r="O181" s="1">
        <v>1.897E9</v>
      </c>
      <c r="P181" s="1">
        <v>1.383E9</v>
      </c>
      <c r="Q181" s="1">
        <v>-1.25E8</v>
      </c>
      <c r="R181" s="1">
        <v>2.81E8</v>
      </c>
      <c r="S181" s="1">
        <v>2.75E8</v>
      </c>
    </row>
    <row r="182">
      <c r="A182" s="1">
        <v>180.0</v>
      </c>
      <c r="B182" s="2">
        <v>44377.0</v>
      </c>
      <c r="C182" s="1" t="s">
        <v>113</v>
      </c>
      <c r="D182" s="1" t="s">
        <v>114</v>
      </c>
      <c r="F182" s="1">
        <v>4.95E8</v>
      </c>
      <c r="G182" s="1">
        <v>3.16E8</v>
      </c>
      <c r="H182" s="1">
        <v>8.6E7</v>
      </c>
      <c r="I182" s="1">
        <v>1.196E9</v>
      </c>
      <c r="J182" s="1">
        <v>5.1E8</v>
      </c>
      <c r="K182" s="1">
        <v>5.1E8</v>
      </c>
      <c r="L182" s="1">
        <v>-1.11E8</v>
      </c>
      <c r="M182" s="1">
        <v>8.7E7</v>
      </c>
      <c r="N182" s="1">
        <v>1.83E9</v>
      </c>
      <c r="O182" s="1">
        <v>1.32E9</v>
      </c>
      <c r="P182" s="1">
        <v>6.34E8</v>
      </c>
      <c r="Q182" s="1">
        <v>-1.5E7</v>
      </c>
      <c r="R182" s="1">
        <v>4.08E8</v>
      </c>
      <c r="S182" s="1">
        <v>3.16E8</v>
      </c>
    </row>
    <row r="183">
      <c r="A183" s="1">
        <v>181.0</v>
      </c>
      <c r="B183" s="2">
        <v>44286.0</v>
      </c>
      <c r="C183" s="1" t="s">
        <v>113</v>
      </c>
      <c r="D183" s="1" t="s">
        <v>114</v>
      </c>
      <c r="F183" s="1">
        <v>6.2E8</v>
      </c>
      <c r="G183" s="1">
        <v>3.88E8</v>
      </c>
      <c r="H183" s="1">
        <v>8.3E7</v>
      </c>
      <c r="I183" s="1">
        <v>1.116E9</v>
      </c>
      <c r="J183" s="1">
        <v>7.45E8</v>
      </c>
      <c r="K183" s="1">
        <v>7.45E8</v>
      </c>
      <c r="L183" s="1">
        <v>-1.12E8</v>
      </c>
      <c r="M183" s="1">
        <v>1.7E8</v>
      </c>
      <c r="N183" s="1">
        <v>1.932E9</v>
      </c>
      <c r="O183" s="1">
        <v>1.187E9</v>
      </c>
      <c r="P183" s="1">
        <v>8.16E8</v>
      </c>
      <c r="Q183" s="1">
        <v>-1.25E8</v>
      </c>
      <c r="R183" s="1">
        <v>4.5E8</v>
      </c>
      <c r="S183" s="1">
        <v>3.88E8</v>
      </c>
    </row>
    <row r="184">
      <c r="A184" s="1">
        <v>182.0</v>
      </c>
      <c r="B184" s="2">
        <v>44196.0</v>
      </c>
      <c r="C184" s="1" t="s">
        <v>113</v>
      </c>
      <c r="D184" s="1" t="s">
        <v>114</v>
      </c>
      <c r="F184" s="1">
        <v>7.0E7</v>
      </c>
      <c r="G184" s="1">
        <v>1.0E7</v>
      </c>
      <c r="H184" s="1">
        <v>7.6E7</v>
      </c>
      <c r="I184" s="1">
        <v>7.46E8</v>
      </c>
      <c r="J184" s="1">
        <v>-4.11E9</v>
      </c>
      <c r="K184" s="1">
        <v>-4.11E9</v>
      </c>
      <c r="L184" s="1">
        <v>-1.1E8</v>
      </c>
      <c r="M184" s="1">
        <v>1.5E7</v>
      </c>
      <c r="N184" s="1">
        <v>1.136E9</v>
      </c>
      <c r="O184" s="1">
        <v>5.246E9</v>
      </c>
      <c r="P184" s="1">
        <v>3.9E8</v>
      </c>
      <c r="Q184" s="1">
        <v>4.18E9</v>
      </c>
      <c r="R184" s="1">
        <v>5.5E7</v>
      </c>
      <c r="S184" s="1">
        <v>1.0E7</v>
      </c>
    </row>
    <row r="185">
      <c r="A185" s="1">
        <v>183.0</v>
      </c>
      <c r="B185" s="2">
        <v>44104.0</v>
      </c>
      <c r="C185" s="1" t="s">
        <v>113</v>
      </c>
      <c r="D185" s="1" t="s">
        <v>114</v>
      </c>
      <c r="F185" s="1">
        <v>7.2E7</v>
      </c>
      <c r="G185" s="1">
        <v>-4000000.0</v>
      </c>
      <c r="H185" s="1">
        <v>5.2E7</v>
      </c>
      <c r="I185" s="1">
        <v>7.32E8</v>
      </c>
      <c r="J185" s="1">
        <v>1.79E8</v>
      </c>
      <c r="K185" s="1">
        <v>1.79E8</v>
      </c>
      <c r="L185" s="1">
        <v>-1.12E8</v>
      </c>
      <c r="M185" s="1">
        <v>3.1E7</v>
      </c>
      <c r="N185" s="1">
        <v>1.129E9</v>
      </c>
      <c r="O185" s="1">
        <v>9.5E8</v>
      </c>
      <c r="P185" s="1">
        <v>3.97E8</v>
      </c>
      <c r="Q185" s="1">
        <v>-1.07E8</v>
      </c>
      <c r="R185" s="1">
        <v>4.1E7</v>
      </c>
      <c r="S185" s="1">
        <v>-4000000.0</v>
      </c>
    </row>
    <row r="186">
      <c r="A186" s="1">
        <v>184.0</v>
      </c>
      <c r="B186" s="2">
        <v>44373.0</v>
      </c>
      <c r="C186" s="1" t="s">
        <v>116</v>
      </c>
      <c r="D186" s="1" t="s">
        <v>117</v>
      </c>
      <c r="E186" s="1">
        <v>5.717E9</v>
      </c>
      <c r="F186" s="1">
        <v>2.4369E10</v>
      </c>
      <c r="G186" s="1">
        <v>2.1744E10</v>
      </c>
      <c r="H186" s="1">
        <v>5.412E9</v>
      </c>
      <c r="I186" s="1">
        <v>3.5255E10</v>
      </c>
      <c r="J186" s="1">
        <v>2.4126E10</v>
      </c>
      <c r="K186" s="1">
        <v>2.4126E10</v>
      </c>
      <c r="L186" s="1">
        <v>-6.65E8</v>
      </c>
      <c r="M186" s="1">
        <v>2.625E9</v>
      </c>
      <c r="N186" s="1">
        <v>8.1434E10</v>
      </c>
      <c r="O186" s="1">
        <v>5.7308E10</v>
      </c>
      <c r="P186" s="1">
        <v>4.6179E10</v>
      </c>
      <c r="Q186" s="1">
        <v>2.43E8</v>
      </c>
      <c r="R186" s="1">
        <v>2.1744E10</v>
      </c>
      <c r="S186" s="1">
        <v>2.1744E10</v>
      </c>
    </row>
    <row r="187">
      <c r="A187" s="1">
        <v>185.0</v>
      </c>
      <c r="B187" s="2">
        <v>44282.0</v>
      </c>
      <c r="C187" s="1" t="s">
        <v>116</v>
      </c>
      <c r="D187" s="1" t="s">
        <v>117</v>
      </c>
      <c r="E187" s="1">
        <v>5.262E9</v>
      </c>
      <c r="F187" s="1">
        <v>2.8011E10</v>
      </c>
      <c r="G187" s="1">
        <v>2.363E10</v>
      </c>
      <c r="H187" s="1">
        <v>5.314E9</v>
      </c>
      <c r="I187" s="1">
        <v>3.8079E10</v>
      </c>
      <c r="J187" s="1">
        <v>2.7503E10</v>
      </c>
      <c r="K187" s="1">
        <v>2.7503E10</v>
      </c>
      <c r="L187" s="1">
        <v>-6.7E8</v>
      </c>
      <c r="M187" s="1">
        <v>4.381E9</v>
      </c>
      <c r="N187" s="1">
        <v>8.9584E10</v>
      </c>
      <c r="O187" s="1">
        <v>6.2081E10</v>
      </c>
      <c r="P187" s="1">
        <v>5.1505E10</v>
      </c>
      <c r="Q187" s="1">
        <v>5.08E8</v>
      </c>
      <c r="R187" s="1">
        <v>2.363E10</v>
      </c>
      <c r="S187" s="1">
        <v>2.363E10</v>
      </c>
    </row>
    <row r="188">
      <c r="A188" s="1">
        <v>186.0</v>
      </c>
      <c r="B188" s="2">
        <v>44191.0</v>
      </c>
      <c r="C188" s="1" t="s">
        <v>116</v>
      </c>
      <c r="D188" s="1" t="s">
        <v>117</v>
      </c>
      <c r="E188" s="1">
        <v>5.163E9</v>
      </c>
      <c r="F188" s="1">
        <v>3.3579E10</v>
      </c>
      <c r="G188" s="1">
        <v>2.8755E10</v>
      </c>
      <c r="H188" s="1">
        <v>5.631E9</v>
      </c>
      <c r="I188" s="1">
        <v>4.4328E10</v>
      </c>
      <c r="J188" s="1">
        <v>3.3534E10</v>
      </c>
      <c r="K188" s="1">
        <v>3.3534E10</v>
      </c>
      <c r="L188" s="1">
        <v>-6.38E8</v>
      </c>
      <c r="M188" s="1">
        <v>4.824E9</v>
      </c>
      <c r="N188" s="1">
        <v>1.11439E11</v>
      </c>
      <c r="O188" s="1">
        <v>7.7905E10</v>
      </c>
      <c r="P188" s="1">
        <v>6.7111E10</v>
      </c>
      <c r="Q188" s="1">
        <v>4.5E7</v>
      </c>
      <c r="R188" s="1">
        <v>2.8755E10</v>
      </c>
      <c r="S188" s="1">
        <v>2.8755E10</v>
      </c>
    </row>
    <row r="189">
      <c r="A189" s="1">
        <v>187.0</v>
      </c>
      <c r="B189" s="2">
        <v>44100.0</v>
      </c>
      <c r="C189" s="1" t="s">
        <v>116</v>
      </c>
      <c r="D189" s="1" t="s">
        <v>117</v>
      </c>
      <c r="E189" s="1">
        <v>4.978E9</v>
      </c>
      <c r="F189" s="1">
        <v>1.4901E10</v>
      </c>
      <c r="G189" s="1">
        <v>1.2673E10</v>
      </c>
      <c r="H189" s="1">
        <v>4.936E9</v>
      </c>
      <c r="I189" s="1">
        <v>2.4689E10</v>
      </c>
      <c r="J189" s="1">
        <v>1.4775E10</v>
      </c>
      <c r="K189" s="1">
        <v>1.4775E10</v>
      </c>
      <c r="L189" s="1">
        <v>-6.34E8</v>
      </c>
      <c r="M189" s="1">
        <v>2.228E9</v>
      </c>
      <c r="N189" s="1">
        <v>6.4698E10</v>
      </c>
      <c r="O189" s="1">
        <v>4.9923E10</v>
      </c>
      <c r="P189" s="1">
        <v>4.0009E10</v>
      </c>
      <c r="Q189" s="1">
        <v>1.26E8</v>
      </c>
      <c r="R189" s="1">
        <v>1.2673E10</v>
      </c>
      <c r="S189" s="1">
        <v>1.2673E10</v>
      </c>
    </row>
    <row r="190">
      <c r="A190" s="1">
        <v>188.0</v>
      </c>
      <c r="B190" s="2">
        <v>44409.0</v>
      </c>
      <c r="C190" s="1" t="s">
        <v>118</v>
      </c>
      <c r="D190" s="1" t="s">
        <v>119</v>
      </c>
      <c r="E190" s="1">
        <v>6.4E8</v>
      </c>
      <c r="F190" s="1">
        <v>1.98E9</v>
      </c>
      <c r="G190" s="1">
        <v>1.716E9</v>
      </c>
      <c r="H190" s="1">
        <v>3.09E8</v>
      </c>
      <c r="I190" s="1">
        <v>2.967E9</v>
      </c>
      <c r="J190" s="1">
        <v>2.018E9</v>
      </c>
      <c r="K190" s="1">
        <v>2.018E9</v>
      </c>
      <c r="L190" s="1">
        <v>-5.7E7</v>
      </c>
      <c r="M190" s="1">
        <v>2.64E8</v>
      </c>
      <c r="N190" s="1">
        <v>6.196E9</v>
      </c>
      <c r="O190" s="1">
        <v>4.178E9</v>
      </c>
      <c r="P190" s="1">
        <v>3.229E9</v>
      </c>
      <c r="Q190" s="1">
        <v>-3.8E7</v>
      </c>
      <c r="R190" s="1">
        <v>1.716E9</v>
      </c>
      <c r="S190" s="1">
        <v>1.716E9</v>
      </c>
    </row>
    <row r="191">
      <c r="A191" s="1">
        <v>189.0</v>
      </c>
      <c r="B191" s="2">
        <v>44318.0</v>
      </c>
      <c r="C191" s="1" t="s">
        <v>118</v>
      </c>
      <c r="D191" s="1" t="s">
        <v>119</v>
      </c>
      <c r="E191" s="1">
        <v>6.17E8</v>
      </c>
      <c r="F191" s="1">
        <v>1.545E9</v>
      </c>
      <c r="G191" s="1">
        <v>1.33E9</v>
      </c>
      <c r="H191" s="1">
        <v>2.85E8</v>
      </c>
      <c r="I191" s="1">
        <v>2.653E9</v>
      </c>
      <c r="J191" s="1">
        <v>1.751E9</v>
      </c>
      <c r="K191" s="1">
        <v>1.751E9</v>
      </c>
      <c r="L191" s="1">
        <v>-6.1E7</v>
      </c>
      <c r="M191" s="1">
        <v>2.15E8</v>
      </c>
      <c r="N191" s="1">
        <v>5.582E9</v>
      </c>
      <c r="O191" s="1">
        <v>3.831E9</v>
      </c>
      <c r="P191" s="1">
        <v>2.929E9</v>
      </c>
      <c r="Q191" s="1">
        <v>-2.06E8</v>
      </c>
      <c r="R191" s="1">
        <v>1.33E9</v>
      </c>
      <c r="S191" s="1">
        <v>1.33E9</v>
      </c>
    </row>
    <row r="192">
      <c r="A192" s="1">
        <v>190.0</v>
      </c>
      <c r="B192" s="2">
        <v>44227.0</v>
      </c>
      <c r="C192" s="1" t="s">
        <v>118</v>
      </c>
      <c r="D192" s="1" t="s">
        <v>119</v>
      </c>
      <c r="E192" s="1">
        <v>6.06E8</v>
      </c>
      <c r="F192" s="1">
        <v>1.24E9</v>
      </c>
      <c r="G192" s="1">
        <v>1.13E9</v>
      </c>
      <c r="H192" s="1">
        <v>2.84E8</v>
      </c>
      <c r="I192" s="1">
        <v>2.361E9</v>
      </c>
      <c r="J192" s="1">
        <v>1.471E9</v>
      </c>
      <c r="K192" s="1">
        <v>1.471E9</v>
      </c>
      <c r="L192" s="1">
        <v>-6.1E7</v>
      </c>
      <c r="M192" s="1">
        <v>1.1E8</v>
      </c>
      <c r="N192" s="1">
        <v>5.162E9</v>
      </c>
      <c r="O192" s="1">
        <v>3.691E9</v>
      </c>
      <c r="P192" s="1">
        <v>2.801E9</v>
      </c>
      <c r="Q192" s="1">
        <v>-2.31E8</v>
      </c>
      <c r="R192" s="1">
        <v>1.13E9</v>
      </c>
      <c r="S192" s="1">
        <v>1.13E9</v>
      </c>
    </row>
    <row r="193">
      <c r="A193" s="1">
        <v>191.0</v>
      </c>
      <c r="B193" s="2">
        <v>44129.0</v>
      </c>
      <c r="C193" s="1" t="s">
        <v>118</v>
      </c>
      <c r="D193" s="1" t="s">
        <v>119</v>
      </c>
      <c r="E193" s="1">
        <v>5.6E8</v>
      </c>
      <c r="F193" s="1">
        <v>1.243E9</v>
      </c>
      <c r="G193" s="1">
        <v>1.131E9</v>
      </c>
      <c r="H193" s="1">
        <v>2.61E8</v>
      </c>
      <c r="I193" s="1">
        <v>2.13E9</v>
      </c>
      <c r="J193" s="1">
        <v>1.309E9</v>
      </c>
      <c r="K193" s="1">
        <v>1.309E9</v>
      </c>
      <c r="L193" s="1">
        <v>-5.9E7</v>
      </c>
      <c r="M193" s="1">
        <v>1.12E8</v>
      </c>
      <c r="N193" s="1">
        <v>4.688E9</v>
      </c>
      <c r="O193" s="1">
        <v>3.379E9</v>
      </c>
      <c r="P193" s="1">
        <v>2.558E9</v>
      </c>
      <c r="Q193" s="1">
        <v>-6.6E7</v>
      </c>
      <c r="R193" s="1">
        <v>1.131E9</v>
      </c>
      <c r="S193" s="1">
        <v>1.131E9</v>
      </c>
    </row>
    <row r="194">
      <c r="A194" s="1">
        <v>192.0</v>
      </c>
      <c r="B194" s="2">
        <v>44377.0</v>
      </c>
      <c r="C194" s="1" t="s">
        <v>121</v>
      </c>
      <c r="D194" s="1" t="s">
        <v>122</v>
      </c>
      <c r="F194" s="1">
        <v>1.94E8</v>
      </c>
      <c r="G194" s="1">
        <v>1.63E8</v>
      </c>
      <c r="H194" s="1">
        <v>2.75E8</v>
      </c>
      <c r="I194" s="1">
        <v>6.02E8</v>
      </c>
      <c r="J194" s="1">
        <v>2.9E8</v>
      </c>
      <c r="K194" s="1">
        <v>2.9E8</v>
      </c>
      <c r="L194" s="1">
        <v>-3.8E7</v>
      </c>
      <c r="M194" s="1">
        <v>2.8E7</v>
      </c>
      <c r="N194" s="1">
        <v>3.807E9</v>
      </c>
      <c r="O194" s="1">
        <v>3.517E9</v>
      </c>
      <c r="P194" s="1">
        <v>3.205E9</v>
      </c>
      <c r="Q194" s="1">
        <v>-9.6E7</v>
      </c>
      <c r="R194" s="1">
        <v>1.66E8</v>
      </c>
      <c r="S194" s="1">
        <v>1.47E8</v>
      </c>
    </row>
    <row r="195">
      <c r="A195" s="1">
        <v>193.0</v>
      </c>
      <c r="B195" s="2">
        <v>44286.0</v>
      </c>
      <c r="C195" s="1" t="s">
        <v>121</v>
      </c>
      <c r="D195" s="1" t="s">
        <v>122</v>
      </c>
      <c r="F195" s="1">
        <v>3.48E8</v>
      </c>
      <c r="G195" s="1">
        <v>2.95E8</v>
      </c>
      <c r="H195" s="1">
        <v>2.6E8</v>
      </c>
      <c r="I195" s="1">
        <v>7.27E8</v>
      </c>
      <c r="J195" s="1">
        <v>4.3E8</v>
      </c>
      <c r="K195" s="1">
        <v>4.3E8</v>
      </c>
      <c r="L195" s="1">
        <v>-4.0E7</v>
      </c>
      <c r="M195" s="1">
        <v>4.8E7</v>
      </c>
      <c r="N195" s="1">
        <v>4.023E9</v>
      </c>
      <c r="O195" s="1">
        <v>3.593E9</v>
      </c>
      <c r="P195" s="1">
        <v>3.296E9</v>
      </c>
      <c r="Q195" s="1">
        <v>-8.2E7</v>
      </c>
      <c r="R195" s="1">
        <v>3.0E8</v>
      </c>
      <c r="S195" s="1">
        <v>2.79E8</v>
      </c>
    </row>
    <row r="196">
      <c r="A196" s="1">
        <v>194.0</v>
      </c>
      <c r="B196" s="2">
        <v>44196.0</v>
      </c>
      <c r="C196" s="1" t="s">
        <v>121</v>
      </c>
      <c r="D196" s="1" t="s">
        <v>122</v>
      </c>
      <c r="F196" s="1">
        <v>3.7E8</v>
      </c>
      <c r="G196" s="1">
        <v>2.99E8</v>
      </c>
      <c r="H196" s="1">
        <v>3.09E8</v>
      </c>
      <c r="I196" s="1">
        <v>8.12E8</v>
      </c>
      <c r="J196" s="1">
        <v>4.66E8</v>
      </c>
      <c r="K196" s="1">
        <v>4.66E8</v>
      </c>
      <c r="L196" s="1">
        <v>-3.9E7</v>
      </c>
      <c r="M196" s="1">
        <v>5.5E7</v>
      </c>
      <c r="N196" s="1">
        <v>4.212E9</v>
      </c>
      <c r="O196" s="1">
        <v>3.746E9</v>
      </c>
      <c r="P196" s="1">
        <v>3.4E9</v>
      </c>
      <c r="Q196" s="1">
        <v>-9.6E7</v>
      </c>
      <c r="R196" s="1">
        <v>3.15E8</v>
      </c>
      <c r="S196" s="1">
        <v>2.83E8</v>
      </c>
    </row>
    <row r="197">
      <c r="A197" s="1">
        <v>195.0</v>
      </c>
      <c r="B197" s="2">
        <v>44104.0</v>
      </c>
      <c r="C197" s="1" t="s">
        <v>121</v>
      </c>
      <c r="D197" s="1" t="s">
        <v>122</v>
      </c>
      <c r="F197" s="1">
        <v>3.03E8</v>
      </c>
      <c r="G197" s="1">
        <v>2.99E8</v>
      </c>
      <c r="H197" s="1">
        <v>2.62E8</v>
      </c>
      <c r="I197" s="1">
        <v>6.74E8</v>
      </c>
      <c r="J197" s="1">
        <v>3.76E8</v>
      </c>
      <c r="K197" s="1">
        <v>3.76E8</v>
      </c>
      <c r="L197" s="1">
        <v>-3.8E7</v>
      </c>
      <c r="M197" s="1">
        <v>-2000000.0</v>
      </c>
      <c r="N197" s="1">
        <v>3.668E9</v>
      </c>
      <c r="O197" s="1">
        <v>3.292E9</v>
      </c>
      <c r="P197" s="1">
        <v>2.994E9</v>
      </c>
      <c r="Q197" s="1">
        <v>-7.3E7</v>
      </c>
      <c r="R197" s="1">
        <v>3.05E8</v>
      </c>
      <c r="S197" s="1">
        <v>2.83E8</v>
      </c>
    </row>
    <row r="198">
      <c r="A198" s="1">
        <v>196.0</v>
      </c>
      <c r="B198" s="2">
        <v>44377.0</v>
      </c>
      <c r="C198" s="1" t="s">
        <v>123</v>
      </c>
      <c r="D198" s="1" t="s">
        <v>124</v>
      </c>
      <c r="E198" s="1">
        <v>1.43293E8</v>
      </c>
      <c r="F198" s="1">
        <v>2.21084E8</v>
      </c>
      <c r="G198" s="1">
        <v>1.96888E8</v>
      </c>
      <c r="H198" s="1">
        <v>9.152E7</v>
      </c>
      <c r="I198" s="1">
        <v>4.54178E8</v>
      </c>
      <c r="J198" s="1">
        <v>2.19365E8</v>
      </c>
      <c r="K198" s="1">
        <v>2.19365E8</v>
      </c>
      <c r="M198" s="1">
        <v>2.4196E7</v>
      </c>
      <c r="N198" s="1">
        <v>7.07319E8</v>
      </c>
      <c r="O198" s="1">
        <v>4.87954E8</v>
      </c>
      <c r="P198" s="1">
        <v>2.53141E8</v>
      </c>
      <c r="Q198" s="1">
        <v>1719000.0</v>
      </c>
      <c r="R198" s="1">
        <v>1.96888E8</v>
      </c>
      <c r="S198" s="1">
        <v>1.96888E8</v>
      </c>
    </row>
    <row r="199">
      <c r="A199" s="1">
        <v>197.0</v>
      </c>
      <c r="B199" s="2">
        <v>44286.0</v>
      </c>
      <c r="C199" s="1" t="s">
        <v>123</v>
      </c>
      <c r="D199" s="1" t="s">
        <v>124</v>
      </c>
      <c r="E199" s="1">
        <v>1.32487E8</v>
      </c>
      <c r="F199" s="1">
        <v>2.07867E8</v>
      </c>
      <c r="G199" s="1">
        <v>1.80366E8</v>
      </c>
      <c r="H199" s="1">
        <v>8.6493E7</v>
      </c>
      <c r="I199" s="1">
        <v>4.25272E8</v>
      </c>
      <c r="J199" s="1">
        <v>2.06292E8</v>
      </c>
      <c r="K199" s="1">
        <v>2.06292E8</v>
      </c>
      <c r="M199" s="1">
        <v>2.7501E7</v>
      </c>
      <c r="N199" s="1">
        <v>6.67562E8</v>
      </c>
      <c r="O199" s="1">
        <v>4.6127E8</v>
      </c>
      <c r="P199" s="1">
        <v>2.4229E8</v>
      </c>
      <c r="Q199" s="1">
        <v>1575000.0</v>
      </c>
      <c r="R199" s="1">
        <v>1.80366E8</v>
      </c>
      <c r="S199" s="1">
        <v>1.80366E8</v>
      </c>
    </row>
    <row r="200">
      <c r="A200" s="1">
        <v>198.0</v>
      </c>
      <c r="B200" s="2">
        <v>44196.0</v>
      </c>
      <c r="C200" s="1" t="s">
        <v>123</v>
      </c>
      <c r="D200" s="1" t="s">
        <v>124</v>
      </c>
      <c r="E200" s="1">
        <v>1.41147E8</v>
      </c>
      <c r="F200" s="1">
        <v>2.0018E8</v>
      </c>
      <c r="G200" s="1">
        <v>1.82958E8</v>
      </c>
      <c r="H200" s="1">
        <v>8.4099E7</v>
      </c>
      <c r="I200" s="1">
        <v>4.14584E8</v>
      </c>
      <c r="J200" s="1">
        <v>1.89338E8</v>
      </c>
      <c r="K200" s="1">
        <v>1.89338E8</v>
      </c>
      <c r="M200" s="1">
        <v>1.7222E7</v>
      </c>
      <c r="N200" s="1">
        <v>6.48482E8</v>
      </c>
      <c r="O200" s="1">
        <v>4.59144E8</v>
      </c>
      <c r="P200" s="1">
        <v>2.33898E8</v>
      </c>
      <c r="Q200" s="1">
        <v>1.0842E7</v>
      </c>
      <c r="R200" s="1">
        <v>1.82958E8</v>
      </c>
      <c r="S200" s="1">
        <v>1.82958E8</v>
      </c>
    </row>
    <row r="201">
      <c r="A201" s="1">
        <v>199.0</v>
      </c>
      <c r="B201" s="2">
        <v>44104.0</v>
      </c>
      <c r="C201" s="1" t="s">
        <v>123</v>
      </c>
      <c r="D201" s="1" t="s">
        <v>124</v>
      </c>
      <c r="E201" s="1">
        <v>1.28049E8</v>
      </c>
      <c r="F201" s="1">
        <v>2.01619E8</v>
      </c>
      <c r="G201" s="1">
        <v>1.68375E8</v>
      </c>
      <c r="H201" s="1">
        <v>6.8518E7</v>
      </c>
      <c r="I201" s="1">
        <v>3.84962E8</v>
      </c>
      <c r="J201" s="1">
        <v>1.88395E8</v>
      </c>
      <c r="K201" s="1">
        <v>1.88395E8</v>
      </c>
      <c r="M201" s="1">
        <v>3.3244E7</v>
      </c>
      <c r="N201" s="1">
        <v>6.05431E8</v>
      </c>
      <c r="O201" s="1">
        <v>4.17036E8</v>
      </c>
      <c r="P201" s="1">
        <v>2.20469E8</v>
      </c>
      <c r="Q201" s="1">
        <v>1.3224E7</v>
      </c>
      <c r="R201" s="1">
        <v>1.68375E8</v>
      </c>
      <c r="S201" s="1">
        <v>1.68375E8</v>
      </c>
    </row>
    <row r="202">
      <c r="A202" s="1">
        <v>200.0</v>
      </c>
      <c r="B202" s="2">
        <v>44377.0</v>
      </c>
      <c r="C202" s="1" t="s">
        <v>126</v>
      </c>
      <c r="D202" s="1" t="s">
        <v>127</v>
      </c>
      <c r="F202" s="1">
        <v>2.223E8</v>
      </c>
      <c r="G202" s="1">
        <v>1.902E8</v>
      </c>
      <c r="H202" s="1">
        <v>2.376E8</v>
      </c>
      <c r="I202" s="1">
        <v>6.869E8</v>
      </c>
      <c r="J202" s="1">
        <v>3.041E8</v>
      </c>
      <c r="K202" s="1">
        <v>3.041E8</v>
      </c>
      <c r="L202" s="1">
        <v>-5.62E7</v>
      </c>
      <c r="M202" s="1">
        <v>2.05E7</v>
      </c>
      <c r="N202" s="1">
        <v>1.8781E9</v>
      </c>
      <c r="O202" s="1">
        <v>1.574E9</v>
      </c>
      <c r="P202" s="1">
        <v>1.1912E9</v>
      </c>
      <c r="Q202" s="1">
        <v>-8.18E7</v>
      </c>
      <c r="R202" s="1">
        <v>2.018E8</v>
      </c>
      <c r="S202" s="1">
        <v>1.902E8</v>
      </c>
    </row>
    <row r="203">
      <c r="A203" s="1">
        <v>201.0</v>
      </c>
      <c r="B203" s="2">
        <v>44286.0</v>
      </c>
      <c r="C203" s="1" t="s">
        <v>126</v>
      </c>
      <c r="D203" s="1" t="s">
        <v>127</v>
      </c>
      <c r="F203" s="1">
        <v>4.084E8</v>
      </c>
      <c r="G203" s="1">
        <v>3.821E8</v>
      </c>
      <c r="H203" s="1">
        <v>2.286E8</v>
      </c>
      <c r="I203" s="1">
        <v>8.413E8</v>
      </c>
      <c r="J203" s="1">
        <v>4.694E8</v>
      </c>
      <c r="K203" s="1">
        <v>4.694E8</v>
      </c>
      <c r="L203" s="1">
        <v>-4.81E7</v>
      </c>
      <c r="M203" s="1">
        <v>1.47E7</v>
      </c>
      <c r="N203" s="1">
        <v>2.1114E9</v>
      </c>
      <c r="O203" s="1">
        <v>1.642E9</v>
      </c>
      <c r="P203" s="1">
        <v>1.2701E9</v>
      </c>
      <c r="Q203" s="1">
        <v>-6.1E7</v>
      </c>
      <c r="R203" s="1">
        <v>3.937E8</v>
      </c>
      <c r="S203" s="1">
        <v>3.821E8</v>
      </c>
    </row>
    <row r="204">
      <c r="A204" s="1">
        <v>202.0</v>
      </c>
      <c r="B204" s="2">
        <v>44196.0</v>
      </c>
      <c r="C204" s="1" t="s">
        <v>126</v>
      </c>
      <c r="D204" s="1" t="s">
        <v>127</v>
      </c>
      <c r="F204" s="1">
        <v>1.337E8</v>
      </c>
      <c r="G204" s="1">
        <v>1.422E8</v>
      </c>
      <c r="H204" s="1">
        <v>2.208E8</v>
      </c>
      <c r="I204" s="1">
        <v>5.696E8</v>
      </c>
      <c r="J204" s="1">
        <v>2.67E8</v>
      </c>
      <c r="K204" s="1">
        <v>2.67E8</v>
      </c>
      <c r="L204" s="1">
        <v>-4.78E7</v>
      </c>
      <c r="M204" s="1">
        <v>-1.94E7</v>
      </c>
      <c r="N204" s="1">
        <v>1.6513E9</v>
      </c>
      <c r="O204" s="1">
        <v>1.3843E9</v>
      </c>
      <c r="P204" s="1">
        <v>1.0817E9</v>
      </c>
      <c r="Q204" s="1">
        <v>-1.333E8</v>
      </c>
      <c r="R204" s="1">
        <v>1.531E8</v>
      </c>
      <c r="S204" s="1">
        <v>1.422E8</v>
      </c>
    </row>
    <row r="205">
      <c r="A205" s="1">
        <v>203.0</v>
      </c>
      <c r="B205" s="2">
        <v>44104.0</v>
      </c>
      <c r="C205" s="1" t="s">
        <v>126</v>
      </c>
      <c r="D205" s="1" t="s">
        <v>127</v>
      </c>
      <c r="F205" s="1">
        <v>2.095E8</v>
      </c>
      <c r="G205" s="1">
        <v>1.766E8</v>
      </c>
      <c r="H205" s="1">
        <v>1.974E8</v>
      </c>
      <c r="I205" s="1">
        <v>6.141E8</v>
      </c>
      <c r="J205" s="1">
        <v>2.828E8</v>
      </c>
      <c r="K205" s="1">
        <v>2.828E8</v>
      </c>
      <c r="L205" s="1">
        <v>-4.81E7</v>
      </c>
      <c r="M205" s="1">
        <v>2.17E7</v>
      </c>
      <c r="N205" s="1">
        <v>1.7857E9</v>
      </c>
      <c r="O205" s="1">
        <v>1.5029E9</v>
      </c>
      <c r="P205" s="1">
        <v>1.1716E9</v>
      </c>
      <c r="Q205" s="1">
        <v>-7.33E7</v>
      </c>
      <c r="R205" s="1">
        <v>1.878E8</v>
      </c>
      <c r="S205" s="1">
        <v>1.766E8</v>
      </c>
    </row>
    <row r="206">
      <c r="A206" s="1">
        <v>204.0</v>
      </c>
      <c r="B206" s="2">
        <v>44377.0</v>
      </c>
      <c r="C206" s="1" t="s">
        <v>128</v>
      </c>
      <c r="D206" s="1" t="s">
        <v>129</v>
      </c>
      <c r="F206" s="1">
        <v>2.366E8</v>
      </c>
      <c r="G206" s="1">
        <v>2.034E8</v>
      </c>
      <c r="I206" s="1">
        <v>3.014E8</v>
      </c>
      <c r="J206" s="1">
        <v>2.654E8</v>
      </c>
      <c r="K206" s="1">
        <v>2.654E8</v>
      </c>
      <c r="L206" s="1">
        <v>-2.88E7</v>
      </c>
      <c r="M206" s="1">
        <v>5.19E7</v>
      </c>
      <c r="N206" s="1">
        <v>2.5423E9</v>
      </c>
      <c r="O206" s="1">
        <v>2.2769E9</v>
      </c>
      <c r="P206" s="1">
        <v>2.2409E9</v>
      </c>
      <c r="Q206" s="1">
        <v>-2.88E7</v>
      </c>
      <c r="R206" s="1">
        <v>1.847E8</v>
      </c>
      <c r="S206" s="1">
        <v>2.034E8</v>
      </c>
    </row>
    <row r="207">
      <c r="A207" s="1">
        <v>205.0</v>
      </c>
      <c r="B207" s="2">
        <v>44286.0</v>
      </c>
      <c r="C207" s="1" t="s">
        <v>128</v>
      </c>
      <c r="D207" s="1" t="s">
        <v>129</v>
      </c>
      <c r="F207" s="1">
        <v>1.931E8</v>
      </c>
      <c r="G207" s="1">
        <v>1.63E8</v>
      </c>
      <c r="H207" s="1">
        <v>1.6824E9</v>
      </c>
      <c r="I207" s="1">
        <v>2.612E8</v>
      </c>
      <c r="J207" s="1">
        <v>2.215E8</v>
      </c>
      <c r="K207" s="1">
        <v>2.215E8</v>
      </c>
      <c r="L207" s="1">
        <v>-2.84E7</v>
      </c>
      <c r="M207" s="1">
        <v>4.46E7</v>
      </c>
      <c r="N207" s="1">
        <v>2.4326E9</v>
      </c>
      <c r="O207" s="1">
        <v>2.2111E9</v>
      </c>
      <c r="P207" s="1">
        <v>2.1714E9</v>
      </c>
      <c r="Q207" s="1">
        <v>-2.84E7</v>
      </c>
      <c r="R207" s="1">
        <v>1.485E8</v>
      </c>
      <c r="S207" s="1">
        <v>1.583E8</v>
      </c>
    </row>
    <row r="208">
      <c r="A208" s="1">
        <v>206.0</v>
      </c>
      <c r="B208" s="2">
        <v>44196.0</v>
      </c>
      <c r="C208" s="1" t="s">
        <v>128</v>
      </c>
      <c r="D208" s="1" t="s">
        <v>129</v>
      </c>
      <c r="F208" s="1">
        <v>1.834E8</v>
      </c>
      <c r="G208" s="1">
        <v>1.392E8</v>
      </c>
      <c r="H208" s="1">
        <v>1.6824E9</v>
      </c>
      <c r="I208" s="1">
        <v>3.294E8</v>
      </c>
      <c r="J208" s="1">
        <v>2.295E8</v>
      </c>
      <c r="K208" s="1">
        <v>2.295E8</v>
      </c>
      <c r="L208" s="1">
        <v>-2.68E7</v>
      </c>
      <c r="M208" s="1">
        <v>4.44E7</v>
      </c>
      <c r="N208" s="1">
        <v>2.5551E9</v>
      </c>
      <c r="O208" s="1">
        <v>2.3256E9</v>
      </c>
      <c r="P208" s="1">
        <v>2.2257E9</v>
      </c>
      <c r="Q208" s="1">
        <v>-4.61E7</v>
      </c>
      <c r="R208" s="1">
        <v>1.39E8</v>
      </c>
      <c r="S208" s="1">
        <v>1.345E8</v>
      </c>
    </row>
    <row r="209">
      <c r="A209" s="1">
        <v>207.0</v>
      </c>
      <c r="B209" s="2">
        <v>44104.0</v>
      </c>
      <c r="C209" s="1" t="s">
        <v>128</v>
      </c>
      <c r="D209" s="1" t="s">
        <v>129</v>
      </c>
      <c r="F209" s="1">
        <v>-4100000.0</v>
      </c>
      <c r="G209" s="1">
        <v>-3.02E7</v>
      </c>
      <c r="H209" s="1">
        <v>1.6824E9</v>
      </c>
      <c r="I209" s="1">
        <v>1.945E8</v>
      </c>
      <c r="J209" s="1">
        <v>1.653E8</v>
      </c>
      <c r="K209" s="1">
        <v>1.653E8</v>
      </c>
      <c r="L209" s="1">
        <v>-2.55E7</v>
      </c>
      <c r="M209" s="1">
        <v>2.64E7</v>
      </c>
      <c r="N209" s="1">
        <v>2.5025E9</v>
      </c>
      <c r="O209" s="1">
        <v>2.3372E9</v>
      </c>
      <c r="P209" s="1">
        <v>2.308E9</v>
      </c>
      <c r="Q209" s="1">
        <v>-1.694E8</v>
      </c>
      <c r="R209" s="1">
        <v>-3.05E7</v>
      </c>
      <c r="S209" s="1">
        <v>-3.49E7</v>
      </c>
    </row>
    <row r="210">
      <c r="A210" s="1">
        <v>208.0</v>
      </c>
      <c r="B210" s="2">
        <v>44377.0</v>
      </c>
      <c r="C210" s="1" t="s">
        <v>131</v>
      </c>
      <c r="D210" s="1" t="s">
        <v>132</v>
      </c>
      <c r="F210" s="1">
        <v>2.625E9</v>
      </c>
      <c r="G210" s="1">
        <v>1.57E9</v>
      </c>
      <c r="H210" s="1">
        <v>8.39E9</v>
      </c>
      <c r="I210" s="1">
        <v>2.2946E10</v>
      </c>
      <c r="J210" s="1">
        <v>8.795E9</v>
      </c>
      <c r="K210" s="1">
        <v>8.795E9</v>
      </c>
      <c r="L210" s="1">
        <v>-1.684E9</v>
      </c>
      <c r="M210" s="1">
        <v>7.51E8</v>
      </c>
      <c r="N210" s="1">
        <v>4.4045E10</v>
      </c>
      <c r="O210" s="1">
        <v>3.525E10</v>
      </c>
      <c r="P210" s="1">
        <v>2.1099E10</v>
      </c>
      <c r="Q210" s="1">
        <v>-6.17E9</v>
      </c>
      <c r="R210" s="1">
        <v>1.874E9</v>
      </c>
      <c r="S210" s="1">
        <v>1.514E9</v>
      </c>
    </row>
    <row r="211">
      <c r="A211" s="1">
        <v>209.0</v>
      </c>
      <c r="B211" s="2">
        <v>44286.0</v>
      </c>
      <c r="C211" s="1" t="s">
        <v>131</v>
      </c>
      <c r="D211" s="1" t="s">
        <v>132</v>
      </c>
      <c r="F211" s="1">
        <v>1.0064E10</v>
      </c>
      <c r="G211" s="1">
        <v>7.55E9</v>
      </c>
      <c r="H211" s="1">
        <v>5.297E9</v>
      </c>
      <c r="I211" s="1">
        <v>2.2852E10</v>
      </c>
      <c r="J211" s="1">
        <v>1.1746E10</v>
      </c>
      <c r="K211" s="1">
        <v>1.1746E10</v>
      </c>
      <c r="L211" s="1">
        <v>-1.87E9</v>
      </c>
      <c r="M211" s="1">
        <v>2.122E9</v>
      </c>
      <c r="N211" s="1">
        <v>4.3939E10</v>
      </c>
      <c r="O211" s="1">
        <v>3.2193E10</v>
      </c>
      <c r="P211" s="1">
        <v>2.1087E10</v>
      </c>
      <c r="Q211" s="1">
        <v>-1.682E9</v>
      </c>
      <c r="R211" s="1">
        <v>7.942E9</v>
      </c>
      <c r="S211" s="1">
        <v>7.5E9</v>
      </c>
    </row>
    <row r="212">
      <c r="A212" s="1">
        <v>210.0</v>
      </c>
      <c r="B212" s="2">
        <v>44196.0</v>
      </c>
      <c r="C212" s="1" t="s">
        <v>131</v>
      </c>
      <c r="D212" s="1" t="s">
        <v>132</v>
      </c>
      <c r="F212" s="1">
        <v>-1.5553E10</v>
      </c>
      <c r="G212" s="1">
        <v>-1.3883E10</v>
      </c>
      <c r="H212" s="1">
        <v>1.2866E10</v>
      </c>
      <c r="I212" s="1">
        <v>2.2781E10</v>
      </c>
      <c r="J212" s="1">
        <v>2.936E9</v>
      </c>
      <c r="K212" s="1">
        <v>2.936E9</v>
      </c>
      <c r="L212" s="1">
        <v>-1.894E9</v>
      </c>
      <c r="M212" s="1">
        <v>-2.038E9</v>
      </c>
      <c r="N212" s="1">
        <v>4.5691E10</v>
      </c>
      <c r="O212" s="1">
        <v>4.2755E10</v>
      </c>
      <c r="P212" s="1">
        <v>2.291E10</v>
      </c>
      <c r="Q212" s="1">
        <v>-1.8489E10</v>
      </c>
      <c r="R212" s="1">
        <v>-1.3515E10</v>
      </c>
      <c r="S212" s="1">
        <v>-1.3938E10</v>
      </c>
    </row>
    <row r="213">
      <c r="A213" s="1">
        <v>211.0</v>
      </c>
      <c r="B213" s="2">
        <v>44104.0</v>
      </c>
      <c r="C213" s="1" t="s">
        <v>131</v>
      </c>
      <c r="D213" s="1" t="s">
        <v>132</v>
      </c>
      <c r="F213" s="1">
        <v>3.934E9</v>
      </c>
      <c r="G213" s="1">
        <v>2.816E9</v>
      </c>
      <c r="H213" s="1">
        <v>8.248E9</v>
      </c>
      <c r="I213" s="1">
        <v>2.2501E10</v>
      </c>
      <c r="J213" s="1">
        <v>7.223E9</v>
      </c>
      <c r="K213" s="1">
        <v>7.223E9</v>
      </c>
      <c r="L213" s="1">
        <v>-1.972E9</v>
      </c>
      <c r="M213" s="1">
        <v>7.66E8</v>
      </c>
      <c r="N213" s="1">
        <v>4.234E10</v>
      </c>
      <c r="O213" s="1">
        <v>3.5117E10</v>
      </c>
      <c r="P213" s="1">
        <v>1.9839E10</v>
      </c>
      <c r="Q213" s="1">
        <v>-3.289E9</v>
      </c>
      <c r="R213" s="1">
        <v>3.168E9</v>
      </c>
      <c r="S213" s="1">
        <v>2.762E9</v>
      </c>
    </row>
    <row r="214">
      <c r="A214" s="1">
        <v>212.0</v>
      </c>
      <c r="B214" s="2">
        <v>44377.0</v>
      </c>
      <c r="C214" s="1" t="s">
        <v>133</v>
      </c>
      <c r="D214" s="1" t="s">
        <v>134</v>
      </c>
      <c r="F214" s="1">
        <v>1.18315E8</v>
      </c>
      <c r="G214" s="1">
        <v>1.02411E8</v>
      </c>
      <c r="H214" s="1">
        <v>1.0133E7</v>
      </c>
      <c r="I214" s="1">
        <v>3.34213E8</v>
      </c>
      <c r="J214" s="1">
        <v>1.23257E8</v>
      </c>
      <c r="K214" s="1">
        <v>1.23257E8</v>
      </c>
      <c r="L214" s="1">
        <v>-2.0962E7</v>
      </c>
      <c r="M214" s="1">
        <v>1.5904E7</v>
      </c>
      <c r="N214" s="1">
        <v>6.05553E8</v>
      </c>
      <c r="O214" s="1">
        <v>4.82296E8</v>
      </c>
      <c r="P214" s="1">
        <v>2.7134E8</v>
      </c>
      <c r="Q214" s="1">
        <v>-4942000.0</v>
      </c>
      <c r="R214" s="1">
        <v>1.02411E8</v>
      </c>
      <c r="S214" s="1">
        <v>1.02341E8</v>
      </c>
    </row>
    <row r="215">
      <c r="A215" s="1">
        <v>213.0</v>
      </c>
      <c r="B215" s="2">
        <v>44286.0</v>
      </c>
      <c r="C215" s="1" t="s">
        <v>133</v>
      </c>
      <c r="D215" s="1" t="s">
        <v>134</v>
      </c>
      <c r="F215" s="1">
        <v>3.58542E8</v>
      </c>
      <c r="G215" s="1">
        <v>2.96754E8</v>
      </c>
      <c r="H215" s="1">
        <v>1252000.0</v>
      </c>
      <c r="I215" s="1">
        <v>5.88889E8</v>
      </c>
      <c r="J215" s="1">
        <v>3.80552E8</v>
      </c>
      <c r="K215" s="1">
        <v>3.80552E8</v>
      </c>
      <c r="L215" s="1">
        <v>-2.6096E7</v>
      </c>
      <c r="M215" s="1">
        <v>6.1788E7</v>
      </c>
      <c r="N215" s="1">
        <v>1.319073E9</v>
      </c>
      <c r="O215" s="1">
        <v>9.38521E8</v>
      </c>
      <c r="P215" s="1">
        <v>7.30184E8</v>
      </c>
      <c r="Q215" s="1">
        <v>-2.201E7</v>
      </c>
      <c r="R215" s="1">
        <v>2.96754E8</v>
      </c>
      <c r="S215" s="1">
        <v>2.96555E8</v>
      </c>
    </row>
    <row r="216">
      <c r="A216" s="1">
        <v>214.0</v>
      </c>
      <c r="B216" s="2">
        <v>44196.0</v>
      </c>
      <c r="C216" s="1" t="s">
        <v>133</v>
      </c>
      <c r="D216" s="1" t="s">
        <v>134</v>
      </c>
      <c r="F216" s="1">
        <v>2.82902E8</v>
      </c>
      <c r="G216" s="1">
        <v>2.17678E8</v>
      </c>
      <c r="H216" s="1">
        <v>1253000.0</v>
      </c>
      <c r="I216" s="1">
        <v>4.87577E8</v>
      </c>
      <c r="J216" s="1">
        <v>2.97587E8</v>
      </c>
      <c r="K216" s="1">
        <v>2.97587E8</v>
      </c>
      <c r="L216" s="1">
        <v>-2.201E7</v>
      </c>
      <c r="M216" s="1">
        <v>6.5224E7</v>
      </c>
      <c r="N216" s="1">
        <v>9.1448E8</v>
      </c>
      <c r="O216" s="1">
        <v>6.16893E8</v>
      </c>
      <c r="P216" s="1">
        <v>4.26903E8</v>
      </c>
      <c r="Q216" s="1">
        <v>-1.4685E7</v>
      </c>
      <c r="R216" s="1">
        <v>2.17678E8</v>
      </c>
      <c r="S216" s="1">
        <v>2.17527E8</v>
      </c>
    </row>
    <row r="217">
      <c r="A217" s="1">
        <v>215.0</v>
      </c>
      <c r="B217" s="2">
        <v>44104.0</v>
      </c>
      <c r="C217" s="1" t="s">
        <v>133</v>
      </c>
      <c r="D217" s="1" t="s">
        <v>134</v>
      </c>
      <c r="F217" s="1">
        <v>8.3389E7</v>
      </c>
      <c r="G217" s="1">
        <v>6.5333E7</v>
      </c>
      <c r="H217" s="1">
        <v>-1866000.0</v>
      </c>
      <c r="I217" s="1">
        <v>2.76811E8</v>
      </c>
      <c r="J217" s="1">
        <v>1.02711E8</v>
      </c>
      <c r="K217" s="1">
        <v>1.02711E8</v>
      </c>
      <c r="L217" s="1">
        <v>-1.5494E7</v>
      </c>
      <c r="M217" s="1">
        <v>1.8056E7</v>
      </c>
      <c r="N217" s="1">
        <v>4.74914E8</v>
      </c>
      <c r="O217" s="1">
        <v>3.72203E8</v>
      </c>
      <c r="P217" s="1">
        <v>1.98103E8</v>
      </c>
      <c r="Q217" s="1">
        <v>-1.9322E7</v>
      </c>
      <c r="R217" s="1">
        <v>6.5333E7</v>
      </c>
      <c r="S217" s="1">
        <v>6.5297E7</v>
      </c>
    </row>
    <row r="218">
      <c r="A218" s="1">
        <v>216.0</v>
      </c>
      <c r="B218" s="2">
        <v>44408.0</v>
      </c>
      <c r="C218" s="1" t="s">
        <v>136</v>
      </c>
      <c r="D218" s="1" t="s">
        <v>137</v>
      </c>
      <c r="E218" s="1">
        <v>2.678E8</v>
      </c>
      <c r="F218" s="1">
        <v>1.388E8</v>
      </c>
      <c r="G218" s="1">
        <v>1.156E8</v>
      </c>
      <c r="H218" s="1">
        <v>5.227E8</v>
      </c>
      <c r="I218" s="1">
        <v>9.681E8</v>
      </c>
      <c r="J218" s="1">
        <v>1.529E8</v>
      </c>
      <c r="K218" s="1">
        <v>1.529E8</v>
      </c>
      <c r="L218" s="1">
        <v>-1.28E7</v>
      </c>
      <c r="M218" s="1">
        <v>2.32E7</v>
      </c>
      <c r="N218" s="1">
        <v>1.0597E9</v>
      </c>
      <c r="O218" s="1">
        <v>9.068E8</v>
      </c>
      <c r="P218" s="1">
        <v>9.16E7</v>
      </c>
      <c r="Q218" s="1">
        <v>-1.41E7</v>
      </c>
      <c r="R218" s="1">
        <v>1.156E8</v>
      </c>
      <c r="S218" s="1">
        <v>1.156E8</v>
      </c>
    </row>
    <row r="219">
      <c r="A219" s="1">
        <v>217.0</v>
      </c>
      <c r="B219" s="2">
        <v>44316.0</v>
      </c>
      <c r="C219" s="1" t="s">
        <v>136</v>
      </c>
      <c r="D219" s="1" t="s">
        <v>137</v>
      </c>
      <c r="E219" s="1">
        <v>2.558E8</v>
      </c>
      <c r="F219" s="1">
        <v>1.314E8</v>
      </c>
      <c r="G219" s="1">
        <v>1.556E8</v>
      </c>
      <c r="H219" s="1">
        <v>4.87E8</v>
      </c>
      <c r="I219" s="1">
        <v>9.069E8</v>
      </c>
      <c r="J219" s="1">
        <v>1.457E8</v>
      </c>
      <c r="K219" s="1">
        <v>1.457E8</v>
      </c>
      <c r="L219" s="1">
        <v>-1.06E7</v>
      </c>
      <c r="M219" s="1">
        <v>-2.42E7</v>
      </c>
      <c r="N219" s="1">
        <v>9.893E8</v>
      </c>
      <c r="O219" s="1">
        <v>8.436E8</v>
      </c>
      <c r="P219" s="1">
        <v>8.24E7</v>
      </c>
      <c r="Q219" s="1">
        <v>-1.43E7</v>
      </c>
      <c r="R219" s="1">
        <v>1.556E8</v>
      </c>
      <c r="S219" s="1">
        <v>1.556E8</v>
      </c>
    </row>
    <row r="220">
      <c r="A220" s="1">
        <v>218.0</v>
      </c>
      <c r="B220" s="2">
        <v>44227.0</v>
      </c>
      <c r="C220" s="1" t="s">
        <v>136</v>
      </c>
      <c r="D220" s="1" t="s">
        <v>137</v>
      </c>
      <c r="E220" s="1">
        <v>2.44E8</v>
      </c>
      <c r="F220" s="1">
        <v>1.711E8</v>
      </c>
      <c r="G220" s="1">
        <v>9.113E8</v>
      </c>
      <c r="H220" s="1">
        <v>5.016E8</v>
      </c>
      <c r="I220" s="1">
        <v>9.573E8</v>
      </c>
      <c r="J220" s="1">
        <v>1.945E8</v>
      </c>
      <c r="K220" s="1">
        <v>1.945E8</v>
      </c>
      <c r="L220" s="1">
        <v>-6200000.0</v>
      </c>
      <c r="M220" s="1">
        <v>-7.402E8</v>
      </c>
      <c r="N220" s="1">
        <v>1.0392E9</v>
      </c>
      <c r="O220" s="1">
        <v>8.447E8</v>
      </c>
      <c r="P220" s="1">
        <v>8.19E7</v>
      </c>
      <c r="Q220" s="1">
        <v>-2.34E7</v>
      </c>
      <c r="R220" s="1">
        <v>9.113E8</v>
      </c>
      <c r="S220" s="1">
        <v>9.113E8</v>
      </c>
    </row>
    <row r="221">
      <c r="A221" s="1">
        <v>219.0</v>
      </c>
      <c r="B221" s="2">
        <v>44135.0</v>
      </c>
      <c r="C221" s="1" t="s">
        <v>136</v>
      </c>
      <c r="D221" s="1" t="s">
        <v>137</v>
      </c>
      <c r="E221" s="1">
        <v>2.234E8</v>
      </c>
      <c r="F221" s="1">
        <v>1.561E8</v>
      </c>
      <c r="G221" s="1">
        <v>1.322E8</v>
      </c>
      <c r="H221" s="1">
        <v>4.634E8</v>
      </c>
      <c r="I221" s="1">
        <v>8.765E8</v>
      </c>
      <c r="J221" s="1">
        <v>1.725E8</v>
      </c>
      <c r="K221" s="1">
        <v>1.725E8</v>
      </c>
      <c r="L221" s="1">
        <v>-1.46E7</v>
      </c>
      <c r="M221" s="1">
        <v>2.39E7</v>
      </c>
      <c r="N221" s="1">
        <v>9.524E8</v>
      </c>
      <c r="O221" s="1">
        <v>7.799E8</v>
      </c>
      <c r="P221" s="1">
        <v>7.59E7</v>
      </c>
      <c r="Q221" s="1">
        <v>-1.64E7</v>
      </c>
      <c r="R221" s="1">
        <v>1.322E8</v>
      </c>
      <c r="S221" s="1">
        <v>1.322E8</v>
      </c>
    </row>
    <row r="222">
      <c r="A222" s="1">
        <v>220.0</v>
      </c>
      <c r="B222" s="2">
        <v>44377.0</v>
      </c>
      <c r="C222" s="1" t="s">
        <v>138</v>
      </c>
      <c r="D222" s="1" t="s">
        <v>139</v>
      </c>
      <c r="F222" s="1">
        <v>6.971E8</v>
      </c>
      <c r="G222" s="1">
        <v>5.382E8</v>
      </c>
      <c r="H222" s="1">
        <v>8.503E8</v>
      </c>
      <c r="I222" s="1">
        <v>1.631E9</v>
      </c>
      <c r="J222" s="1">
        <v>6.812E8</v>
      </c>
      <c r="K222" s="1">
        <v>6.812E8</v>
      </c>
      <c r="L222" s="1">
        <v>-1.73E7</v>
      </c>
      <c r="M222" s="1">
        <v>1.589E8</v>
      </c>
      <c r="N222" s="1">
        <v>3.737E9</v>
      </c>
      <c r="O222" s="1">
        <v>3.0558E9</v>
      </c>
      <c r="P222" s="1">
        <v>2.106E9</v>
      </c>
      <c r="Q222" s="1">
        <v>1.59E7</v>
      </c>
      <c r="R222" s="1">
        <v>5.382E8</v>
      </c>
      <c r="S222" s="1">
        <v>5.382E8</v>
      </c>
    </row>
    <row r="223">
      <c r="A223" s="1">
        <v>221.0</v>
      </c>
      <c r="B223" s="2">
        <v>44286.0</v>
      </c>
      <c r="C223" s="1" t="s">
        <v>138</v>
      </c>
      <c r="D223" s="1" t="s">
        <v>139</v>
      </c>
      <c r="F223" s="1">
        <v>1.0662E9</v>
      </c>
      <c r="G223" s="1">
        <v>8.107E8</v>
      </c>
      <c r="H223" s="1">
        <v>7.475E8</v>
      </c>
      <c r="I223" s="1">
        <v>1.9239E9</v>
      </c>
      <c r="J223" s="1">
        <v>1.0764E9</v>
      </c>
      <c r="K223" s="1">
        <v>1.0764E9</v>
      </c>
      <c r="L223" s="1">
        <v>-1.35E7</v>
      </c>
      <c r="M223" s="1">
        <v>2.555E8</v>
      </c>
      <c r="N223" s="1">
        <v>4.102E9</v>
      </c>
      <c r="O223" s="1">
        <v>3.0256E9</v>
      </c>
      <c r="P223" s="1">
        <v>2.1781E9</v>
      </c>
      <c r="Q223" s="1">
        <v>-1.02E7</v>
      </c>
      <c r="R223" s="1">
        <v>8.107E8</v>
      </c>
      <c r="S223" s="1">
        <v>8.107E8</v>
      </c>
    </row>
    <row r="224">
      <c r="A224" s="1">
        <v>222.0</v>
      </c>
      <c r="B224" s="2">
        <v>44196.0</v>
      </c>
      <c r="C224" s="1" t="s">
        <v>138</v>
      </c>
      <c r="D224" s="1" t="s">
        <v>139</v>
      </c>
      <c r="F224" s="1">
        <v>8.326E8</v>
      </c>
      <c r="G224" s="1">
        <v>6.475E8</v>
      </c>
      <c r="H224" s="1">
        <v>7.443E8</v>
      </c>
      <c r="I224" s="1">
        <v>1.6734E9</v>
      </c>
      <c r="J224" s="1">
        <v>8.29E8</v>
      </c>
      <c r="K224" s="1">
        <v>8.29E8</v>
      </c>
      <c r="L224" s="1">
        <v>-1.39E7</v>
      </c>
      <c r="M224" s="1">
        <v>1.851E8</v>
      </c>
      <c r="N224" s="1">
        <v>3.6957E9</v>
      </c>
      <c r="O224" s="1">
        <v>2.8667E9</v>
      </c>
      <c r="P224" s="1">
        <v>2.0223E9</v>
      </c>
      <c r="Q224" s="1">
        <v>3600000.0</v>
      </c>
      <c r="R224" s="1">
        <v>6.475E8</v>
      </c>
      <c r="S224" s="1">
        <v>6.475E8</v>
      </c>
    </row>
    <row r="225">
      <c r="A225" s="1">
        <v>223.0</v>
      </c>
      <c r="B225" s="2">
        <v>44104.0</v>
      </c>
      <c r="C225" s="1" t="s">
        <v>138</v>
      </c>
      <c r="D225" s="1" t="s">
        <v>139</v>
      </c>
      <c r="F225" s="1">
        <v>7.652E8</v>
      </c>
      <c r="G225" s="1">
        <v>6.021E8</v>
      </c>
      <c r="H225" s="1">
        <v>6.676E8</v>
      </c>
      <c r="I225" s="1">
        <v>1.5399E9</v>
      </c>
      <c r="J225" s="1">
        <v>7.688E8</v>
      </c>
      <c r="K225" s="1">
        <v>7.688E8</v>
      </c>
      <c r="L225" s="1">
        <v>-1.51E7</v>
      </c>
      <c r="M225" s="1">
        <v>1.631E8</v>
      </c>
      <c r="N225" s="1">
        <v>3.4707E9</v>
      </c>
      <c r="O225" s="1">
        <v>2.7019E9</v>
      </c>
      <c r="P225" s="1">
        <v>1.9308E9</v>
      </c>
      <c r="Q225" s="1">
        <v>-3600000.0</v>
      </c>
      <c r="R225" s="1">
        <v>6.021E8</v>
      </c>
      <c r="S225" s="1">
        <v>6.021E8</v>
      </c>
    </row>
    <row r="226">
      <c r="A226" s="1">
        <v>224.0</v>
      </c>
      <c r="B226" s="2">
        <v>44436.0</v>
      </c>
      <c r="C226" s="1" t="s">
        <v>141</v>
      </c>
      <c r="D226" s="1" t="s">
        <v>142</v>
      </c>
      <c r="F226" s="1">
        <v>9.8591E8</v>
      </c>
      <c r="G226" s="1">
        <v>7.85771E8</v>
      </c>
      <c r="H226" s="1">
        <v>1.526809E9</v>
      </c>
      <c r="I226" s="1">
        <v>2.567839E9</v>
      </c>
      <c r="J226" s="1">
        <v>1.04103E9</v>
      </c>
      <c r="K226" s="1">
        <v>1.04103E9</v>
      </c>
      <c r="L226" s="1">
        <v>-6.3537E7</v>
      </c>
      <c r="M226" s="1">
        <v>2.00139E8</v>
      </c>
      <c r="N226" s="1">
        <v>4.913484E9</v>
      </c>
      <c r="O226" s="1">
        <v>3.872454E9</v>
      </c>
      <c r="P226" s="1">
        <v>2.345645E9</v>
      </c>
      <c r="Q226" s="1">
        <v>-5.512E7</v>
      </c>
      <c r="R226" s="1">
        <v>7.85771E8</v>
      </c>
      <c r="S226" s="1">
        <v>7.85771E8</v>
      </c>
    </row>
    <row r="227">
      <c r="A227" s="1">
        <v>225.0</v>
      </c>
      <c r="B227" s="2">
        <v>44324.0</v>
      </c>
      <c r="C227" s="1" t="s">
        <v>141</v>
      </c>
      <c r="D227" s="1" t="s">
        <v>142</v>
      </c>
      <c r="F227" s="1">
        <v>7.58479E8</v>
      </c>
      <c r="G227" s="1">
        <v>5.96164E8</v>
      </c>
      <c r="H227" s="1">
        <v>1.111441E9</v>
      </c>
      <c r="I227" s="1">
        <v>1.914946E9</v>
      </c>
      <c r="J227" s="1">
        <v>8.03505E8</v>
      </c>
      <c r="K227" s="1">
        <v>8.03505E8</v>
      </c>
      <c r="L227" s="1">
        <v>-4.5026E7</v>
      </c>
      <c r="M227" s="1">
        <v>1.62315E8</v>
      </c>
      <c r="N227" s="1">
        <v>3.651023E9</v>
      </c>
      <c r="O227" s="1">
        <v>2.847518E9</v>
      </c>
      <c r="P227" s="1">
        <v>1.736077E9</v>
      </c>
      <c r="Q227" s="1">
        <v>-4.5026E7</v>
      </c>
      <c r="R227" s="1">
        <v>5.96164E8</v>
      </c>
      <c r="S227" s="1">
        <v>5.96164E8</v>
      </c>
    </row>
    <row r="228">
      <c r="A228" s="1">
        <v>226.0</v>
      </c>
      <c r="B228" s="2">
        <v>44240.0</v>
      </c>
      <c r="C228" s="1" t="s">
        <v>141</v>
      </c>
      <c r="D228" s="1" t="s">
        <v>142</v>
      </c>
      <c r="F228" s="1">
        <v>4.35755E8</v>
      </c>
      <c r="G228" s="1">
        <v>3.45946E8</v>
      </c>
      <c r="H228" s="1">
        <v>1.037716E9</v>
      </c>
      <c r="I228" s="1">
        <v>1.559383E9</v>
      </c>
      <c r="J228" s="1">
        <v>5.21667E8</v>
      </c>
      <c r="K228" s="1">
        <v>5.21667E8</v>
      </c>
      <c r="L228" s="1">
        <v>-4.6012E7</v>
      </c>
      <c r="M228" s="1">
        <v>8.9809E7</v>
      </c>
      <c r="N228" s="1">
        <v>2.910818E9</v>
      </c>
      <c r="O228" s="1">
        <v>2.389151E9</v>
      </c>
      <c r="P228" s="1">
        <v>1.351435E9</v>
      </c>
      <c r="Q228" s="1">
        <v>-8.5912E7</v>
      </c>
      <c r="R228" s="1">
        <v>3.45946E8</v>
      </c>
      <c r="S228" s="1">
        <v>3.45946E8</v>
      </c>
    </row>
    <row r="229">
      <c r="A229" s="1">
        <v>227.0</v>
      </c>
      <c r="B229" s="2">
        <v>44156.0</v>
      </c>
      <c r="C229" s="1" t="s">
        <v>141</v>
      </c>
      <c r="D229" s="1" t="s">
        <v>142</v>
      </c>
      <c r="F229" s="1">
        <v>5.69046E8</v>
      </c>
      <c r="G229" s="1">
        <v>4.42433E8</v>
      </c>
      <c r="H229" s="1">
        <v>1.060392E9</v>
      </c>
      <c r="I229" s="1">
        <v>1.675617E9</v>
      </c>
      <c r="J229" s="1">
        <v>6.15225E8</v>
      </c>
      <c r="K229" s="1">
        <v>6.15225E8</v>
      </c>
      <c r="L229" s="1">
        <v>-4.6179E7</v>
      </c>
      <c r="M229" s="1">
        <v>1.26613E8</v>
      </c>
      <c r="N229" s="1">
        <v>3.154261E9</v>
      </c>
      <c r="O229" s="1">
        <v>2.539036E9</v>
      </c>
      <c r="P229" s="1">
        <v>1.478644E9</v>
      </c>
      <c r="Q229" s="1">
        <v>-4.6179E7</v>
      </c>
      <c r="R229" s="1">
        <v>4.42433E8</v>
      </c>
      <c r="S229" s="1">
        <v>4.42433E8</v>
      </c>
    </row>
    <row r="230">
      <c r="A230" s="1">
        <v>228.0</v>
      </c>
      <c r="B230" s="2">
        <v>44377.0</v>
      </c>
      <c r="C230" s="1" t="s">
        <v>143</v>
      </c>
      <c r="D230" s="1" t="s">
        <v>144</v>
      </c>
      <c r="F230" s="1">
        <v>4.47987E8</v>
      </c>
      <c r="G230" s="1">
        <v>4.47953E8</v>
      </c>
      <c r="H230" s="1">
        <v>1.9112E7</v>
      </c>
      <c r="I230" s="1">
        <v>3.47692E8</v>
      </c>
      <c r="J230" s="1">
        <v>1.44108E8</v>
      </c>
      <c r="K230" s="1">
        <v>1.44108E8</v>
      </c>
      <c r="L230" s="1">
        <v>-5.6104E7</v>
      </c>
      <c r="M230" s="1">
        <v>10000.0</v>
      </c>
      <c r="N230" s="1">
        <v>5.61743E8</v>
      </c>
      <c r="O230" s="1">
        <v>4.17635E8</v>
      </c>
      <c r="P230" s="1">
        <v>2.14051E8</v>
      </c>
      <c r="Q230" s="1">
        <v>3.03879E8</v>
      </c>
      <c r="R230" s="1">
        <v>4.47977E8</v>
      </c>
      <c r="S230" s="1">
        <v>4.47953E8</v>
      </c>
    </row>
    <row r="231">
      <c r="A231" s="1">
        <v>229.0</v>
      </c>
      <c r="B231" s="2">
        <v>44286.0</v>
      </c>
      <c r="C231" s="1" t="s">
        <v>143</v>
      </c>
      <c r="D231" s="1" t="s">
        <v>144</v>
      </c>
      <c r="F231" s="1">
        <v>1.41479E8</v>
      </c>
      <c r="G231" s="1">
        <v>1.42223E8</v>
      </c>
      <c r="H231" s="1">
        <v>1.8265E7</v>
      </c>
      <c r="I231" s="1">
        <v>3.42152E8</v>
      </c>
      <c r="J231" s="1">
        <v>1.4059E8</v>
      </c>
      <c r="K231" s="1">
        <v>1.4059E8</v>
      </c>
      <c r="L231" s="1">
        <v>-5.2613E7</v>
      </c>
      <c r="M231" s="1">
        <v>-755000.0</v>
      </c>
      <c r="N231" s="1">
        <v>5.51196E8</v>
      </c>
      <c r="O231" s="1">
        <v>4.10606E8</v>
      </c>
      <c r="P231" s="1">
        <v>2.09044E8</v>
      </c>
      <c r="Q231" s="1">
        <v>889000.0</v>
      </c>
      <c r="R231" s="1">
        <v>1.42234E8</v>
      </c>
      <c r="S231" s="1">
        <v>1.41899E8</v>
      </c>
    </row>
    <row r="232">
      <c r="A232" s="1">
        <v>230.0</v>
      </c>
      <c r="B232" s="2">
        <v>44196.0</v>
      </c>
      <c r="C232" s="1" t="s">
        <v>143</v>
      </c>
      <c r="D232" s="1" t="s">
        <v>144</v>
      </c>
      <c r="F232" s="1">
        <v>3.38936E8</v>
      </c>
      <c r="G232" s="1">
        <v>3.41128E8</v>
      </c>
      <c r="H232" s="1">
        <v>1.0914E7</v>
      </c>
      <c r="I232" s="1">
        <v>3.37684E8</v>
      </c>
      <c r="J232" s="1">
        <v>1.48947E8</v>
      </c>
      <c r="K232" s="1">
        <v>1.48947E8</v>
      </c>
      <c r="L232" s="1">
        <v>-5.1589E7</v>
      </c>
      <c r="M232" s="1">
        <v>-2178000.0</v>
      </c>
      <c r="N232" s="1">
        <v>5.4871E8</v>
      </c>
      <c r="O232" s="1">
        <v>3.99763E8</v>
      </c>
      <c r="P232" s="1">
        <v>2.11026E8</v>
      </c>
      <c r="Q232" s="1">
        <v>1.89989E8</v>
      </c>
      <c r="R232" s="1">
        <v>3.41114E8</v>
      </c>
      <c r="S232" s="1">
        <v>3.40331E8</v>
      </c>
    </row>
    <row r="233">
      <c r="A233" s="1">
        <v>231.0</v>
      </c>
      <c r="B233" s="2">
        <v>44104.0</v>
      </c>
      <c r="C233" s="1" t="s">
        <v>143</v>
      </c>
      <c r="D233" s="1" t="s">
        <v>144</v>
      </c>
      <c r="F233" s="1">
        <v>1.4769E8</v>
      </c>
      <c r="G233" s="1">
        <v>1.47703E8</v>
      </c>
      <c r="H233" s="1">
        <v>1.3985E7</v>
      </c>
      <c r="I233" s="1">
        <v>3.59605E8</v>
      </c>
      <c r="J233" s="1">
        <v>1.70272E8</v>
      </c>
      <c r="K233" s="1">
        <v>1.70272E8</v>
      </c>
      <c r="L233" s="1">
        <v>-5.3249E7</v>
      </c>
      <c r="M233" s="1">
        <v>-27000.0</v>
      </c>
      <c r="N233" s="1">
        <v>5.73015E8</v>
      </c>
      <c r="O233" s="1">
        <v>4.02743E8</v>
      </c>
      <c r="P233" s="1">
        <v>2.1341E8</v>
      </c>
      <c r="Q233" s="1">
        <v>-2.2582E7</v>
      </c>
      <c r="R233" s="1">
        <v>1.47717E8</v>
      </c>
      <c r="S233" s="1">
        <v>1.47361E8</v>
      </c>
    </row>
    <row r="234">
      <c r="A234" s="1">
        <v>232.0</v>
      </c>
      <c r="B234" s="2">
        <v>44380.0</v>
      </c>
      <c r="C234" s="1" t="s">
        <v>146</v>
      </c>
      <c r="D234" s="1" t="s">
        <v>147</v>
      </c>
      <c r="F234" s="1">
        <v>2.542E8</v>
      </c>
      <c r="G234" s="1">
        <v>1.838E8</v>
      </c>
      <c r="H234" s="1">
        <v>3.07E8</v>
      </c>
      <c r="I234" s="1">
        <v>5.763E8</v>
      </c>
      <c r="J234" s="1">
        <v>2.693E8</v>
      </c>
      <c r="K234" s="1">
        <v>2.693E8</v>
      </c>
      <c r="L234" s="1">
        <v>-1.6E7</v>
      </c>
      <c r="M234" s="1">
        <v>7.04E7</v>
      </c>
      <c r="N234" s="1">
        <v>2.102E9</v>
      </c>
      <c r="O234" s="1">
        <v>1.8327E9</v>
      </c>
      <c r="P234" s="1">
        <v>1.5257E9</v>
      </c>
      <c r="Q234" s="1">
        <v>-1.51E7</v>
      </c>
      <c r="R234" s="1">
        <v>1.838E8</v>
      </c>
      <c r="S234" s="1">
        <v>1.838E8</v>
      </c>
    </row>
    <row r="235">
      <c r="A235" s="1">
        <v>233.0</v>
      </c>
      <c r="B235" s="2">
        <v>44289.0</v>
      </c>
      <c r="C235" s="1" t="s">
        <v>146</v>
      </c>
      <c r="D235" s="1" t="s">
        <v>147</v>
      </c>
      <c r="F235" s="1">
        <v>2.676E8</v>
      </c>
      <c r="G235" s="1">
        <v>2.095E8</v>
      </c>
      <c r="H235" s="1">
        <v>3.123E8</v>
      </c>
      <c r="I235" s="1">
        <v>5.97E8</v>
      </c>
      <c r="J235" s="1">
        <v>2.847E8</v>
      </c>
      <c r="K235" s="1">
        <v>2.847E8</v>
      </c>
      <c r="L235" s="1">
        <v>-1.62E7</v>
      </c>
      <c r="M235" s="1">
        <v>5.81E7</v>
      </c>
      <c r="N235" s="1">
        <v>2.0513E9</v>
      </c>
      <c r="O235" s="1">
        <v>1.7666E9</v>
      </c>
      <c r="P235" s="1">
        <v>1.4543E9</v>
      </c>
      <c r="Q235" s="1">
        <v>-1.71E7</v>
      </c>
      <c r="R235" s="1">
        <v>2.095E8</v>
      </c>
      <c r="S235" s="1">
        <v>2.095E8</v>
      </c>
    </row>
    <row r="236">
      <c r="A236" s="1">
        <v>234.0</v>
      </c>
      <c r="B236" s="2">
        <v>44198.0</v>
      </c>
      <c r="C236" s="1" t="s">
        <v>146</v>
      </c>
      <c r="D236" s="1" t="s">
        <v>147</v>
      </c>
      <c r="E236" s="1">
        <v>1.128E8</v>
      </c>
      <c r="F236" s="1">
        <v>2.544E8</v>
      </c>
      <c r="G236" s="1">
        <v>1.915E8</v>
      </c>
      <c r="H236" s="1">
        <v>1.782E8</v>
      </c>
      <c r="I236" s="1">
        <v>5.711E8</v>
      </c>
      <c r="J236" s="1">
        <v>2.801E8</v>
      </c>
      <c r="K236" s="1">
        <v>2.801E8</v>
      </c>
      <c r="L236" s="1">
        <v>-1.56E7</v>
      </c>
      <c r="M236" s="1">
        <v>6.29E7</v>
      </c>
      <c r="N236" s="1">
        <v>1.9909E9</v>
      </c>
      <c r="O236" s="1">
        <v>1.7108E9</v>
      </c>
      <c r="P236" s="1">
        <v>1.4198E9</v>
      </c>
      <c r="Q236" s="1">
        <v>-2.57E7</v>
      </c>
      <c r="R236" s="1">
        <v>1.915E8</v>
      </c>
      <c r="S236" s="1">
        <v>1.915E8</v>
      </c>
    </row>
    <row r="237">
      <c r="A237" s="1">
        <v>235.0</v>
      </c>
      <c r="B237" s="2">
        <v>44100.0</v>
      </c>
      <c r="C237" s="1" t="s">
        <v>146</v>
      </c>
      <c r="D237" s="1" t="s">
        <v>147</v>
      </c>
      <c r="E237" s="1">
        <v>1.128E8</v>
      </c>
      <c r="F237" s="1">
        <v>1.968E8</v>
      </c>
      <c r="G237" s="1">
        <v>1.505E8</v>
      </c>
      <c r="H237" s="1">
        <v>2.583E8</v>
      </c>
      <c r="I237" s="1">
        <v>4.842E8</v>
      </c>
      <c r="J237" s="1">
        <v>2.259E8</v>
      </c>
      <c r="K237" s="1">
        <v>2.259E8</v>
      </c>
      <c r="L237" s="1">
        <v>-1.56E7</v>
      </c>
      <c r="M237" s="1">
        <v>4.63E7</v>
      </c>
      <c r="N237" s="1">
        <v>1.7291E9</v>
      </c>
      <c r="O237" s="1">
        <v>1.5032E9</v>
      </c>
      <c r="P237" s="1">
        <v>1.2449E9</v>
      </c>
      <c r="Q237" s="1">
        <v>-2.91E7</v>
      </c>
      <c r="R237" s="1">
        <v>1.505E8</v>
      </c>
      <c r="S237" s="1">
        <v>1.505E8</v>
      </c>
    </row>
    <row r="238">
      <c r="A238" s="1">
        <v>236.0</v>
      </c>
      <c r="B238" s="2">
        <v>44469.0</v>
      </c>
      <c r="C238" s="1" t="s">
        <v>148</v>
      </c>
      <c r="D238" s="1" t="s">
        <v>149</v>
      </c>
      <c r="F238" s="1">
        <v>2.09E8</v>
      </c>
      <c r="G238" s="1">
        <v>8000000.0</v>
      </c>
      <c r="H238" s="1">
        <v>6.07E8</v>
      </c>
      <c r="I238" s="1">
        <v>1.01E9</v>
      </c>
      <c r="J238" s="1">
        <v>4.03E8</v>
      </c>
      <c r="K238" s="1">
        <v>4.03E8</v>
      </c>
      <c r="L238" s="1">
        <v>-6.7E7</v>
      </c>
      <c r="M238" s="1">
        <v>1.93E8</v>
      </c>
      <c r="N238" s="1">
        <v>5.093E9</v>
      </c>
      <c r="O238" s="1">
        <v>4.69E9</v>
      </c>
      <c r="P238" s="1">
        <v>4.083E9</v>
      </c>
      <c r="Q238" s="1">
        <v>-1.94E8</v>
      </c>
      <c r="R238" s="1">
        <v>1.6E7</v>
      </c>
      <c r="S238" s="1">
        <v>8000000.0</v>
      </c>
    </row>
    <row r="239">
      <c r="A239" s="1">
        <v>237.0</v>
      </c>
      <c r="B239" s="2">
        <v>44377.0</v>
      </c>
      <c r="C239" s="1" t="s">
        <v>148</v>
      </c>
      <c r="D239" s="1" t="s">
        <v>149</v>
      </c>
      <c r="F239" s="1">
        <v>6.6E7</v>
      </c>
      <c r="G239" s="1">
        <v>-6.8E7</v>
      </c>
      <c r="H239" s="1">
        <v>6.36E8</v>
      </c>
      <c r="I239" s="1">
        <v>9.76E8</v>
      </c>
      <c r="J239" s="1">
        <v>2.8E8</v>
      </c>
      <c r="K239" s="1">
        <v>2.8E8</v>
      </c>
      <c r="L239" s="1">
        <v>-6.5E7</v>
      </c>
      <c r="M239" s="1">
        <v>1.43E8</v>
      </c>
      <c r="N239" s="1">
        <v>5.142E9</v>
      </c>
      <c r="O239" s="1">
        <v>4.862E9</v>
      </c>
      <c r="P239" s="1">
        <v>4.166E9</v>
      </c>
      <c r="Q239" s="1">
        <v>-2.14E8</v>
      </c>
      <c r="R239" s="1">
        <v>-7.7E7</v>
      </c>
      <c r="S239" s="1">
        <v>-6.8E7</v>
      </c>
    </row>
    <row r="240">
      <c r="A240" s="1">
        <v>238.0</v>
      </c>
      <c r="B240" s="2">
        <v>44286.0</v>
      </c>
      <c r="C240" s="1" t="s">
        <v>148</v>
      </c>
      <c r="D240" s="1" t="s">
        <v>149</v>
      </c>
      <c r="F240" s="1">
        <v>-5.36E8</v>
      </c>
      <c r="G240" s="1">
        <v>-4.52E8</v>
      </c>
      <c r="H240" s="1">
        <v>5.82E8</v>
      </c>
      <c r="I240" s="1">
        <v>8.58E8</v>
      </c>
      <c r="J240" s="1">
        <v>2.61E8</v>
      </c>
      <c r="K240" s="1">
        <v>2.61E8</v>
      </c>
      <c r="L240" s="1">
        <v>-7.4E7</v>
      </c>
      <c r="M240" s="1">
        <v>6.9E7</v>
      </c>
      <c r="N240" s="1">
        <v>4.782E9</v>
      </c>
      <c r="O240" s="1">
        <v>4.521E9</v>
      </c>
      <c r="P240" s="1">
        <v>3.924E9</v>
      </c>
      <c r="Q240" s="1">
        <v>-7.97E8</v>
      </c>
      <c r="R240" s="1">
        <v>-6.05E8</v>
      </c>
      <c r="S240" s="1">
        <v>-4.52E8</v>
      </c>
    </row>
    <row r="241">
      <c r="A241" s="1">
        <v>239.0</v>
      </c>
      <c r="B241" s="2">
        <v>44196.0</v>
      </c>
      <c r="C241" s="1" t="s">
        <v>148</v>
      </c>
      <c r="D241" s="1" t="s">
        <v>149</v>
      </c>
      <c r="F241" s="1">
        <v>1.52E9</v>
      </c>
      <c r="G241" s="1">
        <v>6.52E8</v>
      </c>
      <c r="H241" s="1">
        <v>5.8E8</v>
      </c>
      <c r="I241" s="1">
        <v>1.037E9</v>
      </c>
      <c r="J241" s="1">
        <v>4.63E8</v>
      </c>
      <c r="K241" s="1">
        <v>4.63E8</v>
      </c>
      <c r="L241" s="1">
        <v>-6.2E7</v>
      </c>
      <c r="M241" s="1">
        <v>5.69E8</v>
      </c>
      <c r="N241" s="1">
        <v>5.495E9</v>
      </c>
      <c r="O241" s="1">
        <v>5.032E9</v>
      </c>
      <c r="P241" s="1">
        <v>4.458E9</v>
      </c>
      <c r="Q241" s="1">
        <v>1.057E9</v>
      </c>
      <c r="R241" s="1">
        <v>9.51E8</v>
      </c>
      <c r="S241" s="1">
        <v>6.52E8</v>
      </c>
    </row>
    <row r="242">
      <c r="A242" s="1">
        <v>240.0</v>
      </c>
      <c r="B242" s="2">
        <v>44377.0</v>
      </c>
      <c r="C242" s="1" t="s">
        <v>151</v>
      </c>
      <c r="D242" s="1" t="s">
        <v>152</v>
      </c>
      <c r="F242" s="1">
        <v>3.18E8</v>
      </c>
      <c r="G242" s="1">
        <v>2.02E8</v>
      </c>
      <c r="H242" s="1">
        <v>1.66E8</v>
      </c>
      <c r="I242" s="1">
        <v>6.99E8</v>
      </c>
      <c r="J242" s="1">
        <v>3.61E8</v>
      </c>
      <c r="K242" s="1">
        <v>3.61E8</v>
      </c>
      <c r="L242" s="1">
        <v>-6.6E7</v>
      </c>
      <c r="M242" s="1">
        <v>1.16E8</v>
      </c>
      <c r="N242" s="1">
        <v>3.459E9</v>
      </c>
      <c r="O242" s="1">
        <v>3.098E9</v>
      </c>
      <c r="P242" s="1">
        <v>2.76E9</v>
      </c>
      <c r="Q242" s="1">
        <v>-4.3E7</v>
      </c>
      <c r="R242" s="1">
        <v>2.02E8</v>
      </c>
      <c r="S242" s="1">
        <v>2.02E8</v>
      </c>
    </row>
    <row r="243">
      <c r="A243" s="1">
        <v>241.0</v>
      </c>
      <c r="B243" s="2">
        <v>44286.0</v>
      </c>
      <c r="C243" s="1" t="s">
        <v>151</v>
      </c>
      <c r="D243" s="1" t="s">
        <v>152</v>
      </c>
      <c r="F243" s="1">
        <v>2.32E8</v>
      </c>
      <c r="G243" s="1">
        <v>2.0E8</v>
      </c>
      <c r="H243" s="1">
        <v>1.57E8</v>
      </c>
      <c r="I243" s="1">
        <v>6.32E8</v>
      </c>
      <c r="J243" s="1">
        <v>3.07E8</v>
      </c>
      <c r="K243" s="1">
        <v>3.07E8</v>
      </c>
      <c r="L243" s="1">
        <v>-6.7E7</v>
      </c>
      <c r="M243" s="1">
        <v>3.2E7</v>
      </c>
      <c r="N243" s="1">
        <v>3.125E9</v>
      </c>
      <c r="O243" s="1">
        <v>2.818E9</v>
      </c>
      <c r="P243" s="1">
        <v>2.493E9</v>
      </c>
      <c r="Q243" s="1">
        <v>-7.5E7</v>
      </c>
      <c r="R243" s="1">
        <v>2.0E8</v>
      </c>
      <c r="S243" s="1">
        <v>2.0E8</v>
      </c>
    </row>
    <row r="244">
      <c r="A244" s="1">
        <v>242.0</v>
      </c>
      <c r="B244" s="2">
        <v>44196.0</v>
      </c>
      <c r="C244" s="1" t="s">
        <v>151</v>
      </c>
      <c r="D244" s="1" t="s">
        <v>152</v>
      </c>
      <c r="F244" s="1">
        <v>2.34E8</v>
      </c>
      <c r="G244" s="1">
        <v>2.27E8</v>
      </c>
      <c r="H244" s="1">
        <v>1.62E8</v>
      </c>
      <c r="I244" s="1">
        <v>6.54E8</v>
      </c>
      <c r="J244" s="1">
        <v>3.23E8</v>
      </c>
      <c r="K244" s="1">
        <v>3.23E8</v>
      </c>
      <c r="L244" s="1">
        <v>-6.9E7</v>
      </c>
      <c r="M244" s="1">
        <v>7000000.0</v>
      </c>
      <c r="N244" s="1">
        <v>3.102E9</v>
      </c>
      <c r="O244" s="1">
        <v>2.779E9</v>
      </c>
      <c r="P244" s="1">
        <v>2.448E9</v>
      </c>
      <c r="Q244" s="1">
        <v>-8.9E7</v>
      </c>
      <c r="R244" s="1">
        <v>2.27E8</v>
      </c>
      <c r="S244" s="1">
        <v>2.27E8</v>
      </c>
    </row>
    <row r="245">
      <c r="A245" s="1">
        <v>243.0</v>
      </c>
      <c r="B245" s="2">
        <v>44104.0</v>
      </c>
      <c r="C245" s="1" t="s">
        <v>151</v>
      </c>
      <c r="D245" s="1" t="s">
        <v>152</v>
      </c>
      <c r="F245" s="1">
        <v>3.13E8</v>
      </c>
      <c r="G245" s="1">
        <v>2.41E8</v>
      </c>
      <c r="H245" s="1">
        <v>1.21E8</v>
      </c>
      <c r="I245" s="1">
        <v>6.63E8</v>
      </c>
      <c r="J245" s="1">
        <v>3.82E8</v>
      </c>
      <c r="K245" s="1">
        <v>3.82E8</v>
      </c>
      <c r="L245" s="1">
        <v>-6.8E7</v>
      </c>
      <c r="M245" s="1">
        <v>7.3E7</v>
      </c>
      <c r="N245" s="1">
        <v>3.093E9</v>
      </c>
      <c r="O245" s="1">
        <v>2.711E9</v>
      </c>
      <c r="P245" s="1">
        <v>2.43E9</v>
      </c>
      <c r="Q245" s="1">
        <v>-6.9E7</v>
      </c>
      <c r="R245" s="1">
        <v>2.4E8</v>
      </c>
      <c r="S245" s="1">
        <v>2.41E8</v>
      </c>
    </row>
    <row r="246">
      <c r="A246" s="1">
        <v>244.0</v>
      </c>
      <c r="B246" s="2">
        <v>44469.0</v>
      </c>
      <c r="C246" s="1" t="s">
        <v>153</v>
      </c>
      <c r="D246" s="1" t="s">
        <v>154</v>
      </c>
      <c r="F246" s="1">
        <v>8.95E9</v>
      </c>
      <c r="G246" s="1">
        <v>7.691E9</v>
      </c>
      <c r="H246" s="1">
        <v>1.2675E10</v>
      </c>
      <c r="I246" s="1">
        <v>2.339E10</v>
      </c>
      <c r="J246" s="1">
        <v>0.0</v>
      </c>
      <c r="K246" s="1">
        <v>8.95E9</v>
      </c>
      <c r="M246" s="1">
        <v>1.259E9</v>
      </c>
      <c r="N246" s="1">
        <v>2.339E10</v>
      </c>
      <c r="O246" s="1">
        <v>1.444E10</v>
      </c>
      <c r="P246" s="1">
        <v>0.0</v>
      </c>
      <c r="Q246" s="1">
        <v>0.0</v>
      </c>
      <c r="R246" s="1">
        <v>7.691E9</v>
      </c>
      <c r="S246" s="1">
        <v>7.26E9</v>
      </c>
    </row>
    <row r="247">
      <c r="A247" s="1">
        <v>245.0</v>
      </c>
      <c r="B247" s="2">
        <v>44377.0</v>
      </c>
      <c r="C247" s="1" t="s">
        <v>153</v>
      </c>
      <c r="D247" s="1" t="s">
        <v>154</v>
      </c>
      <c r="F247" s="1">
        <v>8.042E9</v>
      </c>
      <c r="G247" s="1">
        <v>9.224E9</v>
      </c>
      <c r="H247" s="1">
        <v>1.3096E10</v>
      </c>
      <c r="I247" s="1">
        <v>2.3087E10</v>
      </c>
      <c r="J247" s="1">
        <v>0.0</v>
      </c>
      <c r="K247" s="1">
        <v>8.042E9</v>
      </c>
      <c r="M247" s="1">
        <v>-1.182E9</v>
      </c>
      <c r="N247" s="1">
        <v>2.3087E10</v>
      </c>
      <c r="O247" s="1">
        <v>1.5045E10</v>
      </c>
      <c r="P247" s="1">
        <v>0.0</v>
      </c>
      <c r="Q247" s="1">
        <v>0.0</v>
      </c>
      <c r="R247" s="1">
        <v>9.224E9</v>
      </c>
      <c r="S247" s="1">
        <v>8.964E9</v>
      </c>
    </row>
    <row r="248">
      <c r="A248" s="1">
        <v>246.0</v>
      </c>
      <c r="B248" s="2">
        <v>44286.0</v>
      </c>
      <c r="C248" s="1" t="s">
        <v>153</v>
      </c>
      <c r="D248" s="1" t="s">
        <v>154</v>
      </c>
      <c r="F248" s="1">
        <v>9.166E9</v>
      </c>
      <c r="G248" s="1">
        <v>8.05E9</v>
      </c>
      <c r="H248" s="1">
        <v>1.3765E10</v>
      </c>
      <c r="I248" s="1">
        <v>2.4681E10</v>
      </c>
      <c r="J248" s="1">
        <v>0.0</v>
      </c>
      <c r="K248" s="1">
        <v>9.166E9</v>
      </c>
      <c r="M248" s="1">
        <v>1.116E9</v>
      </c>
      <c r="N248" s="1">
        <v>2.4681E10</v>
      </c>
      <c r="O248" s="1">
        <v>1.5515E10</v>
      </c>
      <c r="P248" s="1">
        <v>0.0</v>
      </c>
      <c r="Q248" s="1">
        <v>0.0</v>
      </c>
      <c r="R248" s="1">
        <v>8.05E9</v>
      </c>
      <c r="S248" s="1">
        <v>7.56E9</v>
      </c>
    </row>
    <row r="249">
      <c r="A249" s="1">
        <v>247.0</v>
      </c>
      <c r="B249" s="2">
        <v>44196.0</v>
      </c>
      <c r="C249" s="1" t="s">
        <v>153</v>
      </c>
      <c r="D249" s="1" t="s">
        <v>154</v>
      </c>
      <c r="F249" s="1">
        <v>6.119E9</v>
      </c>
      <c r="G249" s="1">
        <v>5.47E9</v>
      </c>
      <c r="H249" s="1">
        <v>1.2395E10</v>
      </c>
      <c r="I249" s="1">
        <v>2.0046E10</v>
      </c>
      <c r="J249" s="1">
        <v>0.0</v>
      </c>
      <c r="K249" s="1">
        <v>6.119E9</v>
      </c>
      <c r="M249" s="1">
        <v>6.49E8</v>
      </c>
      <c r="N249" s="1">
        <v>2.0046E10</v>
      </c>
      <c r="O249" s="1">
        <v>1.3927E10</v>
      </c>
      <c r="P249" s="1">
        <v>0.0</v>
      </c>
      <c r="Q249" s="1">
        <v>0.0</v>
      </c>
      <c r="R249" s="1">
        <v>5.47E9</v>
      </c>
      <c r="S249" s="1">
        <v>5.208E9</v>
      </c>
    </row>
    <row r="250">
      <c r="A250" s="1">
        <v>248.0</v>
      </c>
      <c r="B250" s="2">
        <v>44408.0</v>
      </c>
      <c r="C250" s="1" t="s">
        <v>155</v>
      </c>
      <c r="D250" s="1" t="s">
        <v>156</v>
      </c>
      <c r="F250" s="1">
        <v>4.99E8</v>
      </c>
      <c r="G250" s="1">
        <v>3.74E8</v>
      </c>
      <c r="H250" s="1">
        <v>8.99E8</v>
      </c>
      <c r="I250" s="1">
        <v>1.498E9</v>
      </c>
      <c r="J250" s="1">
        <v>5.99E8</v>
      </c>
      <c r="K250" s="1">
        <v>5.99E8</v>
      </c>
      <c r="L250" s="1">
        <v>-9.9E7</v>
      </c>
      <c r="M250" s="1">
        <v>1.25E8</v>
      </c>
      <c r="N250" s="1">
        <v>3.318E9</v>
      </c>
      <c r="O250" s="1">
        <v>2.719E9</v>
      </c>
      <c r="P250" s="1">
        <v>1.82E9</v>
      </c>
      <c r="Q250" s="1">
        <v>-1.0E8</v>
      </c>
      <c r="R250" s="1">
        <v>3.74E8</v>
      </c>
      <c r="S250" s="1">
        <v>3.74E8</v>
      </c>
    </row>
    <row r="251">
      <c r="A251" s="1">
        <v>249.0</v>
      </c>
      <c r="B251" s="2">
        <v>44317.0</v>
      </c>
      <c r="C251" s="1" t="s">
        <v>155</v>
      </c>
      <c r="D251" s="1" t="s">
        <v>156</v>
      </c>
      <c r="F251" s="1">
        <v>3.53E8</v>
      </c>
      <c r="G251" s="1">
        <v>2.77E8</v>
      </c>
      <c r="H251" s="1">
        <v>8.42E8</v>
      </c>
      <c r="I251" s="1">
        <v>1.414E9</v>
      </c>
      <c r="J251" s="1">
        <v>5.72E8</v>
      </c>
      <c r="K251" s="1">
        <v>5.72E8</v>
      </c>
      <c r="L251" s="1">
        <v>-1.14E8</v>
      </c>
      <c r="M251" s="1">
        <v>7.6E7</v>
      </c>
      <c r="N251" s="1">
        <v>3.024E9</v>
      </c>
      <c r="O251" s="1">
        <v>2.452E9</v>
      </c>
      <c r="P251" s="1">
        <v>1.61E9</v>
      </c>
      <c r="Q251" s="1">
        <v>-2.19E8</v>
      </c>
      <c r="R251" s="1">
        <v>2.77E8</v>
      </c>
      <c r="S251" s="1">
        <v>2.77E8</v>
      </c>
    </row>
    <row r="252">
      <c r="A252" s="1">
        <v>250.0</v>
      </c>
      <c r="B252" s="2">
        <v>44226.0</v>
      </c>
      <c r="C252" s="1" t="s">
        <v>155</v>
      </c>
      <c r="D252" s="1" t="s">
        <v>156</v>
      </c>
      <c r="F252" s="1">
        <v>1.155E9</v>
      </c>
      <c r="G252" s="1">
        <v>8.6E8</v>
      </c>
      <c r="H252" s="1">
        <v>1.731E9</v>
      </c>
      <c r="I252" s="1">
        <v>3.069E9</v>
      </c>
      <c r="J252" s="1">
        <v>1.338E9</v>
      </c>
      <c r="K252" s="1">
        <v>1.338E9</v>
      </c>
      <c r="L252" s="1">
        <v>-1.16E8</v>
      </c>
      <c r="M252" s="1">
        <v>2.95E8</v>
      </c>
      <c r="N252" s="1">
        <v>4.818E9</v>
      </c>
      <c r="O252" s="1">
        <v>3.48E9</v>
      </c>
      <c r="P252" s="1">
        <v>1.749E9</v>
      </c>
      <c r="Q252" s="1">
        <v>-1.83E8</v>
      </c>
      <c r="R252" s="1">
        <v>8.6E8</v>
      </c>
      <c r="S252" s="1">
        <v>8.6E8</v>
      </c>
    </row>
    <row r="253">
      <c r="A253" s="1">
        <v>251.0</v>
      </c>
      <c r="B253" s="2">
        <v>44135.0</v>
      </c>
      <c r="C253" s="1" t="s">
        <v>155</v>
      </c>
      <c r="D253" s="1" t="s">
        <v>156</v>
      </c>
      <c r="F253" s="1">
        <v>4.1E8</v>
      </c>
      <c r="G253" s="1">
        <v>3.31E8</v>
      </c>
      <c r="H253" s="1">
        <v>8.08E8</v>
      </c>
      <c r="I253" s="1">
        <v>1.359E9</v>
      </c>
      <c r="J253" s="1">
        <v>5.51E8</v>
      </c>
      <c r="K253" s="1">
        <v>5.51E8</v>
      </c>
      <c r="L253" s="1">
        <v>-1.21E8</v>
      </c>
      <c r="M253" s="1">
        <v>7.9E7</v>
      </c>
      <c r="N253" s="1">
        <v>3.055E9</v>
      </c>
      <c r="O253" s="1">
        <v>2.504E9</v>
      </c>
      <c r="P253" s="1">
        <v>1.696E9</v>
      </c>
      <c r="Q253" s="1">
        <v>-1.41E8</v>
      </c>
      <c r="R253" s="1">
        <v>3.31E8</v>
      </c>
      <c r="S253" s="1">
        <v>3.31E8</v>
      </c>
    </row>
    <row r="254">
      <c r="A254" s="1">
        <v>252.0</v>
      </c>
      <c r="B254" s="2">
        <v>44377.0</v>
      </c>
      <c r="C254" s="1" t="s">
        <v>157</v>
      </c>
      <c r="D254" s="1" t="s">
        <v>158</v>
      </c>
      <c r="E254" s="1">
        <v>1.39E8</v>
      </c>
      <c r="F254" s="1">
        <v>3.92E8</v>
      </c>
      <c r="G254" s="1">
        <v>2.98E8</v>
      </c>
      <c r="H254" s="1">
        <v>6.52E8</v>
      </c>
      <c r="I254" s="1">
        <v>1.254E9</v>
      </c>
      <c r="J254" s="1">
        <v>4.63E8</v>
      </c>
      <c r="K254" s="1">
        <v>4.63E8</v>
      </c>
      <c r="L254" s="1">
        <v>-3.7E7</v>
      </c>
      <c r="M254" s="1">
        <v>9.1E7</v>
      </c>
      <c r="N254" s="1">
        <v>3.098E9</v>
      </c>
      <c r="O254" s="1">
        <v>2.635E9</v>
      </c>
      <c r="P254" s="1">
        <v>1.844E9</v>
      </c>
      <c r="Q254" s="1">
        <v>-7.1E7</v>
      </c>
      <c r="R254" s="1">
        <v>3.01E8</v>
      </c>
      <c r="S254" s="1">
        <v>2.98E8</v>
      </c>
    </row>
    <row r="255">
      <c r="A255" s="1">
        <v>253.0</v>
      </c>
      <c r="B255" s="2">
        <v>44286.0</v>
      </c>
      <c r="C255" s="1" t="s">
        <v>157</v>
      </c>
      <c r="D255" s="1" t="s">
        <v>158</v>
      </c>
      <c r="E255" s="1">
        <v>1.28E8</v>
      </c>
      <c r="F255" s="1">
        <v>3.51E8</v>
      </c>
      <c r="G255" s="1">
        <v>2.98E8</v>
      </c>
      <c r="H255" s="1">
        <v>6.24E8</v>
      </c>
      <c r="I255" s="1">
        <v>1.174E9</v>
      </c>
      <c r="J255" s="1">
        <v>4.22E8</v>
      </c>
      <c r="K255" s="1">
        <v>4.22E8</v>
      </c>
      <c r="L255" s="1">
        <v>-3.7E7</v>
      </c>
      <c r="M255" s="1">
        <v>5.1E7</v>
      </c>
      <c r="N255" s="1">
        <v>2.946E9</v>
      </c>
      <c r="O255" s="1">
        <v>2.524E9</v>
      </c>
      <c r="P255" s="1">
        <v>1.772E9</v>
      </c>
      <c r="Q255" s="1">
        <v>-7.1E7</v>
      </c>
      <c r="R255" s="1">
        <v>3.0E8</v>
      </c>
      <c r="S255" s="1">
        <v>2.98E8</v>
      </c>
    </row>
    <row r="256">
      <c r="A256" s="1">
        <v>254.0</v>
      </c>
      <c r="B256" s="2">
        <v>44196.0</v>
      </c>
      <c r="C256" s="1" t="s">
        <v>157</v>
      </c>
      <c r="D256" s="1" t="s">
        <v>158</v>
      </c>
      <c r="E256" s="1">
        <v>1.32E8</v>
      </c>
      <c r="F256" s="1">
        <v>2.1E8</v>
      </c>
      <c r="G256" s="1">
        <v>1.68E8</v>
      </c>
      <c r="H256" s="1">
        <v>6.21E8</v>
      </c>
      <c r="I256" s="1">
        <v>1.26E9</v>
      </c>
      <c r="J256" s="1">
        <v>5.07E8</v>
      </c>
      <c r="K256" s="1">
        <v>5.07E8</v>
      </c>
      <c r="L256" s="1">
        <v>-4.1E7</v>
      </c>
      <c r="M256" s="1">
        <v>3.9E7</v>
      </c>
      <c r="N256" s="1">
        <v>3.181E9</v>
      </c>
      <c r="O256" s="1">
        <v>2.674E9</v>
      </c>
      <c r="P256" s="1">
        <v>1.921E9</v>
      </c>
      <c r="Q256" s="1">
        <v>-2.97E8</v>
      </c>
      <c r="R256" s="1">
        <v>1.71E8</v>
      </c>
      <c r="S256" s="1">
        <v>1.68E8</v>
      </c>
    </row>
    <row r="257">
      <c r="A257" s="1">
        <v>255.0</v>
      </c>
      <c r="B257" s="2">
        <v>44104.0</v>
      </c>
      <c r="C257" s="1" t="s">
        <v>157</v>
      </c>
      <c r="D257" s="1" t="s">
        <v>158</v>
      </c>
      <c r="E257" s="1">
        <v>1.22E8</v>
      </c>
      <c r="F257" s="1">
        <v>4.15E8</v>
      </c>
      <c r="G257" s="1">
        <v>3.56E8</v>
      </c>
      <c r="H257" s="1">
        <v>5.74E8</v>
      </c>
      <c r="I257" s="1">
        <v>1.209E9</v>
      </c>
      <c r="J257" s="1">
        <v>5.13E8</v>
      </c>
      <c r="K257" s="1">
        <v>5.13E8</v>
      </c>
      <c r="L257" s="1">
        <v>-4.2E7</v>
      </c>
      <c r="M257" s="1">
        <v>5.6E7</v>
      </c>
      <c r="N257" s="1">
        <v>2.972E9</v>
      </c>
      <c r="O257" s="1">
        <v>2.459E9</v>
      </c>
      <c r="P257" s="1">
        <v>1.763E9</v>
      </c>
      <c r="Q257" s="1">
        <v>-9.8E7</v>
      </c>
      <c r="R257" s="1">
        <v>3.59E8</v>
      </c>
      <c r="S257" s="1">
        <v>3.56E8</v>
      </c>
    </row>
    <row r="258">
      <c r="A258" s="1">
        <v>256.0</v>
      </c>
      <c r="B258" s="2">
        <v>44377.0</v>
      </c>
      <c r="C258" s="1" t="s">
        <v>159</v>
      </c>
      <c r="D258" s="1" t="s">
        <v>160</v>
      </c>
      <c r="E258" s="1">
        <v>3.44E8</v>
      </c>
      <c r="F258" s="1">
        <v>5.14E8</v>
      </c>
      <c r="G258" s="1">
        <v>5.25E8</v>
      </c>
      <c r="H258" s="1">
        <v>1.238E9</v>
      </c>
      <c r="I258" s="1">
        <v>2.161E9</v>
      </c>
      <c r="J258" s="1">
        <v>5.79E8</v>
      </c>
      <c r="K258" s="1">
        <v>5.79E8</v>
      </c>
      <c r="L258" s="1">
        <v>-1.15E8</v>
      </c>
      <c r="M258" s="1">
        <v>-1.1E7</v>
      </c>
      <c r="N258" s="1">
        <v>4.89E9</v>
      </c>
      <c r="O258" s="1">
        <v>4.311E9</v>
      </c>
      <c r="P258" s="1">
        <v>2.729E9</v>
      </c>
      <c r="Q258" s="1">
        <v>-6.5E7</v>
      </c>
      <c r="R258" s="1">
        <v>5.25E8</v>
      </c>
      <c r="S258" s="1">
        <v>5.02E8</v>
      </c>
    </row>
    <row r="259">
      <c r="A259" s="1">
        <v>257.0</v>
      </c>
      <c r="B259" s="2">
        <v>44286.0</v>
      </c>
      <c r="C259" s="1" t="s">
        <v>159</v>
      </c>
      <c r="D259" s="1" t="s">
        <v>160</v>
      </c>
      <c r="E259" s="1">
        <v>3.17E8</v>
      </c>
      <c r="F259" s="1">
        <v>3.05E8</v>
      </c>
      <c r="G259" s="1">
        <v>2.99E8</v>
      </c>
      <c r="H259" s="1">
        <v>1.144E9</v>
      </c>
      <c r="I259" s="1">
        <v>2.283E9</v>
      </c>
      <c r="J259" s="1">
        <v>8.22E8</v>
      </c>
      <c r="K259" s="1">
        <v>8.22E8</v>
      </c>
      <c r="L259" s="1">
        <v>-1.24E8</v>
      </c>
      <c r="M259" s="1">
        <v>6000000.0</v>
      </c>
      <c r="N259" s="1">
        <v>4.907E9</v>
      </c>
      <c r="O259" s="1">
        <v>4.085E9</v>
      </c>
      <c r="P259" s="1">
        <v>2.624E9</v>
      </c>
      <c r="Q259" s="1">
        <v>-5.17E8</v>
      </c>
      <c r="R259" s="1">
        <v>2.99E8</v>
      </c>
      <c r="S259" s="1">
        <v>2.76E8</v>
      </c>
    </row>
    <row r="260">
      <c r="A260" s="1">
        <v>258.0</v>
      </c>
      <c r="B260" s="2">
        <v>44196.0</v>
      </c>
      <c r="C260" s="1" t="s">
        <v>159</v>
      </c>
      <c r="D260" s="1" t="s">
        <v>160</v>
      </c>
      <c r="E260" s="1">
        <v>2.91E8</v>
      </c>
      <c r="F260" s="1">
        <v>1.157E9</v>
      </c>
      <c r="G260" s="1">
        <v>1.003E9</v>
      </c>
      <c r="H260" s="1">
        <v>1.144E9</v>
      </c>
      <c r="I260" s="1">
        <v>2.766E9</v>
      </c>
      <c r="J260" s="1">
        <v>1.331E9</v>
      </c>
      <c r="K260" s="1">
        <v>1.331E9</v>
      </c>
      <c r="L260" s="1">
        <v>-1.18E8</v>
      </c>
      <c r="M260" s="1">
        <v>1.54E8</v>
      </c>
      <c r="N260" s="1">
        <v>5.315E9</v>
      </c>
      <c r="O260" s="1">
        <v>3.984E9</v>
      </c>
      <c r="P260" s="1">
        <v>2.549E9</v>
      </c>
      <c r="Q260" s="1">
        <v>-1.74E8</v>
      </c>
      <c r="R260" s="1">
        <v>1.003E9</v>
      </c>
      <c r="S260" s="1">
        <v>9.8E8</v>
      </c>
    </row>
    <row r="261">
      <c r="A261" s="1">
        <v>259.0</v>
      </c>
      <c r="B261" s="2">
        <v>44104.0</v>
      </c>
      <c r="C261" s="1" t="s">
        <v>159</v>
      </c>
      <c r="D261" s="1" t="s">
        <v>160</v>
      </c>
      <c r="E261" s="1">
        <v>2.99E8</v>
      </c>
      <c r="F261" s="1">
        <v>1.43E8</v>
      </c>
      <c r="G261" s="1">
        <v>1.28E8</v>
      </c>
      <c r="H261" s="1">
        <v>1.205E9</v>
      </c>
      <c r="I261" s="1">
        <v>2.509E9</v>
      </c>
      <c r="J261" s="1">
        <v>9.97E8</v>
      </c>
      <c r="K261" s="1">
        <v>9.97E8</v>
      </c>
      <c r="L261" s="1">
        <v>-1.23E8</v>
      </c>
      <c r="M261" s="1">
        <v>1.5E7</v>
      </c>
      <c r="N261" s="1">
        <v>4.784E9</v>
      </c>
      <c r="O261" s="1">
        <v>3.787E9</v>
      </c>
      <c r="P261" s="1">
        <v>2.275E9</v>
      </c>
      <c r="Q261" s="1">
        <v>-8.54E8</v>
      </c>
      <c r="R261" s="1">
        <v>1.28E8</v>
      </c>
      <c r="S261" s="1">
        <v>1.05E8</v>
      </c>
    </row>
    <row r="262">
      <c r="A262" s="1">
        <v>260.0</v>
      </c>
      <c r="B262" s="2">
        <v>44408.0</v>
      </c>
      <c r="C262" s="1" t="s">
        <v>161</v>
      </c>
      <c r="D262" s="1" t="s">
        <v>162</v>
      </c>
      <c r="F262" s="1">
        <v>7.98E8</v>
      </c>
      <c r="G262" s="1">
        <v>7.34E8</v>
      </c>
      <c r="H262" s="1">
        <v>1.989E9</v>
      </c>
      <c r="I262" s="1">
        <v>2.81E9</v>
      </c>
      <c r="J262" s="1">
        <v>8.01E8</v>
      </c>
      <c r="K262" s="1">
        <v>8.01E8</v>
      </c>
      <c r="L262" s="1">
        <v>-6000000.0</v>
      </c>
      <c r="M262" s="1">
        <v>6.4E7</v>
      </c>
      <c r="N262" s="1">
        <v>1.1849E10</v>
      </c>
      <c r="O262" s="1">
        <v>1.1048E10</v>
      </c>
      <c r="P262" s="1">
        <v>9.039E9</v>
      </c>
      <c r="Q262" s="1">
        <v>-3000000.0</v>
      </c>
      <c r="R262" s="1">
        <v>7.34E8</v>
      </c>
      <c r="S262" s="1">
        <v>7.34E8</v>
      </c>
    </row>
    <row r="263">
      <c r="A263" s="1">
        <v>261.0</v>
      </c>
      <c r="B263" s="2">
        <v>44317.0</v>
      </c>
      <c r="C263" s="1" t="s">
        <v>161</v>
      </c>
      <c r="D263" s="1" t="s">
        <v>162</v>
      </c>
      <c r="F263" s="1">
        <v>7.67E8</v>
      </c>
      <c r="G263" s="1">
        <v>5.95E8</v>
      </c>
      <c r="H263" s="1">
        <v>1.968E9</v>
      </c>
      <c r="I263" s="1">
        <v>2.709E9</v>
      </c>
      <c r="J263" s="1">
        <v>7.21E8</v>
      </c>
      <c r="K263" s="1">
        <v>7.21E8</v>
      </c>
      <c r="L263" s="1">
        <v>-6000000.0</v>
      </c>
      <c r="M263" s="1">
        <v>1.72E8</v>
      </c>
      <c r="N263" s="1">
        <v>1.1637E10</v>
      </c>
      <c r="O263" s="1">
        <v>1.0916E10</v>
      </c>
      <c r="P263" s="1">
        <v>8.928E9</v>
      </c>
      <c r="Q263" s="1">
        <v>4.6E7</v>
      </c>
      <c r="R263" s="1">
        <v>5.95E8</v>
      </c>
      <c r="S263" s="1">
        <v>5.95E8</v>
      </c>
    </row>
    <row r="264">
      <c r="A264" s="1">
        <v>262.0</v>
      </c>
      <c r="B264" s="2">
        <v>44226.0</v>
      </c>
      <c r="C264" s="1" t="s">
        <v>161</v>
      </c>
      <c r="D264" s="1" t="s">
        <v>162</v>
      </c>
      <c r="F264" s="1">
        <v>1.043E9</v>
      </c>
      <c r="G264" s="1">
        <v>8.16E8</v>
      </c>
      <c r="H264" s="1">
        <v>2.348E9</v>
      </c>
      <c r="I264" s="1">
        <v>3.53E9</v>
      </c>
      <c r="J264" s="1">
        <v>1.162E9</v>
      </c>
      <c r="K264" s="1">
        <v>1.162E9</v>
      </c>
      <c r="L264" s="1">
        <v>-9000000.0</v>
      </c>
      <c r="M264" s="1">
        <v>2.27E8</v>
      </c>
      <c r="N264" s="1">
        <v>1.6937E10</v>
      </c>
      <c r="O264" s="1">
        <v>1.5775E10</v>
      </c>
      <c r="P264" s="1">
        <v>1.3407E10</v>
      </c>
      <c r="Q264" s="1">
        <v>-1.19E8</v>
      </c>
      <c r="R264" s="1">
        <v>8.16E8</v>
      </c>
      <c r="S264" s="1">
        <v>8.16E8</v>
      </c>
    </row>
    <row r="265">
      <c r="A265" s="1">
        <v>263.0</v>
      </c>
      <c r="B265" s="2">
        <v>44135.0</v>
      </c>
      <c r="C265" s="1" t="s">
        <v>161</v>
      </c>
      <c r="D265" s="1" t="s">
        <v>162</v>
      </c>
      <c r="F265" s="1">
        <v>5.55E8</v>
      </c>
      <c r="G265" s="1">
        <v>3.91E8</v>
      </c>
      <c r="H265" s="1">
        <v>2.103E9</v>
      </c>
      <c r="I265" s="1">
        <v>2.831E9</v>
      </c>
      <c r="J265" s="1">
        <v>7.08E8</v>
      </c>
      <c r="K265" s="1">
        <v>7.08E8</v>
      </c>
      <c r="L265" s="1">
        <v>-1.1E7</v>
      </c>
      <c r="M265" s="1">
        <v>1.64E8</v>
      </c>
      <c r="N265" s="1">
        <v>1.1853E10</v>
      </c>
      <c r="O265" s="1">
        <v>1.1145E10</v>
      </c>
      <c r="P265" s="1">
        <v>9.022E9</v>
      </c>
      <c r="Q265" s="1">
        <v>-1.53E8</v>
      </c>
      <c r="R265" s="1">
        <v>3.91E8</v>
      </c>
      <c r="S265" s="1">
        <v>3.91E8</v>
      </c>
    </row>
    <row r="266">
      <c r="A266" s="1">
        <v>264.0</v>
      </c>
      <c r="B266" s="2">
        <v>44377.0</v>
      </c>
      <c r="C266" s="1" t="s">
        <v>163</v>
      </c>
      <c r="D266" s="1" t="s">
        <v>164</v>
      </c>
      <c r="E266" s="1">
        <v>6.5291E7</v>
      </c>
      <c r="F266" s="1">
        <v>1.156775E9</v>
      </c>
      <c r="G266" s="1">
        <v>9.14114E8</v>
      </c>
      <c r="H266" s="1">
        <v>2.21425E8</v>
      </c>
      <c r="I266" s="1">
        <v>4.02698E8</v>
      </c>
      <c r="J266" s="1">
        <v>1.15982E8</v>
      </c>
      <c r="K266" s="1">
        <v>1.15982E8</v>
      </c>
      <c r="L266" s="1">
        <v>-363000.0</v>
      </c>
      <c r="M266" s="1">
        <v>2.42661E8</v>
      </c>
      <c r="N266" s="1">
        <v>7.15931E8</v>
      </c>
      <c r="O266" s="1">
        <v>5.99949E8</v>
      </c>
      <c r="P266" s="1">
        <v>3.13233E8</v>
      </c>
      <c r="Q266" s="1">
        <v>1.040793E9</v>
      </c>
      <c r="R266" s="1">
        <v>9.14114E8</v>
      </c>
      <c r="S266" s="1">
        <v>9.14114E8</v>
      </c>
    </row>
    <row r="267">
      <c r="A267" s="1">
        <v>265.0</v>
      </c>
      <c r="B267" s="2">
        <v>44286.0</v>
      </c>
      <c r="C267" s="1" t="s">
        <v>163</v>
      </c>
      <c r="D267" s="1" t="s">
        <v>164</v>
      </c>
      <c r="E267" s="1">
        <v>5.6912E7</v>
      </c>
      <c r="F267" s="1">
        <v>1.297203E9</v>
      </c>
      <c r="G267" s="1">
        <v>9.77414E8</v>
      </c>
      <c r="H267" s="1">
        <v>1.91653E8</v>
      </c>
      <c r="I267" s="1">
        <v>4.24527E8</v>
      </c>
      <c r="J267" s="1">
        <v>1.75962E8</v>
      </c>
      <c r="K267" s="1">
        <v>1.75962E8</v>
      </c>
      <c r="L267" s="1">
        <v>-398000.0</v>
      </c>
      <c r="M267" s="1">
        <v>3.19789E8</v>
      </c>
      <c r="N267" s="1">
        <v>7.26796E8</v>
      </c>
      <c r="O267" s="1">
        <v>5.50834E8</v>
      </c>
      <c r="P267" s="1">
        <v>3.02269E8</v>
      </c>
      <c r="Q267" s="1">
        <v>1.121241E9</v>
      </c>
      <c r="R267" s="1">
        <v>9.77414E8</v>
      </c>
      <c r="S267" s="1">
        <v>9.77414E8</v>
      </c>
    </row>
    <row r="268">
      <c r="A268" s="1">
        <v>266.0</v>
      </c>
      <c r="B268" s="2">
        <v>44196.0</v>
      </c>
      <c r="C268" s="1" t="s">
        <v>163</v>
      </c>
      <c r="D268" s="1" t="s">
        <v>164</v>
      </c>
      <c r="E268" s="1">
        <v>6.6965E7</v>
      </c>
      <c r="F268" s="1">
        <v>1.078533E9</v>
      </c>
      <c r="G268" s="1">
        <v>8.39102E8</v>
      </c>
      <c r="H268" s="1">
        <v>2.15448E8</v>
      </c>
      <c r="I268" s="1">
        <v>4.58255E8</v>
      </c>
      <c r="J268" s="1">
        <v>1.75842E8</v>
      </c>
      <c r="K268" s="1">
        <v>1.75842E8</v>
      </c>
      <c r="L268" s="1">
        <v>-4703000.0</v>
      </c>
      <c r="M268" s="1">
        <v>2.39431E8</v>
      </c>
      <c r="N268" s="1">
        <v>7.89839E8</v>
      </c>
      <c r="O268" s="1">
        <v>6.13997E8</v>
      </c>
      <c r="P268" s="1">
        <v>3.31584E8</v>
      </c>
      <c r="Q268" s="1">
        <v>9.02691E8</v>
      </c>
      <c r="R268" s="1">
        <v>8.39102E8</v>
      </c>
      <c r="S268" s="1">
        <v>8.39102E8</v>
      </c>
    </row>
    <row r="269">
      <c r="A269" s="1">
        <v>267.0</v>
      </c>
      <c r="B269" s="2">
        <v>44104.0</v>
      </c>
      <c r="C269" s="1" t="s">
        <v>163</v>
      </c>
      <c r="D269" s="1" t="s">
        <v>164</v>
      </c>
      <c r="E269" s="1">
        <v>5.9546E7</v>
      </c>
      <c r="F269" s="1">
        <v>1.684461E9</v>
      </c>
      <c r="G269" s="1">
        <v>1.314824E9</v>
      </c>
      <c r="H269" s="1">
        <v>1.99265E8</v>
      </c>
      <c r="I269" s="1">
        <v>3.67311E8</v>
      </c>
      <c r="J269" s="1">
        <v>1.085E8</v>
      </c>
      <c r="K269" s="1">
        <v>1.085E8</v>
      </c>
      <c r="L269" s="1">
        <v>-5728000.0</v>
      </c>
      <c r="M269" s="1">
        <v>3.69637E8</v>
      </c>
      <c r="N269" s="1">
        <v>6.47263E8</v>
      </c>
      <c r="O269" s="1">
        <v>5.38763E8</v>
      </c>
      <c r="P269" s="1">
        <v>2.79952E8</v>
      </c>
      <c r="Q269" s="1">
        <v>1.575961E9</v>
      </c>
      <c r="R269" s="1">
        <v>1.314824E9</v>
      </c>
      <c r="S269" s="1">
        <v>1.314824E9</v>
      </c>
    </row>
    <row r="270">
      <c r="A270" s="1">
        <v>268.0</v>
      </c>
      <c r="B270" s="2">
        <v>44377.0</v>
      </c>
      <c r="C270" s="1" t="s">
        <v>165</v>
      </c>
      <c r="D270" s="1" t="s">
        <v>166</v>
      </c>
      <c r="E270" s="1">
        <v>2.0721E7</v>
      </c>
      <c r="F270" s="1">
        <v>7113000.0</v>
      </c>
      <c r="G270" s="1">
        <v>1.496E7</v>
      </c>
      <c r="H270" s="1">
        <v>8.5691E7</v>
      </c>
      <c r="I270" s="1">
        <v>1.77509E8</v>
      </c>
      <c r="J270" s="1">
        <v>7.1097E7</v>
      </c>
      <c r="K270" s="1">
        <v>7.1097E7</v>
      </c>
      <c r="L270" s="1">
        <v>-3291000.0</v>
      </c>
      <c r="M270" s="1">
        <v>-7531000.0</v>
      </c>
      <c r="N270" s="1">
        <v>2.59028E8</v>
      </c>
      <c r="O270" s="1">
        <v>1.87931E8</v>
      </c>
      <c r="P270" s="1">
        <v>8.1519E7</v>
      </c>
      <c r="Q270" s="1">
        <v>-6.3984E7</v>
      </c>
      <c r="R270" s="1">
        <v>1.4644E7</v>
      </c>
      <c r="S270" s="1">
        <v>1.4951E7</v>
      </c>
    </row>
    <row r="271">
      <c r="A271" s="1">
        <v>269.0</v>
      </c>
      <c r="B271" s="2">
        <v>44286.0</v>
      </c>
      <c r="C271" s="1" t="s">
        <v>165</v>
      </c>
      <c r="D271" s="1" t="s">
        <v>166</v>
      </c>
      <c r="E271" s="1">
        <v>1.7052E7</v>
      </c>
      <c r="F271" s="1">
        <v>4.5354E7</v>
      </c>
      <c r="G271" s="1">
        <v>4.5782E7</v>
      </c>
      <c r="H271" s="1">
        <v>8.0865E7</v>
      </c>
      <c r="I271" s="1">
        <v>1.68274E8</v>
      </c>
      <c r="J271" s="1">
        <v>7.0357E7</v>
      </c>
      <c r="K271" s="1">
        <v>7.0357E7</v>
      </c>
      <c r="L271" s="1">
        <v>-2660000.0</v>
      </c>
      <c r="M271" s="1">
        <v>-48000.0</v>
      </c>
      <c r="N271" s="1">
        <v>2.43552E8</v>
      </c>
      <c r="O271" s="1">
        <v>1.73195E8</v>
      </c>
      <c r="P271" s="1">
        <v>7.5278E7</v>
      </c>
      <c r="Q271" s="1">
        <v>-2.5003E7</v>
      </c>
      <c r="R271" s="1">
        <v>4.5402E7</v>
      </c>
      <c r="S271" s="1">
        <v>4.5755E7</v>
      </c>
    </row>
    <row r="272">
      <c r="A272" s="1">
        <v>270.0</v>
      </c>
      <c r="B272" s="2">
        <v>44196.0</v>
      </c>
      <c r="C272" s="1" t="s">
        <v>165</v>
      </c>
      <c r="D272" s="1" t="s">
        <v>166</v>
      </c>
      <c r="E272" s="1">
        <v>1.6789E7</v>
      </c>
      <c r="F272" s="1">
        <v>5.6368E7</v>
      </c>
      <c r="G272" s="1">
        <v>4.6274E7</v>
      </c>
      <c r="H272" s="1">
        <v>7.8695E7</v>
      </c>
      <c r="I272" s="1">
        <v>1.50923E8</v>
      </c>
      <c r="J272" s="1">
        <v>5.5439E7</v>
      </c>
      <c r="K272" s="1">
        <v>5.5439E7</v>
      </c>
      <c r="L272" s="1">
        <v>-3585000.0</v>
      </c>
      <c r="M272" s="1">
        <v>1.0224E7</v>
      </c>
      <c r="N272" s="1">
        <v>2.24253E8</v>
      </c>
      <c r="O272" s="1">
        <v>1.68814E8</v>
      </c>
      <c r="P272" s="1">
        <v>7.333E7</v>
      </c>
      <c r="Q272" s="1">
        <v>929000.0</v>
      </c>
      <c r="R272" s="1">
        <v>4.6144E7</v>
      </c>
      <c r="S272" s="1">
        <v>4.6237E7</v>
      </c>
    </row>
    <row r="273">
      <c r="A273" s="1">
        <v>271.0</v>
      </c>
      <c r="B273" s="2">
        <v>44104.0</v>
      </c>
      <c r="C273" s="1" t="s">
        <v>165</v>
      </c>
      <c r="D273" s="1" t="s">
        <v>166</v>
      </c>
      <c r="E273" s="1">
        <v>1.6041E7</v>
      </c>
      <c r="F273" s="1">
        <v>3.9339E7</v>
      </c>
      <c r="G273" s="1">
        <v>3.3395E7</v>
      </c>
      <c r="H273" s="1">
        <v>7.2748E7</v>
      </c>
      <c r="I273" s="1">
        <v>1.37731E8</v>
      </c>
      <c r="J273" s="1">
        <v>4.8942E7</v>
      </c>
      <c r="K273" s="1">
        <v>4.8942E7</v>
      </c>
      <c r="L273" s="1">
        <v>-4416000.0</v>
      </c>
      <c r="M273" s="1">
        <v>5944000.0</v>
      </c>
      <c r="N273" s="1">
        <v>2.04199E8</v>
      </c>
      <c r="O273" s="1">
        <v>1.55257E8</v>
      </c>
      <c r="P273" s="1">
        <v>6.6468E7</v>
      </c>
      <c r="Q273" s="1">
        <v>-9603000.0</v>
      </c>
      <c r="R273" s="1">
        <v>3.3395E7</v>
      </c>
      <c r="S273" s="1">
        <v>3.3374E7</v>
      </c>
    </row>
    <row r="274">
      <c r="A274" s="1">
        <v>272.0</v>
      </c>
      <c r="B274" s="2">
        <v>44377.0</v>
      </c>
      <c r="C274" s="1" t="s">
        <v>169</v>
      </c>
      <c r="D274" s="1" t="s">
        <v>170</v>
      </c>
      <c r="E274" s="1">
        <v>5.851E8</v>
      </c>
      <c r="F274" s="1">
        <v>6.164E8</v>
      </c>
      <c r="G274" s="1">
        <v>4.485E8</v>
      </c>
      <c r="H274" s="1">
        <v>6.373E8</v>
      </c>
      <c r="I274" s="1">
        <v>2.3153E9</v>
      </c>
      <c r="J274" s="1">
        <v>5.04E8</v>
      </c>
      <c r="K274" s="1">
        <v>5.04E8</v>
      </c>
      <c r="L274" s="1">
        <v>-5.64E7</v>
      </c>
      <c r="M274" s="1">
        <v>-4.091E8</v>
      </c>
      <c r="N274" s="1">
        <v>2.775E9</v>
      </c>
      <c r="O274" s="1">
        <v>2.271E9</v>
      </c>
      <c r="P274" s="1">
        <v>4.597E8</v>
      </c>
      <c r="Q274" s="1">
        <v>1.124E8</v>
      </c>
      <c r="R274" s="1">
        <v>1.0255E9</v>
      </c>
      <c r="S274" s="1">
        <v>4.485E8</v>
      </c>
    </row>
    <row r="275">
      <c r="A275" s="1">
        <v>273.0</v>
      </c>
      <c r="B275" s="2">
        <v>44286.0</v>
      </c>
      <c r="C275" s="1" t="s">
        <v>169</v>
      </c>
      <c r="D275" s="1" t="s">
        <v>170</v>
      </c>
      <c r="E275" s="1">
        <v>5.142E8</v>
      </c>
      <c r="F275" s="1">
        <v>4.488E8</v>
      </c>
      <c r="G275" s="1">
        <v>4.102E8</v>
      </c>
      <c r="H275" s="1">
        <v>5.95E8</v>
      </c>
      <c r="I275" s="1">
        <v>2.2159E9</v>
      </c>
      <c r="J275" s="1">
        <v>9.401E8</v>
      </c>
      <c r="K275" s="1">
        <v>9.401E8</v>
      </c>
      <c r="L275" s="1">
        <v>-6.47E7</v>
      </c>
      <c r="M275" s="1">
        <v>4.42E7</v>
      </c>
      <c r="N275" s="1">
        <v>2.694E9</v>
      </c>
      <c r="O275" s="1">
        <v>1.7539E9</v>
      </c>
      <c r="P275" s="1">
        <v>4.781E8</v>
      </c>
      <c r="Q275" s="1">
        <v>-4.913E8</v>
      </c>
      <c r="R275" s="1">
        <v>4.046E8</v>
      </c>
      <c r="S275" s="1">
        <v>4.102E8</v>
      </c>
    </row>
    <row r="276">
      <c r="A276" s="1">
        <v>274.0</v>
      </c>
      <c r="B276" s="2">
        <v>44196.0</v>
      </c>
      <c r="C276" s="1" t="s">
        <v>169</v>
      </c>
      <c r="D276" s="1" t="s">
        <v>170</v>
      </c>
      <c r="E276" s="1">
        <v>1.7198E9</v>
      </c>
      <c r="F276" s="1">
        <v>3.709E8</v>
      </c>
      <c r="G276" s="1">
        <v>3.579E8</v>
      </c>
      <c r="H276" s="1">
        <v>8.132E8</v>
      </c>
      <c r="I276" s="1">
        <v>2.362E9</v>
      </c>
      <c r="J276" s="1">
        <v>-2.962E8</v>
      </c>
      <c r="K276" s="1">
        <v>-2.962E8</v>
      </c>
      <c r="L276" s="1">
        <v>-5.6E7</v>
      </c>
      <c r="M276" s="1">
        <v>1.33E7</v>
      </c>
      <c r="N276" s="1">
        <v>2.8526E9</v>
      </c>
      <c r="O276" s="1">
        <v>3.1488E9</v>
      </c>
      <c r="P276" s="1">
        <v>4.906E8</v>
      </c>
      <c r="Q276" s="1">
        <v>6.671E8</v>
      </c>
      <c r="R276" s="1">
        <v>3.576E8</v>
      </c>
      <c r="S276" s="1">
        <v>3.579E8</v>
      </c>
    </row>
    <row r="277">
      <c r="A277" s="1">
        <v>275.0</v>
      </c>
      <c r="B277" s="2">
        <v>44104.0</v>
      </c>
      <c r="C277" s="1" t="s">
        <v>169</v>
      </c>
      <c r="D277" s="1" t="s">
        <v>170</v>
      </c>
      <c r="E277" s="1">
        <v>1.1409E9</v>
      </c>
      <c r="F277" s="1">
        <v>9.447E8</v>
      </c>
      <c r="G277" s="1">
        <v>7.015E8</v>
      </c>
      <c r="H277" s="1">
        <v>5.731E8</v>
      </c>
      <c r="I277" s="1">
        <v>2.927E9</v>
      </c>
      <c r="J277" s="1">
        <v>1.0767E9</v>
      </c>
      <c r="K277" s="1">
        <v>1.0767E9</v>
      </c>
      <c r="L277" s="1">
        <v>-5.63E7</v>
      </c>
      <c r="M277" s="1">
        <v>2.408E8</v>
      </c>
      <c r="N277" s="1">
        <v>3.3761E9</v>
      </c>
      <c r="O277" s="1">
        <v>2.2994E9</v>
      </c>
      <c r="P277" s="1">
        <v>4.491E8</v>
      </c>
      <c r="Q277" s="1">
        <v>-1.32E8</v>
      </c>
      <c r="R277" s="1">
        <v>7.039E8</v>
      </c>
      <c r="S277" s="1">
        <v>7.015E8</v>
      </c>
    </row>
    <row r="278">
      <c r="A278" s="1">
        <v>276.0</v>
      </c>
      <c r="B278" s="2">
        <v>44377.0</v>
      </c>
      <c r="C278" s="1" t="s">
        <v>171</v>
      </c>
      <c r="D278" s="1" t="s">
        <v>172</v>
      </c>
      <c r="F278" s="1">
        <v>2.201E9</v>
      </c>
      <c r="G278" s="1">
        <v>1.378E9</v>
      </c>
      <c r="H278" s="1">
        <v>4.6E8</v>
      </c>
      <c r="I278" s="1">
        <v>2.429E9</v>
      </c>
      <c r="J278" s="1">
        <v>1.932E9</v>
      </c>
      <c r="K278" s="1">
        <v>1.932E9</v>
      </c>
      <c r="L278" s="1">
        <v>-5.2E7</v>
      </c>
      <c r="M278" s="1">
        <v>6.54E8</v>
      </c>
      <c r="N278" s="1">
        <v>4.82E9</v>
      </c>
      <c r="O278" s="1">
        <v>2.888E9</v>
      </c>
      <c r="P278" s="1">
        <v>2.391E9</v>
      </c>
      <c r="Q278" s="1">
        <v>2.69E8</v>
      </c>
      <c r="R278" s="1">
        <v>1.547E9</v>
      </c>
      <c r="S278" s="1">
        <v>1.378E9</v>
      </c>
    </row>
    <row r="279">
      <c r="A279" s="1">
        <v>277.0</v>
      </c>
      <c r="B279" s="2">
        <v>44286.0</v>
      </c>
      <c r="C279" s="1" t="s">
        <v>171</v>
      </c>
      <c r="D279" s="1" t="s">
        <v>172</v>
      </c>
      <c r="F279" s="1">
        <v>1.591E9</v>
      </c>
      <c r="G279" s="1">
        <v>1.199E9</v>
      </c>
      <c r="H279" s="1">
        <v>5.82E8</v>
      </c>
      <c r="I279" s="1">
        <v>2.164E9</v>
      </c>
      <c r="J279" s="1">
        <v>1.548E9</v>
      </c>
      <c r="K279" s="1">
        <v>1.548E9</v>
      </c>
      <c r="L279" s="1">
        <v>-5.5E7</v>
      </c>
      <c r="M279" s="1">
        <v>3.18E8</v>
      </c>
      <c r="N279" s="1">
        <v>4.398E9</v>
      </c>
      <c r="O279" s="1">
        <v>2.85E9</v>
      </c>
      <c r="P279" s="1">
        <v>2.234E9</v>
      </c>
      <c r="Q279" s="1">
        <v>4.3E7</v>
      </c>
      <c r="R279" s="1">
        <v>1.273E9</v>
      </c>
      <c r="S279" s="1">
        <v>1.199E9</v>
      </c>
    </row>
    <row r="280">
      <c r="A280" s="1">
        <v>278.0</v>
      </c>
      <c r="B280" s="2">
        <v>44196.0</v>
      </c>
      <c r="C280" s="1" t="s">
        <v>171</v>
      </c>
      <c r="D280" s="1" t="s">
        <v>172</v>
      </c>
      <c r="F280" s="1">
        <v>2.167E9</v>
      </c>
      <c r="G280" s="1">
        <v>1.548E9</v>
      </c>
      <c r="H280" s="1">
        <v>4.74E8</v>
      </c>
      <c r="I280" s="1">
        <v>2.349E9</v>
      </c>
      <c r="J280" s="1">
        <v>1.848E9</v>
      </c>
      <c r="K280" s="1">
        <v>1.848E9</v>
      </c>
      <c r="L280" s="1">
        <v>-5.4E7</v>
      </c>
      <c r="M280" s="1">
        <v>4.27E8</v>
      </c>
      <c r="N280" s="1">
        <v>4.478E9</v>
      </c>
      <c r="O280" s="1">
        <v>2.63E9</v>
      </c>
      <c r="P280" s="1">
        <v>2.129E9</v>
      </c>
      <c r="Q280" s="1">
        <v>3.19E8</v>
      </c>
      <c r="R280" s="1">
        <v>1.74E9</v>
      </c>
      <c r="S280" s="1">
        <v>1.548E9</v>
      </c>
    </row>
    <row r="281">
      <c r="A281" s="1">
        <v>279.0</v>
      </c>
      <c r="B281" s="2">
        <v>44104.0</v>
      </c>
      <c r="C281" s="1" t="s">
        <v>171</v>
      </c>
      <c r="D281" s="1" t="s">
        <v>172</v>
      </c>
      <c r="F281" s="1">
        <v>1.981E9</v>
      </c>
      <c r="G281" s="1">
        <v>1.364E9</v>
      </c>
      <c r="H281" s="1">
        <v>4.61E8</v>
      </c>
      <c r="I281" s="1">
        <v>2.245E9</v>
      </c>
      <c r="J281" s="1">
        <v>1.757E9</v>
      </c>
      <c r="K281" s="1">
        <v>1.757E9</v>
      </c>
      <c r="L281" s="1">
        <v>-5.4E7</v>
      </c>
      <c r="M281" s="1">
        <v>4.64E8</v>
      </c>
      <c r="N281" s="1">
        <v>4.369E9</v>
      </c>
      <c r="O281" s="1">
        <v>2.612E9</v>
      </c>
      <c r="P281" s="1">
        <v>2.124E9</v>
      </c>
      <c r="Q281" s="1">
        <v>2.24E8</v>
      </c>
      <c r="R281" s="1">
        <v>1.517E9</v>
      </c>
      <c r="S281" s="1">
        <v>1.364E9</v>
      </c>
    </row>
    <row r="282">
      <c r="A282" s="1">
        <v>280.0</v>
      </c>
      <c r="B282" s="2">
        <v>44469.0</v>
      </c>
      <c r="C282" s="1" t="s">
        <v>173</v>
      </c>
      <c r="D282" s="1" t="s">
        <v>174</v>
      </c>
      <c r="F282" s="1">
        <v>1.162E9</v>
      </c>
      <c r="G282" s="1">
        <v>9.47E8</v>
      </c>
      <c r="H282" s="1">
        <v>2.461E9</v>
      </c>
      <c r="I282" s="1">
        <v>4.08E9</v>
      </c>
      <c r="J282" s="1">
        <v>0.0</v>
      </c>
      <c r="K282" s="1">
        <v>1.181E9</v>
      </c>
      <c r="M282" s="1">
        <v>2.19E8</v>
      </c>
      <c r="N282" s="1">
        <v>4.08E9</v>
      </c>
      <c r="O282" s="1">
        <v>2.899E9</v>
      </c>
      <c r="P282" s="1">
        <v>0.0</v>
      </c>
      <c r="Q282" s="1">
        <v>-1.9E7</v>
      </c>
      <c r="R282" s="1">
        <v>9.43E8</v>
      </c>
      <c r="S282" s="1">
        <v>8.81E8</v>
      </c>
    </row>
    <row r="283">
      <c r="A283" s="1">
        <v>281.0</v>
      </c>
      <c r="B283" s="2">
        <v>44377.0</v>
      </c>
      <c r="C283" s="1" t="s">
        <v>173</v>
      </c>
      <c r="D283" s="1" t="s">
        <v>174</v>
      </c>
      <c r="F283" s="1">
        <v>1.268E9</v>
      </c>
      <c r="G283" s="1">
        <v>1.022E9</v>
      </c>
      <c r="H283" s="1">
        <v>2.39E9</v>
      </c>
      <c r="I283" s="1">
        <v>4.046E9</v>
      </c>
      <c r="J283" s="1">
        <v>0.0</v>
      </c>
      <c r="K283" s="1">
        <v>1.288E9</v>
      </c>
      <c r="M283" s="1">
        <v>2.41E8</v>
      </c>
      <c r="N283" s="1">
        <v>4.046E9</v>
      </c>
      <c r="O283" s="1">
        <v>2.758E9</v>
      </c>
      <c r="P283" s="1">
        <v>0.0</v>
      </c>
      <c r="Q283" s="1">
        <v>-2.0E7</v>
      </c>
      <c r="R283" s="1">
        <v>1.027E9</v>
      </c>
      <c r="S283" s="1">
        <v>9.9E8</v>
      </c>
    </row>
    <row r="284">
      <c r="A284" s="1">
        <v>282.0</v>
      </c>
      <c r="B284" s="2">
        <v>44286.0</v>
      </c>
      <c r="C284" s="1" t="s">
        <v>173</v>
      </c>
      <c r="D284" s="1" t="s">
        <v>174</v>
      </c>
      <c r="F284" s="1">
        <v>1.153E9</v>
      </c>
      <c r="G284" s="1">
        <v>9.27E8</v>
      </c>
      <c r="H284" s="1">
        <v>2.449E9</v>
      </c>
      <c r="I284" s="1">
        <v>4.004E9</v>
      </c>
      <c r="J284" s="1">
        <v>0.0</v>
      </c>
      <c r="K284" s="1">
        <v>1.177E9</v>
      </c>
      <c r="M284" s="1">
        <v>2.21E8</v>
      </c>
      <c r="N284" s="1">
        <v>4.004E9</v>
      </c>
      <c r="O284" s="1">
        <v>2.827E9</v>
      </c>
      <c r="P284" s="1">
        <v>0.0</v>
      </c>
      <c r="Q284" s="1">
        <v>-2.4E7</v>
      </c>
      <c r="R284" s="1">
        <v>9.32E8</v>
      </c>
      <c r="S284" s="1">
        <v>8.57E8</v>
      </c>
    </row>
    <row r="285">
      <c r="A285" s="1">
        <v>283.0</v>
      </c>
      <c r="B285" s="2">
        <v>44196.0</v>
      </c>
      <c r="C285" s="1" t="s">
        <v>173</v>
      </c>
      <c r="D285" s="1" t="s">
        <v>174</v>
      </c>
      <c r="F285" s="1">
        <v>9.03E8</v>
      </c>
      <c r="G285" s="1">
        <v>7.5E8</v>
      </c>
      <c r="H285" s="1">
        <v>2.493E9</v>
      </c>
      <c r="I285" s="1">
        <v>3.828E9</v>
      </c>
      <c r="J285" s="1">
        <v>0.0</v>
      </c>
      <c r="K285" s="1">
        <v>9.29E8</v>
      </c>
      <c r="M285" s="1">
        <v>1.48E8</v>
      </c>
      <c r="N285" s="1">
        <v>3.828E9</v>
      </c>
      <c r="O285" s="1">
        <v>2.899E9</v>
      </c>
      <c r="P285" s="1">
        <v>0.0</v>
      </c>
      <c r="Q285" s="1">
        <v>-2.6E7</v>
      </c>
      <c r="R285" s="1">
        <v>7.55E8</v>
      </c>
      <c r="S285" s="1">
        <v>7.01E8</v>
      </c>
    </row>
    <row r="286">
      <c r="A286" s="1">
        <v>284.0</v>
      </c>
      <c r="B286" s="2">
        <v>44469.0</v>
      </c>
      <c r="C286" s="1" t="s">
        <v>175</v>
      </c>
      <c r="D286" s="1" t="s">
        <v>176</v>
      </c>
      <c r="E286" s="1">
        <v>5.75E8</v>
      </c>
      <c r="F286" s="1">
        <v>-3.1E8</v>
      </c>
      <c r="G286" s="1">
        <v>-1.09E8</v>
      </c>
      <c r="H286" s="1">
        <v>1.062E9</v>
      </c>
      <c r="I286" s="1">
        <v>2.13E9</v>
      </c>
      <c r="J286" s="1">
        <v>4.93E8</v>
      </c>
      <c r="K286" s="1">
        <v>4.93E8</v>
      </c>
      <c r="L286" s="1">
        <v>-6.69E8</v>
      </c>
      <c r="M286" s="1">
        <v>-1.78E8</v>
      </c>
      <c r="N286" s="1">
        <v>1.5278E10</v>
      </c>
      <c r="O286" s="1">
        <v>1.4785E10</v>
      </c>
      <c r="P286" s="1">
        <v>1.3148E10</v>
      </c>
      <c r="Q286" s="1">
        <v>-8.03E8</v>
      </c>
      <c r="R286" s="1">
        <v>-1.32E8</v>
      </c>
      <c r="S286" s="1">
        <v>-1.09E8</v>
      </c>
    </row>
    <row r="287">
      <c r="A287" s="1">
        <v>285.0</v>
      </c>
      <c r="B287" s="2">
        <v>44377.0</v>
      </c>
      <c r="C287" s="1" t="s">
        <v>175</v>
      </c>
      <c r="D287" s="1" t="s">
        <v>176</v>
      </c>
      <c r="E287" s="1">
        <v>4.97E8</v>
      </c>
      <c r="F287" s="1">
        <v>5.49E8</v>
      </c>
      <c r="G287" s="1">
        <v>5.87E8</v>
      </c>
      <c r="H287" s="1">
        <v>8.6E8</v>
      </c>
      <c r="I287" s="1">
        <v>2.925E9</v>
      </c>
      <c r="J287" s="1">
        <v>1.568E9</v>
      </c>
      <c r="K287" s="1">
        <v>1.568E9</v>
      </c>
      <c r="L287" s="1">
        <v>-6.73E8</v>
      </c>
      <c r="M287" s="1">
        <v>-1.8E7</v>
      </c>
      <c r="N287" s="1">
        <v>1.6998E10</v>
      </c>
      <c r="O287" s="1">
        <v>1.543E10</v>
      </c>
      <c r="P287" s="1">
        <v>1.4073E10</v>
      </c>
      <c r="Q287" s="1">
        <v>-1.019E9</v>
      </c>
      <c r="R287" s="1">
        <v>5.67E8</v>
      </c>
      <c r="S287" s="1">
        <v>5.87E8</v>
      </c>
    </row>
    <row r="288">
      <c r="A288" s="1">
        <v>286.0</v>
      </c>
      <c r="B288" s="2">
        <v>44286.0</v>
      </c>
      <c r="C288" s="1" t="s">
        <v>175</v>
      </c>
      <c r="D288" s="1" t="s">
        <v>176</v>
      </c>
      <c r="E288" s="1">
        <v>4.99E8</v>
      </c>
      <c r="F288" s="1">
        <v>-5.72E8</v>
      </c>
      <c r="G288" s="1">
        <v>-5.37E8</v>
      </c>
      <c r="H288" s="1">
        <v>8.5E8</v>
      </c>
      <c r="I288" s="1">
        <v>1.977E9</v>
      </c>
      <c r="J288" s="1">
        <v>6.28E8</v>
      </c>
      <c r="K288" s="1">
        <v>6.28E8</v>
      </c>
      <c r="L288" s="1">
        <v>-6.79E8</v>
      </c>
      <c r="M288" s="1">
        <v>-1.1E7</v>
      </c>
      <c r="N288" s="1">
        <v>1.5217E10</v>
      </c>
      <c r="O288" s="1">
        <v>1.4589E10</v>
      </c>
      <c r="P288" s="1">
        <v>1.324E10</v>
      </c>
      <c r="Q288" s="1">
        <v>-1.2E9</v>
      </c>
      <c r="R288" s="1">
        <v>-5.61E8</v>
      </c>
      <c r="S288" s="1">
        <v>-5.37E8</v>
      </c>
    </row>
    <row r="289">
      <c r="A289" s="1">
        <v>287.0</v>
      </c>
      <c r="B289" s="2">
        <v>44196.0</v>
      </c>
      <c r="C289" s="1" t="s">
        <v>175</v>
      </c>
      <c r="D289" s="1" t="s">
        <v>176</v>
      </c>
      <c r="E289" s="1">
        <v>6.05E8</v>
      </c>
      <c r="F289" s="1">
        <v>-8.625E9</v>
      </c>
      <c r="G289" s="1">
        <v>-8.42E9</v>
      </c>
      <c r="H289" s="1">
        <v>1.722E9</v>
      </c>
      <c r="I289" s="1">
        <v>-4.062E9</v>
      </c>
      <c r="J289" s="1">
        <v>-6.389E9</v>
      </c>
      <c r="K289" s="1">
        <v>-6.389E9</v>
      </c>
      <c r="L289" s="1">
        <v>-6.98E8</v>
      </c>
      <c r="M289" s="1">
        <v>-1.86E8</v>
      </c>
      <c r="N289" s="1">
        <v>1.5304E10</v>
      </c>
      <c r="O289" s="1">
        <v>2.1693E10</v>
      </c>
      <c r="P289" s="1">
        <v>1.9366E10</v>
      </c>
      <c r="Q289" s="1">
        <v>-2.236E9</v>
      </c>
      <c r="R289" s="1">
        <v>-8.439E9</v>
      </c>
      <c r="S289" s="1">
        <v>-8.42E9</v>
      </c>
    </row>
    <row r="290">
      <c r="A290" s="1">
        <v>288.0</v>
      </c>
      <c r="B290" s="2">
        <v>44377.0</v>
      </c>
      <c r="C290" s="1" t="s">
        <v>178</v>
      </c>
      <c r="D290" s="1" t="s">
        <v>179</v>
      </c>
      <c r="F290" s="1">
        <v>-4.1E7</v>
      </c>
      <c r="G290" s="1">
        <v>-1.67E8</v>
      </c>
      <c r="H290" s="1">
        <v>1.421E9</v>
      </c>
      <c r="I290" s="1">
        <v>1.474E9</v>
      </c>
      <c r="J290" s="1">
        <v>-5.5E7</v>
      </c>
      <c r="K290" s="1">
        <v>-5.5E7</v>
      </c>
      <c r="L290" s="1">
        <v>-8.1E7</v>
      </c>
      <c r="M290" s="1">
        <v>1.26E8</v>
      </c>
      <c r="N290" s="1">
        <v>2.16E9</v>
      </c>
      <c r="O290" s="1">
        <v>2.215E9</v>
      </c>
      <c r="P290" s="1">
        <v>6.86E8</v>
      </c>
      <c r="Q290" s="1">
        <v>1.4E7</v>
      </c>
      <c r="R290" s="1">
        <v>-1.67E8</v>
      </c>
      <c r="S290" s="1">
        <v>-1.67E8</v>
      </c>
    </row>
    <row r="291">
      <c r="A291" s="1">
        <v>289.0</v>
      </c>
      <c r="B291" s="2">
        <v>44286.0</v>
      </c>
      <c r="C291" s="1" t="s">
        <v>178</v>
      </c>
      <c r="D291" s="1" t="s">
        <v>179</v>
      </c>
      <c r="F291" s="1">
        <v>-2.78E8</v>
      </c>
      <c r="G291" s="1">
        <v>-5.5E7</v>
      </c>
      <c r="H291" s="1">
        <v>7.79E8</v>
      </c>
      <c r="I291" s="1">
        <v>5.89E8</v>
      </c>
      <c r="J291" s="1">
        <v>-3.03E8</v>
      </c>
      <c r="K291" s="1">
        <v>-3.03E8</v>
      </c>
      <c r="L291" s="1">
        <v>-9.8E7</v>
      </c>
      <c r="M291" s="1">
        <v>-2.23E8</v>
      </c>
      <c r="N291" s="1">
        <v>1.141E9</v>
      </c>
      <c r="O291" s="1">
        <v>1.444E9</v>
      </c>
      <c r="P291" s="1">
        <v>5.52E8</v>
      </c>
      <c r="Q291" s="1">
        <v>2.5E7</v>
      </c>
      <c r="R291" s="1">
        <v>-5.5E7</v>
      </c>
      <c r="S291" s="1">
        <v>-5.5E7</v>
      </c>
    </row>
    <row r="292">
      <c r="A292" s="1">
        <v>290.0</v>
      </c>
      <c r="B292" s="2">
        <v>44196.0</v>
      </c>
      <c r="C292" s="1" t="s">
        <v>178</v>
      </c>
      <c r="D292" s="1" t="s">
        <v>179</v>
      </c>
      <c r="F292" s="1">
        <v>2.45E8</v>
      </c>
      <c r="G292" s="1">
        <v>-1.65E8</v>
      </c>
      <c r="H292" s="1">
        <v>7.12E8</v>
      </c>
      <c r="I292" s="1">
        <v>7.47E8</v>
      </c>
      <c r="J292" s="1">
        <v>-7.9E7</v>
      </c>
      <c r="K292" s="1">
        <v>-7.9E7</v>
      </c>
      <c r="L292" s="1">
        <v>-9.8E7</v>
      </c>
      <c r="M292" s="1">
        <v>4.1E8</v>
      </c>
      <c r="N292" s="1">
        <v>1.238E9</v>
      </c>
      <c r="O292" s="1">
        <v>1.317E9</v>
      </c>
      <c r="P292" s="1">
        <v>4.91E8</v>
      </c>
      <c r="Q292" s="1">
        <v>3.24E8</v>
      </c>
      <c r="R292" s="1">
        <v>-1.65E8</v>
      </c>
      <c r="S292" s="1">
        <v>-1.65E8</v>
      </c>
    </row>
    <row r="293">
      <c r="A293" s="1">
        <v>291.0</v>
      </c>
      <c r="B293" s="2">
        <v>44104.0</v>
      </c>
      <c r="C293" s="1" t="s">
        <v>178</v>
      </c>
      <c r="D293" s="1" t="s">
        <v>179</v>
      </c>
      <c r="F293" s="1">
        <v>8.35E8</v>
      </c>
      <c r="G293" s="1">
        <v>8.01E8</v>
      </c>
      <c r="H293" s="1">
        <v>1.079E9</v>
      </c>
      <c r="I293" s="1">
        <v>2.123E9</v>
      </c>
      <c r="J293" s="1">
        <v>9.29E8</v>
      </c>
      <c r="K293" s="1">
        <v>9.29E8</v>
      </c>
      <c r="L293" s="1">
        <v>-9.8E7</v>
      </c>
      <c r="M293" s="1">
        <v>3.4E7</v>
      </c>
      <c r="N293" s="1">
        <v>2.64E9</v>
      </c>
      <c r="O293" s="1">
        <v>1.711E9</v>
      </c>
      <c r="P293" s="1">
        <v>5.17E8</v>
      </c>
      <c r="Q293" s="1">
        <v>-9.4E7</v>
      </c>
      <c r="R293" s="1">
        <v>8.01E8</v>
      </c>
      <c r="S293" s="1">
        <v>8.01E8</v>
      </c>
    </row>
    <row r="294">
      <c r="A294" s="1">
        <v>292.0</v>
      </c>
      <c r="B294" s="2">
        <v>44377.0</v>
      </c>
      <c r="C294" s="1" t="s">
        <v>180</v>
      </c>
      <c r="D294" s="1" t="s">
        <v>181</v>
      </c>
      <c r="F294" s="1">
        <v>3.02E8</v>
      </c>
      <c r="G294" s="1">
        <v>2.47E8</v>
      </c>
      <c r="H294" s="1">
        <v>3.52E8</v>
      </c>
      <c r="I294" s="1">
        <v>7.62E8</v>
      </c>
      <c r="J294" s="1">
        <v>4.13E8</v>
      </c>
      <c r="K294" s="1">
        <v>4.13E8</v>
      </c>
      <c r="L294" s="1">
        <v>-4.2E7</v>
      </c>
      <c r="M294" s="1">
        <v>2.8E7</v>
      </c>
      <c r="N294" s="1">
        <v>3.758E9</v>
      </c>
      <c r="O294" s="1">
        <v>3.345E9</v>
      </c>
      <c r="P294" s="1">
        <v>2.996E9</v>
      </c>
      <c r="Q294" s="1">
        <v>-1.11E8</v>
      </c>
      <c r="R294" s="1">
        <v>2.74E8</v>
      </c>
      <c r="S294" s="1">
        <v>2.47E8</v>
      </c>
    </row>
    <row r="295">
      <c r="A295" s="1">
        <v>293.0</v>
      </c>
      <c r="B295" s="2">
        <v>44286.0</v>
      </c>
      <c r="C295" s="1" t="s">
        <v>180</v>
      </c>
      <c r="D295" s="1" t="s">
        <v>181</v>
      </c>
      <c r="F295" s="1">
        <v>1.36E8</v>
      </c>
      <c r="G295" s="1">
        <v>6.5E7</v>
      </c>
      <c r="H295" s="1">
        <v>3.66E8</v>
      </c>
      <c r="I295" s="1">
        <v>8.18E8</v>
      </c>
      <c r="J295" s="1">
        <v>4.55E8</v>
      </c>
      <c r="K295" s="1">
        <v>4.55E8</v>
      </c>
      <c r="L295" s="1">
        <v>-2.1E7</v>
      </c>
      <c r="M295" s="1">
        <v>4.2E7</v>
      </c>
      <c r="N295" s="1">
        <v>4.009E9</v>
      </c>
      <c r="O295" s="1">
        <v>3.554E9</v>
      </c>
      <c r="P295" s="1">
        <v>3.191E9</v>
      </c>
      <c r="Q295" s="1">
        <v>-3.19E8</v>
      </c>
      <c r="R295" s="1">
        <v>9.4E7</v>
      </c>
      <c r="S295" s="1">
        <v>6.5E7</v>
      </c>
    </row>
    <row r="296">
      <c r="A296" s="1">
        <v>294.0</v>
      </c>
      <c r="B296" s="2">
        <v>44196.0</v>
      </c>
      <c r="C296" s="1" t="s">
        <v>180</v>
      </c>
      <c r="D296" s="1" t="s">
        <v>181</v>
      </c>
      <c r="F296" s="1">
        <v>5.96E8</v>
      </c>
      <c r="G296" s="1">
        <v>3.58E8</v>
      </c>
      <c r="H296" s="1">
        <v>3.48E8</v>
      </c>
      <c r="I296" s="1">
        <v>7.72E8</v>
      </c>
      <c r="J296" s="1">
        <v>4.23E8</v>
      </c>
      <c r="K296" s="1">
        <v>4.23E8</v>
      </c>
      <c r="L296" s="1">
        <v>-2.3E7</v>
      </c>
      <c r="M296" s="1">
        <v>2.11E8</v>
      </c>
      <c r="N296" s="1">
        <v>3.926E9</v>
      </c>
      <c r="O296" s="1">
        <v>3.503E9</v>
      </c>
      <c r="P296" s="1">
        <v>3.154E9</v>
      </c>
      <c r="Q296" s="1">
        <v>1.73E8</v>
      </c>
      <c r="R296" s="1">
        <v>3.85E8</v>
      </c>
      <c r="S296" s="1">
        <v>3.58E8</v>
      </c>
    </row>
    <row r="297">
      <c r="A297" s="1">
        <v>295.0</v>
      </c>
      <c r="B297" s="2">
        <v>44104.0</v>
      </c>
      <c r="C297" s="1" t="s">
        <v>180</v>
      </c>
      <c r="D297" s="1" t="s">
        <v>181</v>
      </c>
      <c r="F297" s="1">
        <v>2.72E8</v>
      </c>
      <c r="G297" s="1">
        <v>1.11E8</v>
      </c>
      <c r="H297" s="1">
        <v>2.02E8</v>
      </c>
      <c r="I297" s="1">
        <v>5.17E8</v>
      </c>
      <c r="J297" s="1">
        <v>3.19E8</v>
      </c>
      <c r="K297" s="1">
        <v>3.19E8</v>
      </c>
      <c r="L297" s="1">
        <v>-2.0E7</v>
      </c>
      <c r="M297" s="1">
        <v>1.43E8</v>
      </c>
      <c r="N297" s="1">
        <v>2.534E9</v>
      </c>
      <c r="O297" s="1">
        <v>2.215E9</v>
      </c>
      <c r="P297" s="1">
        <v>2.017E9</v>
      </c>
      <c r="Q297" s="1">
        <v>-4.7E7</v>
      </c>
      <c r="R297" s="1">
        <v>1.29E8</v>
      </c>
      <c r="S297" s="1">
        <v>1.11E8</v>
      </c>
    </row>
    <row r="298">
      <c r="A298" s="1">
        <v>296.0</v>
      </c>
      <c r="B298" s="2">
        <v>44377.0</v>
      </c>
      <c r="C298" s="1" t="s">
        <v>182</v>
      </c>
      <c r="D298" s="1" t="s">
        <v>183</v>
      </c>
      <c r="F298" s="1">
        <v>1.4125E8</v>
      </c>
      <c r="G298" s="1">
        <v>1.11703E8</v>
      </c>
      <c r="H298" s="1">
        <v>3.8405E7</v>
      </c>
      <c r="I298" s="1">
        <v>4.57565E8</v>
      </c>
      <c r="J298" s="1">
        <v>2.45822E8</v>
      </c>
      <c r="K298" s="1">
        <v>2.45822E8</v>
      </c>
      <c r="L298" s="1">
        <v>-1.06319E8</v>
      </c>
      <c r="M298" s="1">
        <v>0.0</v>
      </c>
      <c r="N298" s="1">
        <v>7.09015E8</v>
      </c>
      <c r="O298" s="1">
        <v>4.63193E8</v>
      </c>
      <c r="P298" s="1">
        <v>2.5145E8</v>
      </c>
      <c r="Q298" s="1">
        <v>-1.04572E8</v>
      </c>
      <c r="R298" s="1">
        <v>1.4125E8</v>
      </c>
      <c r="S298" s="1">
        <v>1.11703E8</v>
      </c>
    </row>
    <row r="299">
      <c r="A299" s="1">
        <v>297.0</v>
      </c>
      <c r="B299" s="2">
        <v>44286.0</v>
      </c>
      <c r="C299" s="1" t="s">
        <v>182</v>
      </c>
      <c r="D299" s="1" t="s">
        <v>183</v>
      </c>
      <c r="F299" s="1">
        <v>1.28147E8</v>
      </c>
      <c r="G299" s="1">
        <v>1.00596E8</v>
      </c>
      <c r="H299" s="1">
        <v>4.4959E7</v>
      </c>
      <c r="I299" s="1">
        <v>4.46779E8</v>
      </c>
      <c r="J299" s="1">
        <v>2.31055E8</v>
      </c>
      <c r="K299" s="1">
        <v>2.31055E8</v>
      </c>
      <c r="L299" s="1">
        <v>-1.07902E8</v>
      </c>
      <c r="M299" s="1">
        <v>0.0</v>
      </c>
      <c r="N299" s="1">
        <v>7.0655E8</v>
      </c>
      <c r="O299" s="1">
        <v>4.75495E8</v>
      </c>
      <c r="P299" s="1">
        <v>2.59771E8</v>
      </c>
      <c r="Q299" s="1">
        <v>-1.02908E8</v>
      </c>
      <c r="R299" s="1">
        <v>1.28147E8</v>
      </c>
      <c r="S299" s="1">
        <v>9.1624E7</v>
      </c>
    </row>
    <row r="300">
      <c r="A300" s="1">
        <v>298.0</v>
      </c>
      <c r="B300" s="2">
        <v>44196.0</v>
      </c>
      <c r="C300" s="1" t="s">
        <v>182</v>
      </c>
      <c r="D300" s="1" t="s">
        <v>183</v>
      </c>
      <c r="F300" s="1">
        <v>2.4905E7</v>
      </c>
      <c r="G300" s="1">
        <v>1.0311E7</v>
      </c>
      <c r="H300" s="1">
        <v>3.1053E7</v>
      </c>
      <c r="I300" s="1">
        <v>3.9312E8</v>
      </c>
      <c r="J300" s="1">
        <v>1.94054E8</v>
      </c>
      <c r="K300" s="1">
        <v>1.94054E8</v>
      </c>
      <c r="L300" s="1">
        <v>-1.11991E8</v>
      </c>
      <c r="M300" s="1">
        <v>0.0</v>
      </c>
      <c r="N300" s="1">
        <v>6.50769E8</v>
      </c>
      <c r="O300" s="1">
        <v>4.56715E8</v>
      </c>
      <c r="P300" s="1">
        <v>2.57649E8</v>
      </c>
      <c r="Q300" s="1">
        <v>-1.69149E8</v>
      </c>
      <c r="R300" s="1">
        <v>2.4905E7</v>
      </c>
      <c r="S300" s="1">
        <v>8088000.0</v>
      </c>
    </row>
    <row r="301">
      <c r="A301" s="1">
        <v>299.0</v>
      </c>
      <c r="B301" s="2">
        <v>44104.0</v>
      </c>
      <c r="C301" s="1" t="s">
        <v>182</v>
      </c>
      <c r="D301" s="1" t="s">
        <v>183</v>
      </c>
      <c r="F301" s="1">
        <v>1.1806E8</v>
      </c>
      <c r="G301" s="1">
        <v>9.2479E7</v>
      </c>
      <c r="H301" s="1">
        <v>2.7862E7</v>
      </c>
      <c r="I301" s="1">
        <v>4.24219E8</v>
      </c>
      <c r="J301" s="1">
        <v>2.29901E8</v>
      </c>
      <c r="K301" s="1">
        <v>2.29901E8</v>
      </c>
      <c r="L301" s="1">
        <v>-1.10993E8</v>
      </c>
      <c r="M301" s="1">
        <v>0.0</v>
      </c>
      <c r="N301" s="1">
        <v>6.85951E8</v>
      </c>
      <c r="O301" s="1">
        <v>4.5605E8</v>
      </c>
      <c r="P301" s="1">
        <v>2.61732E8</v>
      </c>
      <c r="Q301" s="1">
        <v>-1.11841E8</v>
      </c>
      <c r="R301" s="1">
        <v>1.1806E8</v>
      </c>
      <c r="S301" s="1">
        <v>8.9854E7</v>
      </c>
    </row>
    <row r="302">
      <c r="A302" s="1">
        <v>300.0</v>
      </c>
      <c r="B302" s="2">
        <v>44377.0</v>
      </c>
      <c r="C302" s="1" t="s">
        <v>185</v>
      </c>
      <c r="D302" s="1" t="s">
        <v>186</v>
      </c>
      <c r="E302" s="1">
        <v>2.98E8</v>
      </c>
      <c r="F302" s="1">
        <v>1.49E8</v>
      </c>
      <c r="G302" s="1">
        <v>1.86E8</v>
      </c>
      <c r="H302" s="1">
        <v>1.121E9</v>
      </c>
      <c r="I302" s="1">
        <v>2.12E9</v>
      </c>
      <c r="J302" s="1">
        <v>5.21E8</v>
      </c>
      <c r="K302" s="1">
        <v>5.21E8</v>
      </c>
      <c r="L302" s="1">
        <v>-8.6E7</v>
      </c>
      <c r="M302" s="1">
        <v>-3.7E7</v>
      </c>
      <c r="N302" s="1">
        <v>3.077E9</v>
      </c>
      <c r="O302" s="1">
        <v>2.556E9</v>
      </c>
      <c r="P302" s="1">
        <v>9.57E8</v>
      </c>
      <c r="Q302" s="1">
        <v>-3.72E8</v>
      </c>
      <c r="R302" s="1">
        <v>1.86E8</v>
      </c>
      <c r="S302" s="1">
        <v>1.72E8</v>
      </c>
    </row>
    <row r="303">
      <c r="A303" s="1">
        <v>301.0</v>
      </c>
      <c r="B303" s="2">
        <v>44286.0</v>
      </c>
      <c r="C303" s="1" t="s">
        <v>185</v>
      </c>
      <c r="D303" s="1" t="s">
        <v>186</v>
      </c>
      <c r="E303" s="1">
        <v>2.76E8</v>
      </c>
      <c r="F303" s="1">
        <v>3.25E8</v>
      </c>
      <c r="G303" s="1">
        <v>3.41E8</v>
      </c>
      <c r="H303" s="1">
        <v>1.019E9</v>
      </c>
      <c r="I303" s="1">
        <v>1.846E9</v>
      </c>
      <c r="J303" s="1">
        <v>3.66E8</v>
      </c>
      <c r="K303" s="1">
        <v>3.66E8</v>
      </c>
      <c r="L303" s="1">
        <v>-8.2E7</v>
      </c>
      <c r="M303" s="1">
        <v>-1.6E7</v>
      </c>
      <c r="N303" s="1">
        <v>2.752E9</v>
      </c>
      <c r="O303" s="1">
        <v>2.386E9</v>
      </c>
      <c r="P303" s="1">
        <v>9.06E8</v>
      </c>
      <c r="Q303" s="1">
        <v>-4.1E7</v>
      </c>
      <c r="R303" s="1">
        <v>3.41E8</v>
      </c>
      <c r="S303" s="1">
        <v>3.27E8</v>
      </c>
    </row>
    <row r="304">
      <c r="A304" s="1">
        <v>302.0</v>
      </c>
      <c r="B304" s="2">
        <v>44196.0</v>
      </c>
      <c r="C304" s="1" t="s">
        <v>185</v>
      </c>
      <c r="D304" s="1" t="s">
        <v>186</v>
      </c>
      <c r="E304" s="1">
        <v>2.82E8</v>
      </c>
      <c r="F304" s="1">
        <v>3.06E8</v>
      </c>
      <c r="G304" s="1">
        <v>2.1E8</v>
      </c>
      <c r="H304" s="1">
        <v>9.76E8</v>
      </c>
      <c r="I304" s="1">
        <v>2.086E9</v>
      </c>
      <c r="J304" s="1">
        <v>6.34E8</v>
      </c>
      <c r="K304" s="1">
        <v>6.34E8</v>
      </c>
      <c r="L304" s="1">
        <v>-9.6E7</v>
      </c>
      <c r="M304" s="1">
        <v>9.6E7</v>
      </c>
      <c r="N304" s="1">
        <v>2.709E9</v>
      </c>
      <c r="O304" s="1">
        <v>2.075E9</v>
      </c>
      <c r="P304" s="1">
        <v>6.23E8</v>
      </c>
      <c r="Q304" s="1">
        <v>-3.28E8</v>
      </c>
      <c r="R304" s="1">
        <v>2.1E8</v>
      </c>
      <c r="S304" s="1">
        <v>1.96E8</v>
      </c>
    </row>
    <row r="305">
      <c r="A305" s="1">
        <v>303.0</v>
      </c>
      <c r="B305" s="2">
        <v>44104.0</v>
      </c>
      <c r="C305" s="1" t="s">
        <v>185</v>
      </c>
      <c r="D305" s="1" t="s">
        <v>186</v>
      </c>
      <c r="E305" s="1">
        <v>3.15E8</v>
      </c>
      <c r="F305" s="1">
        <v>-2.27E8</v>
      </c>
      <c r="G305" s="1">
        <v>-1.55E8</v>
      </c>
      <c r="H305" s="1">
        <v>9.84E8</v>
      </c>
      <c r="I305" s="1">
        <v>1.778E9</v>
      </c>
      <c r="J305" s="1">
        <v>2.82E8</v>
      </c>
      <c r="K305" s="1">
        <v>2.82E8</v>
      </c>
      <c r="L305" s="1">
        <v>-8.6E7</v>
      </c>
      <c r="M305" s="1">
        <v>-7.2E7</v>
      </c>
      <c r="N305" s="1">
        <v>2.659E9</v>
      </c>
      <c r="O305" s="1">
        <v>2.377E9</v>
      </c>
      <c r="P305" s="1">
        <v>8.81E8</v>
      </c>
      <c r="Q305" s="1">
        <v>-5.09E8</v>
      </c>
      <c r="R305" s="1">
        <v>-1.55E8</v>
      </c>
      <c r="S305" s="1">
        <v>-1.69E8</v>
      </c>
    </row>
    <row r="306">
      <c r="A306" s="1">
        <v>304.0</v>
      </c>
      <c r="B306" s="2">
        <v>44377.0</v>
      </c>
      <c r="C306" s="1" t="s">
        <v>187</v>
      </c>
      <c r="D306" s="1" t="s">
        <v>188</v>
      </c>
      <c r="E306" s="1">
        <v>2.261E9</v>
      </c>
      <c r="F306" s="1">
        <v>1.553E9</v>
      </c>
      <c r="G306" s="1">
        <v>1.055E9</v>
      </c>
      <c r="H306" s="1">
        <v>1.866E9</v>
      </c>
      <c r="I306" s="1">
        <v>9.34E9</v>
      </c>
      <c r="J306" s="1">
        <v>2.666E9</v>
      </c>
      <c r="K306" s="1">
        <v>2.666E9</v>
      </c>
      <c r="L306" s="1">
        <v>-3.2E8</v>
      </c>
      <c r="M306" s="1">
        <v>4.92E8</v>
      </c>
      <c r="N306" s="1">
        <v>1.1703E10</v>
      </c>
      <c r="O306" s="1">
        <v>9.037E9</v>
      </c>
      <c r="P306" s="1">
        <v>2.363E9</v>
      </c>
      <c r="Q306" s="1">
        <v>-1.113E9</v>
      </c>
      <c r="R306" s="1">
        <v>1.061E9</v>
      </c>
      <c r="S306" s="1">
        <v>1.055E9</v>
      </c>
    </row>
    <row r="307">
      <c r="A307" s="1">
        <v>305.0</v>
      </c>
      <c r="B307" s="2">
        <v>44286.0</v>
      </c>
      <c r="C307" s="1" t="s">
        <v>187</v>
      </c>
      <c r="D307" s="1" t="s">
        <v>188</v>
      </c>
      <c r="E307" s="1">
        <v>2.225E9</v>
      </c>
      <c r="F307" s="1">
        <v>2.53E9</v>
      </c>
      <c r="G307" s="1">
        <v>2.021E9</v>
      </c>
      <c r="H307" s="1">
        <v>1.667E9</v>
      </c>
      <c r="I307" s="1">
        <v>8.649E9</v>
      </c>
      <c r="J307" s="1">
        <v>2.244E9</v>
      </c>
      <c r="K307" s="1">
        <v>2.244E9</v>
      </c>
      <c r="L307" s="1">
        <v>-3.42E8</v>
      </c>
      <c r="M307" s="1">
        <v>5.01E8</v>
      </c>
      <c r="N307" s="1">
        <v>1.1073E10</v>
      </c>
      <c r="O307" s="1">
        <v>8.829E9</v>
      </c>
      <c r="P307" s="1">
        <v>2.424E9</v>
      </c>
      <c r="Q307" s="1">
        <v>2.86E8</v>
      </c>
      <c r="R307" s="1">
        <v>2.029E9</v>
      </c>
      <c r="S307" s="1">
        <v>2.021E9</v>
      </c>
    </row>
    <row r="308">
      <c r="A308" s="1">
        <v>306.0</v>
      </c>
      <c r="B308" s="2">
        <v>44196.0</v>
      </c>
      <c r="C308" s="1" t="s">
        <v>187</v>
      </c>
      <c r="D308" s="1" t="s">
        <v>188</v>
      </c>
      <c r="E308" s="1">
        <v>2.579E9</v>
      </c>
      <c r="F308" s="1">
        <v>-1.0451E10</v>
      </c>
      <c r="G308" s="1">
        <v>-1.0027E10</v>
      </c>
      <c r="H308" s="1">
        <v>2.48E9</v>
      </c>
      <c r="I308" s="1">
        <v>8.833E9</v>
      </c>
      <c r="J308" s="1">
        <v>1.248E9</v>
      </c>
      <c r="K308" s="1">
        <v>1.248E9</v>
      </c>
      <c r="L308" s="1">
        <v>-3.45E8</v>
      </c>
      <c r="M308" s="1">
        <v>-4.24E8</v>
      </c>
      <c r="N308" s="1">
        <v>1.1068E10</v>
      </c>
      <c r="O308" s="1">
        <v>9.82E9</v>
      </c>
      <c r="P308" s="1">
        <v>2.235E9</v>
      </c>
      <c r="Q308" s="1">
        <v>-1.1699E10</v>
      </c>
      <c r="R308" s="1">
        <v>-1.0027E10</v>
      </c>
      <c r="S308" s="1">
        <v>-1.0027E10</v>
      </c>
    </row>
    <row r="309">
      <c r="A309" s="1">
        <v>307.0</v>
      </c>
      <c r="B309" s="2">
        <v>44104.0</v>
      </c>
      <c r="C309" s="1" t="s">
        <v>187</v>
      </c>
      <c r="D309" s="1" t="s">
        <v>188</v>
      </c>
      <c r="E309" s="1">
        <v>2.273E9</v>
      </c>
      <c r="F309" s="1">
        <v>2.257E9</v>
      </c>
      <c r="G309" s="1">
        <v>1.872E9</v>
      </c>
      <c r="H309" s="1">
        <v>1.694E9</v>
      </c>
      <c r="I309" s="1">
        <v>8.497E9</v>
      </c>
      <c r="J309" s="1">
        <v>2.039E9</v>
      </c>
      <c r="K309" s="1">
        <v>2.039E9</v>
      </c>
      <c r="L309" s="1">
        <v>-3.36E8</v>
      </c>
      <c r="M309" s="1">
        <v>3.79E8</v>
      </c>
      <c r="N309" s="1">
        <v>1.054E10</v>
      </c>
      <c r="O309" s="1">
        <v>8.501E9</v>
      </c>
      <c r="P309" s="1">
        <v>2.043E9</v>
      </c>
      <c r="Q309" s="1">
        <v>2.18E8</v>
      </c>
      <c r="R309" s="1">
        <v>1.878E9</v>
      </c>
      <c r="S309" s="1">
        <v>1.872E9</v>
      </c>
    </row>
    <row r="310">
      <c r="A310" s="1">
        <v>308.0</v>
      </c>
      <c r="B310" s="2">
        <v>44409.0</v>
      </c>
      <c r="C310" s="1" t="s">
        <v>189</v>
      </c>
      <c r="D310" s="1" t="s">
        <v>190</v>
      </c>
      <c r="E310" s="1">
        <v>1.205E9</v>
      </c>
      <c r="F310" s="1">
        <v>1.726E9</v>
      </c>
      <c r="G310" s="1">
        <v>1.876E9</v>
      </c>
      <c r="H310" s="1">
        <v>3.46E8</v>
      </c>
      <c r="I310" s="1">
        <v>5.049E9</v>
      </c>
      <c r="J310" s="1">
        <v>2.153E9</v>
      </c>
      <c r="K310" s="1">
        <v>2.153E9</v>
      </c>
      <c r="L310" s="1">
        <v>-4.15E8</v>
      </c>
      <c r="M310" s="1">
        <v>-1.5E8</v>
      </c>
      <c r="N310" s="1">
        <v>6.778E9</v>
      </c>
      <c r="O310" s="1">
        <v>4.625E9</v>
      </c>
      <c r="P310" s="1">
        <v>1.729E9</v>
      </c>
      <c r="Q310" s="1">
        <v>-4.27E8</v>
      </c>
      <c r="R310" s="1">
        <v>1.876E9</v>
      </c>
      <c r="S310" s="1">
        <v>1.802E9</v>
      </c>
    </row>
    <row r="311">
      <c r="A311" s="1">
        <v>309.0</v>
      </c>
      <c r="B311" s="2">
        <v>44318.0</v>
      </c>
      <c r="C311" s="1" t="s">
        <v>189</v>
      </c>
      <c r="D311" s="1" t="s">
        <v>190</v>
      </c>
      <c r="E311" s="1">
        <v>1.238E9</v>
      </c>
      <c r="F311" s="1">
        <v>1.486E9</v>
      </c>
      <c r="G311" s="1">
        <v>1.493E9</v>
      </c>
      <c r="H311" s="1">
        <v>3.25E8</v>
      </c>
      <c r="I311" s="1">
        <v>4.911E9</v>
      </c>
      <c r="J311" s="1">
        <v>2.001E9</v>
      </c>
      <c r="K311" s="1">
        <v>2.001E9</v>
      </c>
      <c r="L311" s="1">
        <v>-4.66E8</v>
      </c>
      <c r="M311" s="1">
        <v>-7000000.0</v>
      </c>
      <c r="N311" s="1">
        <v>6.61E9</v>
      </c>
      <c r="O311" s="1">
        <v>4.609E9</v>
      </c>
      <c r="P311" s="1">
        <v>1.699E9</v>
      </c>
      <c r="Q311" s="1">
        <v>-5.15E8</v>
      </c>
      <c r="R311" s="1">
        <v>1.493E9</v>
      </c>
      <c r="S311" s="1">
        <v>1.417E9</v>
      </c>
    </row>
    <row r="312">
      <c r="A312" s="1">
        <v>310.0</v>
      </c>
      <c r="B312" s="2">
        <v>44227.0</v>
      </c>
      <c r="C312" s="1" t="s">
        <v>189</v>
      </c>
      <c r="D312" s="1" t="s">
        <v>190</v>
      </c>
      <c r="E312" s="1">
        <v>1.211E9</v>
      </c>
      <c r="F312" s="1">
        <v>1.384E9</v>
      </c>
      <c r="G312" s="1">
        <v>1.378E9</v>
      </c>
      <c r="H312" s="1">
        <v>3.39E8</v>
      </c>
      <c r="I312" s="1">
        <v>4.841E9</v>
      </c>
      <c r="J312" s="1">
        <v>1.923E9</v>
      </c>
      <c r="K312" s="1">
        <v>1.923E9</v>
      </c>
      <c r="L312" s="1">
        <v>-5.7E8</v>
      </c>
      <c r="M312" s="1">
        <v>6000000.0</v>
      </c>
      <c r="N312" s="1">
        <v>6.655E9</v>
      </c>
      <c r="O312" s="1">
        <v>4.732E9</v>
      </c>
      <c r="P312" s="1">
        <v>1.814E9</v>
      </c>
      <c r="Q312" s="1">
        <v>-5.39E8</v>
      </c>
      <c r="R312" s="1">
        <v>1.378E9</v>
      </c>
      <c r="S312" s="1">
        <v>1.304E9</v>
      </c>
    </row>
    <row r="313">
      <c r="A313" s="1">
        <v>311.0</v>
      </c>
      <c r="B313" s="2">
        <v>44136.0</v>
      </c>
      <c r="C313" s="1" t="s">
        <v>189</v>
      </c>
      <c r="D313" s="1" t="s">
        <v>190</v>
      </c>
      <c r="E313" s="1">
        <v>1.182E9</v>
      </c>
      <c r="F313" s="1">
        <v>1.137E9</v>
      </c>
      <c r="G313" s="1">
        <v>1.324E9</v>
      </c>
      <c r="H313" s="1">
        <v>5.12E8</v>
      </c>
      <c r="I313" s="1">
        <v>4.714E9</v>
      </c>
      <c r="J313" s="1">
        <v>1.459E9</v>
      </c>
      <c r="K313" s="1">
        <v>1.459E9</v>
      </c>
      <c r="L313" s="1">
        <v>-4.2E8</v>
      </c>
      <c r="M313" s="1">
        <v>-1.87E8</v>
      </c>
      <c r="N313" s="1">
        <v>6.467E9</v>
      </c>
      <c r="O313" s="1">
        <v>5.008E9</v>
      </c>
      <c r="P313" s="1">
        <v>1.753E9</v>
      </c>
      <c r="Q313" s="1">
        <v>-3.22E8</v>
      </c>
      <c r="R313" s="1">
        <v>1.324E9</v>
      </c>
      <c r="S313" s="1">
        <v>1.25E9</v>
      </c>
    </row>
    <row r="314">
      <c r="A314" s="1">
        <v>312.0</v>
      </c>
      <c r="B314" s="2">
        <v>44286.0</v>
      </c>
      <c r="C314" s="1" t="s">
        <v>192</v>
      </c>
      <c r="D314" s="1" t="s">
        <v>193</v>
      </c>
      <c r="F314" s="1">
        <v>2.169E8</v>
      </c>
      <c r="G314" s="1">
        <v>1.65E8</v>
      </c>
      <c r="H314" s="1">
        <v>1.9E8</v>
      </c>
      <c r="I314" s="1">
        <v>4.293E8</v>
      </c>
      <c r="J314" s="1">
        <v>2.393E8</v>
      </c>
      <c r="K314" s="1">
        <v>2.393E8</v>
      </c>
      <c r="L314" s="1">
        <v>-1.2E7</v>
      </c>
      <c r="M314" s="1">
        <v>5.19E7</v>
      </c>
      <c r="N314" s="1">
        <v>1.3898E9</v>
      </c>
      <c r="O314" s="1">
        <v>1.1505E9</v>
      </c>
      <c r="P314" s="1">
        <v>9.605E8</v>
      </c>
      <c r="Q314" s="1">
        <v>-2.24E7</v>
      </c>
      <c r="R314" s="1">
        <v>1.65E8</v>
      </c>
      <c r="S314" s="1">
        <v>1.65E8</v>
      </c>
    </row>
    <row r="315">
      <c r="A315" s="1">
        <v>313.0</v>
      </c>
      <c r="B315" s="2">
        <v>44196.0</v>
      </c>
      <c r="C315" s="1" t="s">
        <v>192</v>
      </c>
      <c r="D315" s="1" t="s">
        <v>193</v>
      </c>
      <c r="F315" s="1">
        <v>6.94E7</v>
      </c>
      <c r="G315" s="1">
        <v>5.63E7</v>
      </c>
      <c r="H315" s="1">
        <v>1.69E8</v>
      </c>
      <c r="I315" s="1">
        <v>2.484E8</v>
      </c>
      <c r="J315" s="1">
        <v>7.94E7</v>
      </c>
      <c r="K315" s="1">
        <v>7.94E7</v>
      </c>
      <c r="L315" s="1">
        <v>-1.21E7</v>
      </c>
      <c r="M315" s="1">
        <v>1.31E7</v>
      </c>
      <c r="N315" s="1">
        <v>1.0549E9</v>
      </c>
      <c r="O315" s="1">
        <v>9.755E8</v>
      </c>
      <c r="P315" s="1">
        <v>8.065E8</v>
      </c>
      <c r="Q315" s="1">
        <v>-1.0E7</v>
      </c>
      <c r="R315" s="1">
        <v>5.63E7</v>
      </c>
      <c r="S315" s="1">
        <v>5.63E7</v>
      </c>
    </row>
    <row r="316">
      <c r="A316" s="1">
        <v>314.0</v>
      </c>
      <c r="B316" s="2">
        <v>44104.0</v>
      </c>
      <c r="C316" s="1" t="s">
        <v>192</v>
      </c>
      <c r="D316" s="1" t="s">
        <v>193</v>
      </c>
      <c r="F316" s="1">
        <v>7.36E7</v>
      </c>
      <c r="G316" s="1">
        <v>6.58E7</v>
      </c>
      <c r="H316" s="1">
        <v>1.517E8</v>
      </c>
      <c r="I316" s="1">
        <v>2.303E8</v>
      </c>
      <c r="J316" s="1">
        <v>7.86E7</v>
      </c>
      <c r="K316" s="1">
        <v>7.86E7</v>
      </c>
      <c r="L316" s="1">
        <v>-1.5E7</v>
      </c>
      <c r="M316" s="1">
        <v>7800000.0</v>
      </c>
      <c r="N316" s="1">
        <v>1.0174E9</v>
      </c>
      <c r="O316" s="1">
        <v>9.388E8</v>
      </c>
      <c r="P316" s="1">
        <v>7.871E8</v>
      </c>
      <c r="Q316" s="1">
        <v>-5000000.0</v>
      </c>
      <c r="R316" s="1">
        <v>6.58E7</v>
      </c>
      <c r="S316" s="1">
        <v>6.58E7</v>
      </c>
    </row>
    <row r="317">
      <c r="A317" s="1">
        <v>315.0</v>
      </c>
      <c r="B317" s="2">
        <v>44012.0</v>
      </c>
      <c r="C317" s="1" t="s">
        <v>192</v>
      </c>
      <c r="D317" s="1" t="s">
        <v>193</v>
      </c>
      <c r="F317" s="1">
        <v>2.947E8</v>
      </c>
      <c r="G317" s="1">
        <v>2.297E8</v>
      </c>
      <c r="H317" s="1">
        <v>1.789E8</v>
      </c>
      <c r="I317" s="1">
        <v>4.777E8</v>
      </c>
      <c r="J317" s="1">
        <v>2.988E8</v>
      </c>
      <c r="K317" s="1">
        <v>2.988E8</v>
      </c>
      <c r="L317" s="1">
        <v>-1.62E7</v>
      </c>
      <c r="M317" s="1">
        <v>6.5E7</v>
      </c>
      <c r="N317" s="1">
        <v>1.3619E9</v>
      </c>
      <c r="O317" s="1">
        <v>1.0631E9</v>
      </c>
      <c r="P317" s="1">
        <v>8.842E8</v>
      </c>
      <c r="Q317" s="1">
        <v>-4100000.0</v>
      </c>
      <c r="R317" s="1">
        <v>2.297E8</v>
      </c>
      <c r="S317" s="1">
        <v>2.297E8</v>
      </c>
    </row>
    <row r="318">
      <c r="A318" s="1">
        <v>316.0</v>
      </c>
      <c r="B318" s="2">
        <v>44286.0</v>
      </c>
      <c r="C318" s="1" t="s">
        <v>194</v>
      </c>
      <c r="D318" s="1" t="s">
        <v>195</v>
      </c>
      <c r="F318" s="1">
        <v>2.39207E8</v>
      </c>
      <c r="G318" s="1">
        <v>1.99744E8</v>
      </c>
      <c r="I318" s="1">
        <v>3.85528E8</v>
      </c>
      <c r="J318" s="1">
        <v>2.54216E8</v>
      </c>
      <c r="K318" s="1">
        <v>2.54216E8</v>
      </c>
      <c r="L318" s="1">
        <v>-1.6342E7</v>
      </c>
      <c r="M318" s="1">
        <v>3.9463E7</v>
      </c>
      <c r="N318" s="1">
        <v>8.15026E8</v>
      </c>
      <c r="O318" s="1">
        <v>5.6081E8</v>
      </c>
      <c r="P318" s="1">
        <v>4.29498E8</v>
      </c>
      <c r="Q318" s="1">
        <v>-1.5009E7</v>
      </c>
      <c r="R318" s="1">
        <v>1.99744E8</v>
      </c>
      <c r="S318" s="1">
        <v>1.99744E8</v>
      </c>
    </row>
    <row r="319">
      <c r="A319" s="1">
        <v>317.0</v>
      </c>
      <c r="B319" s="2">
        <v>44196.0</v>
      </c>
      <c r="C319" s="1" t="s">
        <v>194</v>
      </c>
      <c r="D319" s="1" t="s">
        <v>195</v>
      </c>
      <c r="F319" s="1">
        <v>1.30916E8</v>
      </c>
      <c r="G319" s="1">
        <v>9.732E7</v>
      </c>
      <c r="I319" s="1">
        <v>2.67038E8</v>
      </c>
      <c r="J319" s="1">
        <v>1.39395E8</v>
      </c>
      <c r="K319" s="1">
        <v>1.39395E8</v>
      </c>
      <c r="L319" s="1">
        <v>-1.6639E7</v>
      </c>
      <c r="M319" s="1">
        <v>3.3596E7</v>
      </c>
      <c r="N319" s="1">
        <v>6.44508E8</v>
      </c>
      <c r="O319" s="1">
        <v>5.05113E8</v>
      </c>
      <c r="P319" s="1">
        <v>3.7747E8</v>
      </c>
      <c r="Q319" s="1">
        <v>-8479000.0</v>
      </c>
      <c r="R319" s="1">
        <v>9.732E7</v>
      </c>
      <c r="S319" s="1">
        <v>9.732E7</v>
      </c>
    </row>
    <row r="320">
      <c r="A320" s="1">
        <v>318.0</v>
      </c>
      <c r="B320" s="2">
        <v>44104.0</v>
      </c>
      <c r="C320" s="1" t="s">
        <v>194</v>
      </c>
      <c r="D320" s="1" t="s">
        <v>195</v>
      </c>
      <c r="F320" s="1">
        <v>1.58528E8</v>
      </c>
      <c r="G320" s="1">
        <v>1.33979E8</v>
      </c>
      <c r="I320" s="1">
        <v>3.08629E8</v>
      </c>
      <c r="J320" s="1">
        <v>1.8352E8</v>
      </c>
      <c r="K320" s="1">
        <v>1.8352E8</v>
      </c>
      <c r="L320" s="1">
        <v>-1.3234E7</v>
      </c>
      <c r="M320" s="1">
        <v>2.4549E7</v>
      </c>
      <c r="N320" s="1">
        <v>6.71396E8</v>
      </c>
      <c r="O320" s="1">
        <v>4.87876E8</v>
      </c>
      <c r="P320" s="1">
        <v>3.62767E8</v>
      </c>
      <c r="Q320" s="1">
        <v>-2.4992E7</v>
      </c>
      <c r="R320" s="1">
        <v>1.33979E8</v>
      </c>
      <c r="S320" s="1">
        <v>1.33979E8</v>
      </c>
    </row>
    <row r="321">
      <c r="A321" s="1">
        <v>319.0</v>
      </c>
      <c r="B321" s="2">
        <v>44012.0</v>
      </c>
      <c r="C321" s="1" t="s">
        <v>194</v>
      </c>
      <c r="D321" s="1" t="s">
        <v>195</v>
      </c>
      <c r="F321" s="1">
        <v>1.29401E8</v>
      </c>
      <c r="G321" s="1">
        <v>9.6784E7</v>
      </c>
      <c r="I321" s="1">
        <v>2.51642E8</v>
      </c>
      <c r="J321" s="1">
        <v>1.43165E8</v>
      </c>
      <c r="K321" s="1">
        <v>1.43165E8</v>
      </c>
      <c r="L321" s="1">
        <v>-1.3809E7</v>
      </c>
      <c r="M321" s="1">
        <v>3.2617E7</v>
      </c>
      <c r="N321" s="1">
        <v>5.98157E8</v>
      </c>
      <c r="O321" s="1">
        <v>4.54992E8</v>
      </c>
      <c r="P321" s="1">
        <v>3.46515E8</v>
      </c>
      <c r="Q321" s="1">
        <v>-1.3764E7</v>
      </c>
      <c r="R321" s="1">
        <v>9.6784E7</v>
      </c>
      <c r="S321" s="1">
        <v>9.6784E7</v>
      </c>
    </row>
    <row r="322">
      <c r="A322" s="1">
        <v>320.0</v>
      </c>
      <c r="B322" s="2">
        <v>44286.0</v>
      </c>
      <c r="C322" s="1" t="s">
        <v>197</v>
      </c>
      <c r="D322" s="1" t="s">
        <v>198</v>
      </c>
      <c r="F322" s="1">
        <v>2.12069E8</v>
      </c>
      <c r="G322" s="1">
        <v>1.73305E8</v>
      </c>
      <c r="H322" s="1">
        <v>1.18216E8</v>
      </c>
      <c r="I322" s="1">
        <v>3.41545E8</v>
      </c>
      <c r="J322" s="1">
        <v>2.23329E8</v>
      </c>
      <c r="K322" s="1">
        <v>2.23329E8</v>
      </c>
      <c r="L322" s="1">
        <v>-1.22E7</v>
      </c>
      <c r="M322" s="1">
        <v>3.8764E7</v>
      </c>
      <c r="N322" s="1">
        <v>4.803869E9</v>
      </c>
      <c r="O322" s="1">
        <v>4.58054E9</v>
      </c>
      <c r="P322" s="1">
        <v>4.462324E9</v>
      </c>
      <c r="Q322" s="1">
        <v>-1.126E7</v>
      </c>
      <c r="R322" s="1">
        <v>1.73305E8</v>
      </c>
      <c r="S322" s="1">
        <v>1.73305E8</v>
      </c>
    </row>
    <row r="323">
      <c r="A323" s="1">
        <v>321.0</v>
      </c>
      <c r="B323" s="2">
        <v>44196.0</v>
      </c>
      <c r="C323" s="1" t="s">
        <v>197</v>
      </c>
      <c r="D323" s="1" t="s">
        <v>198</v>
      </c>
      <c r="F323" s="1">
        <v>1.94769E8</v>
      </c>
      <c r="G323" s="1">
        <v>1.47807E8</v>
      </c>
      <c r="H323" s="1">
        <v>1.24516E8</v>
      </c>
      <c r="I323" s="1">
        <v>3.31318E8</v>
      </c>
      <c r="J323" s="1">
        <v>2.06802E8</v>
      </c>
      <c r="K323" s="1">
        <v>2.06802E8</v>
      </c>
      <c r="L323" s="1">
        <v>-1.25E7</v>
      </c>
      <c r="M323" s="1">
        <v>4.6962E7</v>
      </c>
      <c r="N323" s="1">
        <v>4.549452E9</v>
      </c>
      <c r="O323" s="1">
        <v>4.34265E9</v>
      </c>
      <c r="P323" s="1">
        <v>4.218134E9</v>
      </c>
      <c r="Q323" s="1">
        <v>-1.2033E7</v>
      </c>
      <c r="R323" s="1">
        <v>1.47807E8</v>
      </c>
      <c r="S323" s="1">
        <v>1.47807E8</v>
      </c>
    </row>
    <row r="324">
      <c r="A324" s="1">
        <v>322.0</v>
      </c>
      <c r="B324" s="2">
        <v>44104.0</v>
      </c>
      <c r="C324" s="1" t="s">
        <v>197</v>
      </c>
      <c r="D324" s="1" t="s">
        <v>198</v>
      </c>
      <c r="F324" s="1">
        <v>1.60774E8</v>
      </c>
      <c r="G324" s="1">
        <v>1.36529E8</v>
      </c>
      <c r="H324" s="1">
        <v>1.1813E8</v>
      </c>
      <c r="I324" s="1">
        <v>2.86369E8</v>
      </c>
      <c r="J324" s="1">
        <v>1.68239E8</v>
      </c>
      <c r="K324" s="1">
        <v>1.68239E8</v>
      </c>
      <c r="L324" s="1">
        <v>-1.19E7</v>
      </c>
      <c r="M324" s="1">
        <v>2.4245E7</v>
      </c>
      <c r="N324" s="1">
        <v>4.2248E9</v>
      </c>
      <c r="O324" s="1">
        <v>4.056561E9</v>
      </c>
      <c r="P324" s="1">
        <v>3.938431E9</v>
      </c>
      <c r="Q324" s="1">
        <v>-7465000.0</v>
      </c>
      <c r="R324" s="1">
        <v>1.36529E8</v>
      </c>
      <c r="S324" s="1">
        <v>1.36529E8</v>
      </c>
    </row>
    <row r="325">
      <c r="A325" s="1">
        <v>323.0</v>
      </c>
      <c r="B325" s="2">
        <v>44012.0</v>
      </c>
      <c r="C325" s="1" t="s">
        <v>197</v>
      </c>
      <c r="D325" s="1" t="s">
        <v>198</v>
      </c>
      <c r="F325" s="1">
        <v>1.78576E8</v>
      </c>
      <c r="G325" s="1">
        <v>1.43939E8</v>
      </c>
      <c r="H325" s="1">
        <v>1.25183E8</v>
      </c>
      <c r="I325" s="1">
        <v>3.1397E8</v>
      </c>
      <c r="J325" s="1">
        <v>1.88787E8</v>
      </c>
      <c r="K325" s="1">
        <v>1.88787E8</v>
      </c>
      <c r="L325" s="1">
        <v>-1.24E7</v>
      </c>
      <c r="M325" s="1">
        <v>3.4637E7</v>
      </c>
      <c r="N325" s="1">
        <v>3.627846E9</v>
      </c>
      <c r="O325" s="1">
        <v>3.439059E9</v>
      </c>
      <c r="P325" s="1">
        <v>3.313876E9</v>
      </c>
      <c r="Q325" s="1">
        <v>-1.0211E7</v>
      </c>
      <c r="R325" s="1">
        <v>1.43939E8</v>
      </c>
      <c r="S325" s="1">
        <v>1.43939E8</v>
      </c>
    </row>
    <row r="326">
      <c r="A326" s="1">
        <v>324.0</v>
      </c>
      <c r="B326" s="2">
        <v>44380.0</v>
      </c>
      <c r="C326" s="1" t="s">
        <v>202</v>
      </c>
      <c r="D326" s="1" t="s">
        <v>203</v>
      </c>
      <c r="E326" s="1">
        <v>2.85227E8</v>
      </c>
      <c r="F326" s="1">
        <v>1.83265E8</v>
      </c>
      <c r="G326" s="1">
        <v>1.559E8</v>
      </c>
      <c r="H326" s="1">
        <v>1.763E8</v>
      </c>
      <c r="I326" s="1">
        <v>6.51526E8</v>
      </c>
      <c r="J326" s="1">
        <v>1.84969E8</v>
      </c>
      <c r="K326" s="1">
        <v>1.84969E8</v>
      </c>
      <c r="L326" s="1">
        <v>-4316000.0</v>
      </c>
      <c r="M326" s="1">
        <v>2.7365E7</v>
      </c>
      <c r="N326" s="1">
        <v>7.28285E8</v>
      </c>
      <c r="O326" s="1">
        <v>5.43316E8</v>
      </c>
      <c r="P326" s="1">
        <v>7.6759E7</v>
      </c>
      <c r="Q326" s="1">
        <v>-1704000.0</v>
      </c>
      <c r="R326" s="1">
        <v>1.559E8</v>
      </c>
      <c r="S326" s="1">
        <v>1.559E8</v>
      </c>
    </row>
    <row r="327">
      <c r="A327" s="1">
        <v>325.0</v>
      </c>
      <c r="B327" s="2">
        <v>44289.0</v>
      </c>
      <c r="C327" s="1" t="s">
        <v>202</v>
      </c>
      <c r="D327" s="1" t="s">
        <v>203</v>
      </c>
      <c r="E327" s="1">
        <v>2.70992E8</v>
      </c>
      <c r="F327" s="1">
        <v>2.02421E8</v>
      </c>
      <c r="G327" s="1">
        <v>1.87169E8</v>
      </c>
      <c r="H327" s="1">
        <v>1.72778E8</v>
      </c>
      <c r="I327" s="1">
        <v>6.52061E8</v>
      </c>
      <c r="J327" s="1">
        <v>2.0366E8</v>
      </c>
      <c r="K327" s="1">
        <v>2.0366E8</v>
      </c>
      <c r="L327" s="1">
        <v>-4217000.0</v>
      </c>
      <c r="M327" s="1">
        <v>1.5252E7</v>
      </c>
      <c r="N327" s="1">
        <v>7.36028E8</v>
      </c>
      <c r="O327" s="1">
        <v>5.32368E8</v>
      </c>
      <c r="P327" s="1">
        <v>8.3967E7</v>
      </c>
      <c r="Q327" s="1">
        <v>-1239000.0</v>
      </c>
      <c r="R327" s="1">
        <v>1.87169E8</v>
      </c>
      <c r="S327" s="1">
        <v>1.87169E8</v>
      </c>
    </row>
    <row r="328">
      <c r="A328" s="1">
        <v>326.0</v>
      </c>
      <c r="B328" s="2">
        <v>44198.0</v>
      </c>
      <c r="C328" s="1" t="s">
        <v>202</v>
      </c>
      <c r="D328" s="1" t="s">
        <v>203</v>
      </c>
      <c r="E328" s="1">
        <v>2.90309E8</v>
      </c>
      <c r="F328" s="1">
        <v>1.86189E8</v>
      </c>
      <c r="G328" s="1">
        <v>1.73738E8</v>
      </c>
      <c r="H328" s="1">
        <v>1.95766E8</v>
      </c>
      <c r="I328" s="1">
        <v>6.86373E8</v>
      </c>
      <c r="J328" s="1">
        <v>1.95523E8</v>
      </c>
      <c r="K328" s="1">
        <v>1.95523E8</v>
      </c>
      <c r="L328" s="1">
        <v>-4873000.0</v>
      </c>
      <c r="M328" s="1">
        <v>1.2451E7</v>
      </c>
      <c r="N328" s="1">
        <v>7.59909E8</v>
      </c>
      <c r="O328" s="1">
        <v>5.64386E8</v>
      </c>
      <c r="P328" s="1">
        <v>7.3536E7</v>
      </c>
      <c r="Q328" s="1">
        <v>-9334000.0</v>
      </c>
      <c r="R328" s="1">
        <v>1.73738E8</v>
      </c>
      <c r="S328" s="1">
        <v>1.73738E8</v>
      </c>
    </row>
    <row r="329">
      <c r="A329" s="1">
        <v>327.0</v>
      </c>
      <c r="B329" s="2">
        <v>44100.0</v>
      </c>
      <c r="C329" s="1" t="s">
        <v>202</v>
      </c>
      <c r="D329" s="1" t="s">
        <v>203</v>
      </c>
      <c r="E329" s="1">
        <v>2.50934E8</v>
      </c>
      <c r="F329" s="1">
        <v>1.65713E8</v>
      </c>
      <c r="G329" s="1">
        <v>1.6163E8</v>
      </c>
      <c r="H329" s="1">
        <v>1.59666E8</v>
      </c>
      <c r="I329" s="1">
        <v>5.84323E8</v>
      </c>
      <c r="J329" s="1">
        <v>1.69285E8</v>
      </c>
      <c r="K329" s="1">
        <v>1.69285E8</v>
      </c>
      <c r="L329" s="1">
        <v>-5325000.0</v>
      </c>
      <c r="M329" s="1">
        <v>4083000.0</v>
      </c>
      <c r="N329" s="1">
        <v>6.66607E8</v>
      </c>
      <c r="O329" s="1">
        <v>4.97322E8</v>
      </c>
      <c r="P329" s="1">
        <v>8.2284E7</v>
      </c>
      <c r="Q329" s="1">
        <v>-3572000.0</v>
      </c>
      <c r="R329" s="1">
        <v>1.6163E8</v>
      </c>
      <c r="S329" s="1">
        <v>1.6163E8</v>
      </c>
    </row>
    <row r="330">
      <c r="A330" s="1">
        <v>328.0</v>
      </c>
      <c r="B330" s="2">
        <v>44377.0</v>
      </c>
      <c r="C330" s="1" t="s">
        <v>204</v>
      </c>
      <c r="D330" s="1" t="s">
        <v>205</v>
      </c>
      <c r="F330" s="1">
        <v>1.01E8</v>
      </c>
      <c r="G330" s="1">
        <v>7.1E7</v>
      </c>
      <c r="H330" s="1">
        <v>4.94E8</v>
      </c>
      <c r="I330" s="1">
        <v>1.457E9</v>
      </c>
      <c r="J330" s="1">
        <v>6.62E8</v>
      </c>
      <c r="K330" s="1">
        <v>6.62E8</v>
      </c>
      <c r="L330" s="1">
        <v>-5.76E8</v>
      </c>
      <c r="M330" s="1">
        <v>-1000000.0</v>
      </c>
      <c r="N330" s="1">
        <v>2.502E9</v>
      </c>
      <c r="O330" s="1">
        <v>1.84E9</v>
      </c>
      <c r="P330" s="1">
        <v>1.045E9</v>
      </c>
      <c r="Q330" s="1">
        <v>-5.61E8</v>
      </c>
      <c r="R330" s="1">
        <v>1.02E8</v>
      </c>
      <c r="S330" s="1">
        <v>7.1E7</v>
      </c>
    </row>
    <row r="331">
      <c r="A331" s="1">
        <v>329.0</v>
      </c>
      <c r="B331" s="2">
        <v>44286.0</v>
      </c>
      <c r="C331" s="1" t="s">
        <v>204</v>
      </c>
      <c r="D331" s="1" t="s">
        <v>205</v>
      </c>
      <c r="F331" s="1">
        <v>-4.96E8</v>
      </c>
      <c r="G331" s="1">
        <v>-4.23E8</v>
      </c>
      <c r="H331" s="1">
        <v>4.46E8</v>
      </c>
      <c r="I331" s="1">
        <v>9.47E8</v>
      </c>
      <c r="J331" s="1">
        <v>2.36E8</v>
      </c>
      <c r="K331" s="1">
        <v>2.36E8</v>
      </c>
      <c r="L331" s="1">
        <v>-5.79E8</v>
      </c>
      <c r="M331" s="1">
        <v>-7.6E7</v>
      </c>
      <c r="N331" s="1">
        <v>1.792E9</v>
      </c>
      <c r="O331" s="1">
        <v>1.556E9</v>
      </c>
      <c r="P331" s="1">
        <v>8.45E8</v>
      </c>
      <c r="Q331" s="1">
        <v>-7.32E8</v>
      </c>
      <c r="R331" s="1">
        <v>-4.2E8</v>
      </c>
      <c r="S331" s="1">
        <v>-4.23E8</v>
      </c>
    </row>
    <row r="332">
      <c r="A332" s="1">
        <v>330.0</v>
      </c>
      <c r="B332" s="2">
        <v>44196.0</v>
      </c>
      <c r="C332" s="1" t="s">
        <v>204</v>
      </c>
      <c r="D332" s="1" t="s">
        <v>205</v>
      </c>
      <c r="F332" s="1">
        <v>-4.96E8</v>
      </c>
      <c r="G332" s="1">
        <v>-5.55E8</v>
      </c>
      <c r="H332" s="1">
        <v>4.62E8</v>
      </c>
      <c r="I332" s="1">
        <v>7.12E8</v>
      </c>
      <c r="J332" s="1">
        <v>1.02E8</v>
      </c>
      <c r="K332" s="1">
        <v>1.02E8</v>
      </c>
      <c r="L332" s="1">
        <v>-5.66E8</v>
      </c>
      <c r="M332" s="1">
        <v>6.2E7</v>
      </c>
      <c r="N332" s="1">
        <v>1.489E9</v>
      </c>
      <c r="O332" s="1">
        <v>1.387E9</v>
      </c>
      <c r="P332" s="1">
        <v>7.77E8</v>
      </c>
      <c r="Q332" s="1">
        <v>-5.98E8</v>
      </c>
      <c r="R332" s="1">
        <v>-5.58E8</v>
      </c>
      <c r="S332" s="1">
        <v>-5.55E8</v>
      </c>
    </row>
    <row r="333">
      <c r="A333" s="1">
        <v>331.0</v>
      </c>
      <c r="B333" s="2">
        <v>44104.0</v>
      </c>
      <c r="C333" s="1" t="s">
        <v>204</v>
      </c>
      <c r="D333" s="1" t="s">
        <v>205</v>
      </c>
      <c r="F333" s="1">
        <v>-7.89E8</v>
      </c>
      <c r="G333" s="1">
        <v>-9.26E8</v>
      </c>
      <c r="H333" s="1">
        <v>4.2E8</v>
      </c>
      <c r="I333" s="1">
        <v>7.1E8</v>
      </c>
      <c r="J333" s="1">
        <v>-4.5E7</v>
      </c>
      <c r="K333" s="1">
        <v>-4.5E7</v>
      </c>
      <c r="L333" s="1">
        <v>-4.73E8</v>
      </c>
      <c r="M333" s="1">
        <v>1.35E8</v>
      </c>
      <c r="N333" s="1">
        <v>1.377E9</v>
      </c>
      <c r="O333" s="1">
        <v>1.422E9</v>
      </c>
      <c r="P333" s="1">
        <v>6.67E8</v>
      </c>
      <c r="Q333" s="1">
        <v>-7.44E8</v>
      </c>
      <c r="R333" s="1">
        <v>-9.24E8</v>
      </c>
      <c r="S333" s="1">
        <v>-9.26E8</v>
      </c>
    </row>
    <row r="334">
      <c r="A334" s="1">
        <v>332.0</v>
      </c>
      <c r="B334" s="2">
        <v>44318.0</v>
      </c>
      <c r="C334" s="1" t="s">
        <v>206</v>
      </c>
      <c r="D334" s="1" t="s">
        <v>207</v>
      </c>
      <c r="E334" s="1">
        <v>2.2E7</v>
      </c>
      <c r="F334" s="1">
        <v>2.19E8</v>
      </c>
      <c r="G334" s="1">
        <v>1.6E8</v>
      </c>
      <c r="H334" s="1">
        <v>3.44E8</v>
      </c>
      <c r="I334" s="1">
        <v>6.3E8</v>
      </c>
      <c r="J334" s="1">
        <v>2.87E8</v>
      </c>
      <c r="K334" s="1">
        <v>2.87E8</v>
      </c>
      <c r="L334" s="1">
        <v>-5.3E7</v>
      </c>
      <c r="M334" s="1">
        <v>5.3E7</v>
      </c>
      <c r="N334" s="1">
        <v>1.984E9</v>
      </c>
      <c r="O334" s="1">
        <v>1.697E9</v>
      </c>
      <c r="P334" s="1">
        <v>1.354E9</v>
      </c>
      <c r="Q334" s="1">
        <v>-6.8E7</v>
      </c>
      <c r="R334" s="1">
        <v>1.66E8</v>
      </c>
      <c r="S334" s="1">
        <v>1.6E8</v>
      </c>
    </row>
    <row r="335">
      <c r="A335" s="1">
        <v>333.0</v>
      </c>
      <c r="B335" s="2">
        <v>44227.0</v>
      </c>
      <c r="C335" s="1" t="s">
        <v>206</v>
      </c>
      <c r="D335" s="1" t="s">
        <v>207</v>
      </c>
      <c r="E335" s="1">
        <v>1.9E7</v>
      </c>
      <c r="F335" s="1">
        <v>3.47E8</v>
      </c>
      <c r="G335" s="1">
        <v>2.45E8</v>
      </c>
      <c r="H335" s="1">
        <v>3.84E8</v>
      </c>
      <c r="I335" s="1">
        <v>7.81E8</v>
      </c>
      <c r="J335" s="1">
        <v>4.23E8</v>
      </c>
      <c r="K335" s="1">
        <v>4.23E8</v>
      </c>
      <c r="L335" s="1">
        <v>-5.5E7</v>
      </c>
      <c r="M335" s="1">
        <v>1.02E8</v>
      </c>
      <c r="N335" s="1">
        <v>2.279E9</v>
      </c>
      <c r="O335" s="1">
        <v>1.856E9</v>
      </c>
      <c r="P335" s="1">
        <v>1.498E9</v>
      </c>
      <c r="Q335" s="1">
        <v>-7.6E7</v>
      </c>
      <c r="R335" s="1">
        <v>2.45E8</v>
      </c>
      <c r="S335" s="1">
        <v>2.45E8</v>
      </c>
    </row>
    <row r="336">
      <c r="A336" s="1">
        <v>334.0</v>
      </c>
      <c r="B336" s="2">
        <v>44136.0</v>
      </c>
      <c r="C336" s="1" t="s">
        <v>206</v>
      </c>
      <c r="D336" s="1" t="s">
        <v>207</v>
      </c>
      <c r="E336" s="1">
        <v>2.0E7</v>
      </c>
      <c r="F336" s="1">
        <v>4.06E8</v>
      </c>
      <c r="G336" s="1">
        <v>3.09E8</v>
      </c>
      <c r="H336" s="1">
        <v>3.45E8</v>
      </c>
      <c r="I336" s="1">
        <v>8.14E8</v>
      </c>
      <c r="J336" s="1">
        <v>4.67E8</v>
      </c>
      <c r="K336" s="1">
        <v>4.67E8</v>
      </c>
      <c r="L336" s="1">
        <v>-5.5E7</v>
      </c>
      <c r="M336" s="1">
        <v>9.7E7</v>
      </c>
      <c r="N336" s="1">
        <v>2.34E9</v>
      </c>
      <c r="O336" s="1">
        <v>1.873E9</v>
      </c>
      <c r="P336" s="1">
        <v>1.526E9</v>
      </c>
      <c r="Q336" s="1">
        <v>-6.1E7</v>
      </c>
      <c r="R336" s="1">
        <v>3.09E8</v>
      </c>
      <c r="S336" s="1">
        <v>3.09E8</v>
      </c>
    </row>
    <row r="337">
      <c r="A337" s="1">
        <v>335.0</v>
      </c>
      <c r="B337" s="2">
        <v>44045.0</v>
      </c>
      <c r="C337" s="1" t="s">
        <v>206</v>
      </c>
      <c r="D337" s="1" t="s">
        <v>207</v>
      </c>
      <c r="E337" s="1">
        <v>2.4E7</v>
      </c>
      <c r="F337" s="1">
        <v>1.07E8</v>
      </c>
      <c r="G337" s="1">
        <v>8.6E7</v>
      </c>
      <c r="H337" s="1">
        <v>4.34E8</v>
      </c>
      <c r="I337" s="1">
        <v>7.5E8</v>
      </c>
      <c r="J337" s="1">
        <v>1.86E8</v>
      </c>
      <c r="K337" s="1">
        <v>1.86E8</v>
      </c>
      <c r="L337" s="1">
        <v>-6.1E7</v>
      </c>
      <c r="M337" s="1">
        <v>2.1E7</v>
      </c>
      <c r="N337" s="1">
        <v>2.108E9</v>
      </c>
      <c r="O337" s="1">
        <v>1.922E9</v>
      </c>
      <c r="P337" s="1">
        <v>1.358E9</v>
      </c>
      <c r="Q337" s="1">
        <v>-7.9E7</v>
      </c>
      <c r="R337" s="1">
        <v>8.6E7</v>
      </c>
      <c r="S337" s="1">
        <v>8.6E7</v>
      </c>
    </row>
    <row r="338">
      <c r="A338" s="1">
        <v>336.0</v>
      </c>
      <c r="B338" s="2">
        <v>44377.0</v>
      </c>
      <c r="C338" s="1" t="s">
        <v>208</v>
      </c>
      <c r="D338" s="1" t="s">
        <v>209</v>
      </c>
      <c r="F338" s="1">
        <v>4.568E9</v>
      </c>
      <c r="G338" s="1">
        <v>3.536E9</v>
      </c>
      <c r="H338" s="1">
        <v>3.58E9</v>
      </c>
      <c r="I338" s="1">
        <v>8.534E9</v>
      </c>
      <c r="J338" s="1">
        <v>0.0</v>
      </c>
      <c r="K338" s="1">
        <v>4.613E9</v>
      </c>
      <c r="M338" s="1">
        <v>1.031E9</v>
      </c>
      <c r="N338" s="1">
        <v>8.534E9</v>
      </c>
      <c r="O338" s="1">
        <v>3.921E9</v>
      </c>
      <c r="P338" s="1">
        <v>0.0</v>
      </c>
      <c r="Q338" s="1">
        <v>-4.5E7</v>
      </c>
      <c r="R338" s="1">
        <v>3.537E9</v>
      </c>
      <c r="S338" s="1">
        <v>3.446E9</v>
      </c>
    </row>
    <row r="339">
      <c r="A339" s="1">
        <v>337.0</v>
      </c>
      <c r="B339" s="2">
        <v>44286.0</v>
      </c>
      <c r="C339" s="1" t="s">
        <v>208</v>
      </c>
      <c r="D339" s="1" t="s">
        <v>209</v>
      </c>
      <c r="F339" s="1">
        <v>4.196E9</v>
      </c>
      <c r="G339" s="1">
        <v>3.325E9</v>
      </c>
      <c r="H339" s="1">
        <v>3.414E9</v>
      </c>
      <c r="I339" s="1">
        <v>7.936E9</v>
      </c>
      <c r="J339" s="1">
        <v>0.0</v>
      </c>
      <c r="K339" s="1">
        <v>4.237E9</v>
      </c>
      <c r="M339" s="1">
        <v>8.69E8</v>
      </c>
      <c r="N339" s="1">
        <v>7.936E9</v>
      </c>
      <c r="O339" s="1">
        <v>3.699E9</v>
      </c>
      <c r="P339" s="1">
        <v>0.0</v>
      </c>
      <c r="Q339" s="1">
        <v>-4.1E7</v>
      </c>
      <c r="R339" s="1">
        <v>3.327E9</v>
      </c>
      <c r="S339" s="1">
        <v>3.236E9</v>
      </c>
    </row>
    <row r="340">
      <c r="A340" s="1">
        <v>338.0</v>
      </c>
      <c r="B340" s="2">
        <v>44196.0</v>
      </c>
      <c r="C340" s="1" t="s">
        <v>208</v>
      </c>
      <c r="D340" s="1" t="s">
        <v>209</v>
      </c>
      <c r="F340" s="1">
        <v>3.064E9</v>
      </c>
      <c r="G340" s="1">
        <v>2.566E9</v>
      </c>
      <c r="H340" s="1">
        <v>3.579E9</v>
      </c>
      <c r="I340" s="1">
        <v>7.073E9</v>
      </c>
      <c r="J340" s="1">
        <v>0.0</v>
      </c>
      <c r="K340" s="1">
        <v>3.401E9</v>
      </c>
      <c r="M340" s="1">
        <v>4.96E8</v>
      </c>
      <c r="N340" s="1">
        <v>7.073E9</v>
      </c>
      <c r="O340" s="1">
        <v>3.672E9</v>
      </c>
      <c r="P340" s="1">
        <v>0.0</v>
      </c>
      <c r="Q340" s="1">
        <v>-3.37E8</v>
      </c>
      <c r="R340" s="1">
        <v>2.568E9</v>
      </c>
      <c r="S340" s="1">
        <v>2.466E9</v>
      </c>
    </row>
    <row r="341">
      <c r="A341" s="1">
        <v>339.0</v>
      </c>
      <c r="B341" s="2">
        <v>44104.0</v>
      </c>
      <c r="C341" s="1" t="s">
        <v>208</v>
      </c>
      <c r="D341" s="1" t="s">
        <v>209</v>
      </c>
      <c r="F341" s="1">
        <v>3.502E9</v>
      </c>
      <c r="G341" s="1">
        <v>2.406E9</v>
      </c>
      <c r="H341" s="1">
        <v>3.145E9</v>
      </c>
      <c r="I341" s="1">
        <v>7.05E9</v>
      </c>
      <c r="J341" s="1">
        <v>0.0</v>
      </c>
      <c r="K341" s="1">
        <v>3.565E9</v>
      </c>
      <c r="M341" s="1">
        <v>1.096E9</v>
      </c>
      <c r="N341" s="1">
        <v>7.05E9</v>
      </c>
      <c r="O341" s="1">
        <v>3.485E9</v>
      </c>
      <c r="P341" s="1">
        <v>0.0</v>
      </c>
      <c r="Q341" s="1">
        <v>-6.3E7</v>
      </c>
      <c r="R341" s="1">
        <v>2.406E9</v>
      </c>
      <c r="S341" s="1">
        <v>2.319E9</v>
      </c>
    </row>
    <row r="342">
      <c r="A342" s="1">
        <v>340.0</v>
      </c>
      <c r="B342" s="2">
        <v>44377.0</v>
      </c>
      <c r="C342" s="1" t="s">
        <v>210</v>
      </c>
      <c r="D342" s="1" t="s">
        <v>211</v>
      </c>
      <c r="F342" s="1">
        <v>1.19E8</v>
      </c>
      <c r="G342" s="1">
        <v>1.16E8</v>
      </c>
      <c r="H342" s="1">
        <v>1.129E9</v>
      </c>
      <c r="I342" s="1">
        <v>1.672E9</v>
      </c>
      <c r="J342" s="1">
        <v>4.37E8</v>
      </c>
      <c r="K342" s="1">
        <v>4.37E8</v>
      </c>
      <c r="L342" s="1">
        <v>-4.4E7</v>
      </c>
      <c r="M342" s="1">
        <v>4000000.0</v>
      </c>
      <c r="N342" s="1">
        <v>4.2586E10</v>
      </c>
      <c r="O342" s="1">
        <v>4.2149E10</v>
      </c>
      <c r="P342" s="1">
        <v>4.0914E10</v>
      </c>
      <c r="Q342" s="1">
        <v>-3.18E8</v>
      </c>
      <c r="R342" s="1">
        <v>1.15E8</v>
      </c>
      <c r="S342" s="1">
        <v>1.16E8</v>
      </c>
    </row>
    <row r="343">
      <c r="A343" s="1">
        <v>341.0</v>
      </c>
      <c r="B343" s="2">
        <v>44286.0</v>
      </c>
      <c r="C343" s="1" t="s">
        <v>210</v>
      </c>
      <c r="D343" s="1" t="s">
        <v>211</v>
      </c>
      <c r="F343" s="1">
        <v>4.4E8</v>
      </c>
      <c r="G343" s="1">
        <v>1.19E8</v>
      </c>
      <c r="H343" s="1">
        <v>1.12E9</v>
      </c>
      <c r="I343" s="1">
        <v>1.812E9</v>
      </c>
      <c r="J343" s="1">
        <v>5.81E8</v>
      </c>
      <c r="K343" s="1">
        <v>5.81E8</v>
      </c>
      <c r="L343" s="1">
        <v>-4.5E7</v>
      </c>
      <c r="M343" s="1">
        <v>3.2E8</v>
      </c>
      <c r="N343" s="1">
        <v>3.9275E10</v>
      </c>
      <c r="O343" s="1">
        <v>3.8694E10</v>
      </c>
      <c r="P343" s="1">
        <v>3.7463E10</v>
      </c>
      <c r="Q343" s="1">
        <v>-1.41E8</v>
      </c>
      <c r="R343" s="1">
        <v>1.2E8</v>
      </c>
      <c r="S343" s="1">
        <v>1.19E8</v>
      </c>
    </row>
    <row r="344">
      <c r="A344" s="1">
        <v>342.0</v>
      </c>
      <c r="B344" s="2">
        <v>44196.0</v>
      </c>
      <c r="C344" s="1" t="s">
        <v>210</v>
      </c>
      <c r="D344" s="1" t="s">
        <v>211</v>
      </c>
      <c r="F344" s="1">
        <v>4.27E8</v>
      </c>
      <c r="G344" s="1">
        <v>6.29E8</v>
      </c>
      <c r="H344" s="1">
        <v>1.147E9</v>
      </c>
      <c r="I344" s="1">
        <v>1.776E9</v>
      </c>
      <c r="J344" s="1">
        <v>5.13E8</v>
      </c>
      <c r="K344" s="1">
        <v>5.13E8</v>
      </c>
      <c r="L344" s="1">
        <v>-4.6E7</v>
      </c>
      <c r="M344" s="1">
        <v>-2.03E8</v>
      </c>
      <c r="N344" s="1">
        <v>4.1541E10</v>
      </c>
      <c r="O344" s="1">
        <v>4.1028E10</v>
      </c>
      <c r="P344" s="1">
        <v>3.9765E10</v>
      </c>
      <c r="Q344" s="1">
        <v>-8.6E7</v>
      </c>
      <c r="R344" s="1">
        <v>6.3E8</v>
      </c>
      <c r="S344" s="1">
        <v>6.29E8</v>
      </c>
    </row>
    <row r="345">
      <c r="A345" s="1">
        <v>343.0</v>
      </c>
      <c r="B345" s="2">
        <v>44104.0</v>
      </c>
      <c r="C345" s="1" t="s">
        <v>210</v>
      </c>
      <c r="D345" s="1" t="s">
        <v>211</v>
      </c>
      <c r="F345" s="1">
        <v>-6.63E8</v>
      </c>
      <c r="G345" s="1">
        <v>-2.53E8</v>
      </c>
      <c r="H345" s="1">
        <v>1.137E9</v>
      </c>
      <c r="I345" s="1">
        <v>1.715E9</v>
      </c>
      <c r="J345" s="1">
        <v>4.6E8</v>
      </c>
      <c r="K345" s="1">
        <v>4.6E8</v>
      </c>
      <c r="L345" s="1">
        <v>-4.5E7</v>
      </c>
      <c r="M345" s="1">
        <v>-4.1E8</v>
      </c>
      <c r="N345" s="1">
        <v>3.9065E10</v>
      </c>
      <c r="O345" s="1">
        <v>3.8605E10</v>
      </c>
      <c r="P345" s="1">
        <v>3.735E10</v>
      </c>
      <c r="Q345" s="1">
        <v>-1.123E9</v>
      </c>
      <c r="R345" s="1">
        <v>-2.53E8</v>
      </c>
      <c r="S345" s="1">
        <v>-2.53E8</v>
      </c>
    </row>
    <row r="346">
      <c r="A346" s="1">
        <v>344.0</v>
      </c>
      <c r="B346" s="2">
        <v>44347.0</v>
      </c>
      <c r="C346" s="1" t="s">
        <v>212</v>
      </c>
      <c r="D346" s="1" t="s">
        <v>213</v>
      </c>
      <c r="F346" s="1">
        <v>5.67324E8</v>
      </c>
      <c r="G346" s="1">
        <v>4.36756E8</v>
      </c>
      <c r="H346" s="1">
        <v>5.54069E8</v>
      </c>
      <c r="I346" s="1">
        <v>1.16624E9</v>
      </c>
      <c r="J346" s="1">
        <v>5.62281E8</v>
      </c>
      <c r="K346" s="1">
        <v>5.62281E8</v>
      </c>
      <c r="L346" s="1">
        <v>-2.0534E7</v>
      </c>
      <c r="M346" s="1">
        <v>1.30568E8</v>
      </c>
      <c r="N346" s="1">
        <v>8.007899E9</v>
      </c>
      <c r="O346" s="1">
        <v>7.445618E9</v>
      </c>
      <c r="P346" s="1">
        <v>6.841659E9</v>
      </c>
      <c r="Q346" s="1">
        <v>5043000.0</v>
      </c>
      <c r="R346" s="1">
        <v>4.36756E8</v>
      </c>
      <c r="S346" s="1">
        <v>4.36756E8</v>
      </c>
    </row>
    <row r="347">
      <c r="A347" s="1">
        <v>345.0</v>
      </c>
      <c r="B347" s="2">
        <v>44255.0</v>
      </c>
      <c r="C347" s="1" t="s">
        <v>212</v>
      </c>
      <c r="D347" s="1" t="s">
        <v>213</v>
      </c>
      <c r="F347" s="1">
        <v>2.62249E8</v>
      </c>
      <c r="G347" s="1">
        <v>2.09945E8</v>
      </c>
      <c r="H347" s="1">
        <v>5.56128E8</v>
      </c>
      <c r="I347" s="1">
        <v>8.29589E8</v>
      </c>
      <c r="J347" s="1">
        <v>2.73535E8</v>
      </c>
      <c r="K347" s="1">
        <v>2.73535E8</v>
      </c>
      <c r="L347" s="1">
        <v>-2.0289E7</v>
      </c>
      <c r="M347" s="1">
        <v>5.2304E7</v>
      </c>
      <c r="N347" s="1">
        <v>5.455157E9</v>
      </c>
      <c r="O347" s="1">
        <v>5.181622E9</v>
      </c>
      <c r="P347" s="1">
        <v>4.625568E9</v>
      </c>
      <c r="Q347" s="1">
        <v>-1.1286E7</v>
      </c>
      <c r="R347" s="1">
        <v>2.09945E8</v>
      </c>
      <c r="S347" s="1">
        <v>2.09945E8</v>
      </c>
    </row>
    <row r="348">
      <c r="A348" s="1">
        <v>346.0</v>
      </c>
      <c r="B348" s="2">
        <v>44165.0</v>
      </c>
      <c r="C348" s="1" t="s">
        <v>212</v>
      </c>
      <c r="D348" s="1" t="s">
        <v>213</v>
      </c>
      <c r="F348" s="1">
        <v>3.10503E8</v>
      </c>
      <c r="G348" s="1">
        <v>2.353E8</v>
      </c>
      <c r="H348" s="1">
        <v>4.788E8</v>
      </c>
      <c r="I348" s="1">
        <v>8.07875E8</v>
      </c>
      <c r="J348" s="1">
        <v>3.29078E8</v>
      </c>
      <c r="K348" s="1">
        <v>3.29078E8</v>
      </c>
      <c r="L348" s="1">
        <v>-1.9462E7</v>
      </c>
      <c r="M348" s="1">
        <v>7.5203E7</v>
      </c>
      <c r="N348" s="1">
        <v>5.473444E9</v>
      </c>
      <c r="O348" s="1">
        <v>5.144366E9</v>
      </c>
      <c r="P348" s="1">
        <v>4.665569E9</v>
      </c>
      <c r="Q348" s="1">
        <v>-1.8575E7</v>
      </c>
      <c r="R348" s="1">
        <v>2.353E8</v>
      </c>
      <c r="S348" s="1">
        <v>2.353E8</v>
      </c>
    </row>
    <row r="349">
      <c r="A349" s="1">
        <v>347.0</v>
      </c>
      <c r="B349" s="2">
        <v>44074.0</v>
      </c>
      <c r="C349" s="1" t="s">
        <v>212</v>
      </c>
      <c r="D349" s="1" t="s">
        <v>213</v>
      </c>
      <c r="F349" s="1">
        <v>3.88341E8</v>
      </c>
      <c r="G349" s="1">
        <v>2.96696E8</v>
      </c>
      <c r="H349" s="1">
        <v>4.90208E8</v>
      </c>
      <c r="I349" s="1">
        <v>8.99338E8</v>
      </c>
      <c r="J349" s="1">
        <v>4.0913E8</v>
      </c>
      <c r="K349" s="1">
        <v>4.0913E8</v>
      </c>
      <c r="L349" s="1">
        <v>-2.2469E7</v>
      </c>
      <c r="M349" s="1">
        <v>9.1645E7</v>
      </c>
      <c r="N349" s="1">
        <v>5.652266E9</v>
      </c>
      <c r="O349" s="1">
        <v>5.243136E9</v>
      </c>
      <c r="P349" s="1">
        <v>4.752928E9</v>
      </c>
      <c r="Q349" s="1">
        <v>-2.0789E7</v>
      </c>
      <c r="R349" s="1">
        <v>2.96696E8</v>
      </c>
      <c r="S349" s="1">
        <v>2.96696E8</v>
      </c>
    </row>
    <row r="350">
      <c r="A350" s="1">
        <v>348.0</v>
      </c>
      <c r="B350" s="2">
        <v>44347.0</v>
      </c>
      <c r="C350" s="1" t="s">
        <v>214</v>
      </c>
      <c r="D350" s="1" t="s">
        <v>215</v>
      </c>
      <c r="F350" s="1">
        <v>-2.06E9</v>
      </c>
      <c r="G350" s="1">
        <v>-2.072E9</v>
      </c>
      <c r="H350" s="1">
        <v>4.17E8</v>
      </c>
      <c r="I350" s="1">
        <v>-3.59E8</v>
      </c>
      <c r="J350" s="1">
        <v>-1.567E9</v>
      </c>
      <c r="K350" s="1">
        <v>-1.567E9</v>
      </c>
      <c r="L350" s="1">
        <v>-4.37E8</v>
      </c>
      <c r="M350" s="1">
        <v>1.2E7</v>
      </c>
      <c r="N350" s="1">
        <v>4.9E7</v>
      </c>
      <c r="O350" s="1">
        <v>1.616E9</v>
      </c>
      <c r="P350" s="1">
        <v>4.08E8</v>
      </c>
      <c r="Q350" s="1">
        <v>-4.93E8</v>
      </c>
      <c r="R350" s="1">
        <v>-2.072E9</v>
      </c>
      <c r="S350" s="1">
        <v>-2.072E9</v>
      </c>
    </row>
    <row r="351">
      <c r="A351" s="1">
        <v>349.0</v>
      </c>
      <c r="B351" s="2">
        <v>44255.0</v>
      </c>
      <c r="C351" s="1" t="s">
        <v>214</v>
      </c>
      <c r="D351" s="1" t="s">
        <v>215</v>
      </c>
      <c r="F351" s="1">
        <v>-1.979E9</v>
      </c>
      <c r="G351" s="1">
        <v>-1.973E9</v>
      </c>
      <c r="H351" s="1">
        <v>4.62E8</v>
      </c>
      <c r="I351" s="1">
        <v>-3.28E8</v>
      </c>
      <c r="J351" s="1">
        <v>-1.523E9</v>
      </c>
      <c r="K351" s="1">
        <v>-1.523E9</v>
      </c>
      <c r="L351" s="1">
        <v>-3.98E8</v>
      </c>
      <c r="M351" s="1">
        <v>-6000000.0</v>
      </c>
      <c r="N351" s="1">
        <v>2.6E7</v>
      </c>
      <c r="O351" s="1">
        <v>1.549E9</v>
      </c>
      <c r="P351" s="1">
        <v>3.54E8</v>
      </c>
      <c r="Q351" s="1">
        <v>-4.56E8</v>
      </c>
      <c r="R351" s="1">
        <v>-1.973E9</v>
      </c>
      <c r="S351" s="1">
        <v>-1.973E9</v>
      </c>
    </row>
    <row r="352">
      <c r="A352" s="1">
        <v>350.0</v>
      </c>
      <c r="B352" s="2">
        <v>44165.0</v>
      </c>
      <c r="C352" s="1" t="s">
        <v>214</v>
      </c>
      <c r="D352" s="1" t="s">
        <v>215</v>
      </c>
      <c r="F352" s="1">
        <v>-2.237E9</v>
      </c>
      <c r="G352" s="1">
        <v>-2.222E9</v>
      </c>
      <c r="H352" s="1">
        <v>4.92E8</v>
      </c>
      <c r="I352" s="1">
        <v>-3.51E8</v>
      </c>
      <c r="J352" s="1">
        <v>-1.555E9</v>
      </c>
      <c r="K352" s="1">
        <v>-1.555E9</v>
      </c>
      <c r="L352" s="1">
        <v>-3.48E8</v>
      </c>
      <c r="M352" s="1">
        <v>-1.5E7</v>
      </c>
      <c r="N352" s="1">
        <v>3.3E7</v>
      </c>
      <c r="O352" s="1">
        <v>1.588E9</v>
      </c>
      <c r="P352" s="1">
        <v>3.84E8</v>
      </c>
      <c r="Q352" s="1">
        <v>-6.82E8</v>
      </c>
      <c r="R352" s="1">
        <v>-2.222E9</v>
      </c>
      <c r="S352" s="1">
        <v>-2.222E9</v>
      </c>
    </row>
    <row r="353">
      <c r="A353" s="1">
        <v>351.0</v>
      </c>
      <c r="B353" s="2">
        <v>44074.0</v>
      </c>
      <c r="C353" s="1" t="s">
        <v>214</v>
      </c>
      <c r="D353" s="1" t="s">
        <v>215</v>
      </c>
      <c r="F353" s="1">
        <v>-2.86E9</v>
      </c>
      <c r="G353" s="1">
        <v>-2.858E9</v>
      </c>
      <c r="H353" s="1">
        <v>2.62E8</v>
      </c>
      <c r="I353" s="1">
        <v>-4.0E8</v>
      </c>
      <c r="J353" s="1">
        <v>-1.421E9</v>
      </c>
      <c r="K353" s="1">
        <v>-1.421E9</v>
      </c>
      <c r="L353" s="1">
        <v>-3.1E8</v>
      </c>
      <c r="M353" s="1">
        <v>-2000000.0</v>
      </c>
      <c r="N353" s="1">
        <v>3.1E7</v>
      </c>
      <c r="O353" s="1">
        <v>1.452E9</v>
      </c>
      <c r="P353" s="1">
        <v>4.31E8</v>
      </c>
      <c r="Q353" s="1">
        <v>-1.439E9</v>
      </c>
      <c r="R353" s="1">
        <v>-2.858E9</v>
      </c>
      <c r="S353" s="1">
        <v>-2.858E9</v>
      </c>
    </row>
    <row r="354">
      <c r="A354" s="1">
        <v>352.0</v>
      </c>
      <c r="B354" s="2">
        <v>44377.0</v>
      </c>
      <c r="C354" s="1" t="s">
        <v>216</v>
      </c>
      <c r="D354" s="1" t="s">
        <v>217</v>
      </c>
      <c r="E354" s="1">
        <v>1.25E8</v>
      </c>
      <c r="F354" s="1">
        <v>7.31E8</v>
      </c>
      <c r="G354" s="1">
        <v>4.87E8</v>
      </c>
      <c r="H354" s="1">
        <v>7.76E8</v>
      </c>
      <c r="I354" s="1">
        <v>1.625E9</v>
      </c>
      <c r="J354" s="1">
        <v>7.39E8</v>
      </c>
      <c r="K354" s="1">
        <v>7.39E8</v>
      </c>
      <c r="L354" s="1">
        <v>-7.5E7</v>
      </c>
      <c r="M354" s="1">
        <v>2.34E8</v>
      </c>
      <c r="N354" s="1">
        <v>5.44E9</v>
      </c>
      <c r="O354" s="1">
        <v>4.701E9</v>
      </c>
      <c r="P354" s="1">
        <v>3.815E9</v>
      </c>
      <c r="Q354" s="1">
        <v>-8000000.0</v>
      </c>
      <c r="R354" s="1">
        <v>4.97E8</v>
      </c>
      <c r="S354" s="1">
        <v>4.87E8</v>
      </c>
    </row>
    <row r="355">
      <c r="A355" s="1">
        <v>353.0</v>
      </c>
      <c r="B355" s="2">
        <v>44286.0</v>
      </c>
      <c r="C355" s="1" t="s">
        <v>216</v>
      </c>
      <c r="D355" s="1" t="s">
        <v>217</v>
      </c>
      <c r="E355" s="1">
        <v>1.21E8</v>
      </c>
      <c r="F355" s="1">
        <v>4.96E8</v>
      </c>
      <c r="G355" s="1">
        <v>3.84E8</v>
      </c>
      <c r="H355" s="1">
        <v>7.12E8</v>
      </c>
      <c r="I355" s="1">
        <v>1.399E9</v>
      </c>
      <c r="J355" s="1">
        <v>5.69E8</v>
      </c>
      <c r="K355" s="1">
        <v>5.69E8</v>
      </c>
      <c r="L355" s="1">
        <v>-9.6E7</v>
      </c>
      <c r="M355" s="1">
        <v>1.04E8</v>
      </c>
      <c r="N355" s="1">
        <v>4.699E9</v>
      </c>
      <c r="O355" s="1">
        <v>4.13E9</v>
      </c>
      <c r="P355" s="1">
        <v>3.3E9</v>
      </c>
      <c r="Q355" s="1">
        <v>-7.3E7</v>
      </c>
      <c r="R355" s="1">
        <v>3.92E8</v>
      </c>
      <c r="S355" s="1">
        <v>3.84E8</v>
      </c>
    </row>
    <row r="356">
      <c r="A356" s="1">
        <v>354.0</v>
      </c>
      <c r="B356" s="2">
        <v>44196.0</v>
      </c>
      <c r="C356" s="1" t="s">
        <v>216</v>
      </c>
      <c r="D356" s="1" t="s">
        <v>217</v>
      </c>
      <c r="E356" s="1">
        <v>1.27E8</v>
      </c>
      <c r="F356" s="1">
        <v>1.176E9</v>
      </c>
      <c r="G356" s="1">
        <v>8.84E8</v>
      </c>
      <c r="H356" s="1">
        <v>8.74E8</v>
      </c>
      <c r="I356" s="1">
        <v>1.3E9</v>
      </c>
      <c r="J356" s="1">
        <v>2.63E8</v>
      </c>
      <c r="K356" s="1">
        <v>2.63E8</v>
      </c>
      <c r="L356" s="1">
        <v>-8.5E7</v>
      </c>
      <c r="M356" s="1">
        <v>2.89E8</v>
      </c>
      <c r="N356" s="1">
        <v>4.594E9</v>
      </c>
      <c r="O356" s="1">
        <v>4.331E9</v>
      </c>
      <c r="P356" s="1">
        <v>3.294E9</v>
      </c>
      <c r="Q356" s="1">
        <v>9.13E8</v>
      </c>
      <c r="R356" s="1">
        <v>8.87E8</v>
      </c>
      <c r="S356" s="1">
        <v>8.84E8</v>
      </c>
    </row>
    <row r="357">
      <c r="A357" s="1">
        <v>355.0</v>
      </c>
      <c r="B357" s="2">
        <v>44104.0</v>
      </c>
      <c r="C357" s="1" t="s">
        <v>216</v>
      </c>
      <c r="D357" s="1" t="s">
        <v>217</v>
      </c>
      <c r="E357" s="1">
        <v>1.0E8</v>
      </c>
      <c r="F357" s="1">
        <v>1.009E9</v>
      </c>
      <c r="G357" s="1">
        <v>7.41E8</v>
      </c>
      <c r="H357" s="1">
        <v>6.37E8</v>
      </c>
      <c r="I357" s="1">
        <v>1.56E9</v>
      </c>
      <c r="J357" s="1">
        <v>8.21E8</v>
      </c>
      <c r="K357" s="1">
        <v>8.21E8</v>
      </c>
      <c r="L357" s="1">
        <v>-9.0E7</v>
      </c>
      <c r="M357" s="1">
        <v>2.61E8</v>
      </c>
      <c r="N357" s="1">
        <v>5.002E9</v>
      </c>
      <c r="O357" s="1">
        <v>4.181E9</v>
      </c>
      <c r="P357" s="1">
        <v>3.442E9</v>
      </c>
      <c r="Q357" s="1">
        <v>1.88E8</v>
      </c>
      <c r="R357" s="1">
        <v>7.48E8</v>
      </c>
      <c r="S357" s="1">
        <v>7.41E8</v>
      </c>
    </row>
    <row r="358">
      <c r="A358" s="1">
        <v>356.0</v>
      </c>
      <c r="B358" s="2">
        <v>44377.0</v>
      </c>
      <c r="C358" s="1" t="s">
        <v>218</v>
      </c>
      <c r="D358" s="1" t="s">
        <v>219</v>
      </c>
      <c r="F358" s="1">
        <v>2.215E8</v>
      </c>
      <c r="G358" s="1">
        <v>1.824E8</v>
      </c>
      <c r="H358" s="1">
        <v>1.862E8</v>
      </c>
      <c r="I358" s="1">
        <v>4.393E8</v>
      </c>
      <c r="J358" s="1">
        <v>2.531E8</v>
      </c>
      <c r="K358" s="1">
        <v>2.531E8</v>
      </c>
      <c r="L358" s="1">
        <v>-3.19E7</v>
      </c>
      <c r="M358" s="1">
        <v>3.91E7</v>
      </c>
      <c r="N358" s="1">
        <v>1.1882E9</v>
      </c>
      <c r="O358" s="1">
        <v>9.351E8</v>
      </c>
      <c r="P358" s="1">
        <v>7.489E8</v>
      </c>
      <c r="Q358" s="1">
        <v>-3.16E7</v>
      </c>
      <c r="R358" s="1">
        <v>1.824E8</v>
      </c>
      <c r="S358" s="1">
        <v>1.689E8</v>
      </c>
    </row>
    <row r="359">
      <c r="A359" s="1">
        <v>357.0</v>
      </c>
      <c r="B359" s="2">
        <v>44286.0</v>
      </c>
      <c r="C359" s="1" t="s">
        <v>218</v>
      </c>
      <c r="D359" s="1" t="s">
        <v>219</v>
      </c>
      <c r="F359" s="1">
        <v>3.171E8</v>
      </c>
      <c r="G359" s="1">
        <v>2.318E8</v>
      </c>
      <c r="H359" s="1">
        <v>1.72E8</v>
      </c>
      <c r="I359" s="1">
        <v>3.656E8</v>
      </c>
      <c r="J359" s="1">
        <v>1.936E8</v>
      </c>
      <c r="K359" s="1">
        <v>1.936E8</v>
      </c>
      <c r="L359" s="1">
        <v>-2.69E7</v>
      </c>
      <c r="M359" s="1">
        <v>8.53E7</v>
      </c>
      <c r="N359" s="1">
        <v>1.0533E9</v>
      </c>
      <c r="O359" s="1">
        <v>8.597E8</v>
      </c>
      <c r="P359" s="1">
        <v>6.877E8</v>
      </c>
      <c r="Q359" s="1">
        <v>1.235E8</v>
      </c>
      <c r="R359" s="1">
        <v>2.318E8</v>
      </c>
      <c r="S359" s="1">
        <v>2.171E8</v>
      </c>
    </row>
    <row r="360">
      <c r="A360" s="1">
        <v>358.0</v>
      </c>
      <c r="B360" s="2">
        <v>44196.0</v>
      </c>
      <c r="C360" s="1" t="s">
        <v>218</v>
      </c>
      <c r="D360" s="1" t="s">
        <v>219</v>
      </c>
      <c r="F360" s="1">
        <v>1.09E8</v>
      </c>
      <c r="G360" s="1">
        <v>8.84E7</v>
      </c>
      <c r="H360" s="1">
        <v>1.648E8</v>
      </c>
      <c r="I360" s="1">
        <v>2.982E8</v>
      </c>
      <c r="J360" s="1">
        <v>1.334E8</v>
      </c>
      <c r="K360" s="1">
        <v>1.334E8</v>
      </c>
      <c r="L360" s="1">
        <v>-2.59E7</v>
      </c>
      <c r="M360" s="1">
        <v>2.06E7</v>
      </c>
      <c r="N360" s="1">
        <v>9.108E8</v>
      </c>
      <c r="O360" s="1">
        <v>7.774E8</v>
      </c>
      <c r="P360" s="1">
        <v>6.126E8</v>
      </c>
      <c r="Q360" s="1">
        <v>-2.44E7</v>
      </c>
      <c r="R360" s="1">
        <v>8.84E7</v>
      </c>
      <c r="S360" s="1">
        <v>7.42E7</v>
      </c>
    </row>
    <row r="361">
      <c r="A361" s="1">
        <v>359.0</v>
      </c>
      <c r="B361" s="2">
        <v>44104.0</v>
      </c>
      <c r="C361" s="1" t="s">
        <v>218</v>
      </c>
      <c r="D361" s="1" t="s">
        <v>219</v>
      </c>
      <c r="F361" s="1">
        <v>6.74E7</v>
      </c>
      <c r="G361" s="1">
        <v>8.24E7</v>
      </c>
      <c r="H361" s="1">
        <v>1.64E8</v>
      </c>
      <c r="I361" s="1">
        <v>2.489E8</v>
      </c>
      <c r="J361" s="1">
        <v>8.49E7</v>
      </c>
      <c r="K361" s="1">
        <v>8.49E7</v>
      </c>
      <c r="L361" s="1">
        <v>-2.53E7</v>
      </c>
      <c r="M361" s="1">
        <v>-1.5E7</v>
      </c>
      <c r="N361" s="1">
        <v>8.457E8</v>
      </c>
      <c r="O361" s="1">
        <v>7.608E8</v>
      </c>
      <c r="P361" s="1">
        <v>5.968E8</v>
      </c>
      <c r="Q361" s="1">
        <v>-1.75E7</v>
      </c>
      <c r="R361" s="1">
        <v>8.24E7</v>
      </c>
      <c r="S361" s="1">
        <v>6.88E7</v>
      </c>
    </row>
    <row r="362">
      <c r="A362" s="1">
        <v>360.0</v>
      </c>
      <c r="B362" s="2">
        <v>44286.0</v>
      </c>
      <c r="C362" s="1" t="s">
        <v>220</v>
      </c>
      <c r="D362" s="1" t="s">
        <v>221</v>
      </c>
      <c r="E362" s="1">
        <v>3.74E8</v>
      </c>
      <c r="F362" s="1">
        <v>2.006E9</v>
      </c>
      <c r="G362" s="1">
        <v>1.53E9</v>
      </c>
      <c r="H362" s="1">
        <v>1.004E9</v>
      </c>
      <c r="I362" s="1">
        <v>3.331E9</v>
      </c>
      <c r="J362" s="1">
        <v>2.0E9</v>
      </c>
      <c r="K362" s="1">
        <v>2.0E9</v>
      </c>
      <c r="L362" s="1">
        <v>-1.42E8</v>
      </c>
      <c r="M362" s="1">
        <v>4.75E8</v>
      </c>
      <c r="N362" s="1">
        <v>1.1887E10</v>
      </c>
      <c r="O362" s="1">
        <v>9.887E9</v>
      </c>
      <c r="P362" s="1">
        <v>8.556E9</v>
      </c>
      <c r="Q362" s="1">
        <v>6000000.0</v>
      </c>
      <c r="R362" s="1">
        <v>1.531E9</v>
      </c>
      <c r="S362" s="1">
        <v>1.53E9</v>
      </c>
    </row>
    <row r="363">
      <c r="A363" s="1">
        <v>361.0</v>
      </c>
      <c r="B363" s="2">
        <v>44196.0</v>
      </c>
      <c r="C363" s="1" t="s">
        <v>220</v>
      </c>
      <c r="D363" s="1" t="s">
        <v>221</v>
      </c>
      <c r="E363" s="1">
        <v>3.74E8</v>
      </c>
      <c r="F363" s="1">
        <v>9.47E8</v>
      </c>
      <c r="G363" s="1">
        <v>7.8E8</v>
      </c>
      <c r="H363" s="1">
        <v>1.276E9</v>
      </c>
      <c r="I363" s="1">
        <v>2.843E9</v>
      </c>
      <c r="J363" s="1">
        <v>1.2E9</v>
      </c>
      <c r="K363" s="1">
        <v>1.2E9</v>
      </c>
      <c r="L363" s="1">
        <v>-1.3E8</v>
      </c>
      <c r="M363" s="1">
        <v>1.67E8</v>
      </c>
      <c r="N363" s="1">
        <v>1.1235E10</v>
      </c>
      <c r="O363" s="1">
        <v>1.0035E10</v>
      </c>
      <c r="P363" s="1">
        <v>8.392E9</v>
      </c>
      <c r="Q363" s="1">
        <v>-2.53E8</v>
      </c>
      <c r="R363" s="1">
        <v>7.8E8</v>
      </c>
      <c r="S363" s="1">
        <v>7.8E8</v>
      </c>
    </row>
    <row r="364">
      <c r="A364" s="1">
        <v>362.0</v>
      </c>
      <c r="B364" s="2">
        <v>44104.0</v>
      </c>
      <c r="C364" s="1" t="s">
        <v>220</v>
      </c>
      <c r="D364" s="1" t="s">
        <v>221</v>
      </c>
      <c r="E364" s="1">
        <v>3.44E8</v>
      </c>
      <c r="F364" s="1">
        <v>8.58E8</v>
      </c>
      <c r="G364" s="1">
        <v>6.68E8</v>
      </c>
      <c r="H364" s="1">
        <v>9.33E8</v>
      </c>
      <c r="I364" s="1">
        <v>2.37E9</v>
      </c>
      <c r="J364" s="1">
        <v>1.11E9</v>
      </c>
      <c r="K364" s="1">
        <v>1.11E9</v>
      </c>
      <c r="L364" s="1">
        <v>-1.36E8</v>
      </c>
      <c r="M364" s="1">
        <v>1.87E8</v>
      </c>
      <c r="N364" s="1">
        <v>9.881E9</v>
      </c>
      <c r="O364" s="1">
        <v>8.771E9</v>
      </c>
      <c r="P364" s="1">
        <v>7.511E9</v>
      </c>
      <c r="Q364" s="1">
        <v>-2.52E8</v>
      </c>
      <c r="R364" s="1">
        <v>6.71E8</v>
      </c>
      <c r="S364" s="1">
        <v>6.68E8</v>
      </c>
    </row>
    <row r="365">
      <c r="A365" s="1">
        <v>363.0</v>
      </c>
      <c r="B365" s="2">
        <v>44012.0</v>
      </c>
      <c r="C365" s="1" t="s">
        <v>220</v>
      </c>
      <c r="D365" s="1" t="s">
        <v>221</v>
      </c>
      <c r="E365" s="1">
        <v>3.41E8</v>
      </c>
      <c r="F365" s="1">
        <v>6.86E8</v>
      </c>
      <c r="G365" s="1">
        <v>4.58E8</v>
      </c>
      <c r="H365" s="1">
        <v>1.02E9</v>
      </c>
      <c r="I365" s="1">
        <v>2.245E9</v>
      </c>
      <c r="J365" s="1">
        <v>9.12E8</v>
      </c>
      <c r="K365" s="1">
        <v>9.12E8</v>
      </c>
      <c r="L365" s="1">
        <v>-1.35E8</v>
      </c>
      <c r="M365" s="1">
        <v>2.27E8</v>
      </c>
      <c r="N365" s="1">
        <v>9.997E9</v>
      </c>
      <c r="O365" s="1">
        <v>9.085E9</v>
      </c>
      <c r="P365" s="1">
        <v>7.752E9</v>
      </c>
      <c r="Q365" s="1">
        <v>-2.26E8</v>
      </c>
      <c r="R365" s="1">
        <v>4.59E8</v>
      </c>
      <c r="S365" s="1">
        <v>4.58E8</v>
      </c>
    </row>
    <row r="366">
      <c r="A366" s="1">
        <v>364.0</v>
      </c>
      <c r="B366" s="2">
        <v>44377.0</v>
      </c>
      <c r="C366" s="1" t="s">
        <v>222</v>
      </c>
      <c r="D366" s="1" t="s">
        <v>223</v>
      </c>
      <c r="F366" s="1">
        <v>1.792E8</v>
      </c>
      <c r="G366" s="1">
        <v>1.055E8</v>
      </c>
      <c r="H366" s="1">
        <v>1.136E8</v>
      </c>
      <c r="I366" s="1">
        <v>3.506E8</v>
      </c>
      <c r="J366" s="1">
        <v>1.918E8</v>
      </c>
      <c r="K366" s="1">
        <v>1.918E8</v>
      </c>
      <c r="L366" s="1">
        <v>-1.24E7</v>
      </c>
      <c r="M366" s="1">
        <v>7.37E7</v>
      </c>
      <c r="N366" s="1">
        <v>8.008E8</v>
      </c>
      <c r="O366" s="1">
        <v>6.09E8</v>
      </c>
      <c r="P366" s="1">
        <v>4.502E8</v>
      </c>
      <c r="Q366" s="1">
        <v>-1.26E7</v>
      </c>
      <c r="R366" s="1">
        <v>1.055E8</v>
      </c>
      <c r="S366" s="1">
        <v>1.052E8</v>
      </c>
    </row>
    <row r="367">
      <c r="A367" s="1">
        <v>365.0</v>
      </c>
      <c r="B367" s="2">
        <v>44286.0</v>
      </c>
      <c r="C367" s="1" t="s">
        <v>222</v>
      </c>
      <c r="D367" s="1" t="s">
        <v>223</v>
      </c>
      <c r="F367" s="1">
        <v>1.929E8</v>
      </c>
      <c r="G367" s="1">
        <v>1.372E8</v>
      </c>
      <c r="H367" s="1">
        <v>1.12E8</v>
      </c>
      <c r="I367" s="1">
        <v>3.655E8</v>
      </c>
      <c r="J367" s="1">
        <v>2.08E8</v>
      </c>
      <c r="K367" s="1">
        <v>2.08E8</v>
      </c>
      <c r="L367" s="1">
        <v>-1.24E7</v>
      </c>
      <c r="M367" s="1">
        <v>5.57E7</v>
      </c>
      <c r="N367" s="1">
        <v>1.0108E9</v>
      </c>
      <c r="O367" s="1">
        <v>8.028E8</v>
      </c>
      <c r="P367" s="1">
        <v>6.453E8</v>
      </c>
      <c r="Q367" s="1">
        <v>-1.51E7</v>
      </c>
      <c r="R367" s="1">
        <v>1.372E8</v>
      </c>
      <c r="S367" s="1">
        <v>1.368E8</v>
      </c>
    </row>
    <row r="368">
      <c r="A368" s="1">
        <v>366.0</v>
      </c>
      <c r="B368" s="2">
        <v>44196.0</v>
      </c>
      <c r="C368" s="1" t="s">
        <v>222</v>
      </c>
      <c r="D368" s="1" t="s">
        <v>223</v>
      </c>
      <c r="F368" s="1">
        <v>1.229E8</v>
      </c>
      <c r="G368" s="1">
        <v>8.73E7</v>
      </c>
      <c r="H368" s="1">
        <v>9.74E7</v>
      </c>
      <c r="I368" s="1">
        <v>3.071E8</v>
      </c>
      <c r="J368" s="1">
        <v>1.636E8</v>
      </c>
      <c r="K368" s="1">
        <v>1.636E8</v>
      </c>
      <c r="L368" s="1">
        <v>-1.39E7</v>
      </c>
      <c r="M368" s="1">
        <v>3.56E7</v>
      </c>
      <c r="N368" s="1">
        <v>8.442E8</v>
      </c>
      <c r="O368" s="1">
        <v>6.806E8</v>
      </c>
      <c r="P368" s="1">
        <v>5.371E8</v>
      </c>
      <c r="Q368" s="1">
        <v>-4.07E7</v>
      </c>
      <c r="R368" s="1">
        <v>8.73E7</v>
      </c>
      <c r="S368" s="1">
        <v>8.71E7</v>
      </c>
    </row>
    <row r="369">
      <c r="A369" s="1">
        <v>367.0</v>
      </c>
      <c r="B369" s="2">
        <v>44104.0</v>
      </c>
      <c r="C369" s="1" t="s">
        <v>222</v>
      </c>
      <c r="D369" s="1" t="s">
        <v>223</v>
      </c>
      <c r="F369" s="1">
        <v>1.634E8</v>
      </c>
      <c r="G369" s="1">
        <v>1.099E8</v>
      </c>
      <c r="H369" s="1">
        <v>9.58E7</v>
      </c>
      <c r="I369" s="1">
        <v>2.92E8</v>
      </c>
      <c r="J369" s="1">
        <v>1.522E8</v>
      </c>
      <c r="K369" s="1">
        <v>1.522E8</v>
      </c>
      <c r="L369" s="1">
        <v>-9600000.0</v>
      </c>
      <c r="M369" s="1">
        <v>5.35E7</v>
      </c>
      <c r="N369" s="1">
        <v>7.927E8</v>
      </c>
      <c r="O369" s="1">
        <v>6.405E8</v>
      </c>
      <c r="P369" s="1">
        <v>5.007E8</v>
      </c>
      <c r="Q369" s="1">
        <v>1.12E7</v>
      </c>
      <c r="R369" s="1">
        <v>1.099E8</v>
      </c>
      <c r="S369" s="1">
        <v>1.096E8</v>
      </c>
    </row>
    <row r="370">
      <c r="A370" s="1">
        <v>368.0</v>
      </c>
      <c r="B370" s="2">
        <v>44377.0</v>
      </c>
      <c r="C370" s="1" t="s">
        <v>225</v>
      </c>
      <c r="D370" s="1" t="s">
        <v>225</v>
      </c>
      <c r="F370" s="1">
        <v>5.76887E8</v>
      </c>
      <c r="G370" s="1">
        <v>4.42637E8</v>
      </c>
      <c r="H370" s="1">
        <v>9.57216E8</v>
      </c>
      <c r="I370" s="1">
        <v>1.441854E9</v>
      </c>
      <c r="J370" s="1">
        <v>3.65553E8</v>
      </c>
      <c r="K370" s="1">
        <v>3.65553E8</v>
      </c>
      <c r="L370" s="1">
        <v>-1.3772E7</v>
      </c>
      <c r="M370" s="1">
        <v>1.33445E8</v>
      </c>
      <c r="N370" s="1">
        <v>6.458613E9</v>
      </c>
      <c r="O370" s="1">
        <v>6.09306E9</v>
      </c>
      <c r="P370" s="1">
        <v>5.016759E9</v>
      </c>
      <c r="Q370" s="1">
        <v>2.11334E8</v>
      </c>
      <c r="R370" s="1">
        <v>4.43442E8</v>
      </c>
      <c r="S370" s="1">
        <v>4.42637E8</v>
      </c>
    </row>
    <row r="371">
      <c r="A371" s="1">
        <v>369.0</v>
      </c>
      <c r="B371" s="2">
        <v>44286.0</v>
      </c>
      <c r="C371" s="1" t="s">
        <v>225</v>
      </c>
      <c r="D371" s="1" t="s">
        <v>225</v>
      </c>
      <c r="F371" s="1">
        <v>3.45304E8</v>
      </c>
      <c r="G371" s="1">
        <v>2.66202E8</v>
      </c>
      <c r="H371" s="1">
        <v>8.28327E8</v>
      </c>
      <c r="I371" s="1">
        <v>1.219333E9</v>
      </c>
      <c r="J371" s="1">
        <v>2.68928E8</v>
      </c>
      <c r="K371" s="1">
        <v>2.68928E8</v>
      </c>
      <c r="L371" s="1">
        <v>-1.0106E7</v>
      </c>
      <c r="M371" s="1">
        <v>7.6327E7</v>
      </c>
      <c r="N371" s="1">
        <v>5.938879E9</v>
      </c>
      <c r="O371" s="1">
        <v>5.669951E9</v>
      </c>
      <c r="P371" s="1">
        <v>4.719546E9</v>
      </c>
      <c r="Q371" s="1">
        <v>7.6376E7</v>
      </c>
      <c r="R371" s="1">
        <v>2.68977E8</v>
      </c>
      <c r="S371" s="1">
        <v>2.66202E8</v>
      </c>
    </row>
    <row r="372">
      <c r="A372" s="1">
        <v>370.0</v>
      </c>
      <c r="B372" s="2">
        <v>44196.0</v>
      </c>
      <c r="C372" s="1" t="s">
        <v>225</v>
      </c>
      <c r="D372" s="1" t="s">
        <v>225</v>
      </c>
      <c r="F372" s="1">
        <v>4.1044E8</v>
      </c>
      <c r="G372" s="1">
        <v>3.13765E8</v>
      </c>
      <c r="H372" s="1">
        <v>8.7605E8</v>
      </c>
      <c r="I372" s="1">
        <v>1.566071E9</v>
      </c>
      <c r="J372" s="1">
        <v>5.66888E8</v>
      </c>
      <c r="K372" s="1">
        <v>5.66888E8</v>
      </c>
      <c r="L372" s="1">
        <v>-1.5958E7</v>
      </c>
      <c r="M372" s="1">
        <v>9.5054E7</v>
      </c>
      <c r="N372" s="1">
        <v>6.910501E9</v>
      </c>
      <c r="O372" s="1">
        <v>6.343613E9</v>
      </c>
      <c r="P372" s="1">
        <v>5.34443E9</v>
      </c>
      <c r="Q372" s="1">
        <v>-1.56448E8</v>
      </c>
      <c r="R372" s="1">
        <v>3.15386E8</v>
      </c>
      <c r="S372" s="1">
        <v>3.13765E8</v>
      </c>
    </row>
    <row r="373">
      <c r="A373" s="1">
        <v>371.0</v>
      </c>
      <c r="B373" s="2">
        <v>44104.0</v>
      </c>
      <c r="C373" s="1" t="s">
        <v>225</v>
      </c>
      <c r="D373" s="1" t="s">
        <v>225</v>
      </c>
      <c r="F373" s="1">
        <v>2.33902E8</v>
      </c>
      <c r="G373" s="1">
        <v>1.84132E8</v>
      </c>
      <c r="H373" s="1">
        <v>7.54527E8</v>
      </c>
      <c r="I373" s="1">
        <v>1.096263E9</v>
      </c>
      <c r="J373" s="1">
        <v>2.14011E8</v>
      </c>
      <c r="K373" s="1">
        <v>2.14011E8</v>
      </c>
      <c r="L373" s="1">
        <v>-1.7829E7</v>
      </c>
      <c r="M373" s="1">
        <v>4.9062E7</v>
      </c>
      <c r="N373" s="1">
        <v>5.645142E9</v>
      </c>
      <c r="O373" s="1">
        <v>5.431131E9</v>
      </c>
      <c r="P373" s="1">
        <v>4.548879E9</v>
      </c>
      <c r="Q373" s="1">
        <v>1.9891E7</v>
      </c>
      <c r="R373" s="1">
        <v>1.8484E8</v>
      </c>
      <c r="S373" s="1">
        <v>1.84132E8</v>
      </c>
    </row>
    <row r="374">
      <c r="A374" s="1">
        <v>372.0</v>
      </c>
      <c r="B374" s="2">
        <v>44377.0</v>
      </c>
      <c r="C374" s="1" t="s">
        <v>226</v>
      </c>
      <c r="D374" s="1" t="s">
        <v>226</v>
      </c>
      <c r="F374" s="1">
        <v>3.712E8</v>
      </c>
      <c r="G374" s="1">
        <v>2.741E8</v>
      </c>
      <c r="H374" s="1">
        <v>5.129E8</v>
      </c>
      <c r="I374" s="1">
        <v>8.828E8</v>
      </c>
      <c r="J374" s="1">
        <v>3.699E8</v>
      </c>
      <c r="K374" s="1">
        <v>3.699E8</v>
      </c>
      <c r="L374" s="1">
        <v>-3.55E7</v>
      </c>
      <c r="M374" s="1">
        <v>9.71E7</v>
      </c>
      <c r="N374" s="1">
        <v>5.1464E9</v>
      </c>
      <c r="O374" s="1">
        <v>4.7765E9</v>
      </c>
      <c r="P374" s="1">
        <v>4.2636E9</v>
      </c>
      <c r="Q374" s="1">
        <v>1300000.0</v>
      </c>
      <c r="R374" s="1">
        <v>2.741E8</v>
      </c>
      <c r="S374" s="1">
        <v>2.741E8</v>
      </c>
    </row>
    <row r="375">
      <c r="A375" s="1">
        <v>373.0</v>
      </c>
      <c r="B375" s="2">
        <v>44286.0</v>
      </c>
      <c r="C375" s="1" t="s">
        <v>226</v>
      </c>
      <c r="D375" s="1" t="s">
        <v>226</v>
      </c>
      <c r="F375" s="1">
        <v>2.889E8</v>
      </c>
      <c r="G375" s="1">
        <v>2.326E8</v>
      </c>
      <c r="H375" s="1">
        <v>4.718E8</v>
      </c>
      <c r="I375" s="1">
        <v>7.952E8</v>
      </c>
      <c r="J375" s="1">
        <v>3.234E8</v>
      </c>
      <c r="K375" s="1">
        <v>3.234E8</v>
      </c>
      <c r="L375" s="1">
        <v>-3.56E7</v>
      </c>
      <c r="M375" s="1">
        <v>5.63E7</v>
      </c>
      <c r="N375" s="1">
        <v>4.8375E9</v>
      </c>
      <c r="O375" s="1">
        <v>4.5141E9</v>
      </c>
      <c r="P375" s="1">
        <v>4.0423E9</v>
      </c>
      <c r="Q375" s="1">
        <v>-3.45E7</v>
      </c>
      <c r="R375" s="1">
        <v>2.326E8</v>
      </c>
      <c r="S375" s="1">
        <v>2.326E8</v>
      </c>
    </row>
    <row r="376">
      <c r="A376" s="1">
        <v>374.0</v>
      </c>
      <c r="B376" s="2">
        <v>44196.0</v>
      </c>
      <c r="C376" s="1" t="s">
        <v>226</v>
      </c>
      <c r="D376" s="1" t="s">
        <v>226</v>
      </c>
      <c r="F376" s="1">
        <v>2.95E8</v>
      </c>
      <c r="G376" s="1">
        <v>2.383E8</v>
      </c>
      <c r="H376" s="1">
        <v>5.487E8</v>
      </c>
      <c r="I376" s="1">
        <v>8.809E8</v>
      </c>
      <c r="J376" s="1">
        <v>3.322E8</v>
      </c>
      <c r="K376" s="1">
        <v>3.322E8</v>
      </c>
      <c r="L376" s="1">
        <v>-3.71E7</v>
      </c>
      <c r="M376" s="1">
        <v>5.67E7</v>
      </c>
      <c r="N376" s="1">
        <v>4.9562E9</v>
      </c>
      <c r="O376" s="1">
        <v>4.624E9</v>
      </c>
      <c r="P376" s="1">
        <v>4.0753E9</v>
      </c>
      <c r="Q376" s="1">
        <v>-3.72E7</v>
      </c>
      <c r="R376" s="1">
        <v>2.383E8</v>
      </c>
      <c r="S376" s="1">
        <v>2.383E8</v>
      </c>
    </row>
    <row r="377">
      <c r="A377" s="1">
        <v>375.0</v>
      </c>
      <c r="B377" s="2">
        <v>44104.0</v>
      </c>
      <c r="C377" s="1" t="s">
        <v>226</v>
      </c>
      <c r="D377" s="1" t="s">
        <v>226</v>
      </c>
      <c r="F377" s="1">
        <v>2.501E8</v>
      </c>
      <c r="G377" s="1">
        <v>1.932E8</v>
      </c>
      <c r="H377" s="1">
        <v>4.992E8</v>
      </c>
      <c r="I377" s="1">
        <v>8.255E8</v>
      </c>
      <c r="J377" s="1">
        <v>3.263E8</v>
      </c>
      <c r="K377" s="1">
        <v>3.263E8</v>
      </c>
      <c r="L377" s="1">
        <v>-4.02E7</v>
      </c>
      <c r="M377" s="1">
        <v>5.69E7</v>
      </c>
      <c r="N377" s="1">
        <v>4.7564E9</v>
      </c>
      <c r="O377" s="1">
        <v>4.4301E9</v>
      </c>
      <c r="P377" s="1">
        <v>3.9309E9</v>
      </c>
      <c r="Q377" s="1">
        <v>-7.62E7</v>
      </c>
      <c r="R377" s="1">
        <v>1.932E8</v>
      </c>
      <c r="S377" s="1">
        <v>1.932E8</v>
      </c>
    </row>
    <row r="378">
      <c r="A378" s="1">
        <v>376.0</v>
      </c>
      <c r="B378" s="2">
        <v>44377.0</v>
      </c>
      <c r="C378" s="1" t="s">
        <v>228</v>
      </c>
      <c r="D378" s="1" t="s">
        <v>229</v>
      </c>
      <c r="E378" s="1">
        <v>2.2E7</v>
      </c>
      <c r="F378" s="1">
        <v>6.6E8</v>
      </c>
      <c r="G378" s="1">
        <v>5.38E8</v>
      </c>
      <c r="H378" s="1">
        <v>1.23E8</v>
      </c>
      <c r="I378" s="1">
        <v>7.61E8</v>
      </c>
      <c r="J378" s="1">
        <v>6.11E8</v>
      </c>
      <c r="K378" s="1">
        <v>6.11E8</v>
      </c>
      <c r="L378" s="1">
        <v>-2.4E7</v>
      </c>
      <c r="M378" s="1">
        <v>1.16E8</v>
      </c>
      <c r="N378" s="1">
        <v>2.198E9</v>
      </c>
      <c r="O378" s="1">
        <v>1.587E9</v>
      </c>
      <c r="P378" s="1">
        <v>1.437E9</v>
      </c>
      <c r="Q378" s="1">
        <v>4.9E7</v>
      </c>
      <c r="R378" s="1">
        <v>5.44E8</v>
      </c>
      <c r="S378" s="1">
        <v>5.38E8</v>
      </c>
    </row>
    <row r="379">
      <c r="A379" s="1">
        <v>377.0</v>
      </c>
      <c r="B379" s="2">
        <v>44286.0</v>
      </c>
      <c r="C379" s="1" t="s">
        <v>228</v>
      </c>
      <c r="D379" s="1" t="s">
        <v>229</v>
      </c>
      <c r="E379" s="1">
        <v>2.0E7</v>
      </c>
      <c r="F379" s="1">
        <v>4.09E8</v>
      </c>
      <c r="G379" s="1">
        <v>3.22E8</v>
      </c>
      <c r="H379" s="1">
        <v>9.9E7</v>
      </c>
      <c r="I379" s="1">
        <v>4.85E8</v>
      </c>
      <c r="J379" s="1">
        <v>3.6E8</v>
      </c>
      <c r="K379" s="1">
        <v>3.6E8</v>
      </c>
      <c r="L379" s="1">
        <v>-2.5E7</v>
      </c>
      <c r="M379" s="1">
        <v>8.5E7</v>
      </c>
      <c r="N379" s="1">
        <v>1.798E9</v>
      </c>
      <c r="O379" s="1">
        <v>1.438E9</v>
      </c>
      <c r="P379" s="1">
        <v>1.313E9</v>
      </c>
      <c r="Q379" s="1">
        <v>4.9E7</v>
      </c>
      <c r="R379" s="1">
        <v>3.24E8</v>
      </c>
      <c r="S379" s="1">
        <v>3.22E8</v>
      </c>
    </row>
    <row r="380">
      <c r="A380" s="1">
        <v>378.0</v>
      </c>
      <c r="B380" s="2">
        <v>44196.0</v>
      </c>
      <c r="C380" s="1" t="s">
        <v>228</v>
      </c>
      <c r="D380" s="1" t="s">
        <v>229</v>
      </c>
      <c r="E380" s="1">
        <v>2.0E7</v>
      </c>
      <c r="F380" s="1">
        <v>1.571E9</v>
      </c>
      <c r="G380" s="1">
        <v>1.453E9</v>
      </c>
      <c r="H380" s="1">
        <v>2.02E8</v>
      </c>
      <c r="I380" s="1">
        <v>3.76E8</v>
      </c>
      <c r="J380" s="1">
        <v>1.49E8</v>
      </c>
      <c r="K380" s="1">
        <v>1.49E8</v>
      </c>
      <c r="L380" s="1">
        <v>-2.6E7</v>
      </c>
      <c r="M380" s="1">
        <v>1.17E8</v>
      </c>
      <c r="N380" s="1">
        <v>1.591E9</v>
      </c>
      <c r="O380" s="1">
        <v>1.442E9</v>
      </c>
      <c r="P380" s="1">
        <v>1.215E9</v>
      </c>
      <c r="Q380" s="1">
        <v>1.422E9</v>
      </c>
      <c r="R380" s="1">
        <v>1.454E9</v>
      </c>
      <c r="S380" s="1">
        <v>1.453E9</v>
      </c>
    </row>
    <row r="381">
      <c r="A381" s="1">
        <v>379.0</v>
      </c>
      <c r="B381" s="2">
        <v>44104.0</v>
      </c>
      <c r="C381" s="1" t="s">
        <v>228</v>
      </c>
      <c r="D381" s="1" t="s">
        <v>229</v>
      </c>
      <c r="E381" s="1">
        <v>1.9E7</v>
      </c>
      <c r="F381" s="1">
        <v>2.41E8</v>
      </c>
      <c r="G381" s="1">
        <v>2.07E8</v>
      </c>
      <c r="H381" s="1">
        <v>7.8E7</v>
      </c>
      <c r="I381" s="1">
        <v>3.27E8</v>
      </c>
      <c r="J381" s="1">
        <v>2.24E8</v>
      </c>
      <c r="K381" s="1">
        <v>2.24E8</v>
      </c>
      <c r="L381" s="1">
        <v>-2.8E7</v>
      </c>
      <c r="M381" s="1">
        <v>3.0E7</v>
      </c>
      <c r="N381" s="1">
        <v>1.411E9</v>
      </c>
      <c r="O381" s="1">
        <v>1.187E9</v>
      </c>
      <c r="P381" s="1">
        <v>1.084E9</v>
      </c>
      <c r="Q381" s="1">
        <v>1.7E7</v>
      </c>
      <c r="R381" s="1">
        <v>2.11E8</v>
      </c>
      <c r="S381" s="1">
        <v>2.07E8</v>
      </c>
    </row>
    <row r="382">
      <c r="A382" s="1">
        <v>380.0</v>
      </c>
      <c r="B382" s="2">
        <v>44469.0</v>
      </c>
      <c r="C382" s="1" t="s">
        <v>230</v>
      </c>
      <c r="D382" s="1" t="s">
        <v>231</v>
      </c>
      <c r="F382" s="1">
        <v>7.2E8</v>
      </c>
      <c r="G382" s="1">
        <v>5.84E8</v>
      </c>
      <c r="H382" s="1">
        <v>2.642E9</v>
      </c>
      <c r="I382" s="1">
        <v>4.97E9</v>
      </c>
      <c r="J382" s="1">
        <v>7.02E8</v>
      </c>
      <c r="K382" s="1">
        <v>7.02E8</v>
      </c>
      <c r="L382" s="1">
        <v>-1.7E8</v>
      </c>
      <c r="M382" s="1">
        <v>1.39E8</v>
      </c>
      <c r="N382" s="1">
        <v>3.04E10</v>
      </c>
      <c r="O382" s="1">
        <v>2.9698E10</v>
      </c>
      <c r="P382" s="1">
        <v>2.543E10</v>
      </c>
      <c r="Q382" s="1">
        <v>1.8E7</v>
      </c>
      <c r="R382" s="1">
        <v>5.81E8</v>
      </c>
      <c r="S382" s="1">
        <v>5.84E8</v>
      </c>
    </row>
    <row r="383">
      <c r="A383" s="1">
        <v>381.0</v>
      </c>
      <c r="B383" s="2">
        <v>44377.0</v>
      </c>
      <c r="C383" s="1" t="s">
        <v>230</v>
      </c>
      <c r="D383" s="1" t="s">
        <v>231</v>
      </c>
      <c r="F383" s="1">
        <v>-5.42E8</v>
      </c>
      <c r="G383" s="1">
        <v>-5.35E8</v>
      </c>
      <c r="H383" s="1">
        <v>2.232E9</v>
      </c>
      <c r="I383" s="1">
        <v>4.574E9</v>
      </c>
      <c r="J383" s="1">
        <v>9.74E8</v>
      </c>
      <c r="K383" s="1">
        <v>9.74E8</v>
      </c>
      <c r="L383" s="1">
        <v>-1.63E8</v>
      </c>
      <c r="M383" s="1">
        <v>-7000000.0</v>
      </c>
      <c r="N383" s="1">
        <v>2.8963E10</v>
      </c>
      <c r="O383" s="1">
        <v>2.7989E10</v>
      </c>
      <c r="P383" s="1">
        <v>2.4389E10</v>
      </c>
      <c r="Q383" s="1">
        <v>-1.516E9</v>
      </c>
      <c r="R383" s="1">
        <v>-5.35E8</v>
      </c>
      <c r="S383" s="1">
        <v>-5.35E8</v>
      </c>
    </row>
    <row r="384">
      <c r="A384" s="1">
        <v>382.0</v>
      </c>
      <c r="B384" s="2">
        <v>44286.0</v>
      </c>
      <c r="C384" s="1" t="s">
        <v>230</v>
      </c>
      <c r="D384" s="1" t="s">
        <v>231</v>
      </c>
      <c r="F384" s="1">
        <v>9.41E8</v>
      </c>
      <c r="G384" s="1">
        <v>6.99E8</v>
      </c>
      <c r="H384" s="1">
        <v>2.265E9</v>
      </c>
      <c r="I384" s="1">
        <v>4.826E9</v>
      </c>
      <c r="J384" s="1">
        <v>1.259E9</v>
      </c>
      <c r="K384" s="1">
        <v>1.259E9</v>
      </c>
      <c r="L384" s="1">
        <v>-1.7E8</v>
      </c>
      <c r="M384" s="1">
        <v>2.44E8</v>
      </c>
      <c r="N384" s="1">
        <v>2.8217E10</v>
      </c>
      <c r="O384" s="1">
        <v>2.6958E10</v>
      </c>
      <c r="P384" s="1">
        <v>2.3391E10</v>
      </c>
      <c r="Q384" s="1">
        <v>-3.18E8</v>
      </c>
      <c r="R384" s="1">
        <v>6.97E8</v>
      </c>
      <c r="S384" s="1">
        <v>6.99E8</v>
      </c>
    </row>
    <row r="385">
      <c r="A385" s="1">
        <v>383.0</v>
      </c>
      <c r="B385" s="2">
        <v>44196.0</v>
      </c>
      <c r="C385" s="1" t="s">
        <v>230</v>
      </c>
      <c r="D385" s="1" t="s">
        <v>231</v>
      </c>
      <c r="F385" s="1">
        <v>-7.4E7</v>
      </c>
      <c r="G385" s="1">
        <v>-1.2E7</v>
      </c>
      <c r="H385" s="1">
        <v>2.943E9</v>
      </c>
      <c r="I385" s="1">
        <v>3.945E9</v>
      </c>
      <c r="J385" s="1">
        <v>2.74E8</v>
      </c>
      <c r="K385" s="1">
        <v>2.74E8</v>
      </c>
      <c r="L385" s="1">
        <v>-1.77E8</v>
      </c>
      <c r="M385" s="1">
        <v>-5.5E7</v>
      </c>
      <c r="N385" s="1">
        <v>2.655E10</v>
      </c>
      <c r="O385" s="1">
        <v>2.6276E10</v>
      </c>
      <c r="P385" s="1">
        <v>2.2605E10</v>
      </c>
      <c r="Q385" s="1">
        <v>-3.48E8</v>
      </c>
      <c r="R385" s="1">
        <v>-1.9E7</v>
      </c>
      <c r="S385" s="1">
        <v>-1.2E7</v>
      </c>
    </row>
    <row r="386">
      <c r="A386" s="1">
        <v>384.0</v>
      </c>
      <c r="B386" s="2">
        <v>44377.0</v>
      </c>
      <c r="C386" s="1" t="s">
        <v>233</v>
      </c>
      <c r="D386" s="1" t="s">
        <v>234</v>
      </c>
      <c r="F386" s="1">
        <v>2.48E8</v>
      </c>
      <c r="G386" s="1">
        <v>2.51E8</v>
      </c>
      <c r="H386" s="1">
        <v>-2000000.0</v>
      </c>
      <c r="I386" s="1">
        <v>7.49E8</v>
      </c>
      <c r="J386" s="1">
        <v>2.98E8</v>
      </c>
      <c r="K386" s="1">
        <v>2.98E8</v>
      </c>
      <c r="L386" s="1">
        <v>-1.24E8</v>
      </c>
      <c r="M386" s="1">
        <v>-3000000.0</v>
      </c>
      <c r="N386" s="1">
        <v>1.742E9</v>
      </c>
      <c r="O386" s="1">
        <v>1.444E9</v>
      </c>
      <c r="P386" s="1">
        <v>9.93E8</v>
      </c>
      <c r="Q386" s="1">
        <v>-5.0E7</v>
      </c>
      <c r="R386" s="1">
        <v>2.51E8</v>
      </c>
      <c r="S386" s="1">
        <v>2.21E8</v>
      </c>
    </row>
    <row r="387">
      <c r="A387" s="1">
        <v>385.0</v>
      </c>
      <c r="B387" s="2">
        <v>44286.0</v>
      </c>
      <c r="C387" s="1" t="s">
        <v>233</v>
      </c>
      <c r="D387" s="1" t="s">
        <v>234</v>
      </c>
      <c r="F387" s="1">
        <v>4.37E8</v>
      </c>
      <c r="G387" s="1">
        <v>3.63E8</v>
      </c>
      <c r="H387" s="1">
        <v>-2000000.0</v>
      </c>
      <c r="I387" s="1">
        <v>9.03E8</v>
      </c>
      <c r="J387" s="1">
        <v>4.55E8</v>
      </c>
      <c r="K387" s="1">
        <v>4.55E8</v>
      </c>
      <c r="L387" s="1">
        <v>-1.19E8</v>
      </c>
      <c r="M387" s="1">
        <v>7.4E7</v>
      </c>
      <c r="N387" s="1">
        <v>2.547E9</v>
      </c>
      <c r="O387" s="1">
        <v>2.092E9</v>
      </c>
      <c r="P387" s="1">
        <v>1.644E9</v>
      </c>
      <c r="Q387" s="1">
        <v>-1.8E7</v>
      </c>
      <c r="R387" s="1">
        <v>3.63E8</v>
      </c>
      <c r="S387" s="1">
        <v>3.34E8</v>
      </c>
    </row>
    <row r="388">
      <c r="A388" s="1">
        <v>386.0</v>
      </c>
      <c r="B388" s="2">
        <v>44196.0</v>
      </c>
      <c r="C388" s="1" t="s">
        <v>233</v>
      </c>
      <c r="D388" s="1" t="s">
        <v>234</v>
      </c>
      <c r="F388" s="1">
        <v>2.54E8</v>
      </c>
      <c r="G388" s="1">
        <v>2.0E8</v>
      </c>
      <c r="H388" s="1">
        <v>2.6E7</v>
      </c>
      <c r="I388" s="1">
        <v>7.41E8</v>
      </c>
      <c r="J388" s="1">
        <v>2.82E8</v>
      </c>
      <c r="K388" s="1">
        <v>2.82E8</v>
      </c>
      <c r="L388" s="1">
        <v>-1.19E8</v>
      </c>
      <c r="M388" s="1">
        <v>5.4E7</v>
      </c>
      <c r="N388" s="1">
        <v>2.054E9</v>
      </c>
      <c r="O388" s="1">
        <v>1.772E9</v>
      </c>
      <c r="P388" s="1">
        <v>1.313E9</v>
      </c>
      <c r="Q388" s="1">
        <v>-2.8E7</v>
      </c>
      <c r="R388" s="1">
        <v>2.0E8</v>
      </c>
      <c r="S388" s="1">
        <v>1.51E8</v>
      </c>
    </row>
    <row r="389">
      <c r="A389" s="1">
        <v>387.0</v>
      </c>
      <c r="B389" s="2">
        <v>44104.0</v>
      </c>
      <c r="C389" s="1" t="s">
        <v>233</v>
      </c>
      <c r="D389" s="1" t="s">
        <v>234</v>
      </c>
      <c r="F389" s="1">
        <v>1.17E8</v>
      </c>
      <c r="G389" s="1">
        <v>1.21E8</v>
      </c>
      <c r="H389" s="1">
        <v>2.6E7</v>
      </c>
      <c r="I389" s="1">
        <v>7.3E8</v>
      </c>
      <c r="J389" s="1">
        <v>3.02E8</v>
      </c>
      <c r="K389" s="1">
        <v>3.02E8</v>
      </c>
      <c r="L389" s="1">
        <v>-1.28E8</v>
      </c>
      <c r="M389" s="1">
        <v>-1.0E7</v>
      </c>
      <c r="N389" s="1">
        <v>1.622E9</v>
      </c>
      <c r="O389" s="1">
        <v>1.32E9</v>
      </c>
      <c r="P389" s="1">
        <v>8.92E8</v>
      </c>
      <c r="Q389" s="1">
        <v>-1.85E8</v>
      </c>
      <c r="R389" s="1">
        <v>1.27E8</v>
      </c>
      <c r="S389" s="1">
        <v>6.9E7</v>
      </c>
    </row>
    <row r="390">
      <c r="A390" s="1">
        <v>388.0</v>
      </c>
      <c r="B390" s="2">
        <v>44377.0</v>
      </c>
      <c r="C390" s="1" t="s">
        <v>235</v>
      </c>
      <c r="D390" s="1" t="s">
        <v>236</v>
      </c>
      <c r="F390" s="1">
        <v>-3.78E7</v>
      </c>
      <c r="G390" s="1">
        <v>-2.58E7</v>
      </c>
      <c r="H390" s="1">
        <v>1.072E8</v>
      </c>
      <c r="I390" s="1">
        <v>1.066E8</v>
      </c>
      <c r="J390" s="1">
        <v>-1.44E7</v>
      </c>
      <c r="K390" s="1">
        <v>-1.44E7</v>
      </c>
      <c r="L390" s="1">
        <v>-9900000.0</v>
      </c>
      <c r="M390" s="1">
        <v>-1.2E7</v>
      </c>
      <c r="N390" s="1">
        <v>2.504E8</v>
      </c>
      <c r="O390" s="1">
        <v>2.648E8</v>
      </c>
      <c r="P390" s="1">
        <v>1.438E8</v>
      </c>
      <c r="Q390" s="1">
        <v>-2.34E7</v>
      </c>
      <c r="R390" s="1">
        <v>-2.58E7</v>
      </c>
      <c r="S390" s="1">
        <v>-2.58E7</v>
      </c>
    </row>
    <row r="391">
      <c r="A391" s="1">
        <v>389.0</v>
      </c>
      <c r="B391" s="2">
        <v>44286.0</v>
      </c>
      <c r="C391" s="1" t="s">
        <v>235</v>
      </c>
      <c r="D391" s="1" t="s">
        <v>236</v>
      </c>
      <c r="F391" s="1">
        <v>-1.26E7</v>
      </c>
      <c r="G391" s="1">
        <v>-1.92E7</v>
      </c>
      <c r="H391" s="1">
        <v>8.74E7</v>
      </c>
      <c r="I391" s="1">
        <v>1.052E8</v>
      </c>
      <c r="J391" s="1">
        <v>6700000.0</v>
      </c>
      <c r="K391" s="1">
        <v>6700000.0</v>
      </c>
      <c r="L391" s="1">
        <v>-5600000.0</v>
      </c>
      <c r="M391" s="1">
        <v>6600000.0</v>
      </c>
      <c r="N391" s="1">
        <v>2.345E8</v>
      </c>
      <c r="O391" s="1">
        <v>2.278E8</v>
      </c>
      <c r="P391" s="1">
        <v>1.293E8</v>
      </c>
      <c r="Q391" s="1">
        <v>-1.93E7</v>
      </c>
      <c r="R391" s="1">
        <v>-1.92E7</v>
      </c>
      <c r="S391" s="1">
        <v>-1.92E7</v>
      </c>
    </row>
    <row r="392">
      <c r="A392" s="1">
        <v>390.0</v>
      </c>
      <c r="B392" s="2">
        <v>44196.0</v>
      </c>
      <c r="C392" s="1" t="s">
        <v>235</v>
      </c>
      <c r="D392" s="1" t="s">
        <v>236</v>
      </c>
      <c r="F392" s="1">
        <v>-2.76E7</v>
      </c>
      <c r="G392" s="1">
        <v>-1.73E7</v>
      </c>
      <c r="H392" s="1">
        <v>8.06E7</v>
      </c>
      <c r="I392" s="1">
        <v>9.66E7</v>
      </c>
      <c r="J392" s="1">
        <v>5400000.0</v>
      </c>
      <c r="K392" s="1">
        <v>5400000.0</v>
      </c>
      <c r="L392" s="1">
        <v>-5700000.0</v>
      </c>
      <c r="M392" s="1">
        <v>-1.03E7</v>
      </c>
      <c r="N392" s="1">
        <v>2.228E8</v>
      </c>
      <c r="O392" s="1">
        <v>2.174E8</v>
      </c>
      <c r="P392" s="1">
        <v>1.262E8</v>
      </c>
      <c r="Q392" s="1">
        <v>-3.3E7</v>
      </c>
      <c r="R392" s="1">
        <v>-1.73E7</v>
      </c>
      <c r="S392" s="1">
        <v>-1.73E7</v>
      </c>
    </row>
    <row r="393">
      <c r="A393" s="1">
        <v>391.0</v>
      </c>
      <c r="B393" s="2">
        <v>44104.0</v>
      </c>
      <c r="C393" s="1" t="s">
        <v>235</v>
      </c>
      <c r="D393" s="1" t="s">
        <v>236</v>
      </c>
      <c r="F393" s="1">
        <v>-6300000.0</v>
      </c>
      <c r="G393" s="1">
        <v>-800000.0</v>
      </c>
      <c r="H393" s="1">
        <v>7.75E7</v>
      </c>
      <c r="I393" s="1">
        <v>8.86E7</v>
      </c>
      <c r="J393" s="1">
        <v>800000.0</v>
      </c>
      <c r="K393" s="1">
        <v>800000.0</v>
      </c>
      <c r="L393" s="1">
        <v>-5900000.0</v>
      </c>
      <c r="M393" s="1">
        <v>-5500000.0</v>
      </c>
      <c r="N393" s="1">
        <v>2.044E8</v>
      </c>
      <c r="O393" s="1">
        <v>2.036E8</v>
      </c>
      <c r="P393" s="1">
        <v>1.158E8</v>
      </c>
      <c r="Q393" s="1">
        <v>-7100000.0</v>
      </c>
      <c r="R393" s="1">
        <v>-800000.0</v>
      </c>
      <c r="S393" s="1">
        <v>-800000.0</v>
      </c>
    </row>
    <row r="394">
      <c r="A394" s="1">
        <v>392.0</v>
      </c>
      <c r="B394" s="2">
        <v>44377.0</v>
      </c>
      <c r="C394" s="1" t="s">
        <v>238</v>
      </c>
      <c r="D394" s="1" t="s">
        <v>239</v>
      </c>
      <c r="E394" s="1">
        <v>1.936E8</v>
      </c>
      <c r="F394" s="1">
        <v>4.7882E7</v>
      </c>
      <c r="G394" s="1">
        <v>3.2707E7</v>
      </c>
      <c r="H394" s="1">
        <v>7.65384E8</v>
      </c>
      <c r="I394" s="1">
        <v>1.19543E9</v>
      </c>
      <c r="J394" s="1">
        <v>2.1956E8</v>
      </c>
      <c r="K394" s="1">
        <v>2.1956E8</v>
      </c>
      <c r="M394" s="1">
        <v>1.5175E7</v>
      </c>
      <c r="N394" s="1">
        <v>1.456755E9</v>
      </c>
      <c r="O394" s="1">
        <v>1.237195E9</v>
      </c>
      <c r="P394" s="1">
        <v>2.61325E8</v>
      </c>
      <c r="Q394" s="1">
        <v>-1.71678E8</v>
      </c>
      <c r="R394" s="1">
        <v>3.2707E7</v>
      </c>
      <c r="S394" s="1">
        <v>3.2707E7</v>
      </c>
    </row>
    <row r="395">
      <c r="A395" s="1">
        <v>393.0</v>
      </c>
      <c r="B395" s="2">
        <v>44286.0</v>
      </c>
      <c r="C395" s="1" t="s">
        <v>238</v>
      </c>
      <c r="D395" s="1" t="s">
        <v>239</v>
      </c>
      <c r="E395" s="1">
        <v>1.92327E8</v>
      </c>
      <c r="F395" s="1">
        <v>2.19264E8</v>
      </c>
      <c r="G395" s="1">
        <v>1.72252E8</v>
      </c>
      <c r="H395" s="1">
        <v>7.14541E8</v>
      </c>
      <c r="I395" s="1">
        <v>1.157122E9</v>
      </c>
      <c r="J395" s="1">
        <v>2.38058E8</v>
      </c>
      <c r="K395" s="1">
        <v>2.38058E8</v>
      </c>
      <c r="M395" s="1">
        <v>4.7012E7</v>
      </c>
      <c r="N395" s="1">
        <v>1.387778E9</v>
      </c>
      <c r="O395" s="1">
        <v>1.14972E9</v>
      </c>
      <c r="P395" s="1">
        <v>2.30656E8</v>
      </c>
      <c r="Q395" s="1">
        <v>-1.8794E7</v>
      </c>
      <c r="R395" s="1">
        <v>1.72252E8</v>
      </c>
      <c r="S395" s="1">
        <v>1.72252E8</v>
      </c>
    </row>
    <row r="396">
      <c r="A396" s="1">
        <v>394.0</v>
      </c>
      <c r="B396" s="2">
        <v>44196.0</v>
      </c>
      <c r="C396" s="1" t="s">
        <v>238</v>
      </c>
      <c r="D396" s="1" t="s">
        <v>239</v>
      </c>
      <c r="E396" s="1">
        <v>1.97906E8</v>
      </c>
      <c r="F396" s="1">
        <v>1.76132E8</v>
      </c>
      <c r="G396" s="1">
        <v>1.41505E8</v>
      </c>
      <c r="H396" s="1">
        <v>7.28063E8</v>
      </c>
      <c r="I396" s="1">
        <v>1.160352E9</v>
      </c>
      <c r="J396" s="1">
        <v>2.21819E8</v>
      </c>
      <c r="K396" s="1">
        <v>2.21819E8</v>
      </c>
      <c r="L396" s="1">
        <v>-2.908E7</v>
      </c>
      <c r="M396" s="1">
        <v>3.4627E7</v>
      </c>
      <c r="N396" s="1">
        <v>1.395025E9</v>
      </c>
      <c r="O396" s="1">
        <v>1.173206E9</v>
      </c>
      <c r="P396" s="1">
        <v>2.34673E8</v>
      </c>
      <c r="Q396" s="1">
        <v>-4.5687E7</v>
      </c>
      <c r="R396" s="1">
        <v>1.41505E8</v>
      </c>
      <c r="S396" s="1">
        <v>1.41505E8</v>
      </c>
    </row>
    <row r="397">
      <c r="A397" s="1">
        <v>395.0</v>
      </c>
      <c r="B397" s="2">
        <v>44104.0</v>
      </c>
      <c r="C397" s="1" t="s">
        <v>238</v>
      </c>
      <c r="D397" s="1" t="s">
        <v>239</v>
      </c>
      <c r="E397" s="1">
        <v>1.86826E8</v>
      </c>
      <c r="F397" s="1">
        <v>4.5984E8</v>
      </c>
      <c r="G397" s="1">
        <v>3.56676E8</v>
      </c>
      <c r="H397" s="1">
        <v>7.42218E8</v>
      </c>
      <c r="I397" s="1">
        <v>1.136784E9</v>
      </c>
      <c r="J397" s="1">
        <v>1.94951E8</v>
      </c>
      <c r="K397" s="1">
        <v>1.94951E8</v>
      </c>
      <c r="L397" s="1">
        <v>-2.908E7</v>
      </c>
      <c r="M397" s="1">
        <v>1.03164E8</v>
      </c>
      <c r="N397" s="1">
        <v>1.368673E9</v>
      </c>
      <c r="O397" s="1">
        <v>1.173722E9</v>
      </c>
      <c r="P397" s="1">
        <v>2.31889E8</v>
      </c>
      <c r="Q397" s="1">
        <v>2.64889E8</v>
      </c>
      <c r="R397" s="1">
        <v>3.56676E8</v>
      </c>
      <c r="S397" s="1">
        <v>3.56676E8</v>
      </c>
    </row>
    <row r="398">
      <c r="A398" s="1">
        <v>396.0</v>
      </c>
      <c r="B398" s="2">
        <v>44377.0</v>
      </c>
      <c r="C398" s="1" t="s">
        <v>240</v>
      </c>
      <c r="D398" s="1" t="s">
        <v>241</v>
      </c>
      <c r="F398" s="1">
        <v>4.02E8</v>
      </c>
      <c r="G398" s="1">
        <v>2.46E8</v>
      </c>
      <c r="H398" s="1">
        <v>6.0E7</v>
      </c>
      <c r="I398" s="1">
        <v>5.03E8</v>
      </c>
      <c r="J398" s="1">
        <v>4.42E8</v>
      </c>
      <c r="K398" s="1">
        <v>4.42E8</v>
      </c>
      <c r="L398" s="1">
        <v>-4.6E7</v>
      </c>
      <c r="M398" s="1">
        <v>8.5E7</v>
      </c>
      <c r="N398" s="1">
        <v>1.588E9</v>
      </c>
      <c r="O398" s="1">
        <v>1.146E9</v>
      </c>
      <c r="P398" s="1">
        <v>1.085E9</v>
      </c>
      <c r="Q398" s="1">
        <v>-4.0E7</v>
      </c>
      <c r="R398" s="1">
        <v>3.17E8</v>
      </c>
      <c r="S398" s="1">
        <v>2.46E8</v>
      </c>
    </row>
    <row r="399">
      <c r="A399" s="1">
        <v>397.0</v>
      </c>
      <c r="B399" s="2">
        <v>44286.0</v>
      </c>
      <c r="C399" s="1" t="s">
        <v>240</v>
      </c>
      <c r="D399" s="1" t="s">
        <v>241</v>
      </c>
      <c r="F399" s="1">
        <v>1.93E8</v>
      </c>
      <c r="G399" s="1">
        <v>1.51E8</v>
      </c>
      <c r="H399" s="1">
        <v>5.5E7</v>
      </c>
      <c r="I399" s="1">
        <v>2.89E8</v>
      </c>
      <c r="J399" s="1">
        <v>2.36E8</v>
      </c>
      <c r="K399" s="1">
        <v>2.36E8</v>
      </c>
      <c r="L399" s="1">
        <v>-4.8E7</v>
      </c>
      <c r="M399" s="1">
        <v>1.8E7</v>
      </c>
      <c r="N399" s="1">
        <v>1.048E9</v>
      </c>
      <c r="O399" s="1">
        <v>8.12E8</v>
      </c>
      <c r="P399" s="1">
        <v>7.59E8</v>
      </c>
      <c r="Q399" s="1">
        <v>-4.3E7</v>
      </c>
      <c r="R399" s="1">
        <v>1.75E8</v>
      </c>
      <c r="S399" s="1">
        <v>1.51E8</v>
      </c>
    </row>
    <row r="400">
      <c r="A400" s="1">
        <v>398.0</v>
      </c>
      <c r="B400" s="2">
        <v>44196.0</v>
      </c>
      <c r="C400" s="1" t="s">
        <v>240</v>
      </c>
      <c r="D400" s="1" t="s">
        <v>241</v>
      </c>
      <c r="F400" s="1">
        <v>1.17E8</v>
      </c>
      <c r="G400" s="1">
        <v>8.7E7</v>
      </c>
      <c r="H400" s="1">
        <v>5.1E7</v>
      </c>
      <c r="I400" s="1">
        <v>1.8E8</v>
      </c>
      <c r="J400" s="1">
        <v>1.29E8</v>
      </c>
      <c r="K400" s="1">
        <v>1.29E8</v>
      </c>
      <c r="L400" s="1">
        <v>-3.8E7</v>
      </c>
      <c r="M400" s="1">
        <v>-2000000.0</v>
      </c>
      <c r="N400" s="1">
        <v>1.102E9</v>
      </c>
      <c r="O400" s="1">
        <v>9.73E8</v>
      </c>
      <c r="P400" s="1">
        <v>9.22E8</v>
      </c>
      <c r="Q400" s="1">
        <v>-1.2E7</v>
      </c>
      <c r="R400" s="1">
        <v>1.19E8</v>
      </c>
      <c r="S400" s="1">
        <v>8.7E7</v>
      </c>
    </row>
    <row r="401">
      <c r="A401" s="1">
        <v>399.0</v>
      </c>
      <c r="B401" s="2">
        <v>44104.0</v>
      </c>
      <c r="C401" s="1" t="s">
        <v>240</v>
      </c>
      <c r="D401" s="1" t="s">
        <v>241</v>
      </c>
      <c r="F401" s="1">
        <v>-9000000.0</v>
      </c>
      <c r="G401" s="1">
        <v>-2.8E7</v>
      </c>
      <c r="H401" s="1">
        <v>4.9E7</v>
      </c>
      <c r="I401" s="1">
        <v>9.4E7</v>
      </c>
      <c r="J401" s="1">
        <v>4.6E7</v>
      </c>
      <c r="K401" s="1">
        <v>4.6E7</v>
      </c>
      <c r="L401" s="1">
        <v>-4.8E7</v>
      </c>
      <c r="M401" s="1">
        <v>-1.3E7</v>
      </c>
      <c r="N401" s="1">
        <v>8.47E8</v>
      </c>
      <c r="O401" s="1">
        <v>8.01E8</v>
      </c>
      <c r="P401" s="1">
        <v>7.53E8</v>
      </c>
      <c r="Q401" s="1">
        <v>-5.5E7</v>
      </c>
      <c r="R401" s="1">
        <v>4000000.0</v>
      </c>
      <c r="S401" s="1">
        <v>-2.8E7</v>
      </c>
    </row>
    <row r="402">
      <c r="A402" s="1">
        <v>400.0</v>
      </c>
      <c r="B402" s="2">
        <v>44373.0</v>
      </c>
      <c r="C402" s="1" t="s">
        <v>242</v>
      </c>
      <c r="D402" s="1" t="s">
        <v>243</v>
      </c>
      <c r="F402" s="1">
        <v>1.27496E8</v>
      </c>
      <c r="G402" s="1">
        <v>8.8448E7</v>
      </c>
      <c r="H402" s="1">
        <v>1.54756E8</v>
      </c>
      <c r="I402" s="1">
        <v>3.42414E8</v>
      </c>
      <c r="J402" s="1">
        <v>1.54688E8</v>
      </c>
      <c r="K402" s="1">
        <v>1.54688E8</v>
      </c>
      <c r="L402" s="1">
        <v>-1.619E7</v>
      </c>
      <c r="M402" s="1">
        <v>3.758E7</v>
      </c>
      <c r="N402" s="1">
        <v>9.14607E8</v>
      </c>
      <c r="O402" s="1">
        <v>7.59919E8</v>
      </c>
      <c r="P402" s="1">
        <v>5.72193E8</v>
      </c>
      <c r="Q402" s="1">
        <v>-2.7192E7</v>
      </c>
      <c r="R402" s="1">
        <v>8.9916E7</v>
      </c>
      <c r="S402" s="1">
        <v>8.8448E7</v>
      </c>
    </row>
    <row r="403">
      <c r="A403" s="1">
        <v>401.0</v>
      </c>
      <c r="B403" s="2">
        <v>44282.0</v>
      </c>
      <c r="C403" s="1" t="s">
        <v>242</v>
      </c>
      <c r="D403" s="1" t="s">
        <v>243</v>
      </c>
      <c r="F403" s="1">
        <v>6.6302E7</v>
      </c>
      <c r="G403" s="1">
        <v>6.153E7</v>
      </c>
      <c r="H403" s="1">
        <v>1.4789E8</v>
      </c>
      <c r="I403" s="1">
        <v>3.08841E8</v>
      </c>
      <c r="J403" s="1">
        <v>1.32109E8</v>
      </c>
      <c r="K403" s="1">
        <v>1.32109E8</v>
      </c>
      <c r="L403" s="1">
        <v>-2.9719E7</v>
      </c>
      <c r="M403" s="1">
        <v>2367000.0</v>
      </c>
      <c r="N403" s="1">
        <v>8.24566E8</v>
      </c>
      <c r="O403" s="1">
        <v>6.92457E8</v>
      </c>
      <c r="P403" s="1">
        <v>5.15725E8</v>
      </c>
      <c r="Q403" s="1">
        <v>-6.5807E7</v>
      </c>
      <c r="R403" s="1">
        <v>6.3935E7</v>
      </c>
      <c r="S403" s="1">
        <v>6.153E7</v>
      </c>
    </row>
    <row r="404">
      <c r="A404" s="1">
        <v>402.0</v>
      </c>
      <c r="B404" s="2">
        <v>44191.0</v>
      </c>
      <c r="C404" s="1" t="s">
        <v>242</v>
      </c>
      <c r="D404" s="1" t="s">
        <v>243</v>
      </c>
      <c r="F404" s="1">
        <v>1.72427E8</v>
      </c>
      <c r="G404" s="1">
        <v>1.43191E8</v>
      </c>
      <c r="H404" s="1">
        <v>1.43735E8</v>
      </c>
      <c r="I404" s="1">
        <v>3.00631E8</v>
      </c>
      <c r="J404" s="1">
        <v>1.28888E8</v>
      </c>
      <c r="K404" s="1">
        <v>1.28888E8</v>
      </c>
      <c r="L404" s="1">
        <v>-3.3147E7</v>
      </c>
      <c r="M404" s="1">
        <v>2.8237E7</v>
      </c>
      <c r="N404" s="1">
        <v>7.9099E8</v>
      </c>
      <c r="O404" s="1">
        <v>6.62102E8</v>
      </c>
      <c r="P404" s="1">
        <v>4.90359E8</v>
      </c>
      <c r="Q404" s="1">
        <v>4.3539E7</v>
      </c>
      <c r="R404" s="1">
        <v>1.4419E8</v>
      </c>
      <c r="S404" s="1">
        <v>1.43191E8</v>
      </c>
    </row>
    <row r="405">
      <c r="A405" s="1">
        <v>403.0</v>
      </c>
      <c r="B405" s="2">
        <v>44100.0</v>
      </c>
      <c r="C405" s="1" t="s">
        <v>242</v>
      </c>
      <c r="D405" s="1" t="s">
        <v>243</v>
      </c>
      <c r="F405" s="1">
        <v>1.35276E8</v>
      </c>
      <c r="G405" s="1">
        <v>1.02909E8</v>
      </c>
      <c r="H405" s="1">
        <v>1.28575E8</v>
      </c>
      <c r="I405" s="1">
        <v>2.9018E8</v>
      </c>
      <c r="J405" s="1">
        <v>1.33373E8</v>
      </c>
      <c r="K405" s="1">
        <v>1.33373E8</v>
      </c>
      <c r="L405" s="1">
        <v>-1.8867E7</v>
      </c>
      <c r="M405" s="1">
        <v>3.2665E7</v>
      </c>
      <c r="N405" s="1">
        <v>7.433E8</v>
      </c>
      <c r="O405" s="1">
        <v>6.09927E8</v>
      </c>
      <c r="P405" s="1">
        <v>4.5312E8</v>
      </c>
      <c r="Q405" s="1">
        <v>1903000.0</v>
      </c>
      <c r="R405" s="1">
        <v>1.02611E8</v>
      </c>
      <c r="S405" s="1">
        <v>1.02909E8</v>
      </c>
    </row>
    <row r="406">
      <c r="A406" s="1">
        <v>404.0</v>
      </c>
      <c r="B406" s="2">
        <v>44377.0</v>
      </c>
      <c r="C406" s="1" t="s">
        <v>245</v>
      </c>
      <c r="D406" s="1" t="s">
        <v>246</v>
      </c>
      <c r="F406" s="1">
        <v>1.719E9</v>
      </c>
      <c r="G406" s="1">
        <v>1.265E9</v>
      </c>
      <c r="H406" s="1">
        <v>1.857E9</v>
      </c>
      <c r="I406" s="1">
        <v>4.361E9</v>
      </c>
      <c r="J406" s="1">
        <v>0.0</v>
      </c>
      <c r="K406" s="1">
        <v>1.86E9</v>
      </c>
      <c r="M406" s="1">
        <v>4.54E8</v>
      </c>
      <c r="N406" s="1">
        <v>4.527E9</v>
      </c>
      <c r="O406" s="1">
        <v>2.667E9</v>
      </c>
      <c r="P406" s="1">
        <v>1.66E8</v>
      </c>
      <c r="Q406" s="1">
        <v>-1.41E8</v>
      </c>
      <c r="R406" s="1">
        <v>1.265E9</v>
      </c>
      <c r="S406" s="1">
        <v>1.117E9</v>
      </c>
    </row>
    <row r="407">
      <c r="A407" s="1">
        <v>405.0</v>
      </c>
      <c r="B407" s="2">
        <v>44286.0</v>
      </c>
      <c r="C407" s="1" t="s">
        <v>245</v>
      </c>
      <c r="D407" s="1" t="s">
        <v>246</v>
      </c>
      <c r="F407" s="1">
        <v>1.96E9</v>
      </c>
      <c r="G407" s="1">
        <v>1.484E9</v>
      </c>
      <c r="H407" s="1">
        <v>1.972E9</v>
      </c>
      <c r="I407" s="1">
        <v>4.568E9</v>
      </c>
      <c r="J407" s="1">
        <v>0.0</v>
      </c>
      <c r="K407" s="1">
        <v>2.075E9</v>
      </c>
      <c r="M407" s="1">
        <v>4.76E8</v>
      </c>
      <c r="N407" s="1">
        <v>4.715E9</v>
      </c>
      <c r="O407" s="1">
        <v>2.64E9</v>
      </c>
      <c r="P407" s="1">
        <v>1.47E8</v>
      </c>
      <c r="Q407" s="1">
        <v>-1.15E8</v>
      </c>
      <c r="R407" s="1">
        <v>1.484E9</v>
      </c>
      <c r="S407" s="1">
        <v>1.388E9</v>
      </c>
    </row>
    <row r="408">
      <c r="A408" s="1">
        <v>406.0</v>
      </c>
      <c r="B408" s="2">
        <v>44196.0</v>
      </c>
      <c r="C408" s="1" t="s">
        <v>245</v>
      </c>
      <c r="D408" s="1" t="s">
        <v>246</v>
      </c>
      <c r="F408" s="1">
        <v>1.476E9</v>
      </c>
      <c r="G408" s="1">
        <v>1.135E9</v>
      </c>
      <c r="H408" s="1">
        <v>1.708E9</v>
      </c>
      <c r="I408" s="1">
        <v>4.049E9</v>
      </c>
      <c r="J408" s="1">
        <v>0.0</v>
      </c>
      <c r="K408" s="1">
        <v>1.899E9</v>
      </c>
      <c r="M408" s="1">
        <v>3.41E8</v>
      </c>
      <c r="N408" s="1">
        <v>4.176E9</v>
      </c>
      <c r="O408" s="1">
        <v>2.277E9</v>
      </c>
      <c r="P408" s="1">
        <v>1.27E8</v>
      </c>
      <c r="Q408" s="1">
        <v>-4.23E8</v>
      </c>
      <c r="R408" s="1">
        <v>1.135E9</v>
      </c>
      <c r="S408" s="1">
        <v>1.05E9</v>
      </c>
    </row>
    <row r="409">
      <c r="A409" s="1">
        <v>407.0</v>
      </c>
      <c r="B409" s="2">
        <v>44104.0</v>
      </c>
      <c r="C409" s="1" t="s">
        <v>245</v>
      </c>
      <c r="D409" s="1" t="s">
        <v>246</v>
      </c>
      <c r="F409" s="1">
        <v>8.89E8</v>
      </c>
      <c r="G409" s="1">
        <v>6.98E8</v>
      </c>
      <c r="H409" s="1">
        <v>1.291E9</v>
      </c>
      <c r="I409" s="1">
        <v>2.375E9</v>
      </c>
      <c r="J409" s="1">
        <v>0.0</v>
      </c>
      <c r="K409" s="1">
        <v>8.89E8</v>
      </c>
      <c r="M409" s="1">
        <v>1.91E8</v>
      </c>
      <c r="N409" s="1">
        <v>2.448E9</v>
      </c>
      <c r="O409" s="1">
        <v>1.559E9</v>
      </c>
      <c r="P409" s="1">
        <v>7.3E7</v>
      </c>
      <c r="Q409" s="1">
        <v>0.0</v>
      </c>
      <c r="R409" s="1">
        <v>6.98E8</v>
      </c>
      <c r="S409" s="1">
        <v>6.15E8</v>
      </c>
    </row>
    <row r="410">
      <c r="A410" s="1">
        <v>408.0</v>
      </c>
      <c r="B410" s="2">
        <v>44469.0</v>
      </c>
      <c r="C410" s="1" t="s">
        <v>247</v>
      </c>
      <c r="D410" s="1" t="s">
        <v>248</v>
      </c>
      <c r="F410" s="1">
        <v>1.754E9</v>
      </c>
      <c r="G410" s="1">
        <v>1.217E9</v>
      </c>
      <c r="H410" s="1">
        <v>9.18E8</v>
      </c>
      <c r="I410" s="1">
        <v>6.091E9</v>
      </c>
      <c r="J410" s="1">
        <v>2.903E9</v>
      </c>
      <c r="K410" s="1">
        <v>2.903E9</v>
      </c>
      <c r="L410" s="1">
        <v>-1.016E9</v>
      </c>
      <c r="M410" s="1">
        <v>3.47E8</v>
      </c>
      <c r="N410" s="1">
        <v>1.3146E10</v>
      </c>
      <c r="O410" s="1">
        <v>1.0243E10</v>
      </c>
      <c r="P410" s="1">
        <v>7.055E9</v>
      </c>
      <c r="Q410" s="1">
        <v>-1.149E9</v>
      </c>
      <c r="R410" s="1">
        <v>1.407E9</v>
      </c>
      <c r="S410" s="1">
        <v>1.217E9</v>
      </c>
    </row>
    <row r="411">
      <c r="A411" s="1">
        <v>409.0</v>
      </c>
      <c r="B411" s="2">
        <v>44377.0</v>
      </c>
      <c r="C411" s="1" t="s">
        <v>247</v>
      </c>
      <c r="D411" s="1" t="s">
        <v>248</v>
      </c>
      <c r="F411" s="1">
        <v>1.439E9</v>
      </c>
      <c r="G411" s="1">
        <v>1.02E9</v>
      </c>
      <c r="H411" s="1">
        <v>6.83E8</v>
      </c>
      <c r="I411" s="1">
        <v>5.776E9</v>
      </c>
      <c r="J411" s="1">
        <v>2.739E9</v>
      </c>
      <c r="K411" s="1">
        <v>2.739E9</v>
      </c>
      <c r="L411" s="1">
        <v>-1.004E9</v>
      </c>
      <c r="M411" s="1">
        <v>2.81E8</v>
      </c>
      <c r="N411" s="1">
        <v>1.2802E10</v>
      </c>
      <c r="O411" s="1">
        <v>1.0063E10</v>
      </c>
      <c r="P411" s="1">
        <v>7.026E9</v>
      </c>
      <c r="Q411" s="1">
        <v>-1.3E9</v>
      </c>
      <c r="R411" s="1">
        <v>1.158E9</v>
      </c>
      <c r="S411" s="1">
        <v>1.02E9</v>
      </c>
    </row>
    <row r="412">
      <c r="A412" s="1">
        <v>410.0</v>
      </c>
      <c r="B412" s="2">
        <v>44286.0</v>
      </c>
      <c r="C412" s="1" t="s">
        <v>247</v>
      </c>
      <c r="D412" s="1" t="s">
        <v>248</v>
      </c>
      <c r="F412" s="1">
        <v>1.137E9</v>
      </c>
      <c r="G412" s="1">
        <v>8.07E8</v>
      </c>
      <c r="H412" s="1">
        <v>7.33E8</v>
      </c>
      <c r="I412" s="1">
        <v>5.562E9</v>
      </c>
      <c r="J412" s="1">
        <v>2.388E9</v>
      </c>
      <c r="K412" s="1">
        <v>2.388E9</v>
      </c>
      <c r="L412" s="1">
        <v>-9.83E8</v>
      </c>
      <c r="M412" s="1">
        <v>2.16E8</v>
      </c>
      <c r="N412" s="1">
        <v>1.2522E10</v>
      </c>
      <c r="O412" s="1">
        <v>1.0134E10</v>
      </c>
      <c r="P412" s="1">
        <v>6.96E9</v>
      </c>
      <c r="Q412" s="1">
        <v>-1.251E9</v>
      </c>
      <c r="R412" s="1">
        <v>9.21E8</v>
      </c>
      <c r="S412" s="1">
        <v>8.07E8</v>
      </c>
    </row>
    <row r="413">
      <c r="A413" s="1">
        <v>411.0</v>
      </c>
      <c r="B413" s="2">
        <v>44196.0</v>
      </c>
      <c r="C413" s="1" t="s">
        <v>247</v>
      </c>
      <c r="D413" s="1" t="s">
        <v>248</v>
      </c>
      <c r="F413" s="1">
        <v>1.655E9</v>
      </c>
      <c r="G413" s="1">
        <v>1.246E9</v>
      </c>
      <c r="H413" s="1">
        <v>-3.613E9</v>
      </c>
      <c r="I413" s="1">
        <v>1.321E9</v>
      </c>
      <c r="J413" s="1">
        <v>2.525E9</v>
      </c>
      <c r="K413" s="1">
        <v>2.525E9</v>
      </c>
      <c r="L413" s="1">
        <v>-9.65E8</v>
      </c>
      <c r="M413" s="1">
        <v>2.54E8</v>
      </c>
      <c r="N413" s="1">
        <v>1.2624E10</v>
      </c>
      <c r="O413" s="1">
        <v>1.0099E10</v>
      </c>
      <c r="P413" s="1">
        <v>1.1303E10</v>
      </c>
      <c r="Q413" s="1">
        <v>-8.7E8</v>
      </c>
      <c r="R413" s="1">
        <v>1.401E9</v>
      </c>
      <c r="S413" s="1">
        <v>1.246E9</v>
      </c>
    </row>
    <row r="414">
      <c r="A414" s="1">
        <v>412.0</v>
      </c>
      <c r="B414" s="2">
        <v>44377.0</v>
      </c>
      <c r="C414" s="1" t="s">
        <v>249</v>
      </c>
      <c r="D414" s="1" t="s">
        <v>250</v>
      </c>
      <c r="F414" s="1">
        <v>4.422E9</v>
      </c>
      <c r="G414" s="1">
        <v>3.082E9</v>
      </c>
      <c r="H414" s="1">
        <v>6.16E9</v>
      </c>
      <c r="I414" s="1">
        <v>1.5488E10</v>
      </c>
      <c r="J414" s="1">
        <v>3.131E9</v>
      </c>
      <c r="K414" s="1">
        <v>3.131E9</v>
      </c>
      <c r="L414" s="1">
        <v>-1.85E8</v>
      </c>
      <c r="M414" s="1">
        <v>1.328E9</v>
      </c>
      <c r="N414" s="1">
        <v>3.6117E10</v>
      </c>
      <c r="O414" s="1">
        <v>3.2986E10</v>
      </c>
      <c r="P414" s="1">
        <v>2.0629E10</v>
      </c>
      <c r="Q414" s="1">
        <v>1.291E9</v>
      </c>
      <c r="R414" s="1">
        <v>3.094E9</v>
      </c>
      <c r="S414" s="1">
        <v>3.082E9</v>
      </c>
    </row>
    <row r="415">
      <c r="A415" s="1">
        <v>413.0</v>
      </c>
      <c r="B415" s="2">
        <v>44286.0</v>
      </c>
      <c r="C415" s="1" t="s">
        <v>249</v>
      </c>
      <c r="D415" s="1" t="s">
        <v>250</v>
      </c>
      <c r="F415" s="1">
        <v>2.177E9</v>
      </c>
      <c r="G415" s="1">
        <v>1.377E9</v>
      </c>
      <c r="H415" s="1">
        <v>6.294E9</v>
      </c>
      <c r="I415" s="1">
        <v>1.3508E10</v>
      </c>
      <c r="J415" s="1">
        <v>1.383E9</v>
      </c>
      <c r="K415" s="1">
        <v>1.383E9</v>
      </c>
      <c r="L415" s="1">
        <v>-1.98E8</v>
      </c>
      <c r="M415" s="1">
        <v>7.79E8</v>
      </c>
      <c r="N415" s="1">
        <v>3.1076E10</v>
      </c>
      <c r="O415" s="1">
        <v>2.9693E10</v>
      </c>
      <c r="P415" s="1">
        <v>1.7568E10</v>
      </c>
      <c r="Q415" s="1">
        <v>7.94E8</v>
      </c>
      <c r="R415" s="1">
        <v>1.398E9</v>
      </c>
      <c r="S415" s="1">
        <v>1.377E9</v>
      </c>
    </row>
    <row r="416">
      <c r="A416" s="1">
        <v>414.0</v>
      </c>
      <c r="B416" s="2">
        <v>44196.0</v>
      </c>
      <c r="C416" s="1" t="s">
        <v>249</v>
      </c>
      <c r="D416" s="1" t="s">
        <v>250</v>
      </c>
      <c r="F416" s="1">
        <v>-9.57E8</v>
      </c>
      <c r="G416" s="1">
        <v>-6.65E8</v>
      </c>
      <c r="H416" s="1">
        <v>5.629E9</v>
      </c>
      <c r="I416" s="1">
        <v>1.1456E10</v>
      </c>
      <c r="J416" s="1">
        <v>2.494E9</v>
      </c>
      <c r="K416" s="1">
        <v>2.494E9</v>
      </c>
      <c r="L416" s="1">
        <v>-1.99E8</v>
      </c>
      <c r="M416" s="1">
        <v>-3.01E8</v>
      </c>
      <c r="N416" s="1">
        <v>2.4843E10</v>
      </c>
      <c r="O416" s="1">
        <v>2.2349E10</v>
      </c>
      <c r="P416" s="1">
        <v>1.3387E10</v>
      </c>
      <c r="Q416" s="1">
        <v>-3.451E9</v>
      </c>
      <c r="R416" s="1">
        <v>-6.56E8</v>
      </c>
      <c r="S416" s="1">
        <v>-6.65E8</v>
      </c>
    </row>
    <row r="417">
      <c r="A417" s="1">
        <v>415.0</v>
      </c>
      <c r="B417" s="2">
        <v>44104.0</v>
      </c>
      <c r="C417" s="1" t="s">
        <v>249</v>
      </c>
      <c r="D417" s="1" t="s">
        <v>250</v>
      </c>
      <c r="F417" s="1">
        <v>-4.4E7</v>
      </c>
      <c r="G417" s="1">
        <v>-2.07E8</v>
      </c>
      <c r="H417" s="1">
        <v>5.658E9</v>
      </c>
      <c r="I417" s="1">
        <v>1.0549E10</v>
      </c>
      <c r="J417" s="1">
        <v>-3.28E8</v>
      </c>
      <c r="K417" s="1">
        <v>-3.28E8</v>
      </c>
      <c r="L417" s="1">
        <v>-1.64E8</v>
      </c>
      <c r="M417" s="1">
        <v>1.65E8</v>
      </c>
      <c r="N417" s="1">
        <v>2.3997E10</v>
      </c>
      <c r="O417" s="1">
        <v>2.4325E10</v>
      </c>
      <c r="P417" s="1">
        <v>1.3448E10</v>
      </c>
      <c r="Q417" s="1">
        <v>2.84E8</v>
      </c>
      <c r="R417" s="1">
        <v>-2.09E8</v>
      </c>
      <c r="S417" s="1">
        <v>-2.07E8</v>
      </c>
    </row>
    <row r="418">
      <c r="A418" s="1">
        <v>416.0</v>
      </c>
      <c r="B418" s="2">
        <v>44469.0</v>
      </c>
      <c r="C418" s="1" t="s">
        <v>251</v>
      </c>
      <c r="D418" s="1" t="s">
        <v>252</v>
      </c>
      <c r="F418" s="1">
        <v>2.39554E8</v>
      </c>
      <c r="G418" s="1">
        <v>2.04434E8</v>
      </c>
      <c r="H418" s="1">
        <v>1.4593E8</v>
      </c>
      <c r="I418" s="1">
        <v>7.54003E8</v>
      </c>
      <c r="J418" s="1">
        <v>2.44338E8</v>
      </c>
      <c r="K418" s="1">
        <v>2.44338E8</v>
      </c>
      <c r="L418" s="1">
        <v>-126000.0</v>
      </c>
      <c r="M418" s="1">
        <v>3.512E7</v>
      </c>
      <c r="N418" s="1">
        <v>1.952315E9</v>
      </c>
      <c r="O418" s="1">
        <v>1.707977E9</v>
      </c>
      <c r="P418" s="1">
        <v>1.198312E9</v>
      </c>
      <c r="Q418" s="1">
        <v>-4784000.0</v>
      </c>
      <c r="R418" s="1">
        <v>2.04434E8</v>
      </c>
      <c r="S418" s="1">
        <v>2.04434E8</v>
      </c>
    </row>
    <row r="419">
      <c r="A419" s="1">
        <v>417.0</v>
      </c>
      <c r="B419" s="2">
        <v>44377.0</v>
      </c>
      <c r="C419" s="1" t="s">
        <v>251</v>
      </c>
      <c r="D419" s="1" t="s">
        <v>252</v>
      </c>
      <c r="F419" s="1">
        <v>2.46376E8</v>
      </c>
      <c r="G419" s="1">
        <v>1.87974E8</v>
      </c>
      <c r="H419" s="1">
        <v>1.46044E8</v>
      </c>
      <c r="I419" s="1">
        <v>7.50124E8</v>
      </c>
      <c r="J419" s="1">
        <v>2.49791E8</v>
      </c>
      <c r="K419" s="1">
        <v>2.49791E8</v>
      </c>
      <c r="L419" s="1">
        <v>-126000.0</v>
      </c>
      <c r="M419" s="1">
        <v>5.8402E7</v>
      </c>
      <c r="N419" s="1">
        <v>1.892538E9</v>
      </c>
      <c r="O419" s="1">
        <v>1.642747E9</v>
      </c>
      <c r="P419" s="1">
        <v>1.142414E9</v>
      </c>
      <c r="Q419" s="1">
        <v>-3415000.0</v>
      </c>
      <c r="R419" s="1">
        <v>1.87974E8</v>
      </c>
      <c r="S419" s="1">
        <v>1.87974E8</v>
      </c>
    </row>
    <row r="420">
      <c r="A420" s="1">
        <v>418.0</v>
      </c>
      <c r="B420" s="2">
        <v>44286.0</v>
      </c>
      <c r="C420" s="1" t="s">
        <v>251</v>
      </c>
      <c r="D420" s="1" t="s">
        <v>252</v>
      </c>
      <c r="F420" s="1">
        <v>1.59274E8</v>
      </c>
      <c r="G420" s="1">
        <v>1.27101E8</v>
      </c>
      <c r="H420" s="1">
        <v>1.55103E8</v>
      </c>
      <c r="I420" s="1">
        <v>6.83466E8</v>
      </c>
      <c r="J420" s="1">
        <v>1.6711E8</v>
      </c>
      <c r="K420" s="1">
        <v>1.6711E8</v>
      </c>
      <c r="L420" s="1">
        <v>-2168000.0</v>
      </c>
      <c r="M420" s="1">
        <v>3.2173E7</v>
      </c>
      <c r="N420" s="1">
        <v>1.741575E9</v>
      </c>
      <c r="O420" s="1">
        <v>1.574465E9</v>
      </c>
      <c r="P420" s="1">
        <v>1.058109E9</v>
      </c>
      <c r="Q420" s="1">
        <v>-7836000.0</v>
      </c>
      <c r="R420" s="1">
        <v>1.27101E8</v>
      </c>
      <c r="S420" s="1">
        <v>1.27101E8</v>
      </c>
    </row>
    <row r="421">
      <c r="A421" s="1">
        <v>419.0</v>
      </c>
      <c r="B421" s="2">
        <v>44196.0</v>
      </c>
      <c r="C421" s="1" t="s">
        <v>251</v>
      </c>
      <c r="D421" s="1" t="s">
        <v>252</v>
      </c>
      <c r="F421" s="1">
        <v>1.17732E8</v>
      </c>
      <c r="G421" s="1">
        <v>1.90959E8</v>
      </c>
      <c r="H421" s="1">
        <v>2.76195E8</v>
      </c>
      <c r="I421" s="1">
        <v>6.01683E8</v>
      </c>
      <c r="J421" s="1">
        <v>1.31149E8</v>
      </c>
      <c r="K421" s="1">
        <v>1.31149E8</v>
      </c>
      <c r="L421" s="1">
        <v>-554000.0</v>
      </c>
      <c r="M421" s="1">
        <v>-7.3227E7</v>
      </c>
      <c r="N421" s="1">
        <v>1.60771E9</v>
      </c>
      <c r="O421" s="1">
        <v>1.476561E9</v>
      </c>
      <c r="P421" s="1">
        <v>1.006027E9</v>
      </c>
      <c r="Q421" s="1">
        <v>-1.3417E7</v>
      </c>
      <c r="R421" s="1">
        <v>1.90959E8</v>
      </c>
      <c r="S421" s="1">
        <v>1.90959E8</v>
      </c>
    </row>
    <row r="422">
      <c r="A422" s="1">
        <v>420.0</v>
      </c>
      <c r="B422" s="2">
        <v>44377.0</v>
      </c>
      <c r="C422" s="1" t="s">
        <v>253</v>
      </c>
      <c r="D422" s="1" t="s">
        <v>254</v>
      </c>
      <c r="F422" s="1">
        <v>2.582E9</v>
      </c>
      <c r="G422" s="1">
        <v>2.265E9</v>
      </c>
      <c r="H422" s="1">
        <v>7.75E8</v>
      </c>
      <c r="I422" s="1">
        <v>2.79E9</v>
      </c>
      <c r="J422" s="1">
        <v>1.93E9</v>
      </c>
      <c r="K422" s="1">
        <v>1.93E9</v>
      </c>
      <c r="L422" s="1">
        <v>-1.22E8</v>
      </c>
      <c r="M422" s="1">
        <v>3.17E8</v>
      </c>
      <c r="N422" s="1">
        <v>9.679E9</v>
      </c>
      <c r="O422" s="1">
        <v>7.749E9</v>
      </c>
      <c r="P422" s="1">
        <v>6.889E9</v>
      </c>
      <c r="Q422" s="1">
        <v>6.52E8</v>
      </c>
      <c r="R422" s="1">
        <v>2.265E9</v>
      </c>
      <c r="S422" s="1">
        <v>2.265E9</v>
      </c>
    </row>
    <row r="423">
      <c r="A423" s="1">
        <v>421.0</v>
      </c>
      <c r="B423" s="2">
        <v>44286.0</v>
      </c>
      <c r="C423" s="1" t="s">
        <v>253</v>
      </c>
      <c r="D423" s="1" t="s">
        <v>254</v>
      </c>
      <c r="F423" s="1">
        <v>2.638E9</v>
      </c>
      <c r="G423" s="1">
        <v>2.3E9</v>
      </c>
      <c r="H423" s="1">
        <v>7.44E8</v>
      </c>
      <c r="I423" s="1">
        <v>3.09E9</v>
      </c>
      <c r="J423" s="1">
        <v>2.263E9</v>
      </c>
      <c r="K423" s="1">
        <v>2.263E9</v>
      </c>
      <c r="L423" s="1">
        <v>-1.22E8</v>
      </c>
      <c r="M423" s="1">
        <v>3.38E8</v>
      </c>
      <c r="N423" s="1">
        <v>9.975E9</v>
      </c>
      <c r="O423" s="1">
        <v>7.712E9</v>
      </c>
      <c r="P423" s="1">
        <v>6.885E9</v>
      </c>
      <c r="Q423" s="1">
        <v>3.75E8</v>
      </c>
      <c r="R423" s="1">
        <v>2.3E9</v>
      </c>
      <c r="S423" s="1">
        <v>2.3E9</v>
      </c>
    </row>
    <row r="424">
      <c r="A424" s="1">
        <v>422.0</v>
      </c>
      <c r="B424" s="2">
        <v>44196.0</v>
      </c>
      <c r="C424" s="1" t="s">
        <v>253</v>
      </c>
      <c r="D424" s="1" t="s">
        <v>254</v>
      </c>
      <c r="F424" s="1">
        <v>2.752E9</v>
      </c>
      <c r="G424" s="1">
        <v>2.418E9</v>
      </c>
      <c r="H424" s="1">
        <v>8.77E8</v>
      </c>
      <c r="I424" s="1">
        <v>3.256E9</v>
      </c>
      <c r="J424" s="1">
        <v>2.294E9</v>
      </c>
      <c r="K424" s="1">
        <v>2.294E9</v>
      </c>
      <c r="L424" s="1">
        <v>-1.26E8</v>
      </c>
      <c r="M424" s="1">
        <v>3.34E8</v>
      </c>
      <c r="N424" s="1">
        <v>9.898E9</v>
      </c>
      <c r="O424" s="1">
        <v>7.604E9</v>
      </c>
      <c r="P424" s="1">
        <v>6.642E9</v>
      </c>
      <c r="Q424" s="1">
        <v>4.58E8</v>
      </c>
      <c r="R424" s="1">
        <v>2.418E9</v>
      </c>
      <c r="S424" s="1">
        <v>2.418E9</v>
      </c>
    </row>
    <row r="425">
      <c r="A425" s="1">
        <v>423.0</v>
      </c>
      <c r="B425" s="2">
        <v>44104.0</v>
      </c>
      <c r="C425" s="1" t="s">
        <v>253</v>
      </c>
      <c r="D425" s="1" t="s">
        <v>254</v>
      </c>
      <c r="F425" s="1">
        <v>1.336E9</v>
      </c>
      <c r="G425" s="1">
        <v>1.194E9</v>
      </c>
      <c r="H425" s="1">
        <v>7.33E8</v>
      </c>
      <c r="I425" s="1">
        <v>1.81E9</v>
      </c>
      <c r="J425" s="1">
        <v>9.87E8</v>
      </c>
      <c r="K425" s="1">
        <v>9.87E8</v>
      </c>
      <c r="L425" s="1">
        <v>-1.3E8</v>
      </c>
      <c r="M425" s="1">
        <v>1.42E8</v>
      </c>
      <c r="N425" s="1">
        <v>9.488E9</v>
      </c>
      <c r="O425" s="1">
        <v>8.501E9</v>
      </c>
      <c r="P425" s="1">
        <v>7.678E9</v>
      </c>
      <c r="Q425" s="1">
        <v>3.49E8</v>
      </c>
      <c r="R425" s="1">
        <v>1.194E9</v>
      </c>
      <c r="S425" s="1">
        <v>1.194E9</v>
      </c>
    </row>
    <row r="426">
      <c r="A426" s="1">
        <v>424.0</v>
      </c>
      <c r="B426" s="2">
        <v>44469.0</v>
      </c>
      <c r="C426" s="1" t="s">
        <v>255</v>
      </c>
      <c r="D426" s="1" t="s">
        <v>256</v>
      </c>
      <c r="F426" s="1">
        <v>2.893E8</v>
      </c>
      <c r="G426" s="1">
        <v>2.304E8</v>
      </c>
      <c r="H426" s="1">
        <v>3.188E8</v>
      </c>
      <c r="I426" s="1">
        <v>5.792E8</v>
      </c>
      <c r="J426" s="1">
        <v>2.604E8</v>
      </c>
      <c r="K426" s="1">
        <v>2.604E8</v>
      </c>
      <c r="L426" s="1">
        <v>-1.34E7</v>
      </c>
      <c r="M426" s="1">
        <v>5.89E7</v>
      </c>
      <c r="N426" s="1">
        <v>1.3114E9</v>
      </c>
      <c r="O426" s="1">
        <v>1.051E9</v>
      </c>
      <c r="P426" s="1">
        <v>7.322E8</v>
      </c>
      <c r="Q426" s="1">
        <v>2.89E7</v>
      </c>
      <c r="R426" s="1">
        <v>2.304E8</v>
      </c>
      <c r="S426" s="1">
        <v>2.304E8</v>
      </c>
    </row>
    <row r="427">
      <c r="A427" s="1">
        <v>425.0</v>
      </c>
      <c r="B427" s="2">
        <v>44377.0</v>
      </c>
      <c r="C427" s="1" t="s">
        <v>255</v>
      </c>
      <c r="D427" s="1" t="s">
        <v>256</v>
      </c>
      <c r="F427" s="1">
        <v>2.873E8</v>
      </c>
      <c r="G427" s="1">
        <v>2.183E8</v>
      </c>
      <c r="H427" s="1">
        <v>2.915E8</v>
      </c>
      <c r="I427" s="1">
        <v>5.522E8</v>
      </c>
      <c r="J427" s="1">
        <v>2.607E8</v>
      </c>
      <c r="K427" s="1">
        <v>2.607E8</v>
      </c>
      <c r="L427" s="1">
        <v>-1.41E7</v>
      </c>
      <c r="M427" s="1">
        <v>6.9E7</v>
      </c>
      <c r="N427" s="1">
        <v>1.2711E9</v>
      </c>
      <c r="O427" s="1">
        <v>1.0104E9</v>
      </c>
      <c r="P427" s="1">
        <v>7.189E8</v>
      </c>
      <c r="Q427" s="1">
        <v>2.66E7</v>
      </c>
      <c r="R427" s="1">
        <v>2.183E8</v>
      </c>
      <c r="S427" s="1">
        <v>2.183E8</v>
      </c>
    </row>
    <row r="428">
      <c r="A428" s="1">
        <v>426.0</v>
      </c>
      <c r="B428" s="2">
        <v>44286.0</v>
      </c>
      <c r="C428" s="1" t="s">
        <v>255</v>
      </c>
      <c r="D428" s="1" t="s">
        <v>256</v>
      </c>
      <c r="F428" s="1">
        <v>2.91E8</v>
      </c>
      <c r="G428" s="1">
        <v>2.207E8</v>
      </c>
      <c r="H428" s="1">
        <v>2.673E8</v>
      </c>
      <c r="I428" s="1">
        <v>5.509E8</v>
      </c>
      <c r="J428" s="1">
        <v>2.836E8</v>
      </c>
      <c r="K428" s="1">
        <v>2.836E8</v>
      </c>
      <c r="L428" s="1">
        <v>-1.4E7</v>
      </c>
      <c r="M428" s="1">
        <v>7.03E7</v>
      </c>
      <c r="N428" s="1">
        <v>1.2389E9</v>
      </c>
      <c r="O428" s="1">
        <v>9.553E8</v>
      </c>
      <c r="P428" s="1">
        <v>6.88E8</v>
      </c>
      <c r="Q428" s="1">
        <v>7400000.0</v>
      </c>
      <c r="R428" s="1">
        <v>2.207E8</v>
      </c>
      <c r="S428" s="1">
        <v>2.207E8</v>
      </c>
    </row>
    <row r="429">
      <c r="A429" s="1">
        <v>427.0</v>
      </c>
      <c r="B429" s="2">
        <v>44196.0</v>
      </c>
      <c r="C429" s="1" t="s">
        <v>255</v>
      </c>
      <c r="D429" s="1" t="s">
        <v>256</v>
      </c>
      <c r="F429" s="1">
        <v>1.769E8</v>
      </c>
      <c r="G429" s="1">
        <v>1.502E8</v>
      </c>
      <c r="H429" s="1">
        <v>3.888E8</v>
      </c>
      <c r="I429" s="1">
        <v>5.574E8</v>
      </c>
      <c r="J429" s="1">
        <v>1.686E8</v>
      </c>
      <c r="K429" s="1">
        <v>1.686E8</v>
      </c>
      <c r="L429" s="1">
        <v>-1.4E7</v>
      </c>
      <c r="M429" s="1">
        <v>2.67E7</v>
      </c>
      <c r="N429" s="1">
        <v>1.2953E9</v>
      </c>
      <c r="O429" s="1">
        <v>1.1267E9</v>
      </c>
      <c r="P429" s="1">
        <v>7.379E8</v>
      </c>
      <c r="Q429" s="1">
        <v>8300000.0</v>
      </c>
      <c r="R429" s="1">
        <v>1.502E8</v>
      </c>
      <c r="S429" s="1">
        <v>1.502E8</v>
      </c>
    </row>
    <row r="430">
      <c r="A430" s="1">
        <v>428.0</v>
      </c>
      <c r="B430" s="2">
        <v>44377.0</v>
      </c>
      <c r="C430" s="1" t="s">
        <v>257</v>
      </c>
      <c r="D430" s="1" t="s">
        <v>258</v>
      </c>
      <c r="F430" s="1">
        <v>1.898E9</v>
      </c>
      <c r="G430" s="1">
        <v>1.467E9</v>
      </c>
      <c r="H430" s="1">
        <v>3.0E9</v>
      </c>
      <c r="I430" s="1">
        <v>5.705E9</v>
      </c>
      <c r="J430" s="1">
        <v>2.202E9</v>
      </c>
      <c r="K430" s="1">
        <v>2.202E9</v>
      </c>
      <c r="L430" s="1">
        <v>-2.78E8</v>
      </c>
      <c r="M430" s="1">
        <v>4.22E8</v>
      </c>
      <c r="N430" s="1">
        <v>4.319E10</v>
      </c>
      <c r="O430" s="1">
        <v>4.0988E10</v>
      </c>
      <c r="P430" s="1">
        <v>3.7485E10</v>
      </c>
      <c r="Q430" s="1">
        <v>-3.04E8</v>
      </c>
      <c r="R430" s="1">
        <v>1.476E9</v>
      </c>
      <c r="S430" s="1">
        <v>1.467E9</v>
      </c>
    </row>
    <row r="431">
      <c r="A431" s="1">
        <v>429.0</v>
      </c>
      <c r="B431" s="2">
        <v>44286.0</v>
      </c>
      <c r="C431" s="1" t="s">
        <v>257</v>
      </c>
      <c r="D431" s="1" t="s">
        <v>258</v>
      </c>
      <c r="F431" s="1">
        <v>1.513E9</v>
      </c>
      <c r="G431" s="1">
        <v>1.161E9</v>
      </c>
      <c r="H431" s="1">
        <v>3.3E9</v>
      </c>
      <c r="I431" s="1">
        <v>5.732E9</v>
      </c>
      <c r="J431" s="1">
        <v>1.937E9</v>
      </c>
      <c r="K431" s="1">
        <v>1.937E9</v>
      </c>
      <c r="L431" s="1">
        <v>-2.91E8</v>
      </c>
      <c r="M431" s="1">
        <v>3.42E8</v>
      </c>
      <c r="N431" s="1">
        <v>4.0972E10</v>
      </c>
      <c r="O431" s="1">
        <v>3.9035E10</v>
      </c>
      <c r="P431" s="1">
        <v>3.524E10</v>
      </c>
      <c r="Q431" s="1">
        <v>-4.24E8</v>
      </c>
      <c r="R431" s="1">
        <v>1.171E9</v>
      </c>
      <c r="S431" s="1">
        <v>1.161E9</v>
      </c>
    </row>
    <row r="432">
      <c r="A432" s="1">
        <v>430.0</v>
      </c>
      <c r="B432" s="2">
        <v>44196.0</v>
      </c>
      <c r="C432" s="1" t="s">
        <v>257</v>
      </c>
      <c r="D432" s="1" t="s">
        <v>258</v>
      </c>
      <c r="F432" s="1">
        <v>5.378E9</v>
      </c>
      <c r="G432" s="1">
        <v>4.135E9</v>
      </c>
      <c r="H432" s="1">
        <v>3.71E9</v>
      </c>
      <c r="I432" s="1">
        <v>5.973E9</v>
      </c>
      <c r="J432" s="1">
        <v>1.768E9</v>
      </c>
      <c r="K432" s="1">
        <v>1.768E9</v>
      </c>
      <c r="L432" s="1">
        <v>-3.53E8</v>
      </c>
      <c r="M432" s="1">
        <v>1.236E9</v>
      </c>
      <c r="N432" s="1">
        <v>4.1879E10</v>
      </c>
      <c r="O432" s="1">
        <v>4.0111E10</v>
      </c>
      <c r="P432" s="1">
        <v>3.5906E10</v>
      </c>
      <c r="Q432" s="1">
        <v>3.61E9</v>
      </c>
      <c r="R432" s="1">
        <v>4.142E9</v>
      </c>
      <c r="S432" s="1">
        <v>4.135E9</v>
      </c>
    </row>
    <row r="433">
      <c r="A433" s="1">
        <v>431.0</v>
      </c>
      <c r="B433" s="2">
        <v>44104.0</v>
      </c>
      <c r="C433" s="1" t="s">
        <v>257</v>
      </c>
      <c r="D433" s="1" t="s">
        <v>258</v>
      </c>
      <c r="F433" s="1">
        <v>1.804E9</v>
      </c>
      <c r="G433" s="1">
        <v>1.388E9</v>
      </c>
      <c r="H433" s="1">
        <v>3.207E9</v>
      </c>
      <c r="I433" s="1">
        <v>5.934E9</v>
      </c>
      <c r="J433" s="1">
        <v>2.234E9</v>
      </c>
      <c r="K433" s="1">
        <v>2.234E9</v>
      </c>
      <c r="L433" s="1">
        <v>-3.18E8</v>
      </c>
      <c r="M433" s="1">
        <v>4.06E8</v>
      </c>
      <c r="N433" s="1">
        <v>4.0987E10</v>
      </c>
      <c r="O433" s="1">
        <v>3.8753E10</v>
      </c>
      <c r="P433" s="1">
        <v>3.5053E10</v>
      </c>
      <c r="Q433" s="1">
        <v>-4.3E8</v>
      </c>
      <c r="R433" s="1">
        <v>1.398E9</v>
      </c>
      <c r="S433" s="1">
        <v>1.388E9</v>
      </c>
    </row>
    <row r="434">
      <c r="A434" s="1">
        <v>432.0</v>
      </c>
      <c r="B434" s="2">
        <v>44286.0</v>
      </c>
      <c r="C434" s="1" t="s">
        <v>259</v>
      </c>
      <c r="D434" s="1" t="s">
        <v>260</v>
      </c>
      <c r="F434" s="1">
        <v>7.68E8</v>
      </c>
      <c r="G434" s="1">
        <v>6.2E8</v>
      </c>
      <c r="I434" s="1">
        <v>8.03E8</v>
      </c>
      <c r="J434" s="1">
        <v>7.81E8</v>
      </c>
      <c r="K434" s="1">
        <v>7.81E8</v>
      </c>
      <c r="L434" s="1">
        <v>-1.3E7</v>
      </c>
      <c r="M434" s="1">
        <v>1.48E8</v>
      </c>
      <c r="N434" s="1">
        <v>2.227E9</v>
      </c>
      <c r="O434" s="1">
        <v>1.446E9</v>
      </c>
      <c r="P434" s="1">
        <v>1.424E9</v>
      </c>
      <c r="Q434" s="1">
        <v>-1.3E7</v>
      </c>
      <c r="R434" s="1">
        <v>6.2E8</v>
      </c>
      <c r="S434" s="1">
        <v>6.2E8</v>
      </c>
    </row>
    <row r="435">
      <c r="A435" s="1">
        <v>433.0</v>
      </c>
      <c r="B435" s="2">
        <v>44196.0</v>
      </c>
      <c r="C435" s="1" t="s">
        <v>259</v>
      </c>
      <c r="D435" s="1" t="s">
        <v>260</v>
      </c>
      <c r="F435" s="1">
        <v>1.316E9</v>
      </c>
      <c r="G435" s="1">
        <v>1.049E9</v>
      </c>
      <c r="I435" s="1">
        <v>1.357E9</v>
      </c>
      <c r="J435" s="1">
        <v>1.33E9</v>
      </c>
      <c r="K435" s="1">
        <v>1.33E9</v>
      </c>
      <c r="L435" s="1">
        <v>-1.4E7</v>
      </c>
      <c r="M435" s="1">
        <v>2.67E8</v>
      </c>
      <c r="N435" s="1">
        <v>2.694E9</v>
      </c>
      <c r="O435" s="1">
        <v>1.364E9</v>
      </c>
      <c r="P435" s="1">
        <v>1.337E9</v>
      </c>
      <c r="Q435" s="1">
        <v>-1.4E7</v>
      </c>
      <c r="R435" s="1">
        <v>1.049E9</v>
      </c>
      <c r="S435" s="1">
        <v>1.049E9</v>
      </c>
    </row>
    <row r="436">
      <c r="A436" s="1">
        <v>434.0</v>
      </c>
      <c r="B436" s="2">
        <v>44104.0</v>
      </c>
      <c r="C436" s="1" t="s">
        <v>259</v>
      </c>
      <c r="D436" s="1" t="s">
        <v>260</v>
      </c>
      <c r="F436" s="1">
        <v>6.14E8</v>
      </c>
      <c r="G436" s="1">
        <v>4.84E8</v>
      </c>
      <c r="I436" s="1">
        <v>6.52E8</v>
      </c>
      <c r="J436" s="1">
        <v>6.27E8</v>
      </c>
      <c r="K436" s="1">
        <v>6.27E8</v>
      </c>
      <c r="L436" s="1">
        <v>-1.3E7</v>
      </c>
      <c r="M436" s="1">
        <v>1.3E8</v>
      </c>
      <c r="N436" s="1">
        <v>2.227E9</v>
      </c>
      <c r="O436" s="1">
        <v>1.6E9</v>
      </c>
      <c r="P436" s="1">
        <v>1.575E9</v>
      </c>
      <c r="Q436" s="1">
        <v>-1.3E7</v>
      </c>
      <c r="R436" s="1">
        <v>4.84E8</v>
      </c>
      <c r="S436" s="1">
        <v>4.84E8</v>
      </c>
    </row>
    <row r="437">
      <c r="A437" s="1">
        <v>435.0</v>
      </c>
      <c r="B437" s="2">
        <v>44012.0</v>
      </c>
      <c r="C437" s="1" t="s">
        <v>259</v>
      </c>
      <c r="D437" s="1" t="s">
        <v>260</v>
      </c>
      <c r="F437" s="1">
        <v>1.145E9</v>
      </c>
      <c r="G437" s="1">
        <v>9.09E8</v>
      </c>
      <c r="I437" s="1">
        <v>1.189E9</v>
      </c>
      <c r="J437" s="1">
        <v>1.159E9</v>
      </c>
      <c r="K437" s="1">
        <v>1.159E9</v>
      </c>
      <c r="L437" s="1">
        <v>-1.4E7</v>
      </c>
      <c r="M437" s="1">
        <v>2.36E8</v>
      </c>
      <c r="N437" s="1">
        <v>2.714E9</v>
      </c>
      <c r="O437" s="1">
        <v>1.555E9</v>
      </c>
      <c r="P437" s="1">
        <v>1.525E9</v>
      </c>
      <c r="Q437" s="1">
        <v>-1.4E7</v>
      </c>
      <c r="R437" s="1">
        <v>9.09E8</v>
      </c>
      <c r="S437" s="1">
        <v>9.09E8</v>
      </c>
    </row>
    <row r="438">
      <c r="A438" s="1">
        <v>436.0</v>
      </c>
      <c r="B438" s="2">
        <v>44439.0</v>
      </c>
      <c r="C438" s="1" t="s">
        <v>261</v>
      </c>
      <c r="D438" s="1" t="s">
        <v>262</v>
      </c>
      <c r="F438" s="1">
        <v>3.72303E8</v>
      </c>
      <c r="G438" s="1">
        <v>3.31179E8</v>
      </c>
      <c r="H438" s="1">
        <v>5.08655E8</v>
      </c>
      <c r="I438" s="1">
        <v>9.02756E8</v>
      </c>
      <c r="J438" s="1">
        <v>3.94101E8</v>
      </c>
      <c r="K438" s="1">
        <v>3.94101E8</v>
      </c>
      <c r="L438" s="1">
        <v>-2.1854E7</v>
      </c>
      <c r="M438" s="1">
        <v>4.1124E7</v>
      </c>
      <c r="N438" s="1">
        <v>1.89695E9</v>
      </c>
      <c r="O438" s="1">
        <v>1.502849E9</v>
      </c>
      <c r="P438" s="1">
        <v>9.94194E8</v>
      </c>
      <c r="Q438" s="1">
        <v>-2.1798E7</v>
      </c>
      <c r="R438" s="1">
        <v>3.31179E8</v>
      </c>
      <c r="S438" s="1">
        <v>3.29414E8</v>
      </c>
    </row>
    <row r="439">
      <c r="A439" s="1">
        <v>437.0</v>
      </c>
      <c r="B439" s="2">
        <v>44347.0</v>
      </c>
      <c r="C439" s="1" t="s">
        <v>261</v>
      </c>
      <c r="D439" s="1" t="s">
        <v>262</v>
      </c>
      <c r="F439" s="1">
        <v>3.31993E8</v>
      </c>
      <c r="G439" s="1">
        <v>2.67722E8</v>
      </c>
      <c r="H439" s="1">
        <v>4.9749E8</v>
      </c>
      <c r="I439" s="1">
        <v>8.5905E8</v>
      </c>
      <c r="J439" s="1">
        <v>3.6156E8</v>
      </c>
      <c r="K439" s="1">
        <v>3.6156E8</v>
      </c>
      <c r="L439" s="1">
        <v>-2.4551E7</v>
      </c>
      <c r="M439" s="1">
        <v>6.4271E7</v>
      </c>
      <c r="N439" s="1">
        <v>1.835662E9</v>
      </c>
      <c r="O439" s="1">
        <v>1.474102E9</v>
      </c>
      <c r="P439" s="1">
        <v>9.76612E8</v>
      </c>
      <c r="Q439" s="1">
        <v>-2.9567E7</v>
      </c>
      <c r="R439" s="1">
        <v>2.67722E8</v>
      </c>
      <c r="S439" s="1">
        <v>2.66007E8</v>
      </c>
    </row>
    <row r="440">
      <c r="A440" s="1">
        <v>438.0</v>
      </c>
      <c r="B440" s="2">
        <v>44255.0</v>
      </c>
      <c r="C440" s="1" t="s">
        <v>261</v>
      </c>
      <c r="D440" s="1" t="s">
        <v>262</v>
      </c>
      <c r="F440" s="1">
        <v>3.02003E8</v>
      </c>
      <c r="G440" s="1">
        <v>2.58384E8</v>
      </c>
      <c r="H440" s="1">
        <v>4.83048E8</v>
      </c>
      <c r="I440" s="1">
        <v>8.09516E8</v>
      </c>
      <c r="J440" s="1">
        <v>3.26468E8</v>
      </c>
      <c r="K440" s="1">
        <v>3.26468E8</v>
      </c>
      <c r="L440" s="1">
        <v>-2.4552E7</v>
      </c>
      <c r="M440" s="1">
        <v>4.3619E7</v>
      </c>
      <c r="N440" s="1">
        <v>1.777056E9</v>
      </c>
      <c r="O440" s="1">
        <v>1.450588E9</v>
      </c>
      <c r="P440" s="1">
        <v>9.6754E8</v>
      </c>
      <c r="Q440" s="1">
        <v>-2.4465E7</v>
      </c>
      <c r="R440" s="1">
        <v>2.58384E8</v>
      </c>
      <c r="S440" s="1">
        <v>2.5649E8</v>
      </c>
    </row>
    <row r="441">
      <c r="A441" s="1">
        <v>439.0</v>
      </c>
      <c r="B441" s="2">
        <v>44165.0</v>
      </c>
      <c r="C441" s="1" t="s">
        <v>261</v>
      </c>
      <c r="D441" s="1" t="s">
        <v>262</v>
      </c>
      <c r="F441" s="1">
        <v>3.28533E8</v>
      </c>
      <c r="G441" s="1">
        <v>2.84857E8</v>
      </c>
      <c r="H441" s="1">
        <v>4.67012E8</v>
      </c>
      <c r="I441" s="1">
        <v>8.19884E8</v>
      </c>
      <c r="J441" s="1">
        <v>3.52872E8</v>
      </c>
      <c r="K441" s="1">
        <v>3.52872E8</v>
      </c>
      <c r="L441" s="1">
        <v>-2.4557E7</v>
      </c>
      <c r="M441" s="1">
        <v>4.3676E7</v>
      </c>
      <c r="N441" s="1">
        <v>1.757048E9</v>
      </c>
      <c r="O441" s="1">
        <v>1.404176E9</v>
      </c>
      <c r="P441" s="1">
        <v>9.37164E8</v>
      </c>
      <c r="Q441" s="1">
        <v>-2.4339E7</v>
      </c>
      <c r="R441" s="1">
        <v>2.84857E8</v>
      </c>
      <c r="S441" s="1">
        <v>2.82842E8</v>
      </c>
    </row>
    <row r="442">
      <c r="A442" s="1">
        <v>440.0</v>
      </c>
      <c r="B442" s="2">
        <v>44317.0</v>
      </c>
      <c r="C442" s="1" t="s">
        <v>263</v>
      </c>
      <c r="D442" s="1" t="s">
        <v>264</v>
      </c>
      <c r="E442" s="1">
        <v>1.697E9</v>
      </c>
      <c r="F442" s="1">
        <v>3.591E9</v>
      </c>
      <c r="G442" s="1">
        <v>2.863E9</v>
      </c>
      <c r="H442" s="1">
        <v>2.92E9</v>
      </c>
      <c r="I442" s="1">
        <v>8.185E9</v>
      </c>
      <c r="J442" s="1">
        <v>3.507E9</v>
      </c>
      <c r="K442" s="1">
        <v>3.507E9</v>
      </c>
      <c r="L442" s="1">
        <v>-1.11E8</v>
      </c>
      <c r="M442" s="1">
        <v>7.28E8</v>
      </c>
      <c r="N442" s="1">
        <v>1.2803E10</v>
      </c>
      <c r="O442" s="1">
        <v>9.296E9</v>
      </c>
      <c r="P442" s="1">
        <v>4.618E9</v>
      </c>
      <c r="Q442" s="1">
        <v>8.4E7</v>
      </c>
      <c r="R442" s="1">
        <v>2.863E9</v>
      </c>
      <c r="S442" s="1">
        <v>2.863E9</v>
      </c>
    </row>
    <row r="443">
      <c r="A443" s="1">
        <v>441.0</v>
      </c>
      <c r="B443" s="2">
        <v>44219.0</v>
      </c>
      <c r="C443" s="1" t="s">
        <v>263</v>
      </c>
      <c r="D443" s="1" t="s">
        <v>264</v>
      </c>
      <c r="E443" s="1">
        <v>1.527E9</v>
      </c>
      <c r="F443" s="1">
        <v>3.255E9</v>
      </c>
      <c r="G443" s="1">
        <v>2.545E9</v>
      </c>
      <c r="H443" s="1">
        <v>2.761E9</v>
      </c>
      <c r="I443" s="1">
        <v>7.784E9</v>
      </c>
      <c r="J443" s="1">
        <v>3.457E9</v>
      </c>
      <c r="K443" s="1">
        <v>3.457E9</v>
      </c>
      <c r="L443" s="1">
        <v>-1.13E8</v>
      </c>
      <c r="M443" s="1">
        <v>7.1E8</v>
      </c>
      <c r="N443" s="1">
        <v>1.196E10</v>
      </c>
      <c r="O443" s="1">
        <v>8.503E9</v>
      </c>
      <c r="P443" s="1">
        <v>4.176E9</v>
      </c>
      <c r="Q443" s="1">
        <v>-2.02E8</v>
      </c>
      <c r="R443" s="1">
        <v>2.545E9</v>
      </c>
      <c r="S443" s="1">
        <v>2.545E9</v>
      </c>
    </row>
    <row r="444">
      <c r="A444" s="1">
        <v>442.0</v>
      </c>
      <c r="B444" s="2">
        <v>44128.0</v>
      </c>
      <c r="C444" s="1" t="s">
        <v>263</v>
      </c>
      <c r="D444" s="1" t="s">
        <v>264</v>
      </c>
      <c r="E444" s="1">
        <v>1.612E9</v>
      </c>
      <c r="F444" s="1">
        <v>2.681E9</v>
      </c>
      <c r="G444" s="1">
        <v>2.174E9</v>
      </c>
      <c r="H444" s="1">
        <v>2.757E9</v>
      </c>
      <c r="I444" s="1">
        <v>7.581E9</v>
      </c>
      <c r="J444" s="1">
        <v>3.176E9</v>
      </c>
      <c r="K444" s="1">
        <v>3.176E9</v>
      </c>
      <c r="L444" s="1">
        <v>-1.12E8</v>
      </c>
      <c r="M444" s="1">
        <v>5.07E8</v>
      </c>
      <c r="N444" s="1">
        <v>1.1929E10</v>
      </c>
      <c r="O444" s="1">
        <v>8.753E9</v>
      </c>
      <c r="P444" s="1">
        <v>4.348E9</v>
      </c>
      <c r="Q444" s="1">
        <v>-4.95E8</v>
      </c>
      <c r="R444" s="1">
        <v>2.174E9</v>
      </c>
      <c r="S444" s="1">
        <v>2.174E9</v>
      </c>
    </row>
    <row r="445">
      <c r="A445" s="1">
        <v>443.0</v>
      </c>
      <c r="B445" s="2">
        <v>44037.0</v>
      </c>
      <c r="C445" s="1" t="s">
        <v>263</v>
      </c>
      <c r="D445" s="1" t="s">
        <v>264</v>
      </c>
      <c r="E445" s="1">
        <v>1.565E9</v>
      </c>
      <c r="F445" s="1">
        <v>3.306E9</v>
      </c>
      <c r="G445" s="1">
        <v>2.636E9</v>
      </c>
      <c r="H445" s="1">
        <v>2.704E9</v>
      </c>
      <c r="I445" s="1">
        <v>7.684E9</v>
      </c>
      <c r="J445" s="1">
        <v>3.382E9</v>
      </c>
      <c r="K445" s="1">
        <v>3.382E9</v>
      </c>
      <c r="L445" s="1">
        <v>-1.19E8</v>
      </c>
      <c r="M445" s="1">
        <v>6.7E8</v>
      </c>
      <c r="N445" s="1">
        <v>1.2154E10</v>
      </c>
      <c r="O445" s="1">
        <v>8.772E9</v>
      </c>
      <c r="P445" s="1">
        <v>4.47E9</v>
      </c>
      <c r="Q445" s="1">
        <v>-7.6E7</v>
      </c>
      <c r="R445" s="1">
        <v>2.636E9</v>
      </c>
      <c r="S445" s="1">
        <v>2.636E9</v>
      </c>
    </row>
    <row r="446">
      <c r="A446" s="1">
        <v>444.0</v>
      </c>
      <c r="B446" s="2">
        <v>44377.0</v>
      </c>
      <c r="C446" s="1" t="s">
        <v>265</v>
      </c>
      <c r="D446" s="1" t="s">
        <v>266</v>
      </c>
      <c r="F446" s="1">
        <v>7.348E9</v>
      </c>
      <c r="G446" s="1">
        <v>6.193E9</v>
      </c>
      <c r="H446" s="1">
        <v>8.775E9</v>
      </c>
      <c r="I446" s="1">
        <v>1.8596E10</v>
      </c>
      <c r="J446" s="1">
        <v>0.0</v>
      </c>
      <c r="K446" s="1">
        <v>7.348E9</v>
      </c>
      <c r="M446" s="1">
        <v>1.155E9</v>
      </c>
      <c r="N446" s="1">
        <v>1.8596E10</v>
      </c>
      <c r="O446" s="1">
        <v>1.1248E10</v>
      </c>
      <c r="P446" s="1">
        <v>0.0</v>
      </c>
      <c r="Q446" s="1">
        <v>0.0</v>
      </c>
      <c r="R446" s="1">
        <v>6.193E9</v>
      </c>
      <c r="S446" s="1">
        <v>5.899E9</v>
      </c>
    </row>
    <row r="447">
      <c r="A447" s="1">
        <v>445.0</v>
      </c>
      <c r="B447" s="2">
        <v>44286.0</v>
      </c>
      <c r="C447" s="1" t="s">
        <v>265</v>
      </c>
      <c r="D447" s="1" t="s">
        <v>266</v>
      </c>
      <c r="F447" s="1">
        <v>1.0309E10</v>
      </c>
      <c r="G447" s="1">
        <v>7.942E9</v>
      </c>
      <c r="H447" s="1">
        <v>8.699E9</v>
      </c>
      <c r="I447" s="1">
        <v>2.0817E10</v>
      </c>
      <c r="J447" s="1">
        <v>0.0</v>
      </c>
      <c r="K447" s="1">
        <v>1.0309E10</v>
      </c>
      <c r="M447" s="1">
        <v>2.332E9</v>
      </c>
      <c r="N447" s="1">
        <v>2.0817E10</v>
      </c>
      <c r="O447" s="1">
        <v>1.0508E10</v>
      </c>
      <c r="P447" s="1">
        <v>0.0</v>
      </c>
      <c r="Q447" s="1">
        <v>0.0</v>
      </c>
      <c r="R447" s="1">
        <v>7.977E9</v>
      </c>
      <c r="S447" s="1">
        <v>7.584E9</v>
      </c>
    </row>
    <row r="448">
      <c r="A448" s="1">
        <v>446.0</v>
      </c>
      <c r="B448" s="2">
        <v>44196.0</v>
      </c>
      <c r="C448" s="1" t="s">
        <v>265</v>
      </c>
      <c r="D448" s="1" t="s">
        <v>266</v>
      </c>
      <c r="F448" s="1">
        <v>4.998E9</v>
      </c>
      <c r="G448" s="1">
        <v>3.979E9</v>
      </c>
      <c r="H448" s="1">
        <v>8.352E9</v>
      </c>
      <c r="I448" s="1">
        <v>1.654E10</v>
      </c>
      <c r="J448" s="1">
        <v>0.0</v>
      </c>
      <c r="K448" s="1">
        <v>4.998E9</v>
      </c>
      <c r="M448" s="1">
        <v>1.003E9</v>
      </c>
      <c r="N448" s="1">
        <v>1.654E10</v>
      </c>
      <c r="O448" s="1">
        <v>1.1542E10</v>
      </c>
      <c r="P448" s="1">
        <v>0.0</v>
      </c>
      <c r="Q448" s="1">
        <v>0.0</v>
      </c>
      <c r="R448" s="1">
        <v>3.995E9</v>
      </c>
      <c r="S448" s="1">
        <v>3.689E9</v>
      </c>
    </row>
    <row r="449">
      <c r="A449" s="1">
        <v>447.0</v>
      </c>
      <c r="B449" s="2">
        <v>44104.0</v>
      </c>
      <c r="C449" s="1" t="s">
        <v>265</v>
      </c>
      <c r="D449" s="1" t="s">
        <v>266</v>
      </c>
      <c r="F449" s="1">
        <v>4.076E9</v>
      </c>
      <c r="G449" s="1">
        <v>3.23E9</v>
      </c>
      <c r="H449" s="1">
        <v>8.299E9</v>
      </c>
      <c r="I449" s="1">
        <v>1.5509E10</v>
      </c>
      <c r="J449" s="1">
        <v>0.0</v>
      </c>
      <c r="K449" s="1">
        <v>4.076E9</v>
      </c>
      <c r="M449" s="1">
        <v>8.15E8</v>
      </c>
      <c r="N449" s="1">
        <v>1.5509E10</v>
      </c>
      <c r="O449" s="1">
        <v>1.1433E10</v>
      </c>
      <c r="P449" s="1">
        <v>0.0</v>
      </c>
      <c r="Q449" s="1">
        <v>0.0</v>
      </c>
      <c r="R449" s="1">
        <v>3.261E9</v>
      </c>
      <c r="S449" s="1">
        <v>2.928E9</v>
      </c>
    </row>
    <row r="450">
      <c r="A450" s="1">
        <v>448.0</v>
      </c>
      <c r="B450" s="2">
        <v>44377.0</v>
      </c>
      <c r="C450" s="1" t="s">
        <v>267</v>
      </c>
      <c r="D450" s="1" t="s">
        <v>268</v>
      </c>
      <c r="F450" s="1">
        <v>8.31E8</v>
      </c>
      <c r="G450" s="1">
        <v>6.48E8</v>
      </c>
      <c r="H450" s="1">
        <v>9.29E8</v>
      </c>
      <c r="I450" s="1">
        <v>1.822E9</v>
      </c>
      <c r="J450" s="1">
        <v>0.0</v>
      </c>
      <c r="K450" s="1">
        <v>8.31E8</v>
      </c>
      <c r="M450" s="1">
        <v>1.83E8</v>
      </c>
      <c r="N450" s="1">
        <v>1.822E9</v>
      </c>
      <c r="O450" s="1">
        <v>9.91E8</v>
      </c>
      <c r="P450" s="1">
        <v>0.0</v>
      </c>
      <c r="Q450" s="1">
        <v>0.0</v>
      </c>
      <c r="R450" s="1">
        <v>6.48E8</v>
      </c>
      <c r="S450" s="1">
        <v>6.16E8</v>
      </c>
    </row>
    <row r="451">
      <c r="A451" s="1">
        <v>449.0</v>
      </c>
      <c r="B451" s="2">
        <v>44286.0</v>
      </c>
      <c r="C451" s="1" t="s">
        <v>267</v>
      </c>
      <c r="D451" s="1" t="s">
        <v>268</v>
      </c>
      <c r="F451" s="1">
        <v>7.81E8</v>
      </c>
      <c r="G451" s="1">
        <v>6.11E8</v>
      </c>
      <c r="H451" s="1">
        <v>9.46E8</v>
      </c>
      <c r="I451" s="1">
        <v>1.799E9</v>
      </c>
      <c r="J451" s="1">
        <v>0.0</v>
      </c>
      <c r="K451" s="1">
        <v>7.81E8</v>
      </c>
      <c r="M451" s="1">
        <v>1.7E8</v>
      </c>
      <c r="N451" s="1">
        <v>1.799E9</v>
      </c>
      <c r="O451" s="1">
        <v>1.018E9</v>
      </c>
      <c r="P451" s="1">
        <v>0.0</v>
      </c>
      <c r="Q451" s="1">
        <v>0.0</v>
      </c>
      <c r="R451" s="1">
        <v>6.11E8</v>
      </c>
      <c r="S451" s="1">
        <v>5.88E8</v>
      </c>
    </row>
    <row r="452">
      <c r="A452" s="1">
        <v>450.0</v>
      </c>
      <c r="B452" s="2">
        <v>44196.0</v>
      </c>
      <c r="C452" s="1" t="s">
        <v>267</v>
      </c>
      <c r="D452" s="1" t="s">
        <v>268</v>
      </c>
      <c r="F452" s="1">
        <v>5.71E8</v>
      </c>
      <c r="G452" s="1">
        <v>4.56E8</v>
      </c>
      <c r="H452" s="1">
        <v>9.35E8</v>
      </c>
      <c r="I452" s="1">
        <v>1.583E9</v>
      </c>
      <c r="J452" s="1">
        <v>0.0</v>
      </c>
      <c r="K452" s="1">
        <v>5.71E8</v>
      </c>
      <c r="M452" s="1">
        <v>1.15E8</v>
      </c>
      <c r="N452" s="1">
        <v>1.583E9</v>
      </c>
      <c r="O452" s="1">
        <v>1.012E9</v>
      </c>
      <c r="P452" s="1">
        <v>0.0</v>
      </c>
      <c r="Q452" s="1">
        <v>0.0</v>
      </c>
      <c r="R452" s="1">
        <v>4.56E8</v>
      </c>
      <c r="S452" s="1">
        <v>4.24E8</v>
      </c>
    </row>
    <row r="453">
      <c r="A453" s="1">
        <v>451.0</v>
      </c>
      <c r="B453" s="2">
        <v>44104.0</v>
      </c>
      <c r="C453" s="1" t="s">
        <v>267</v>
      </c>
      <c r="D453" s="1" t="s">
        <v>268</v>
      </c>
      <c r="F453" s="1">
        <v>3.75E8</v>
      </c>
      <c r="G453" s="1">
        <v>3.14E8</v>
      </c>
      <c r="H453" s="1">
        <v>9.17E8</v>
      </c>
      <c r="I453" s="1">
        <v>1.363E9</v>
      </c>
      <c r="J453" s="1">
        <v>0.0</v>
      </c>
      <c r="K453" s="1">
        <v>3.75E8</v>
      </c>
      <c r="M453" s="1">
        <v>6.1E7</v>
      </c>
      <c r="N453" s="1">
        <v>1.363E9</v>
      </c>
      <c r="O453" s="1">
        <v>9.88E8</v>
      </c>
      <c r="P453" s="1">
        <v>0.0</v>
      </c>
      <c r="Q453" s="1">
        <v>0.0</v>
      </c>
      <c r="R453" s="1">
        <v>3.14E8</v>
      </c>
      <c r="S453" s="1">
        <v>2.89E8</v>
      </c>
    </row>
    <row r="454">
      <c r="A454" s="1">
        <v>452.0</v>
      </c>
      <c r="B454" s="2">
        <v>44377.0</v>
      </c>
      <c r="C454" s="1" t="s">
        <v>269</v>
      </c>
      <c r="D454" s="1" t="s">
        <v>270</v>
      </c>
      <c r="E454" s="1">
        <v>1.46179E8</v>
      </c>
      <c r="F454" s="1">
        <v>6.8679E7</v>
      </c>
      <c r="G454" s="1">
        <v>6.2766E7</v>
      </c>
      <c r="H454" s="1">
        <v>4.00214E8</v>
      </c>
      <c r="I454" s="1">
        <v>6.70924E8</v>
      </c>
      <c r="J454" s="1">
        <v>8.4977E7</v>
      </c>
      <c r="K454" s="1">
        <v>8.4977E7</v>
      </c>
      <c r="L454" s="1">
        <v>-2.2905E7</v>
      </c>
      <c r="M454" s="1">
        <v>5913000.0</v>
      </c>
      <c r="N454" s="1">
        <v>8.12111E8</v>
      </c>
      <c r="O454" s="1">
        <v>7.27134E8</v>
      </c>
      <c r="P454" s="1">
        <v>1.41187E8</v>
      </c>
      <c r="Q454" s="1">
        <v>-1.6298E7</v>
      </c>
      <c r="R454" s="1">
        <v>6.2766E7</v>
      </c>
      <c r="S454" s="1">
        <v>6.2766E7</v>
      </c>
    </row>
    <row r="455">
      <c r="A455" s="1">
        <v>453.0</v>
      </c>
      <c r="B455" s="2">
        <v>44286.0</v>
      </c>
      <c r="C455" s="1" t="s">
        <v>269</v>
      </c>
      <c r="D455" s="1" t="s">
        <v>270</v>
      </c>
      <c r="E455" s="1">
        <v>1.44158E8</v>
      </c>
      <c r="F455" s="1">
        <v>8.119E7</v>
      </c>
      <c r="G455" s="1">
        <v>9.0048E7</v>
      </c>
      <c r="H455" s="1">
        <v>3.72774E8</v>
      </c>
      <c r="I455" s="1">
        <v>6.43306E8</v>
      </c>
      <c r="J455" s="1">
        <v>1.07833E8</v>
      </c>
      <c r="K455" s="1">
        <v>1.07833E8</v>
      </c>
      <c r="L455" s="1">
        <v>-2.436E7</v>
      </c>
      <c r="M455" s="1">
        <v>-8858000.0</v>
      </c>
      <c r="N455" s="1">
        <v>7.75766E8</v>
      </c>
      <c r="O455" s="1">
        <v>6.67933E8</v>
      </c>
      <c r="P455" s="1">
        <v>1.3246E8</v>
      </c>
      <c r="Q455" s="1">
        <v>-2.6643E7</v>
      </c>
      <c r="R455" s="1">
        <v>9.0048E7</v>
      </c>
      <c r="S455" s="1">
        <v>9.0048E7</v>
      </c>
    </row>
    <row r="456">
      <c r="A456" s="1">
        <v>454.0</v>
      </c>
      <c r="B456" s="2">
        <v>44196.0</v>
      </c>
      <c r="C456" s="1" t="s">
        <v>269</v>
      </c>
      <c r="D456" s="1" t="s">
        <v>270</v>
      </c>
      <c r="E456" s="1">
        <v>1.32517E8</v>
      </c>
      <c r="F456" s="1">
        <v>1.19148E8</v>
      </c>
      <c r="G456" s="1">
        <v>1.12091E8</v>
      </c>
      <c r="H456" s="1">
        <v>4.07709E8</v>
      </c>
      <c r="I456" s="1">
        <v>6.84118E8</v>
      </c>
      <c r="J456" s="1">
        <v>1.35285E8</v>
      </c>
      <c r="K456" s="1">
        <v>1.35285E8</v>
      </c>
      <c r="L456" s="1">
        <v>-1.6361E7</v>
      </c>
      <c r="M456" s="1">
        <v>7057000.0</v>
      </c>
      <c r="N456" s="1">
        <v>8.09656E8</v>
      </c>
      <c r="O456" s="1">
        <v>6.74371E8</v>
      </c>
      <c r="P456" s="1">
        <v>1.25538E8</v>
      </c>
      <c r="Q456" s="1">
        <v>-1.6137E7</v>
      </c>
      <c r="R456" s="1">
        <v>1.12091E8</v>
      </c>
      <c r="S456" s="1">
        <v>1.12091E8</v>
      </c>
    </row>
    <row r="457">
      <c r="A457" s="1">
        <v>455.0</v>
      </c>
      <c r="B457" s="2">
        <v>44104.0</v>
      </c>
      <c r="C457" s="1" t="s">
        <v>269</v>
      </c>
      <c r="D457" s="1" t="s">
        <v>270</v>
      </c>
      <c r="E457" s="1">
        <v>1.30628E8</v>
      </c>
      <c r="F457" s="1">
        <v>1.15998E8</v>
      </c>
      <c r="G457" s="1">
        <v>9.8227E7</v>
      </c>
      <c r="H457" s="1">
        <v>3.8025E8</v>
      </c>
      <c r="I457" s="1">
        <v>6.48177E8</v>
      </c>
      <c r="J457" s="1">
        <v>1.28305E8</v>
      </c>
      <c r="K457" s="1">
        <v>1.28305E8</v>
      </c>
      <c r="L457" s="1">
        <v>-1.6639E7</v>
      </c>
      <c r="M457" s="1">
        <v>1.7771E7</v>
      </c>
      <c r="N457" s="1">
        <v>7.6717E8</v>
      </c>
      <c r="O457" s="1">
        <v>6.38865E8</v>
      </c>
      <c r="P457" s="1">
        <v>1.18993E8</v>
      </c>
      <c r="Q457" s="1">
        <v>-1.2307E7</v>
      </c>
      <c r="R457" s="1">
        <v>9.8227E7</v>
      </c>
      <c r="S457" s="1">
        <v>9.8227E7</v>
      </c>
    </row>
    <row r="458">
      <c r="A458" s="1">
        <v>456.0</v>
      </c>
      <c r="B458" s="2">
        <v>44377.0</v>
      </c>
      <c r="C458" s="1" t="s">
        <v>271</v>
      </c>
      <c r="D458" s="1" t="s">
        <v>272</v>
      </c>
      <c r="E458" s="1">
        <v>4.5E7</v>
      </c>
      <c r="F458" s="1">
        <v>1.01E8</v>
      </c>
      <c r="G458" s="1">
        <v>9.7E7</v>
      </c>
      <c r="H458" s="1">
        <v>4.91E8</v>
      </c>
      <c r="I458" s="1">
        <v>6.68E8</v>
      </c>
      <c r="J458" s="1">
        <v>1.01E8</v>
      </c>
      <c r="K458" s="1">
        <v>1.01E8</v>
      </c>
      <c r="L458" s="1">
        <v>-2.5E7</v>
      </c>
      <c r="M458" s="1">
        <v>1000000.0</v>
      </c>
      <c r="N458" s="1">
        <v>1.802E9</v>
      </c>
      <c r="O458" s="1">
        <v>1.701E9</v>
      </c>
      <c r="P458" s="1">
        <v>1.134E9</v>
      </c>
      <c r="Q458" s="1">
        <v>0.0</v>
      </c>
      <c r="R458" s="1">
        <v>1.0E8</v>
      </c>
      <c r="S458" s="1">
        <v>9.7E7</v>
      </c>
    </row>
    <row r="459">
      <c r="A459" s="1">
        <v>457.0</v>
      </c>
      <c r="B459" s="2">
        <v>44286.0</v>
      </c>
      <c r="C459" s="1" t="s">
        <v>271</v>
      </c>
      <c r="D459" s="1" t="s">
        <v>272</v>
      </c>
      <c r="E459" s="1">
        <v>3.2E7</v>
      </c>
      <c r="F459" s="1">
        <v>-5.9E7</v>
      </c>
      <c r="G459" s="1">
        <v>-6.1E7</v>
      </c>
      <c r="H459" s="1">
        <v>4.4E8</v>
      </c>
      <c r="I459" s="1">
        <v>7.74E8</v>
      </c>
      <c r="J459" s="1">
        <v>2.95E8</v>
      </c>
      <c r="K459" s="1">
        <v>2.95E8</v>
      </c>
      <c r="L459" s="1">
        <v>-2.5E7</v>
      </c>
      <c r="M459" s="1">
        <v>0.0</v>
      </c>
      <c r="N459" s="1">
        <v>1.781E9</v>
      </c>
      <c r="O459" s="1">
        <v>1.486E9</v>
      </c>
      <c r="P459" s="1">
        <v>1.007E9</v>
      </c>
      <c r="Q459" s="1">
        <v>-3.54E8</v>
      </c>
      <c r="R459" s="1">
        <v>-5.9E7</v>
      </c>
      <c r="S459" s="1">
        <v>-6.1E7</v>
      </c>
    </row>
    <row r="460">
      <c r="A460" s="1">
        <v>458.0</v>
      </c>
      <c r="B460" s="2">
        <v>44196.0</v>
      </c>
      <c r="C460" s="1" t="s">
        <v>271</v>
      </c>
      <c r="D460" s="1" t="s">
        <v>272</v>
      </c>
      <c r="E460" s="1">
        <v>4.0E7</v>
      </c>
      <c r="F460" s="1">
        <v>3.32E8</v>
      </c>
      <c r="G460" s="1">
        <v>2.59E8</v>
      </c>
      <c r="H460" s="1">
        <v>4.58E8</v>
      </c>
      <c r="I460" s="1">
        <v>8.37E8</v>
      </c>
      <c r="J460" s="1">
        <v>3.56E8</v>
      </c>
      <c r="K460" s="1">
        <v>3.56E8</v>
      </c>
      <c r="L460" s="1">
        <v>-2.4E7</v>
      </c>
      <c r="M460" s="1">
        <v>7.1E7</v>
      </c>
      <c r="N460" s="1">
        <v>1.842E9</v>
      </c>
      <c r="O460" s="1">
        <v>1.486E9</v>
      </c>
      <c r="P460" s="1">
        <v>1.005E9</v>
      </c>
      <c r="Q460" s="1">
        <v>-2.4E7</v>
      </c>
      <c r="R460" s="1">
        <v>2.61E8</v>
      </c>
      <c r="S460" s="1">
        <v>2.59E8</v>
      </c>
    </row>
    <row r="461">
      <c r="A461" s="1">
        <v>459.0</v>
      </c>
      <c r="B461" s="2">
        <v>44104.0</v>
      </c>
      <c r="C461" s="1" t="s">
        <v>271</v>
      </c>
      <c r="D461" s="1" t="s">
        <v>272</v>
      </c>
      <c r="E461" s="1">
        <v>3.2E7</v>
      </c>
      <c r="F461" s="1">
        <v>5.26E8</v>
      </c>
      <c r="G461" s="1">
        <v>4.15E8</v>
      </c>
      <c r="H461" s="1">
        <v>4.2E8</v>
      </c>
      <c r="I461" s="1">
        <v>9.2E8</v>
      </c>
      <c r="J461" s="1">
        <v>4.66E8</v>
      </c>
      <c r="K461" s="1">
        <v>4.66E8</v>
      </c>
      <c r="L461" s="1">
        <v>-2.5E7</v>
      </c>
      <c r="M461" s="1">
        <v>1.09E8</v>
      </c>
      <c r="N461" s="1">
        <v>1.916E9</v>
      </c>
      <c r="O461" s="1">
        <v>1.45E9</v>
      </c>
      <c r="P461" s="1">
        <v>9.96E8</v>
      </c>
      <c r="Q461" s="1">
        <v>6.0E7</v>
      </c>
      <c r="R461" s="1">
        <v>4.17E8</v>
      </c>
      <c r="S461" s="1">
        <v>4.15E8</v>
      </c>
    </row>
    <row r="462">
      <c r="A462" s="1">
        <v>460.0</v>
      </c>
      <c r="B462" s="2">
        <v>44377.0</v>
      </c>
      <c r="C462" s="1" t="s">
        <v>273</v>
      </c>
      <c r="D462" s="1" t="s">
        <v>274</v>
      </c>
      <c r="F462" s="1">
        <v>7.261E8</v>
      </c>
      <c r="G462" s="1">
        <v>5.103E8</v>
      </c>
      <c r="H462" s="1">
        <v>3.685E8</v>
      </c>
      <c r="I462" s="1">
        <v>1.1768E9</v>
      </c>
      <c r="J462" s="1">
        <v>6.747E8</v>
      </c>
      <c r="K462" s="1">
        <v>6.747E8</v>
      </c>
      <c r="L462" s="1">
        <v>-4.17E7</v>
      </c>
      <c r="M462" s="1">
        <v>2.155E8</v>
      </c>
      <c r="N462" s="1">
        <v>1.1768E9</v>
      </c>
      <c r="O462" s="1">
        <v>5.021E8</v>
      </c>
      <c r="P462" s="1">
        <v>0.0</v>
      </c>
      <c r="Q462" s="1">
        <v>5.14E7</v>
      </c>
      <c r="R462" s="1">
        <v>5.106E8</v>
      </c>
      <c r="S462" s="1">
        <v>5.103E8</v>
      </c>
    </row>
    <row r="463">
      <c r="A463" s="1">
        <v>461.0</v>
      </c>
      <c r="B463" s="2">
        <v>44286.0</v>
      </c>
      <c r="C463" s="1" t="s">
        <v>273</v>
      </c>
      <c r="D463" s="1" t="s">
        <v>274</v>
      </c>
      <c r="F463" s="1">
        <v>7.523E8</v>
      </c>
      <c r="G463" s="1">
        <v>5.744E8</v>
      </c>
      <c r="H463" s="1">
        <v>3.923E8</v>
      </c>
      <c r="I463" s="1">
        <v>1.2508E9</v>
      </c>
      <c r="J463" s="1">
        <v>7.251E8</v>
      </c>
      <c r="K463" s="1">
        <v>7.251E8</v>
      </c>
      <c r="L463" s="1">
        <v>-4.15E7</v>
      </c>
      <c r="M463" s="1">
        <v>1.775E8</v>
      </c>
      <c r="N463" s="1">
        <v>1.2508E9</v>
      </c>
      <c r="O463" s="1">
        <v>5.257E8</v>
      </c>
      <c r="P463" s="1">
        <v>0.0</v>
      </c>
      <c r="Q463" s="1">
        <v>2.72E7</v>
      </c>
      <c r="R463" s="1">
        <v>5.748E8</v>
      </c>
      <c r="S463" s="1">
        <v>5.744E8</v>
      </c>
    </row>
    <row r="464">
      <c r="A464" s="1">
        <v>462.0</v>
      </c>
      <c r="B464" s="2">
        <v>44196.0</v>
      </c>
      <c r="C464" s="1" t="s">
        <v>273</v>
      </c>
      <c r="D464" s="1" t="s">
        <v>274</v>
      </c>
      <c r="F464" s="1">
        <v>5.35E8</v>
      </c>
      <c r="G464" s="1">
        <v>4.24E8</v>
      </c>
      <c r="H464" s="1">
        <v>3.94E8</v>
      </c>
      <c r="I464" s="1">
        <v>1.0953E9</v>
      </c>
      <c r="J464" s="1">
        <v>5.51E8</v>
      </c>
      <c r="K464" s="1">
        <v>5.51E8</v>
      </c>
      <c r="L464" s="1">
        <v>-4.17E7</v>
      </c>
      <c r="M464" s="1">
        <v>1.102E8</v>
      </c>
      <c r="N464" s="1">
        <v>1.0953E9</v>
      </c>
      <c r="O464" s="1">
        <v>5.443E8</v>
      </c>
      <c r="P464" s="1">
        <v>0.0</v>
      </c>
      <c r="Q464" s="1">
        <v>-1.6E7</v>
      </c>
      <c r="R464" s="1">
        <v>4.248E8</v>
      </c>
      <c r="S464" s="1">
        <v>4.24E8</v>
      </c>
    </row>
    <row r="465">
      <c r="A465" s="1">
        <v>463.0</v>
      </c>
      <c r="B465" s="2">
        <v>44104.0</v>
      </c>
      <c r="C465" s="1" t="s">
        <v>273</v>
      </c>
      <c r="D465" s="1" t="s">
        <v>274</v>
      </c>
      <c r="F465" s="1">
        <v>5.365E8</v>
      </c>
      <c r="G465" s="1">
        <v>4.117E8</v>
      </c>
      <c r="H465" s="1">
        <v>3.885E8</v>
      </c>
      <c r="I465" s="1">
        <v>1.0773E9</v>
      </c>
      <c r="J465" s="1">
        <v>5.25E8</v>
      </c>
      <c r="K465" s="1">
        <v>5.25E8</v>
      </c>
      <c r="L465" s="1">
        <v>-4.17E7</v>
      </c>
      <c r="M465" s="1">
        <v>1.25E8</v>
      </c>
      <c r="N465" s="1">
        <v>1.0773E9</v>
      </c>
      <c r="O465" s="1">
        <v>5.523E8</v>
      </c>
      <c r="P465" s="1">
        <v>0.0</v>
      </c>
      <c r="Q465" s="1">
        <v>1.15E7</v>
      </c>
      <c r="R465" s="1">
        <v>4.115E8</v>
      </c>
      <c r="S465" s="1">
        <v>4.117E8</v>
      </c>
    </row>
    <row r="466">
      <c r="A466" s="1">
        <v>464.0</v>
      </c>
      <c r="B466" s="2">
        <v>44469.0</v>
      </c>
      <c r="C466" s="1" t="s">
        <v>275</v>
      </c>
      <c r="D466" s="1" t="s">
        <v>276</v>
      </c>
      <c r="F466" s="1">
        <v>1.79E8</v>
      </c>
      <c r="G466" s="1">
        <v>1.89E8</v>
      </c>
      <c r="H466" s="1">
        <v>-4.0E7</v>
      </c>
      <c r="I466" s="1">
        <v>5.91E8</v>
      </c>
      <c r="J466" s="1">
        <v>3.0E8</v>
      </c>
      <c r="K466" s="1">
        <v>3.0E8</v>
      </c>
      <c r="L466" s="1">
        <v>-1.26E8</v>
      </c>
      <c r="M466" s="1">
        <v>2.6E7</v>
      </c>
      <c r="N466" s="1">
        <v>1.725E9</v>
      </c>
      <c r="O466" s="1">
        <v>1.425E9</v>
      </c>
      <c r="P466" s="1">
        <v>1.134E9</v>
      </c>
      <c r="Q466" s="1">
        <v>-1.21E8</v>
      </c>
      <c r="R466" s="1">
        <v>1.53E8</v>
      </c>
      <c r="S466" s="1">
        <v>1.86E8</v>
      </c>
    </row>
    <row r="467">
      <c r="A467" s="1">
        <v>465.0</v>
      </c>
      <c r="B467" s="2">
        <v>44377.0</v>
      </c>
      <c r="C467" s="1" t="s">
        <v>275</v>
      </c>
      <c r="D467" s="1" t="s">
        <v>276</v>
      </c>
      <c r="F467" s="1">
        <v>1.75E8</v>
      </c>
      <c r="G467" s="1">
        <v>1.76E8</v>
      </c>
      <c r="H467" s="1">
        <v>-4.0E7</v>
      </c>
      <c r="I467" s="1">
        <v>5.83E8</v>
      </c>
      <c r="J467" s="1">
        <v>2.92E8</v>
      </c>
      <c r="K467" s="1">
        <v>2.92E8</v>
      </c>
      <c r="L467" s="1">
        <v>-1.25E8</v>
      </c>
      <c r="M467" s="1">
        <v>2.2E7</v>
      </c>
      <c r="N467" s="1">
        <v>1.558E9</v>
      </c>
      <c r="O467" s="1">
        <v>1.266E9</v>
      </c>
      <c r="P467" s="1">
        <v>9.75E8</v>
      </c>
      <c r="Q467" s="1">
        <v>-1.17E8</v>
      </c>
      <c r="R467" s="1">
        <v>1.53E8</v>
      </c>
      <c r="S467" s="1">
        <v>1.76E8</v>
      </c>
    </row>
    <row r="468">
      <c r="A468" s="1">
        <v>466.0</v>
      </c>
      <c r="B468" s="2">
        <v>44286.0</v>
      </c>
      <c r="C468" s="1" t="s">
        <v>275</v>
      </c>
      <c r="D468" s="1" t="s">
        <v>276</v>
      </c>
      <c r="F468" s="1">
        <v>3.5E8</v>
      </c>
      <c r="G468" s="1">
        <v>3.49E8</v>
      </c>
      <c r="H468" s="1">
        <v>-4.1E7</v>
      </c>
      <c r="I468" s="1">
        <v>8.87E8</v>
      </c>
      <c r="J468" s="1">
        <v>4.68E8</v>
      </c>
      <c r="K468" s="1">
        <v>4.68E8</v>
      </c>
      <c r="L468" s="1">
        <v>-1.25E8</v>
      </c>
      <c r="M468" s="1">
        <v>4.2E7</v>
      </c>
      <c r="N468" s="1">
        <v>2.013E9</v>
      </c>
      <c r="O468" s="1">
        <v>1.545E9</v>
      </c>
      <c r="P468" s="1">
        <v>1.126E9</v>
      </c>
      <c r="Q468" s="1">
        <v>-1.18E8</v>
      </c>
      <c r="R468" s="1">
        <v>3.08E8</v>
      </c>
      <c r="S468" s="1">
        <v>3.49E8</v>
      </c>
    </row>
    <row r="469">
      <c r="A469" s="1">
        <v>467.0</v>
      </c>
      <c r="B469" s="2">
        <v>44196.0</v>
      </c>
      <c r="C469" s="1" t="s">
        <v>275</v>
      </c>
      <c r="D469" s="1" t="s">
        <v>276</v>
      </c>
      <c r="F469" s="1">
        <v>1.97E8</v>
      </c>
      <c r="G469" s="1">
        <v>1.58E8</v>
      </c>
      <c r="H469" s="1">
        <v>-2.8E7</v>
      </c>
      <c r="I469" s="1">
        <v>7.28E8</v>
      </c>
      <c r="J469" s="1">
        <v>3.8E8</v>
      </c>
      <c r="K469" s="1">
        <v>3.8E8</v>
      </c>
      <c r="L469" s="1">
        <v>-1.4E8</v>
      </c>
      <c r="M469" s="1">
        <v>3.5E7</v>
      </c>
      <c r="N469" s="1">
        <v>1.798E9</v>
      </c>
      <c r="O469" s="1">
        <v>1.418E9</v>
      </c>
      <c r="P469" s="1">
        <v>1.07E9</v>
      </c>
      <c r="Q469" s="1">
        <v>-1.83E8</v>
      </c>
      <c r="R469" s="1">
        <v>1.62E8</v>
      </c>
      <c r="S469" s="1">
        <v>1.58E8</v>
      </c>
    </row>
    <row r="470">
      <c r="A470" s="1">
        <v>468.0</v>
      </c>
      <c r="B470" s="2">
        <v>44379.0</v>
      </c>
      <c r="C470" s="1" t="s">
        <v>277</v>
      </c>
      <c r="D470" s="1" t="s">
        <v>278</v>
      </c>
      <c r="F470" s="1">
        <v>3.618E9</v>
      </c>
      <c r="G470" s="1">
        <v>2.641E9</v>
      </c>
      <c r="H470" s="1">
        <v>2.944E9</v>
      </c>
      <c r="I470" s="1">
        <v>6.342E9</v>
      </c>
      <c r="J470" s="1">
        <v>3.398E9</v>
      </c>
      <c r="K470" s="1">
        <v>3.398E9</v>
      </c>
      <c r="L470" s="1">
        <v>-7.8E8</v>
      </c>
      <c r="M470" s="1">
        <v>9.94E8</v>
      </c>
      <c r="N470" s="1">
        <v>1.0129E10</v>
      </c>
      <c r="O470" s="1">
        <v>6.731E9</v>
      </c>
      <c r="P470" s="1">
        <v>3.787E9</v>
      </c>
      <c r="Q470" s="1">
        <v>2.2E8</v>
      </c>
      <c r="R470" s="1">
        <v>2.624E9</v>
      </c>
      <c r="S470" s="1">
        <v>2.641E9</v>
      </c>
    </row>
    <row r="471">
      <c r="A471" s="1">
        <v>469.0</v>
      </c>
      <c r="B471" s="2">
        <v>44288.0</v>
      </c>
      <c r="C471" s="1" t="s">
        <v>277</v>
      </c>
      <c r="D471" s="1" t="s">
        <v>278</v>
      </c>
      <c r="F471" s="1">
        <v>2.763E9</v>
      </c>
      <c r="G471" s="1">
        <v>2.245E9</v>
      </c>
      <c r="H471" s="1">
        <v>2.609E9</v>
      </c>
      <c r="I471" s="1">
        <v>5.515E9</v>
      </c>
      <c r="J471" s="1">
        <v>2.906E9</v>
      </c>
      <c r="K471" s="1">
        <v>2.906E9</v>
      </c>
      <c r="L471" s="1">
        <v>-4.42E8</v>
      </c>
      <c r="M471" s="1">
        <v>5.08E8</v>
      </c>
      <c r="N471" s="1">
        <v>9.02E9</v>
      </c>
      <c r="O471" s="1">
        <v>6.114E9</v>
      </c>
      <c r="P471" s="1">
        <v>3.505E9</v>
      </c>
      <c r="Q471" s="1">
        <v>-1.43E8</v>
      </c>
      <c r="R471" s="1">
        <v>2.255E9</v>
      </c>
      <c r="S471" s="1">
        <v>2.245E9</v>
      </c>
    </row>
    <row r="472">
      <c r="A472" s="1">
        <v>470.0</v>
      </c>
      <c r="B472" s="2">
        <v>44196.0</v>
      </c>
      <c r="C472" s="1" t="s">
        <v>277</v>
      </c>
      <c r="D472" s="1" t="s">
        <v>278</v>
      </c>
      <c r="F472" s="1">
        <v>2.361E9</v>
      </c>
      <c r="G472" s="1">
        <v>1.456E9</v>
      </c>
      <c r="H472" s="1">
        <v>2.566E9</v>
      </c>
      <c r="I472" s="1">
        <v>5.033E9</v>
      </c>
      <c r="J472" s="1">
        <v>2.445E9</v>
      </c>
      <c r="K472" s="1">
        <v>2.445E9</v>
      </c>
      <c r="L472" s="1">
        <v>-3.1E8</v>
      </c>
      <c r="M472" s="1">
        <v>8.87E8</v>
      </c>
      <c r="N472" s="1">
        <v>8.611E9</v>
      </c>
      <c r="O472" s="1">
        <v>6.166E9</v>
      </c>
      <c r="P472" s="1">
        <v>3.578E9</v>
      </c>
      <c r="Q472" s="1">
        <v>-8.4E7</v>
      </c>
      <c r="R472" s="1">
        <v>1.474E9</v>
      </c>
      <c r="S472" s="1">
        <v>1.456E9</v>
      </c>
    </row>
    <row r="473">
      <c r="A473" s="1">
        <v>471.0</v>
      </c>
      <c r="B473" s="2">
        <v>44099.0</v>
      </c>
      <c r="C473" s="1" t="s">
        <v>277</v>
      </c>
      <c r="D473" s="1" t="s">
        <v>278</v>
      </c>
      <c r="F473" s="1">
        <v>2.181E9</v>
      </c>
      <c r="G473" s="1">
        <v>1.737E9</v>
      </c>
      <c r="H473" s="1">
        <v>2.467E9</v>
      </c>
      <c r="I473" s="1">
        <v>5.181E9</v>
      </c>
      <c r="J473" s="1">
        <v>2.714E9</v>
      </c>
      <c r="K473" s="1">
        <v>2.714E9</v>
      </c>
      <c r="L473" s="1">
        <v>-6.6E8</v>
      </c>
      <c r="M473" s="1">
        <v>4.41E8</v>
      </c>
      <c r="N473" s="1">
        <v>8.652E9</v>
      </c>
      <c r="O473" s="1">
        <v>5.938E9</v>
      </c>
      <c r="P473" s="1">
        <v>3.471E9</v>
      </c>
      <c r="Q473" s="1">
        <v>-5.33E8</v>
      </c>
      <c r="R473" s="1">
        <v>1.74E9</v>
      </c>
      <c r="S473" s="1">
        <v>1.737E9</v>
      </c>
    </row>
    <row r="474">
      <c r="A474" s="1">
        <v>472.0</v>
      </c>
      <c r="B474" s="2">
        <v>44377.0</v>
      </c>
      <c r="C474" s="1" t="s">
        <v>279</v>
      </c>
      <c r="D474" s="1" t="s">
        <v>280</v>
      </c>
      <c r="F474" s="1">
        <v>6.96E8</v>
      </c>
      <c r="G474" s="1">
        <v>5.12E8</v>
      </c>
      <c r="H474" s="1">
        <v>8.81E8</v>
      </c>
      <c r="I474" s="1">
        <v>1.722E9</v>
      </c>
      <c r="J474" s="1">
        <v>6.96E8</v>
      </c>
      <c r="K474" s="1">
        <v>6.96E8</v>
      </c>
      <c r="L474" s="1">
        <v>-2000000.0</v>
      </c>
      <c r="M474" s="1">
        <v>1.84E8</v>
      </c>
      <c r="N474" s="1">
        <v>4.585E9</v>
      </c>
      <c r="O474" s="1">
        <v>3.889E9</v>
      </c>
      <c r="P474" s="1">
        <v>2.863E9</v>
      </c>
      <c r="Q474" s="1">
        <v>0.0</v>
      </c>
      <c r="R474" s="1">
        <v>5.12E8</v>
      </c>
      <c r="S474" s="1">
        <v>5.12E8</v>
      </c>
    </row>
    <row r="475">
      <c r="A475" s="1">
        <v>473.0</v>
      </c>
      <c r="B475" s="2">
        <v>44286.0</v>
      </c>
      <c r="C475" s="1" t="s">
        <v>279</v>
      </c>
      <c r="D475" s="1" t="s">
        <v>280</v>
      </c>
      <c r="F475" s="1">
        <v>6.65E8</v>
      </c>
      <c r="G475" s="1">
        <v>5.05E8</v>
      </c>
      <c r="H475" s="1">
        <v>8.27E8</v>
      </c>
      <c r="I475" s="1">
        <v>1.637E9</v>
      </c>
      <c r="J475" s="1">
        <v>6.69E8</v>
      </c>
      <c r="K475" s="1">
        <v>6.69E8</v>
      </c>
      <c r="L475" s="1">
        <v>-2000000.0</v>
      </c>
      <c r="M475" s="1">
        <v>1.6E8</v>
      </c>
      <c r="N475" s="1">
        <v>4.401E9</v>
      </c>
      <c r="O475" s="1">
        <v>3.732E9</v>
      </c>
      <c r="P475" s="1">
        <v>2.764E9</v>
      </c>
      <c r="Q475" s="1">
        <v>-4000000.0</v>
      </c>
      <c r="R475" s="1">
        <v>5.05E8</v>
      </c>
      <c r="S475" s="1">
        <v>5.05E8</v>
      </c>
    </row>
    <row r="476">
      <c r="A476" s="1">
        <v>474.0</v>
      </c>
      <c r="B476" s="2">
        <v>44196.0</v>
      </c>
      <c r="C476" s="1" t="s">
        <v>279</v>
      </c>
      <c r="D476" s="1" t="s">
        <v>280</v>
      </c>
      <c r="F476" s="1">
        <v>4.68E8</v>
      </c>
      <c r="G476" s="1">
        <v>3.16E8</v>
      </c>
      <c r="H476" s="1">
        <v>8.97E8</v>
      </c>
      <c r="I476" s="1">
        <v>1.539E9</v>
      </c>
      <c r="J476" s="1">
        <v>4.97E8</v>
      </c>
      <c r="K476" s="1">
        <v>4.97E8</v>
      </c>
      <c r="L476" s="1">
        <v>-3000000.0</v>
      </c>
      <c r="M476" s="1">
        <v>1.52E8</v>
      </c>
      <c r="N476" s="1">
        <v>4.184E9</v>
      </c>
      <c r="O476" s="1">
        <v>3.687E9</v>
      </c>
      <c r="P476" s="1">
        <v>2.645E9</v>
      </c>
      <c r="Q476" s="1">
        <v>-2.9E7</v>
      </c>
      <c r="R476" s="1">
        <v>3.16E8</v>
      </c>
      <c r="S476" s="1">
        <v>3.16E8</v>
      </c>
    </row>
    <row r="477">
      <c r="A477" s="1">
        <v>475.0</v>
      </c>
      <c r="B477" s="2">
        <v>44104.0</v>
      </c>
      <c r="C477" s="1" t="s">
        <v>279</v>
      </c>
      <c r="D477" s="1" t="s">
        <v>280</v>
      </c>
      <c r="F477" s="1">
        <v>6.24E8</v>
      </c>
      <c r="G477" s="1">
        <v>3.48E8</v>
      </c>
      <c r="H477" s="1">
        <v>8.04E8</v>
      </c>
      <c r="I477" s="1">
        <v>1.617E9</v>
      </c>
      <c r="J477" s="1">
        <v>6.75E8</v>
      </c>
      <c r="K477" s="1">
        <v>6.75E8</v>
      </c>
      <c r="L477" s="1">
        <v>-6000000.0</v>
      </c>
      <c r="M477" s="1">
        <v>2.76E8</v>
      </c>
      <c r="N477" s="1">
        <v>4.243E9</v>
      </c>
      <c r="O477" s="1">
        <v>3.568E9</v>
      </c>
      <c r="P477" s="1">
        <v>2.626E9</v>
      </c>
      <c r="Q477" s="1">
        <v>-5.1E7</v>
      </c>
      <c r="R477" s="1">
        <v>3.48E8</v>
      </c>
      <c r="S477" s="1">
        <v>3.48E8</v>
      </c>
    </row>
    <row r="478">
      <c r="A478" s="1">
        <v>476.0</v>
      </c>
      <c r="B478" s="2">
        <v>44377.0</v>
      </c>
      <c r="C478" s="1" t="s">
        <v>281</v>
      </c>
      <c r="D478" s="1" t="s">
        <v>282</v>
      </c>
      <c r="F478" s="1">
        <v>9.53E8</v>
      </c>
      <c r="G478" s="1">
        <v>7.03E8</v>
      </c>
      <c r="H478" s="1">
        <v>1.586E9</v>
      </c>
      <c r="I478" s="1">
        <v>2.556E9</v>
      </c>
      <c r="J478" s="1">
        <v>9.78E8</v>
      </c>
      <c r="K478" s="1">
        <v>9.78E8</v>
      </c>
      <c r="L478" s="1">
        <v>-2.5E7</v>
      </c>
      <c r="M478" s="1">
        <v>2.12E8</v>
      </c>
      <c r="N478" s="1">
        <v>4.26E9</v>
      </c>
      <c r="O478" s="1">
        <v>3.282E9</v>
      </c>
      <c r="P478" s="1">
        <v>1.704E9</v>
      </c>
      <c r="Q478" s="1">
        <v>-2.5E7</v>
      </c>
      <c r="R478" s="1">
        <v>7.41E8</v>
      </c>
      <c r="S478" s="1">
        <v>7.03E8</v>
      </c>
    </row>
    <row r="479">
      <c r="A479" s="1">
        <v>477.0</v>
      </c>
      <c r="B479" s="2">
        <v>44286.0</v>
      </c>
      <c r="C479" s="1" t="s">
        <v>281</v>
      </c>
      <c r="D479" s="1" t="s">
        <v>282</v>
      </c>
      <c r="F479" s="1">
        <v>9.57E8</v>
      </c>
      <c r="G479" s="1">
        <v>6.81E8</v>
      </c>
      <c r="H479" s="1">
        <v>1.623E9</v>
      </c>
      <c r="I479" s="1">
        <v>2.637E9</v>
      </c>
      <c r="J479" s="1">
        <v>9.86E8</v>
      </c>
      <c r="K479" s="1">
        <v>9.86E8</v>
      </c>
      <c r="L479" s="1">
        <v>-2.9E7</v>
      </c>
      <c r="M479" s="1">
        <v>2.29E8</v>
      </c>
      <c r="N479" s="1">
        <v>4.344E9</v>
      </c>
      <c r="O479" s="1">
        <v>3.358E9</v>
      </c>
      <c r="P479" s="1">
        <v>1.707E9</v>
      </c>
      <c r="Q479" s="1">
        <v>-2.9E7</v>
      </c>
      <c r="R479" s="1">
        <v>7.28E8</v>
      </c>
      <c r="S479" s="1">
        <v>6.81E8</v>
      </c>
    </row>
    <row r="480">
      <c r="A480" s="1">
        <v>478.0</v>
      </c>
      <c r="B480" s="2">
        <v>44196.0</v>
      </c>
      <c r="C480" s="1" t="s">
        <v>281</v>
      </c>
      <c r="D480" s="1" t="s">
        <v>282</v>
      </c>
      <c r="F480" s="1">
        <v>8.94E8</v>
      </c>
      <c r="G480" s="1">
        <v>6.47E8</v>
      </c>
      <c r="H480" s="1">
        <v>1.654E9</v>
      </c>
      <c r="I480" s="1">
        <v>2.643E9</v>
      </c>
      <c r="J480" s="1">
        <v>9.25E8</v>
      </c>
      <c r="K480" s="1">
        <v>9.25E8</v>
      </c>
      <c r="L480" s="1">
        <v>-7.6E7</v>
      </c>
      <c r="M480" s="1">
        <v>2.02E8</v>
      </c>
      <c r="N480" s="1">
        <v>4.324E9</v>
      </c>
      <c r="O480" s="1">
        <v>3.399E9</v>
      </c>
      <c r="P480" s="1">
        <v>1.681E9</v>
      </c>
      <c r="Q480" s="1">
        <v>-3.1E7</v>
      </c>
      <c r="R480" s="1">
        <v>6.92E8</v>
      </c>
      <c r="S480" s="1">
        <v>6.47E8</v>
      </c>
    </row>
    <row r="481">
      <c r="A481" s="1">
        <v>479.0</v>
      </c>
      <c r="B481" s="2">
        <v>44104.0</v>
      </c>
      <c r="C481" s="1" t="s">
        <v>281</v>
      </c>
      <c r="D481" s="1" t="s">
        <v>282</v>
      </c>
      <c r="F481" s="1">
        <v>9.67E8</v>
      </c>
      <c r="G481" s="1">
        <v>6.98E8</v>
      </c>
      <c r="H481" s="1">
        <v>1.533E9</v>
      </c>
      <c r="I481" s="1">
        <v>2.54E9</v>
      </c>
      <c r="J481" s="1">
        <v>1.003E9</v>
      </c>
      <c r="K481" s="1">
        <v>1.003E9</v>
      </c>
      <c r="L481" s="1">
        <v>-3.6E7</v>
      </c>
      <c r="M481" s="1">
        <v>2.22E8</v>
      </c>
      <c r="N481" s="1">
        <v>4.153E9</v>
      </c>
      <c r="O481" s="1">
        <v>3.15E9</v>
      </c>
      <c r="P481" s="1">
        <v>1.613E9</v>
      </c>
      <c r="Q481" s="1">
        <v>-3.6E7</v>
      </c>
      <c r="R481" s="1">
        <v>7.45E8</v>
      </c>
      <c r="S481" s="1">
        <v>6.98E8</v>
      </c>
    </row>
    <row r="482">
      <c r="A482" s="1">
        <v>480.0</v>
      </c>
      <c r="B482" s="2">
        <v>44377.0</v>
      </c>
      <c r="C482" s="1" t="s">
        <v>283</v>
      </c>
      <c r="D482" s="1" t="s">
        <v>284</v>
      </c>
      <c r="F482" s="1">
        <v>5.63E9</v>
      </c>
      <c r="G482" s="1">
        <v>3.738E9</v>
      </c>
      <c r="H482" s="1">
        <v>1.04E10</v>
      </c>
      <c r="I482" s="1">
        <v>1.929E10</v>
      </c>
      <c r="J482" s="1">
        <v>5.507E9</v>
      </c>
      <c r="K482" s="1">
        <v>5.507E9</v>
      </c>
      <c r="L482" s="1">
        <v>-1.093E9</v>
      </c>
      <c r="M482" s="1">
        <v>2.0E9</v>
      </c>
      <c r="N482" s="1">
        <v>2.8546E10</v>
      </c>
      <c r="O482" s="1">
        <v>2.3039E10</v>
      </c>
      <c r="P482" s="1">
        <v>9.256E9</v>
      </c>
      <c r="Q482" s="1">
        <v>1.23E8</v>
      </c>
      <c r="R482" s="1">
        <v>3.63E9</v>
      </c>
      <c r="S482" s="1">
        <v>3.738E9</v>
      </c>
    </row>
    <row r="483">
      <c r="A483" s="1">
        <v>481.0</v>
      </c>
      <c r="B483" s="2">
        <v>44286.0</v>
      </c>
      <c r="C483" s="1" t="s">
        <v>283</v>
      </c>
      <c r="D483" s="1" t="s">
        <v>284</v>
      </c>
      <c r="F483" s="1">
        <v>4.411E9</v>
      </c>
      <c r="G483" s="1">
        <v>3.329E9</v>
      </c>
      <c r="H483" s="1">
        <v>9.885E9</v>
      </c>
      <c r="I483" s="1">
        <v>1.8286E10</v>
      </c>
      <c r="J483" s="1">
        <v>5.039E9</v>
      </c>
      <c r="K483" s="1">
        <v>5.039E9</v>
      </c>
      <c r="L483" s="1">
        <v>-1.018E9</v>
      </c>
      <c r="M483" s="1">
        <v>1.119E9</v>
      </c>
      <c r="N483" s="1">
        <v>2.7205E10</v>
      </c>
      <c r="O483" s="1">
        <v>2.2166E10</v>
      </c>
      <c r="P483" s="1">
        <v>8.919E9</v>
      </c>
      <c r="Q483" s="1">
        <v>-6.28E8</v>
      </c>
      <c r="R483" s="1">
        <v>3.292E9</v>
      </c>
      <c r="S483" s="1">
        <v>3.329E9</v>
      </c>
    </row>
    <row r="484">
      <c r="A484" s="1">
        <v>482.0</v>
      </c>
      <c r="B484" s="2">
        <v>44196.0</v>
      </c>
      <c r="C484" s="1" t="s">
        <v>283</v>
      </c>
      <c r="D484" s="1" t="s">
        <v>284</v>
      </c>
      <c r="F484" s="1">
        <v>4.416E9</v>
      </c>
      <c r="G484" s="1">
        <v>3.38E9</v>
      </c>
      <c r="H484" s="1">
        <v>1.11E10</v>
      </c>
      <c r="I484" s="1">
        <v>1.827E10</v>
      </c>
      <c r="J484" s="1">
        <v>3.918E9</v>
      </c>
      <c r="K484" s="1">
        <v>3.918E9</v>
      </c>
      <c r="L484" s="1">
        <v>-1.231E9</v>
      </c>
      <c r="M484" s="1">
        <v>9.79E8</v>
      </c>
      <c r="N484" s="1">
        <v>2.7708E10</v>
      </c>
      <c r="O484" s="1">
        <v>2.379E10</v>
      </c>
      <c r="P484" s="1">
        <v>9.438E9</v>
      </c>
      <c r="Q484" s="1">
        <v>4.98E8</v>
      </c>
      <c r="R484" s="1">
        <v>3.437E9</v>
      </c>
      <c r="S484" s="1">
        <v>3.38E9</v>
      </c>
    </row>
    <row r="485">
      <c r="A485" s="1">
        <v>483.0</v>
      </c>
      <c r="B485" s="2">
        <v>44104.0</v>
      </c>
      <c r="C485" s="1" t="s">
        <v>283</v>
      </c>
      <c r="D485" s="1" t="s">
        <v>284</v>
      </c>
      <c r="F485" s="1">
        <v>2.77E9</v>
      </c>
      <c r="G485" s="1">
        <v>2.019E9</v>
      </c>
      <c r="H485" s="1">
        <v>9.571E9</v>
      </c>
      <c r="I485" s="1">
        <v>1.6967E10</v>
      </c>
      <c r="J485" s="1">
        <v>4.076E9</v>
      </c>
      <c r="K485" s="1">
        <v>4.076E9</v>
      </c>
      <c r="L485" s="1">
        <v>-1.22E9</v>
      </c>
      <c r="M485" s="1">
        <v>7.39E8</v>
      </c>
      <c r="N485" s="1">
        <v>2.5532E10</v>
      </c>
      <c r="O485" s="1">
        <v>2.1456E10</v>
      </c>
      <c r="P485" s="1">
        <v>8.565E9</v>
      </c>
      <c r="Q485" s="1">
        <v>-1.306E9</v>
      </c>
      <c r="R485" s="1">
        <v>2.031E9</v>
      </c>
      <c r="S485" s="1">
        <v>2.019E9</v>
      </c>
    </row>
    <row r="486">
      <c r="A486" s="1">
        <v>484.0</v>
      </c>
      <c r="B486" s="2">
        <v>44377.0</v>
      </c>
      <c r="C486" s="1" t="s">
        <v>285</v>
      </c>
      <c r="D486" s="1" t="s">
        <v>286</v>
      </c>
      <c r="F486" s="1">
        <v>4.21E8</v>
      </c>
      <c r="G486" s="1">
        <v>3.28E8</v>
      </c>
      <c r="H486" s="1">
        <v>4.46E8</v>
      </c>
      <c r="I486" s="1">
        <v>8.84E8</v>
      </c>
      <c r="J486" s="1">
        <v>0.0</v>
      </c>
      <c r="K486" s="1">
        <v>4.28E8</v>
      </c>
      <c r="M486" s="1">
        <v>9.3E7</v>
      </c>
      <c r="N486" s="1">
        <v>8.84E8</v>
      </c>
      <c r="O486" s="1">
        <v>4.56E8</v>
      </c>
      <c r="P486" s="1">
        <v>0.0</v>
      </c>
      <c r="Q486" s="1">
        <v>-7000000.0</v>
      </c>
      <c r="R486" s="1">
        <v>3.28E8</v>
      </c>
      <c r="S486" s="1">
        <v>3.21E8</v>
      </c>
    </row>
    <row r="487">
      <c r="A487" s="1">
        <v>485.0</v>
      </c>
      <c r="B487" s="2">
        <v>44286.0</v>
      </c>
      <c r="C487" s="1" t="s">
        <v>285</v>
      </c>
      <c r="D487" s="1" t="s">
        <v>286</v>
      </c>
      <c r="F487" s="1">
        <v>4.48E8</v>
      </c>
      <c r="G487" s="1">
        <v>3.5E8</v>
      </c>
      <c r="H487" s="1">
        <v>4.42E8</v>
      </c>
      <c r="I487" s="1">
        <v>8.95E8</v>
      </c>
      <c r="J487" s="1">
        <v>0.0</v>
      </c>
      <c r="K487" s="1">
        <v>4.56E8</v>
      </c>
      <c r="M487" s="1">
        <v>9.8E7</v>
      </c>
      <c r="N487" s="1">
        <v>8.95E8</v>
      </c>
      <c r="O487" s="1">
        <v>4.39E8</v>
      </c>
      <c r="P487" s="1">
        <v>0.0</v>
      </c>
      <c r="Q487" s="1">
        <v>-8000000.0</v>
      </c>
      <c r="R487" s="1">
        <v>3.5E8</v>
      </c>
      <c r="S487" s="1">
        <v>3.43E8</v>
      </c>
    </row>
    <row r="488">
      <c r="A488" s="1">
        <v>486.0</v>
      </c>
      <c r="B488" s="2">
        <v>44196.0</v>
      </c>
      <c r="C488" s="1" t="s">
        <v>285</v>
      </c>
      <c r="D488" s="1" t="s">
        <v>286</v>
      </c>
      <c r="F488" s="1">
        <v>2.78E8</v>
      </c>
      <c r="G488" s="1">
        <v>2.15E8</v>
      </c>
      <c r="H488" s="1">
        <v>4.41E8</v>
      </c>
      <c r="I488" s="1">
        <v>7.51E8</v>
      </c>
      <c r="J488" s="1">
        <v>0.0</v>
      </c>
      <c r="K488" s="1">
        <v>2.92E8</v>
      </c>
      <c r="M488" s="1">
        <v>6.3E7</v>
      </c>
      <c r="N488" s="1">
        <v>7.51E8</v>
      </c>
      <c r="O488" s="1">
        <v>4.59E8</v>
      </c>
      <c r="P488" s="1">
        <v>0.0</v>
      </c>
      <c r="Q488" s="1">
        <v>-1.4E7</v>
      </c>
      <c r="R488" s="1">
        <v>2.15E8</v>
      </c>
      <c r="S488" s="1">
        <v>2.09E8</v>
      </c>
    </row>
    <row r="489">
      <c r="A489" s="1">
        <v>487.0</v>
      </c>
      <c r="B489" s="2">
        <v>44104.0</v>
      </c>
      <c r="C489" s="1" t="s">
        <v>285</v>
      </c>
      <c r="D489" s="1" t="s">
        <v>286</v>
      </c>
      <c r="F489" s="1">
        <v>2.59E8</v>
      </c>
      <c r="G489" s="1">
        <v>2.11E8</v>
      </c>
      <c r="H489" s="1">
        <v>4.15E8</v>
      </c>
      <c r="I489" s="1">
        <v>7.05E8</v>
      </c>
      <c r="J489" s="1">
        <v>0.0</v>
      </c>
      <c r="K489" s="1">
        <v>2.72E8</v>
      </c>
      <c r="M489" s="1">
        <v>4.8E7</v>
      </c>
      <c r="N489" s="1">
        <v>7.05E8</v>
      </c>
      <c r="O489" s="1">
        <v>4.33E8</v>
      </c>
      <c r="P489" s="1">
        <v>0.0</v>
      </c>
      <c r="Q489" s="1">
        <v>-1.3E7</v>
      </c>
      <c r="R489" s="1">
        <v>2.11E8</v>
      </c>
      <c r="S489" s="1">
        <v>2.03E8</v>
      </c>
    </row>
    <row r="490">
      <c r="A490" s="1">
        <v>488.0</v>
      </c>
      <c r="B490" s="2">
        <v>44255.0</v>
      </c>
      <c r="C490" s="1" t="s">
        <v>287</v>
      </c>
      <c r="D490" s="1" t="s">
        <v>288</v>
      </c>
      <c r="F490" s="1">
        <v>3.833E8</v>
      </c>
      <c r="G490" s="1">
        <v>2.814E8</v>
      </c>
      <c r="H490" s="1">
        <v>2.793E8</v>
      </c>
      <c r="I490" s="1">
        <v>7.676E8</v>
      </c>
      <c r="J490" s="1">
        <v>4.883E8</v>
      </c>
      <c r="K490" s="1">
        <v>4.883E8</v>
      </c>
      <c r="L490" s="1">
        <v>-1.01E8</v>
      </c>
      <c r="M490" s="1">
        <v>1.016E8</v>
      </c>
      <c r="N490" s="1">
        <v>2.7711E9</v>
      </c>
      <c r="O490" s="1">
        <v>2.2828E9</v>
      </c>
      <c r="P490" s="1">
        <v>2.0035E9</v>
      </c>
      <c r="Q490" s="1">
        <v>-1.05E8</v>
      </c>
      <c r="R490" s="1">
        <v>2.817E8</v>
      </c>
      <c r="S490" s="1">
        <v>2.814E8</v>
      </c>
    </row>
    <row r="491">
      <c r="A491" s="1">
        <v>489.0</v>
      </c>
      <c r="B491" s="2">
        <v>44164.0</v>
      </c>
      <c r="C491" s="1" t="s">
        <v>287</v>
      </c>
      <c r="D491" s="1" t="s">
        <v>288</v>
      </c>
      <c r="F491" s="1">
        <v>4.602E8</v>
      </c>
      <c r="G491" s="1">
        <v>3.789E8</v>
      </c>
      <c r="H491" s="1">
        <v>3.328E8</v>
      </c>
      <c r="I491" s="1">
        <v>8.984E8</v>
      </c>
      <c r="J491" s="1">
        <v>5.656E8</v>
      </c>
      <c r="K491" s="1">
        <v>5.656E8</v>
      </c>
      <c r="L491" s="1">
        <v>-1.081E8</v>
      </c>
      <c r="M491" s="1">
        <v>8.07E7</v>
      </c>
      <c r="N491" s="1">
        <v>2.9952E9</v>
      </c>
      <c r="O491" s="1">
        <v>2.4296E9</v>
      </c>
      <c r="P491" s="1">
        <v>2.0968E9</v>
      </c>
      <c r="Q491" s="1">
        <v>-1.054E8</v>
      </c>
      <c r="R491" s="1">
        <v>3.795E8</v>
      </c>
      <c r="S491" s="1">
        <v>3.789E8</v>
      </c>
    </row>
    <row r="492">
      <c r="A492" s="1">
        <v>490.0</v>
      </c>
      <c r="B492" s="2">
        <v>44073.0</v>
      </c>
      <c r="C492" s="1" t="s">
        <v>287</v>
      </c>
      <c r="D492" s="1" t="s">
        <v>288</v>
      </c>
      <c r="F492" s="1">
        <v>4.165E8</v>
      </c>
      <c r="G492" s="1">
        <v>3.29E8</v>
      </c>
      <c r="H492" s="1">
        <v>2.703E8</v>
      </c>
      <c r="I492" s="1">
        <v>8.206E8</v>
      </c>
      <c r="J492" s="1">
        <v>5.503E8</v>
      </c>
      <c r="K492" s="1">
        <v>5.503E8</v>
      </c>
      <c r="L492" s="1">
        <v>-1.145E8</v>
      </c>
      <c r="M492" s="1">
        <v>8.67E7</v>
      </c>
      <c r="N492" s="1">
        <v>2.6789E9</v>
      </c>
      <c r="O492" s="1">
        <v>2.1286E9</v>
      </c>
      <c r="P492" s="1">
        <v>1.8583E9</v>
      </c>
      <c r="Q492" s="1">
        <v>-1.338E8</v>
      </c>
      <c r="R492" s="1">
        <v>3.298E8</v>
      </c>
      <c r="S492" s="1">
        <v>3.29E8</v>
      </c>
    </row>
    <row r="493">
      <c r="A493" s="1">
        <v>491.0</v>
      </c>
      <c r="B493" s="2">
        <v>43982.0</v>
      </c>
      <c r="C493" s="1" t="s">
        <v>287</v>
      </c>
      <c r="D493" s="1" t="s">
        <v>288</v>
      </c>
      <c r="F493" s="1">
        <v>2.611E8</v>
      </c>
      <c r="G493" s="1">
        <v>2.014E8</v>
      </c>
      <c r="H493" s="1">
        <v>4.09E8</v>
      </c>
      <c r="I493" s="1">
        <v>9.33E8</v>
      </c>
      <c r="J493" s="1">
        <v>5.24E8</v>
      </c>
      <c r="K493" s="1">
        <v>5.24E8</v>
      </c>
      <c r="L493" s="1">
        <v>-1.261E8</v>
      </c>
      <c r="M493" s="1">
        <v>5.98E7</v>
      </c>
      <c r="N493" s="1">
        <v>3.2879E9</v>
      </c>
      <c r="O493" s="1">
        <v>2.7639E9</v>
      </c>
      <c r="P493" s="1">
        <v>2.3549E9</v>
      </c>
      <c r="Q493" s="1">
        <v>-2.629E8</v>
      </c>
      <c r="R493" s="1">
        <v>2.013E8</v>
      </c>
      <c r="S493" s="1">
        <v>2.014E8</v>
      </c>
    </row>
    <row r="494">
      <c r="A494" s="1">
        <v>492.0</v>
      </c>
      <c r="B494" s="2">
        <v>44377.0</v>
      </c>
      <c r="C494" s="1" t="s">
        <v>289</v>
      </c>
      <c r="D494" s="1" t="s">
        <v>290</v>
      </c>
      <c r="F494" s="1">
        <v>3.08E9</v>
      </c>
      <c r="G494" s="1">
        <v>2.091E9</v>
      </c>
      <c r="H494" s="1">
        <v>1.56E8</v>
      </c>
      <c r="I494" s="1">
        <v>5.318E9</v>
      </c>
      <c r="J494" s="1">
        <v>2.793E9</v>
      </c>
      <c r="K494" s="1">
        <v>2.793E9</v>
      </c>
      <c r="L494" s="1">
        <v>-2.2E8</v>
      </c>
      <c r="M494" s="1">
        <v>9.89E8</v>
      </c>
      <c r="N494" s="1">
        <v>9.695E9</v>
      </c>
      <c r="O494" s="1">
        <v>6.902E9</v>
      </c>
      <c r="P494" s="1">
        <v>4.377E9</v>
      </c>
      <c r="Q494" s="1">
        <v>2.87E8</v>
      </c>
      <c r="R494" s="1">
        <v>2.091E9</v>
      </c>
      <c r="S494" s="1">
        <v>2.091E9</v>
      </c>
    </row>
    <row r="495">
      <c r="A495" s="1">
        <v>493.0</v>
      </c>
      <c r="B495" s="2">
        <v>44286.0</v>
      </c>
      <c r="C495" s="1" t="s">
        <v>289</v>
      </c>
      <c r="D495" s="1" t="s">
        <v>290</v>
      </c>
      <c r="F495" s="1">
        <v>1.714E9</v>
      </c>
      <c r="G495" s="1">
        <v>9.82E8</v>
      </c>
      <c r="H495" s="1">
        <v>2.74E8</v>
      </c>
      <c r="I495" s="1">
        <v>4.138E9</v>
      </c>
      <c r="J495" s="1">
        <v>1.483E9</v>
      </c>
      <c r="K495" s="1">
        <v>1.483E9</v>
      </c>
      <c r="L495" s="1">
        <v>-2.26E8</v>
      </c>
      <c r="M495" s="1">
        <v>7.32E8</v>
      </c>
      <c r="N495" s="1">
        <v>9.948E9</v>
      </c>
      <c r="O495" s="1">
        <v>8.465E9</v>
      </c>
      <c r="P495" s="1">
        <v>5.81E9</v>
      </c>
      <c r="Q495" s="1">
        <v>2.31E8</v>
      </c>
      <c r="R495" s="1">
        <v>9.82E8</v>
      </c>
      <c r="S495" s="1">
        <v>9.82E8</v>
      </c>
    </row>
    <row r="496">
      <c r="A496" s="1">
        <v>494.0</v>
      </c>
      <c r="B496" s="2">
        <v>44196.0</v>
      </c>
      <c r="C496" s="1" t="s">
        <v>289</v>
      </c>
      <c r="D496" s="1" t="s">
        <v>290</v>
      </c>
      <c r="F496" s="1">
        <v>-1.086E9</v>
      </c>
      <c r="G496" s="1">
        <v>-7.72E8</v>
      </c>
      <c r="H496" s="1">
        <v>1.88E8</v>
      </c>
      <c r="I496" s="1">
        <v>1.968E9</v>
      </c>
      <c r="J496" s="1">
        <v>-1.048E9</v>
      </c>
      <c r="K496" s="1">
        <v>-1.048E9</v>
      </c>
      <c r="L496" s="1">
        <v>-2.02E8</v>
      </c>
      <c r="M496" s="1">
        <v>-3.14E8</v>
      </c>
      <c r="N496" s="1">
        <v>5.577E9</v>
      </c>
      <c r="O496" s="1">
        <v>6.625E9</v>
      </c>
      <c r="P496" s="1">
        <v>3.609E9</v>
      </c>
      <c r="Q496" s="1">
        <v>-3.8E7</v>
      </c>
      <c r="R496" s="1">
        <v>-7.72E8</v>
      </c>
      <c r="S496" s="1">
        <v>-7.72E8</v>
      </c>
    </row>
    <row r="497">
      <c r="A497" s="1">
        <v>495.0</v>
      </c>
      <c r="B497" s="2">
        <v>44104.0</v>
      </c>
      <c r="C497" s="1" t="s">
        <v>289</v>
      </c>
      <c r="D497" s="1" t="s">
        <v>290</v>
      </c>
      <c r="F497" s="1">
        <v>-5.12E8</v>
      </c>
      <c r="G497" s="1">
        <v>-4.5E8</v>
      </c>
      <c r="H497" s="1">
        <v>1.15E8</v>
      </c>
      <c r="I497" s="1">
        <v>1.619E9</v>
      </c>
      <c r="J497" s="1">
        <v>-2.75E8</v>
      </c>
      <c r="K497" s="1">
        <v>-2.75E8</v>
      </c>
      <c r="L497" s="1">
        <v>-2.0E8</v>
      </c>
      <c r="M497" s="1">
        <v>-6.2E7</v>
      </c>
      <c r="N497" s="1">
        <v>4.421E9</v>
      </c>
      <c r="O497" s="1">
        <v>4.696E9</v>
      </c>
      <c r="P497" s="1">
        <v>2.802E9</v>
      </c>
      <c r="Q497" s="1">
        <v>-2.37E8</v>
      </c>
      <c r="R497" s="1">
        <v>-4.5E8</v>
      </c>
      <c r="S497" s="1">
        <v>-4.5E8</v>
      </c>
    </row>
    <row r="498">
      <c r="A498" s="1">
        <v>496.0</v>
      </c>
      <c r="B498" s="2">
        <v>44286.0</v>
      </c>
      <c r="C498" s="1" t="s">
        <v>291</v>
      </c>
      <c r="D498" s="1" t="s">
        <v>292</v>
      </c>
      <c r="F498" s="1">
        <v>4.98E8</v>
      </c>
      <c r="G498" s="1">
        <v>4.19E8</v>
      </c>
      <c r="H498" s="1">
        <v>3.3E7</v>
      </c>
      <c r="I498" s="1">
        <v>2.061E9</v>
      </c>
      <c r="J498" s="1">
        <v>8.27E8</v>
      </c>
      <c r="K498" s="1">
        <v>8.27E8</v>
      </c>
      <c r="L498" s="1">
        <v>-2.27E8</v>
      </c>
      <c r="M498" s="1">
        <v>7.8E7</v>
      </c>
      <c r="N498" s="1">
        <v>3.677E9</v>
      </c>
      <c r="O498" s="1">
        <v>2.85E9</v>
      </c>
      <c r="P498" s="1">
        <v>1.616E9</v>
      </c>
      <c r="Q498" s="1">
        <v>-3.29E8</v>
      </c>
      <c r="R498" s="1">
        <v>4.2E8</v>
      </c>
      <c r="S498" s="1">
        <v>4.19E8</v>
      </c>
    </row>
    <row r="499">
      <c r="A499" s="1">
        <v>497.0</v>
      </c>
      <c r="B499" s="2">
        <v>44196.0</v>
      </c>
      <c r="C499" s="1" t="s">
        <v>291</v>
      </c>
      <c r="D499" s="1" t="s">
        <v>292</v>
      </c>
      <c r="F499" s="1">
        <v>-4.4E7</v>
      </c>
      <c r="G499" s="1">
        <v>4.3E7</v>
      </c>
      <c r="H499" s="1">
        <v>-7.9E7</v>
      </c>
      <c r="I499" s="1">
        <v>1.655E9</v>
      </c>
      <c r="J499" s="1">
        <v>5.82E8</v>
      </c>
      <c r="K499" s="1">
        <v>5.82E8</v>
      </c>
      <c r="L499" s="1">
        <v>-3.04E8</v>
      </c>
      <c r="M499" s="1">
        <v>-9.3E7</v>
      </c>
      <c r="N499" s="1">
        <v>2.96E9</v>
      </c>
      <c r="O499" s="1">
        <v>2.378E9</v>
      </c>
      <c r="P499" s="1">
        <v>1.305E9</v>
      </c>
      <c r="Q499" s="1">
        <v>-6.26E8</v>
      </c>
      <c r="R499" s="1">
        <v>4.9E7</v>
      </c>
      <c r="S499" s="1">
        <v>4.3E7</v>
      </c>
    </row>
    <row r="500">
      <c r="A500" s="1">
        <v>498.0</v>
      </c>
      <c r="B500" s="2">
        <v>44104.0</v>
      </c>
      <c r="C500" s="1" t="s">
        <v>291</v>
      </c>
      <c r="D500" s="1" t="s">
        <v>292</v>
      </c>
      <c r="F500" s="1">
        <v>6.21E8</v>
      </c>
      <c r="G500" s="1">
        <v>4.93E8</v>
      </c>
      <c r="H500" s="1">
        <v>9.4E7</v>
      </c>
      <c r="I500" s="1">
        <v>2.015E9</v>
      </c>
      <c r="J500" s="1">
        <v>7.66E8</v>
      </c>
      <c r="K500" s="1">
        <v>7.66E8</v>
      </c>
      <c r="L500" s="1">
        <v>-2.31E8</v>
      </c>
      <c r="M500" s="1">
        <v>1.19E8</v>
      </c>
      <c r="N500" s="1">
        <v>3.333E9</v>
      </c>
      <c r="O500" s="1">
        <v>2.567E9</v>
      </c>
      <c r="P500" s="1">
        <v>1.318E9</v>
      </c>
      <c r="Q500" s="1">
        <v>-1.45E8</v>
      </c>
      <c r="R500" s="1">
        <v>5.02E8</v>
      </c>
      <c r="S500" s="1">
        <v>4.93E8</v>
      </c>
    </row>
    <row r="501">
      <c r="A501" s="1">
        <v>499.0</v>
      </c>
      <c r="B501" s="2">
        <v>44012.0</v>
      </c>
      <c r="C501" s="1" t="s">
        <v>291</v>
      </c>
      <c r="D501" s="1" t="s">
        <v>292</v>
      </c>
      <c r="F501" s="1">
        <v>2.11E8</v>
      </c>
      <c r="G501" s="1">
        <v>1.9E8</v>
      </c>
      <c r="H501" s="1">
        <v>9.4E7</v>
      </c>
      <c r="I501" s="1">
        <v>1.559E9</v>
      </c>
      <c r="J501" s="1">
        <v>3.85E8</v>
      </c>
      <c r="K501" s="1">
        <v>3.85E8</v>
      </c>
      <c r="L501" s="1">
        <v>-2.49E8</v>
      </c>
      <c r="M501" s="1">
        <v>9000000.0</v>
      </c>
      <c r="N501" s="1">
        <v>2.719E9</v>
      </c>
      <c r="O501" s="1">
        <v>2.334E9</v>
      </c>
      <c r="P501" s="1">
        <v>1.16E9</v>
      </c>
      <c r="Q501" s="1">
        <v>-1.74E8</v>
      </c>
      <c r="R501" s="1">
        <v>2.02E8</v>
      </c>
      <c r="S501" s="1">
        <v>1.9E8</v>
      </c>
    </row>
    <row r="502">
      <c r="A502" s="1">
        <v>500.0</v>
      </c>
      <c r="B502" s="2">
        <v>44439.0</v>
      </c>
      <c r="C502" s="1" t="s">
        <v>293</v>
      </c>
      <c r="D502" s="1" t="s">
        <v>294</v>
      </c>
      <c r="F502" s="1">
        <v>1.432E8</v>
      </c>
      <c r="G502" s="1">
        <v>1500000.0</v>
      </c>
      <c r="H502" s="1">
        <v>4.842E8</v>
      </c>
      <c r="I502" s="1">
        <v>1.2296E9</v>
      </c>
      <c r="J502" s="1">
        <v>7.383E8</v>
      </c>
      <c r="K502" s="1">
        <v>7.383E8</v>
      </c>
      <c r="L502" s="1">
        <v>-9.58E7</v>
      </c>
      <c r="M502" s="1">
        <v>1.313E8</v>
      </c>
      <c r="N502" s="1">
        <v>2.3711E9</v>
      </c>
      <c r="O502" s="1">
        <v>1.6328E9</v>
      </c>
      <c r="P502" s="1">
        <v>1.1415E9</v>
      </c>
      <c r="Q502" s="1">
        <v>-5.951E8</v>
      </c>
      <c r="R502" s="1">
        <v>1.19E7</v>
      </c>
      <c r="S502" s="1">
        <v>1500000.0</v>
      </c>
    </row>
    <row r="503">
      <c r="A503" s="1">
        <v>501.0</v>
      </c>
      <c r="B503" s="2">
        <v>44347.0</v>
      </c>
      <c r="C503" s="1" t="s">
        <v>293</v>
      </c>
      <c r="D503" s="1" t="s">
        <v>294</v>
      </c>
      <c r="F503" s="1">
        <v>-9.108E8</v>
      </c>
      <c r="G503" s="1">
        <v>-9.081E8</v>
      </c>
      <c r="H503" s="1">
        <v>3.784E8</v>
      </c>
      <c r="I503" s="1">
        <v>1.1219E9</v>
      </c>
      <c r="J503" s="1">
        <v>7.445E8</v>
      </c>
      <c r="K503" s="1">
        <v>7.445E8</v>
      </c>
      <c r="L503" s="1">
        <v>-8.67E7</v>
      </c>
      <c r="M503" s="1">
        <v>-1.35E7</v>
      </c>
      <c r="N503" s="1">
        <v>2.0265E9</v>
      </c>
      <c r="O503" s="1">
        <v>1.282E9</v>
      </c>
      <c r="P503" s="1">
        <v>9.046E8</v>
      </c>
      <c r="Q503" s="1">
        <v>-1.6553E9</v>
      </c>
      <c r="R503" s="1">
        <v>-8.973E8</v>
      </c>
      <c r="S503" s="1">
        <v>-9.081E8</v>
      </c>
    </row>
    <row r="504">
      <c r="A504" s="1">
        <v>502.0</v>
      </c>
      <c r="B504" s="2">
        <v>44255.0</v>
      </c>
      <c r="C504" s="1" t="s">
        <v>293</v>
      </c>
      <c r="D504" s="1" t="s">
        <v>294</v>
      </c>
      <c r="F504" s="1">
        <v>4.853E8</v>
      </c>
      <c r="G504" s="1">
        <v>3.829E8</v>
      </c>
      <c r="H504" s="1">
        <v>4.536E8</v>
      </c>
      <c r="I504" s="1">
        <v>1.0433E9</v>
      </c>
      <c r="J504" s="1">
        <v>5.901E8</v>
      </c>
      <c r="K504" s="1">
        <v>5.901E8</v>
      </c>
      <c r="L504" s="1">
        <v>-8.98E7</v>
      </c>
      <c r="M504" s="1">
        <v>9.47E7</v>
      </c>
      <c r="N504" s="1">
        <v>1.953E9</v>
      </c>
      <c r="O504" s="1">
        <v>1.3629E9</v>
      </c>
      <c r="P504" s="1">
        <v>9.097E8</v>
      </c>
      <c r="Q504" s="1">
        <v>-1.048E8</v>
      </c>
      <c r="R504" s="1">
        <v>3.906E8</v>
      </c>
      <c r="S504" s="1">
        <v>3.829E8</v>
      </c>
    </row>
    <row r="505">
      <c r="A505" s="1">
        <v>503.0</v>
      </c>
      <c r="B505" s="2">
        <v>44165.0</v>
      </c>
      <c r="C505" s="1" t="s">
        <v>293</v>
      </c>
      <c r="D505" s="1" t="s">
        <v>294</v>
      </c>
      <c r="F505" s="1">
        <v>1.4686E9</v>
      </c>
      <c r="G505" s="1">
        <v>1.2809E9</v>
      </c>
      <c r="H505" s="1">
        <v>4.47E8</v>
      </c>
      <c r="I505" s="1">
        <v>1.3162E9</v>
      </c>
      <c r="J505" s="1">
        <v>8.649E8</v>
      </c>
      <c r="K505" s="1">
        <v>8.649E8</v>
      </c>
      <c r="L505" s="1">
        <v>-9.57E7</v>
      </c>
      <c r="M505" s="1">
        <v>1.766E8</v>
      </c>
      <c r="N505" s="1">
        <v>2.4381E9</v>
      </c>
      <c r="O505" s="1">
        <v>1.5732E9</v>
      </c>
      <c r="P505" s="1">
        <v>1.1219E9</v>
      </c>
      <c r="Q505" s="1">
        <v>6.037E8</v>
      </c>
      <c r="R505" s="1">
        <v>1.292E9</v>
      </c>
      <c r="S505" s="1">
        <v>1.2809E9</v>
      </c>
    </row>
    <row r="506">
      <c r="A506" s="1">
        <v>504.0</v>
      </c>
      <c r="B506" s="2">
        <v>44316.0</v>
      </c>
      <c r="C506" s="1" t="s">
        <v>295</v>
      </c>
      <c r="D506" s="1" t="s">
        <v>296</v>
      </c>
      <c r="F506" s="1">
        <v>3.23535E8</v>
      </c>
      <c r="G506" s="1">
        <v>2.86796E8</v>
      </c>
      <c r="H506" s="1">
        <v>6.1585E7</v>
      </c>
      <c r="I506" s="1">
        <v>3.89696E8</v>
      </c>
      <c r="J506" s="1">
        <v>3.28111E8</v>
      </c>
      <c r="K506" s="1">
        <v>3.28111E8</v>
      </c>
      <c r="L506" s="1">
        <v>-5346000.0</v>
      </c>
      <c r="M506" s="1">
        <v>3.6739E7</v>
      </c>
      <c r="N506" s="1">
        <v>7.3391E8</v>
      </c>
      <c r="O506" s="1">
        <v>4.05799E8</v>
      </c>
      <c r="P506" s="1">
        <v>3.44214E8</v>
      </c>
      <c r="Q506" s="1">
        <v>-4576000.0</v>
      </c>
      <c r="R506" s="1">
        <v>2.86796E8</v>
      </c>
      <c r="S506" s="1">
        <v>2.86796E8</v>
      </c>
    </row>
    <row r="507">
      <c r="A507" s="1">
        <v>505.0</v>
      </c>
      <c r="B507" s="2">
        <v>44227.0</v>
      </c>
      <c r="C507" s="1" t="s">
        <v>295</v>
      </c>
      <c r="D507" s="1" t="s">
        <v>296</v>
      </c>
      <c r="F507" s="1">
        <v>2.52452E8</v>
      </c>
      <c r="G507" s="1">
        <v>1.9344E8</v>
      </c>
      <c r="H507" s="1">
        <v>5.7719E7</v>
      </c>
      <c r="I507" s="1">
        <v>3.1594E8</v>
      </c>
      <c r="J507" s="1">
        <v>2.58221E8</v>
      </c>
      <c r="K507" s="1">
        <v>2.58221E8</v>
      </c>
      <c r="L507" s="1">
        <v>-4849000.0</v>
      </c>
      <c r="M507" s="1">
        <v>5.9012E7</v>
      </c>
      <c r="N507" s="1">
        <v>6.17031E8</v>
      </c>
      <c r="O507" s="1">
        <v>3.5881E8</v>
      </c>
      <c r="P507" s="1">
        <v>3.01091E8</v>
      </c>
      <c r="Q507" s="1">
        <v>-5769000.0</v>
      </c>
      <c r="R507" s="1">
        <v>1.9344E8</v>
      </c>
      <c r="S507" s="1">
        <v>1.9344E8</v>
      </c>
    </row>
    <row r="508">
      <c r="A508" s="1">
        <v>506.0</v>
      </c>
      <c r="B508" s="2">
        <v>44135.0</v>
      </c>
      <c r="C508" s="1" t="s">
        <v>295</v>
      </c>
      <c r="D508" s="1" t="s">
        <v>296</v>
      </c>
      <c r="F508" s="1">
        <v>2.46815E8</v>
      </c>
      <c r="G508" s="1">
        <v>2.00285E8</v>
      </c>
      <c r="H508" s="1">
        <v>5.7216E7</v>
      </c>
      <c r="I508" s="1">
        <v>3.0581E8</v>
      </c>
      <c r="J508" s="1">
        <v>2.48594E8</v>
      </c>
      <c r="K508" s="1">
        <v>2.48594E8</v>
      </c>
      <c r="L508" s="1">
        <v>-5032000.0</v>
      </c>
      <c r="M508" s="1">
        <v>4.653E7</v>
      </c>
      <c r="N508" s="1">
        <v>5.9294E8</v>
      </c>
      <c r="O508" s="1">
        <v>3.44346E8</v>
      </c>
      <c r="P508" s="1">
        <v>2.8713E8</v>
      </c>
      <c r="Q508" s="1">
        <v>-1779000.0</v>
      </c>
      <c r="R508" s="1">
        <v>2.00285E8</v>
      </c>
      <c r="S508" s="1">
        <v>2.00285E8</v>
      </c>
    </row>
    <row r="509">
      <c r="A509" s="1">
        <v>507.0</v>
      </c>
      <c r="B509" s="2">
        <v>44043.0</v>
      </c>
      <c r="C509" s="1" t="s">
        <v>295</v>
      </c>
      <c r="D509" s="1" t="s">
        <v>296</v>
      </c>
      <c r="F509" s="1">
        <v>2.01883E8</v>
      </c>
      <c r="G509" s="1">
        <v>1.65533E8</v>
      </c>
      <c r="H509" s="1">
        <v>1.2002E7</v>
      </c>
      <c r="I509" s="1">
        <v>2.17717E8</v>
      </c>
      <c r="J509" s="1">
        <v>2.05715E8</v>
      </c>
      <c r="K509" s="1">
        <v>2.05715E8</v>
      </c>
      <c r="L509" s="1">
        <v>-4902000.0</v>
      </c>
      <c r="M509" s="1">
        <v>3.635E7</v>
      </c>
      <c r="N509" s="1">
        <v>5.25659E8</v>
      </c>
      <c r="O509" s="1">
        <v>3.19944E8</v>
      </c>
      <c r="P509" s="1">
        <v>3.07942E8</v>
      </c>
      <c r="Q509" s="1">
        <v>-3832000.0</v>
      </c>
      <c r="R509" s="1">
        <v>1.65533E8</v>
      </c>
      <c r="S509" s="1">
        <v>1.65533E8</v>
      </c>
    </row>
    <row r="510">
      <c r="A510" s="1">
        <v>508.0</v>
      </c>
      <c r="B510" s="2">
        <v>44377.0</v>
      </c>
      <c r="C510" s="1" t="s">
        <v>297</v>
      </c>
      <c r="D510" s="1" t="s">
        <v>298</v>
      </c>
      <c r="E510" s="1">
        <v>2.38E8</v>
      </c>
      <c r="F510" s="1">
        <v>5.16E8</v>
      </c>
      <c r="G510" s="1">
        <v>4.49E8</v>
      </c>
      <c r="H510" s="1">
        <v>4.42E8</v>
      </c>
      <c r="I510" s="1">
        <v>1.309E9</v>
      </c>
      <c r="J510" s="1">
        <v>5.96E8</v>
      </c>
      <c r="K510" s="1">
        <v>5.96E8</v>
      </c>
      <c r="L510" s="1">
        <v>-7.8E7</v>
      </c>
      <c r="M510" s="1">
        <v>6.7E7</v>
      </c>
      <c r="N510" s="1">
        <v>3.501E9</v>
      </c>
      <c r="O510" s="1">
        <v>2.905E9</v>
      </c>
      <c r="P510" s="1">
        <v>2.192E9</v>
      </c>
      <c r="Q510" s="1">
        <v>-8.0E7</v>
      </c>
      <c r="R510" s="1">
        <v>4.49E8</v>
      </c>
      <c r="S510" s="1">
        <v>-3.54E8</v>
      </c>
    </row>
    <row r="511">
      <c r="A511" s="1">
        <v>509.0</v>
      </c>
      <c r="B511" s="2">
        <v>44286.0</v>
      </c>
      <c r="C511" s="1" t="s">
        <v>297</v>
      </c>
      <c r="D511" s="1" t="s">
        <v>298</v>
      </c>
      <c r="E511" s="1">
        <v>2.22E8</v>
      </c>
      <c r="F511" s="1">
        <v>8.25E8</v>
      </c>
      <c r="G511" s="1">
        <v>5.99E8</v>
      </c>
      <c r="H511" s="1">
        <v>3.72E8</v>
      </c>
      <c r="I511" s="1">
        <v>1.156E9</v>
      </c>
      <c r="J511" s="1">
        <v>5.3E8</v>
      </c>
      <c r="K511" s="1">
        <v>5.3E8</v>
      </c>
      <c r="L511" s="1">
        <v>-7.7E7</v>
      </c>
      <c r="M511" s="1">
        <v>2.26E8</v>
      </c>
      <c r="N511" s="1">
        <v>3.29E9</v>
      </c>
      <c r="O511" s="1">
        <v>2.76E9</v>
      </c>
      <c r="P511" s="1">
        <v>2.134E9</v>
      </c>
      <c r="Q511" s="1">
        <v>2.95E8</v>
      </c>
      <c r="R511" s="1">
        <v>5.99E8</v>
      </c>
      <c r="S511" s="1">
        <v>5.75E8</v>
      </c>
    </row>
    <row r="512">
      <c r="A512" s="1">
        <v>510.0</v>
      </c>
      <c r="B512" s="2">
        <v>44196.0</v>
      </c>
      <c r="C512" s="1" t="s">
        <v>297</v>
      </c>
      <c r="D512" s="1" t="s">
        <v>298</v>
      </c>
      <c r="E512" s="1">
        <v>2.28E8</v>
      </c>
      <c r="F512" s="1">
        <v>3.3E8</v>
      </c>
      <c r="G512" s="1">
        <v>2.52E8</v>
      </c>
      <c r="H512" s="1">
        <v>4.55E8</v>
      </c>
      <c r="I512" s="1">
        <v>1.273E9</v>
      </c>
      <c r="J512" s="1">
        <v>5.56E8</v>
      </c>
      <c r="K512" s="1">
        <v>5.56E8</v>
      </c>
      <c r="L512" s="1">
        <v>-7.5E7</v>
      </c>
      <c r="M512" s="1">
        <v>7.8E7</v>
      </c>
      <c r="N512" s="1">
        <v>3.35E9</v>
      </c>
      <c r="O512" s="1">
        <v>2.794E9</v>
      </c>
      <c r="P512" s="1">
        <v>2.077E9</v>
      </c>
      <c r="Q512" s="1">
        <v>-2.26E8</v>
      </c>
      <c r="R512" s="1">
        <v>2.52E8</v>
      </c>
      <c r="S512" s="1">
        <v>2.27E8</v>
      </c>
    </row>
    <row r="513">
      <c r="A513" s="1">
        <v>511.0</v>
      </c>
      <c r="B513" s="2">
        <v>44104.0</v>
      </c>
      <c r="C513" s="1" t="s">
        <v>297</v>
      </c>
      <c r="D513" s="1" t="s">
        <v>298</v>
      </c>
      <c r="E513" s="1">
        <v>2.13E8</v>
      </c>
      <c r="F513" s="1">
        <v>4.5E8</v>
      </c>
      <c r="G513" s="1">
        <v>4.27E8</v>
      </c>
      <c r="H513" s="1">
        <v>4.47E8</v>
      </c>
      <c r="I513" s="1">
        <v>1.125E9</v>
      </c>
      <c r="J513" s="1">
        <v>4.32E8</v>
      </c>
      <c r="K513" s="1">
        <v>4.32E8</v>
      </c>
      <c r="L513" s="1">
        <v>-7.0E7</v>
      </c>
      <c r="M513" s="1">
        <v>2.3E7</v>
      </c>
      <c r="N513" s="1">
        <v>3.001E9</v>
      </c>
      <c r="O513" s="1">
        <v>2.569E9</v>
      </c>
      <c r="P513" s="1">
        <v>1.876E9</v>
      </c>
      <c r="Q513" s="1">
        <v>1.8E7</v>
      </c>
      <c r="R513" s="1">
        <v>4.27E8</v>
      </c>
      <c r="S513" s="1">
        <v>4.03E8</v>
      </c>
    </row>
    <row r="514">
      <c r="A514" s="1">
        <v>512.0</v>
      </c>
      <c r="B514" s="2">
        <v>44377.0</v>
      </c>
      <c r="C514" s="1" t="s">
        <v>299</v>
      </c>
      <c r="D514" s="1" t="s">
        <v>300</v>
      </c>
      <c r="E514" s="1">
        <v>2.93E8</v>
      </c>
      <c r="F514" s="1">
        <v>1.302E9</v>
      </c>
      <c r="G514" s="1">
        <v>9.7E8</v>
      </c>
      <c r="H514" s="1">
        <v>6.7E8</v>
      </c>
      <c r="I514" s="1">
        <v>2.617E9</v>
      </c>
      <c r="J514" s="1">
        <v>1.474E9</v>
      </c>
      <c r="K514" s="1">
        <v>1.474E9</v>
      </c>
      <c r="L514" s="1">
        <v>-7000000.0</v>
      </c>
      <c r="M514" s="1">
        <v>2.84E8</v>
      </c>
      <c r="N514" s="1">
        <v>5.627E9</v>
      </c>
      <c r="O514" s="1">
        <v>4.153E9</v>
      </c>
      <c r="P514" s="1">
        <v>3.01E9</v>
      </c>
      <c r="Q514" s="1">
        <v>-1.72E8</v>
      </c>
      <c r="R514" s="1">
        <v>1.018E9</v>
      </c>
      <c r="S514" s="1">
        <v>9.7E8</v>
      </c>
    </row>
    <row r="515">
      <c r="A515" s="1">
        <v>513.0</v>
      </c>
      <c r="B515" s="2">
        <v>44286.0</v>
      </c>
      <c r="C515" s="1" t="s">
        <v>299</v>
      </c>
      <c r="D515" s="1" t="s">
        <v>300</v>
      </c>
      <c r="E515" s="1">
        <v>2.81E8</v>
      </c>
      <c r="F515" s="1">
        <v>7.91E8</v>
      </c>
      <c r="G515" s="1">
        <v>6.0E8</v>
      </c>
      <c r="H515" s="1">
        <v>4.08E8</v>
      </c>
      <c r="I515" s="1">
        <v>1.758E9</v>
      </c>
      <c r="J515" s="1">
        <v>8.86E8</v>
      </c>
      <c r="K515" s="1">
        <v>8.86E8</v>
      </c>
      <c r="L515" s="1">
        <v>-7000000.0</v>
      </c>
      <c r="M515" s="1">
        <v>1.78E8</v>
      </c>
      <c r="N515" s="1">
        <v>4.178E9</v>
      </c>
      <c r="O515" s="1">
        <v>3.292E9</v>
      </c>
      <c r="P515" s="1">
        <v>2.42E9</v>
      </c>
      <c r="Q515" s="1">
        <v>-9.5E7</v>
      </c>
      <c r="R515" s="1">
        <v>6.13E8</v>
      </c>
      <c r="S515" s="1">
        <v>6.0E8</v>
      </c>
    </row>
    <row r="516">
      <c r="A516" s="1">
        <v>514.0</v>
      </c>
      <c r="B516" s="2">
        <v>44196.0</v>
      </c>
      <c r="C516" s="1" t="s">
        <v>299</v>
      </c>
      <c r="D516" s="1" t="s">
        <v>300</v>
      </c>
      <c r="E516" s="1">
        <v>3.05E8</v>
      </c>
      <c r="F516" s="1">
        <v>-7.0E7</v>
      </c>
      <c r="G516" s="1">
        <v>4.1E7</v>
      </c>
      <c r="H516" s="1">
        <v>6.31E8</v>
      </c>
      <c r="I516" s="1">
        <v>1.095E9</v>
      </c>
      <c r="J516" s="1">
        <v>-2.2E7</v>
      </c>
      <c r="K516" s="1">
        <v>-2.2E7</v>
      </c>
      <c r="L516" s="1">
        <v>-1.0E7</v>
      </c>
      <c r="M516" s="1">
        <v>-1.69E8</v>
      </c>
      <c r="N516" s="1">
        <v>3.207E9</v>
      </c>
      <c r="O516" s="1">
        <v>3.229E9</v>
      </c>
      <c r="P516" s="1">
        <v>2.112E9</v>
      </c>
      <c r="Q516" s="1">
        <v>-4.8E7</v>
      </c>
      <c r="R516" s="1">
        <v>9.9E7</v>
      </c>
      <c r="S516" s="1">
        <v>4.1E7</v>
      </c>
    </row>
    <row r="517">
      <c r="A517" s="1">
        <v>515.0</v>
      </c>
      <c r="B517" s="2">
        <v>44104.0</v>
      </c>
      <c r="C517" s="1" t="s">
        <v>299</v>
      </c>
      <c r="D517" s="1" t="s">
        <v>300</v>
      </c>
      <c r="E517" s="1">
        <v>2.84E8</v>
      </c>
      <c r="F517" s="1">
        <v>-5.07E8</v>
      </c>
      <c r="G517" s="1">
        <v>-3.92E8</v>
      </c>
      <c r="H517" s="1">
        <v>5.04E8</v>
      </c>
      <c r="I517" s="1">
        <v>5.66E8</v>
      </c>
      <c r="J517" s="1">
        <v>-3.84E8</v>
      </c>
      <c r="K517" s="1">
        <v>-3.84E8</v>
      </c>
      <c r="L517" s="1">
        <v>-1.1E7</v>
      </c>
      <c r="M517" s="1">
        <v>-1.17E8</v>
      </c>
      <c r="N517" s="1">
        <v>1.863E9</v>
      </c>
      <c r="O517" s="1">
        <v>2.247E9</v>
      </c>
      <c r="P517" s="1">
        <v>1.297E9</v>
      </c>
      <c r="Q517" s="1">
        <v>-1.23E8</v>
      </c>
      <c r="R517" s="1">
        <v>-3.9E8</v>
      </c>
      <c r="S517" s="1">
        <v>-3.92E8</v>
      </c>
    </row>
    <row r="518">
      <c r="A518" s="1">
        <v>516.0</v>
      </c>
      <c r="B518" s="2">
        <v>44437.0</v>
      </c>
      <c r="C518" s="1" t="s">
        <v>301</v>
      </c>
      <c r="D518" s="1" t="s">
        <v>302</v>
      </c>
      <c r="F518" s="1">
        <v>2.291E9</v>
      </c>
      <c r="G518" s="1">
        <v>1.67E9</v>
      </c>
      <c r="H518" s="1">
        <v>5.632E9</v>
      </c>
      <c r="I518" s="1">
        <v>7.942E9</v>
      </c>
      <c r="J518" s="1">
        <v>2.275E9</v>
      </c>
      <c r="K518" s="1">
        <v>2.275E9</v>
      </c>
      <c r="L518" s="1">
        <v>-5.2E7</v>
      </c>
      <c r="M518" s="1">
        <v>5.97E8</v>
      </c>
      <c r="N518" s="1">
        <v>6.2675E10</v>
      </c>
      <c r="O518" s="1">
        <v>6.04E10</v>
      </c>
      <c r="P518" s="1">
        <v>5.4733E10</v>
      </c>
      <c r="Q518" s="1">
        <v>1.6E7</v>
      </c>
      <c r="R518" s="1">
        <v>1.694E9</v>
      </c>
      <c r="S518" s="1">
        <v>1.67E9</v>
      </c>
    </row>
    <row r="519">
      <c r="A519" s="1">
        <v>517.0</v>
      </c>
      <c r="B519" s="2">
        <v>44325.0</v>
      </c>
      <c r="C519" s="1" t="s">
        <v>301</v>
      </c>
      <c r="D519" s="1" t="s">
        <v>302</v>
      </c>
      <c r="F519" s="1">
        <v>1.65E9</v>
      </c>
      <c r="G519" s="1">
        <v>1.22E9</v>
      </c>
      <c r="H519" s="1">
        <v>4.189E9</v>
      </c>
      <c r="I519" s="1">
        <v>5.862E9</v>
      </c>
      <c r="J519" s="1">
        <v>1.663E9</v>
      </c>
      <c r="K519" s="1">
        <v>1.663E9</v>
      </c>
      <c r="L519" s="1">
        <v>-4.0E7</v>
      </c>
      <c r="M519" s="1">
        <v>4.17E8</v>
      </c>
      <c r="N519" s="1">
        <v>4.5277E10</v>
      </c>
      <c r="O519" s="1">
        <v>4.3614E10</v>
      </c>
      <c r="P519" s="1">
        <v>3.9415E10</v>
      </c>
      <c r="Q519" s="1">
        <v>-1.3E7</v>
      </c>
      <c r="R519" s="1">
        <v>1.233E9</v>
      </c>
      <c r="S519" s="1">
        <v>1.22E9</v>
      </c>
    </row>
    <row r="520">
      <c r="A520" s="1">
        <v>518.0</v>
      </c>
      <c r="B520" s="2">
        <v>44241.0</v>
      </c>
      <c r="C520" s="1" t="s">
        <v>301</v>
      </c>
      <c r="D520" s="1" t="s">
        <v>302</v>
      </c>
      <c r="F520" s="1">
        <v>1.319E9</v>
      </c>
      <c r="G520" s="1">
        <v>9.51E8</v>
      </c>
      <c r="H520" s="1">
        <v>4.342E9</v>
      </c>
      <c r="I520" s="1">
        <v>5.691E9</v>
      </c>
      <c r="J520" s="1">
        <v>1.34E9</v>
      </c>
      <c r="K520" s="1">
        <v>1.34E9</v>
      </c>
      <c r="L520" s="1">
        <v>-4.0E7</v>
      </c>
      <c r="M520" s="1">
        <v>3.48E8</v>
      </c>
      <c r="N520" s="1">
        <v>4.4769E10</v>
      </c>
      <c r="O520" s="1">
        <v>4.3429E10</v>
      </c>
      <c r="P520" s="1">
        <v>3.9078E10</v>
      </c>
      <c r="Q520" s="1">
        <v>-2.1E7</v>
      </c>
      <c r="R520" s="1">
        <v>9.71E8</v>
      </c>
      <c r="S520" s="1">
        <v>9.51E8</v>
      </c>
    </row>
    <row r="521">
      <c r="A521" s="1">
        <v>519.0</v>
      </c>
      <c r="B521" s="2">
        <v>44157.0</v>
      </c>
      <c r="C521" s="1" t="s">
        <v>301</v>
      </c>
      <c r="D521" s="1" t="s">
        <v>302</v>
      </c>
      <c r="F521" s="1">
        <v>1.42E9</v>
      </c>
      <c r="G521" s="1">
        <v>1.166E9</v>
      </c>
      <c r="H521" s="1">
        <v>4.298E9</v>
      </c>
      <c r="I521" s="1">
        <v>5.75E9</v>
      </c>
      <c r="J521" s="1">
        <v>1.43E9</v>
      </c>
      <c r="K521" s="1">
        <v>1.43E9</v>
      </c>
      <c r="L521" s="1">
        <v>-3.9E7</v>
      </c>
      <c r="M521" s="1">
        <v>2.39E8</v>
      </c>
      <c r="N521" s="1">
        <v>4.3208E10</v>
      </c>
      <c r="O521" s="1">
        <v>4.1778E10</v>
      </c>
      <c r="P521" s="1">
        <v>3.7458E10</v>
      </c>
      <c r="Q521" s="1">
        <v>-1.0E7</v>
      </c>
      <c r="R521" s="1">
        <v>1.181E9</v>
      </c>
      <c r="S521" s="1">
        <v>1.166E9</v>
      </c>
    </row>
    <row r="522">
      <c r="A522" s="1">
        <v>520.0</v>
      </c>
      <c r="B522" s="2">
        <v>44377.0</v>
      </c>
      <c r="C522" s="1" t="s">
        <v>303</v>
      </c>
      <c r="D522" s="1" t="s">
        <v>304</v>
      </c>
      <c r="F522" s="1">
        <v>4.1304E7</v>
      </c>
      <c r="G522" s="1">
        <v>3.0464E7</v>
      </c>
      <c r="H522" s="1">
        <v>1.6837E7</v>
      </c>
      <c r="I522" s="1">
        <v>2.62146E8</v>
      </c>
      <c r="J522" s="1">
        <v>6.0088E7</v>
      </c>
      <c r="K522" s="1">
        <v>6.0088E7</v>
      </c>
      <c r="L522" s="1">
        <v>-1.2558E7</v>
      </c>
      <c r="M522" s="1">
        <v>1.084E7</v>
      </c>
      <c r="N522" s="1">
        <v>4.11788E8</v>
      </c>
      <c r="O522" s="1">
        <v>3.517E8</v>
      </c>
      <c r="P522" s="1">
        <v>1.49642E8</v>
      </c>
      <c r="Q522" s="1">
        <v>-1.8784E7</v>
      </c>
      <c r="R522" s="1">
        <v>3.0464E7</v>
      </c>
      <c r="S522" s="1">
        <v>3.0464E7</v>
      </c>
    </row>
    <row r="523">
      <c r="A523" s="1">
        <v>521.0</v>
      </c>
      <c r="B523" s="2">
        <v>44286.0</v>
      </c>
      <c r="C523" s="1" t="s">
        <v>303</v>
      </c>
      <c r="D523" s="1" t="s">
        <v>304</v>
      </c>
      <c r="F523" s="1">
        <v>1.63015E8</v>
      </c>
      <c r="G523" s="1">
        <v>1.26354E8</v>
      </c>
      <c r="H523" s="1">
        <v>2.6755E7</v>
      </c>
      <c r="I523" s="1">
        <v>3.1934E8</v>
      </c>
      <c r="J523" s="1">
        <v>1.77767E8</v>
      </c>
      <c r="K523" s="1">
        <v>1.77767E8</v>
      </c>
      <c r="L523" s="1">
        <v>-1.2377E7</v>
      </c>
      <c r="M523" s="1">
        <v>3.6661E7</v>
      </c>
      <c r="N523" s="1">
        <v>4.72918E8</v>
      </c>
      <c r="O523" s="1">
        <v>2.95151E8</v>
      </c>
      <c r="P523" s="1">
        <v>1.53578E8</v>
      </c>
      <c r="Q523" s="1">
        <v>-1.4752E7</v>
      </c>
      <c r="R523" s="1">
        <v>1.26354E8</v>
      </c>
      <c r="S523" s="1">
        <v>1.26354E8</v>
      </c>
    </row>
    <row r="524">
      <c r="A524" s="1">
        <v>522.0</v>
      </c>
      <c r="B524" s="2">
        <v>44196.0</v>
      </c>
      <c r="C524" s="1" t="s">
        <v>303</v>
      </c>
      <c r="D524" s="1" t="s">
        <v>304</v>
      </c>
      <c r="F524" s="1">
        <v>1.51853E8</v>
      </c>
      <c r="G524" s="1">
        <v>1.31206E8</v>
      </c>
      <c r="H524" s="1">
        <v>2.4534E7</v>
      </c>
      <c r="I524" s="1">
        <v>2.49079E8</v>
      </c>
      <c r="J524" s="1">
        <v>1.63244E8</v>
      </c>
      <c r="K524" s="1">
        <v>1.63244E8</v>
      </c>
      <c r="L524" s="1">
        <v>-1.0981E7</v>
      </c>
      <c r="M524" s="1">
        <v>2.0647E7</v>
      </c>
      <c r="N524" s="1">
        <v>4.13157E8</v>
      </c>
      <c r="O524" s="1">
        <v>2.49913E8</v>
      </c>
      <c r="P524" s="1">
        <v>1.64078E8</v>
      </c>
      <c r="Q524" s="1">
        <v>-1.1391E7</v>
      </c>
      <c r="R524" s="1">
        <v>1.31206E8</v>
      </c>
      <c r="S524" s="1">
        <v>1.31206E8</v>
      </c>
    </row>
    <row r="525">
      <c r="A525" s="1">
        <v>523.0</v>
      </c>
      <c r="B525" s="2">
        <v>44104.0</v>
      </c>
      <c r="C525" s="1" t="s">
        <v>303</v>
      </c>
      <c r="D525" s="1" t="s">
        <v>304</v>
      </c>
      <c r="F525" s="1">
        <v>-2.1979E7</v>
      </c>
      <c r="G525" s="1">
        <v>-1.4961E7</v>
      </c>
      <c r="H525" s="1">
        <v>2.4262E7</v>
      </c>
      <c r="I525" s="1">
        <v>1.66115E8</v>
      </c>
      <c r="J525" s="1">
        <v>-7564000.0</v>
      </c>
      <c r="K525" s="1">
        <v>-7564000.0</v>
      </c>
      <c r="L525" s="1">
        <v>-1.4389E7</v>
      </c>
      <c r="M525" s="1">
        <v>-7018000.0</v>
      </c>
      <c r="N525" s="1">
        <v>3.33294E8</v>
      </c>
      <c r="O525" s="1">
        <v>3.40858E8</v>
      </c>
      <c r="P525" s="1">
        <v>1.67179E8</v>
      </c>
      <c r="Q525" s="1">
        <v>-1.4415E7</v>
      </c>
      <c r="R525" s="1">
        <v>-1.4961E7</v>
      </c>
      <c r="S525" s="1">
        <v>-1.4961E7</v>
      </c>
    </row>
    <row r="526">
      <c r="A526" s="1">
        <v>524.0</v>
      </c>
      <c r="B526" s="2">
        <v>44377.0</v>
      </c>
      <c r="C526" s="1" t="s">
        <v>305</v>
      </c>
      <c r="D526" s="1" t="s">
        <v>306</v>
      </c>
      <c r="F526" s="1">
        <v>3.39E8</v>
      </c>
      <c r="G526" s="1">
        <v>3.34E8</v>
      </c>
      <c r="H526" s="1">
        <v>1.69E8</v>
      </c>
      <c r="I526" s="1">
        <v>1.089E9</v>
      </c>
      <c r="J526" s="1">
        <v>5.12E8</v>
      </c>
      <c r="K526" s="1">
        <v>5.12E8</v>
      </c>
      <c r="L526" s="1">
        <v>-1.61E8</v>
      </c>
      <c r="M526" s="1">
        <v>6000000.0</v>
      </c>
      <c r="N526" s="1">
        <v>1.583E9</v>
      </c>
      <c r="O526" s="1">
        <v>1.071E9</v>
      </c>
      <c r="P526" s="1">
        <v>4.94E8</v>
      </c>
      <c r="Q526" s="1">
        <v>-1.73E8</v>
      </c>
      <c r="R526" s="1">
        <v>3.33E8</v>
      </c>
      <c r="S526" s="1">
        <v>3.34E8</v>
      </c>
    </row>
    <row r="527">
      <c r="A527" s="1">
        <v>525.0</v>
      </c>
      <c r="B527" s="2">
        <v>44286.0</v>
      </c>
      <c r="C527" s="1" t="s">
        <v>305</v>
      </c>
      <c r="D527" s="1" t="s">
        <v>306</v>
      </c>
      <c r="F527" s="1">
        <v>1.28E8</v>
      </c>
      <c r="G527" s="1">
        <v>5.8E7</v>
      </c>
      <c r="H527" s="1">
        <v>1.64E8</v>
      </c>
      <c r="I527" s="1">
        <v>1.023E9</v>
      </c>
      <c r="J527" s="1">
        <v>4.51E8</v>
      </c>
      <c r="K527" s="1">
        <v>4.51E8</v>
      </c>
      <c r="L527" s="1">
        <v>-1.7E8</v>
      </c>
      <c r="M527" s="1">
        <v>7000000.0</v>
      </c>
      <c r="N527" s="1">
        <v>1.485E9</v>
      </c>
      <c r="O527" s="1">
        <v>1.034E9</v>
      </c>
      <c r="P527" s="1">
        <v>4.62E8</v>
      </c>
      <c r="Q527" s="1">
        <v>-3.23E8</v>
      </c>
      <c r="R527" s="1">
        <v>1.21E8</v>
      </c>
      <c r="S527" s="1">
        <v>5.8E7</v>
      </c>
    </row>
    <row r="528">
      <c r="A528" s="1">
        <v>526.0</v>
      </c>
      <c r="B528" s="2">
        <v>44196.0</v>
      </c>
      <c r="C528" s="1" t="s">
        <v>305</v>
      </c>
      <c r="D528" s="1" t="s">
        <v>306</v>
      </c>
      <c r="F528" s="1">
        <v>5.12E8</v>
      </c>
      <c r="G528" s="1">
        <v>5.08E8</v>
      </c>
      <c r="H528" s="1">
        <v>1.85E8</v>
      </c>
      <c r="I528" s="1">
        <v>9.91E8</v>
      </c>
      <c r="J528" s="1">
        <v>4.05E8</v>
      </c>
      <c r="K528" s="1">
        <v>4.05E8</v>
      </c>
      <c r="L528" s="1">
        <v>-1.68E8</v>
      </c>
      <c r="M528" s="1">
        <v>4000000.0</v>
      </c>
      <c r="N528" s="1">
        <v>1.493E9</v>
      </c>
      <c r="O528" s="1">
        <v>1.088E9</v>
      </c>
      <c r="P528" s="1">
        <v>5.02E8</v>
      </c>
      <c r="Q528" s="1">
        <v>1.07E8</v>
      </c>
      <c r="R528" s="1">
        <v>5.08E8</v>
      </c>
      <c r="S528" s="1">
        <v>5.08E8</v>
      </c>
    </row>
    <row r="529">
      <c r="A529" s="1">
        <v>527.0</v>
      </c>
      <c r="B529" s="2">
        <v>44104.0</v>
      </c>
      <c r="C529" s="1" t="s">
        <v>305</v>
      </c>
      <c r="D529" s="1" t="s">
        <v>306</v>
      </c>
      <c r="F529" s="1">
        <v>1.68E8</v>
      </c>
      <c r="G529" s="1">
        <v>1.63E8</v>
      </c>
      <c r="H529" s="1">
        <v>1.54E8</v>
      </c>
      <c r="I529" s="1">
        <v>9.99E8</v>
      </c>
      <c r="J529" s="1">
        <v>4.39E8</v>
      </c>
      <c r="K529" s="1">
        <v>4.39E8</v>
      </c>
      <c r="L529" s="1">
        <v>-1.68E8</v>
      </c>
      <c r="M529" s="1">
        <v>5000000.0</v>
      </c>
      <c r="N529" s="1">
        <v>1.486E9</v>
      </c>
      <c r="O529" s="1">
        <v>1.047E9</v>
      </c>
      <c r="P529" s="1">
        <v>4.87E8</v>
      </c>
      <c r="Q529" s="1">
        <v>-2.71E8</v>
      </c>
      <c r="R529" s="1">
        <v>1.63E8</v>
      </c>
      <c r="S529" s="1">
        <v>1.63E8</v>
      </c>
    </row>
    <row r="530">
      <c r="A530" s="1">
        <v>528.0</v>
      </c>
      <c r="B530" s="2">
        <v>44469.0</v>
      </c>
      <c r="C530" s="1" t="s">
        <v>307</v>
      </c>
      <c r="D530" s="1" t="s">
        <v>307</v>
      </c>
      <c r="F530" s="1">
        <v>1.279E9</v>
      </c>
      <c r="G530" s="1">
        <v>9.68E8</v>
      </c>
      <c r="I530" s="1">
        <v>1.76E9</v>
      </c>
      <c r="J530" s="1">
        <v>1.393E9</v>
      </c>
      <c r="K530" s="1">
        <v>1.393E9</v>
      </c>
      <c r="L530" s="1">
        <v>-1.77E8</v>
      </c>
      <c r="M530" s="1">
        <v>3.11E8</v>
      </c>
      <c r="N530" s="1">
        <v>3.292E9</v>
      </c>
      <c r="O530" s="1">
        <v>1.899E9</v>
      </c>
      <c r="P530" s="1">
        <v>1.532E9</v>
      </c>
      <c r="Q530" s="1">
        <v>-1.14E8</v>
      </c>
      <c r="R530" s="1">
        <v>9.68E8</v>
      </c>
      <c r="S530" s="1">
        <v>9.68E8</v>
      </c>
    </row>
    <row r="531">
      <c r="A531" s="1">
        <v>529.0</v>
      </c>
      <c r="B531" s="2">
        <v>44377.0</v>
      </c>
      <c r="C531" s="1" t="s">
        <v>307</v>
      </c>
      <c r="D531" s="1" t="s">
        <v>307</v>
      </c>
      <c r="F531" s="1">
        <v>1.53E9</v>
      </c>
      <c r="G531" s="1">
        <v>1.173E9</v>
      </c>
      <c r="I531" s="1">
        <v>1.689E9</v>
      </c>
      <c r="J531" s="1">
        <v>1.341E9</v>
      </c>
      <c r="K531" s="1">
        <v>1.341E9</v>
      </c>
      <c r="L531" s="1">
        <v>-1.81E8</v>
      </c>
      <c r="M531" s="1">
        <v>3.57E8</v>
      </c>
      <c r="N531" s="1">
        <v>2.99E9</v>
      </c>
      <c r="O531" s="1">
        <v>1.649E9</v>
      </c>
      <c r="P531" s="1">
        <v>1.301E9</v>
      </c>
      <c r="Q531" s="1">
        <v>1.89E8</v>
      </c>
      <c r="R531" s="1">
        <v>1.173E9</v>
      </c>
      <c r="S531" s="1">
        <v>1.173E9</v>
      </c>
    </row>
    <row r="532">
      <c r="A532" s="1">
        <v>530.0</v>
      </c>
      <c r="B532" s="2">
        <v>44286.0</v>
      </c>
      <c r="C532" s="1" t="s">
        <v>307</v>
      </c>
      <c r="D532" s="1" t="s">
        <v>307</v>
      </c>
      <c r="F532" s="1">
        <v>9.37E8</v>
      </c>
      <c r="G532" s="1">
        <v>7.06E8</v>
      </c>
      <c r="I532" s="1">
        <v>1.461E9</v>
      </c>
      <c r="J532" s="1">
        <v>1.116E9</v>
      </c>
      <c r="K532" s="1">
        <v>1.116E9</v>
      </c>
      <c r="L532" s="1">
        <v>-1.84E8</v>
      </c>
      <c r="M532" s="1">
        <v>2.31E8</v>
      </c>
      <c r="N532" s="1">
        <v>2.813E9</v>
      </c>
      <c r="O532" s="1">
        <v>1.697E9</v>
      </c>
      <c r="P532" s="1">
        <v>1.352E9</v>
      </c>
      <c r="Q532" s="1">
        <v>-1.79E8</v>
      </c>
      <c r="R532" s="1">
        <v>7.06E8</v>
      </c>
      <c r="S532" s="1">
        <v>7.06E8</v>
      </c>
    </row>
    <row r="533">
      <c r="A533" s="1">
        <v>531.0</v>
      </c>
      <c r="B533" s="2">
        <v>44196.0</v>
      </c>
      <c r="C533" s="1" t="s">
        <v>307</v>
      </c>
      <c r="D533" s="1" t="s">
        <v>307</v>
      </c>
      <c r="F533" s="1">
        <v>9.94E8</v>
      </c>
      <c r="G533" s="1">
        <v>7.6E8</v>
      </c>
      <c r="I533" s="1">
        <v>1.583E9</v>
      </c>
      <c r="J533" s="1">
        <v>1.236E9</v>
      </c>
      <c r="K533" s="1">
        <v>1.236E9</v>
      </c>
      <c r="L533" s="1">
        <v>-1.89E8</v>
      </c>
      <c r="M533" s="1">
        <v>2.34E8</v>
      </c>
      <c r="N533" s="1">
        <v>2.825E9</v>
      </c>
      <c r="O533" s="1">
        <v>1.589E9</v>
      </c>
      <c r="P533" s="1">
        <v>1.242E9</v>
      </c>
      <c r="Q533" s="1">
        <v>-2.42E8</v>
      </c>
      <c r="R533" s="1">
        <v>7.6E8</v>
      </c>
      <c r="S533" s="1">
        <v>7.6E8</v>
      </c>
    </row>
    <row r="534">
      <c r="A534" s="1">
        <v>532.0</v>
      </c>
      <c r="B534" s="2">
        <v>44381.0</v>
      </c>
      <c r="C534" s="1" t="s">
        <v>308</v>
      </c>
      <c r="D534" s="1" t="s">
        <v>309</v>
      </c>
      <c r="E534" s="1">
        <v>2.76E8</v>
      </c>
      <c r="F534" s="1">
        <v>7.79E8</v>
      </c>
      <c r="G534" s="1">
        <v>6.0E8</v>
      </c>
      <c r="H534" s="1">
        <v>6.25E8</v>
      </c>
      <c r="I534" s="1">
        <v>1.478E9</v>
      </c>
      <c r="J534" s="1">
        <v>5.75E8</v>
      </c>
      <c r="K534" s="1">
        <v>5.75E8</v>
      </c>
      <c r="L534" s="1">
        <v>-2.9E7</v>
      </c>
      <c r="M534" s="1">
        <v>1.67E8</v>
      </c>
      <c r="N534" s="1">
        <v>6.111E9</v>
      </c>
      <c r="O534" s="1">
        <v>5.536E9</v>
      </c>
      <c r="P534" s="1">
        <v>4.633E9</v>
      </c>
      <c r="Q534" s="1">
        <v>2.04E8</v>
      </c>
      <c r="R534" s="1">
        <v>6.12E8</v>
      </c>
      <c r="S534" s="1">
        <v>6.0E8</v>
      </c>
    </row>
    <row r="535">
      <c r="A535" s="1">
        <v>533.0</v>
      </c>
      <c r="B535" s="2">
        <v>44290.0</v>
      </c>
      <c r="C535" s="1" t="s">
        <v>308</v>
      </c>
      <c r="D535" s="1" t="s">
        <v>309</v>
      </c>
      <c r="E535" s="1">
        <v>2.6E8</v>
      </c>
      <c r="F535" s="1">
        <v>7.83E8</v>
      </c>
      <c r="G535" s="1">
        <v>6.03E8</v>
      </c>
      <c r="H535" s="1">
        <v>5.5E8</v>
      </c>
      <c r="I535" s="1">
        <v>1.486E9</v>
      </c>
      <c r="J535" s="1">
        <v>6.71E8</v>
      </c>
      <c r="K535" s="1">
        <v>6.71E8</v>
      </c>
      <c r="L535" s="1">
        <v>-2.8E7</v>
      </c>
      <c r="M535" s="1">
        <v>1.72E8</v>
      </c>
      <c r="N535" s="1">
        <v>6.092E9</v>
      </c>
      <c r="O535" s="1">
        <v>5.421E9</v>
      </c>
      <c r="P535" s="1">
        <v>4.606E9</v>
      </c>
      <c r="Q535" s="1">
        <v>1.12E8</v>
      </c>
      <c r="R535" s="1">
        <v>6.11E8</v>
      </c>
      <c r="S535" s="1">
        <v>6.03E8</v>
      </c>
    </row>
    <row r="536">
      <c r="A536" s="1">
        <v>534.0</v>
      </c>
      <c r="B536" s="2">
        <v>44196.0</v>
      </c>
      <c r="C536" s="1" t="s">
        <v>308</v>
      </c>
      <c r="D536" s="1" t="s">
        <v>309</v>
      </c>
      <c r="E536" s="1">
        <v>2.55E8</v>
      </c>
      <c r="F536" s="1">
        <v>6.35E8</v>
      </c>
      <c r="G536" s="1">
        <v>5.01E8</v>
      </c>
      <c r="H536" s="1">
        <v>5.59E8</v>
      </c>
      <c r="I536" s="1">
        <v>1.405E9</v>
      </c>
      <c r="J536" s="1">
        <v>5.4E8</v>
      </c>
      <c r="K536" s="1">
        <v>5.4E8</v>
      </c>
      <c r="L536" s="1">
        <v>-2.9E7</v>
      </c>
      <c r="M536" s="1">
        <v>1.25E8</v>
      </c>
      <c r="N536" s="1">
        <v>5.83E9</v>
      </c>
      <c r="O536" s="1">
        <v>5.29E9</v>
      </c>
      <c r="P536" s="1">
        <v>4.425E9</v>
      </c>
      <c r="Q536" s="1">
        <v>9.5E7</v>
      </c>
      <c r="R536" s="1">
        <v>5.1E8</v>
      </c>
      <c r="S536" s="1">
        <v>5.01E8</v>
      </c>
    </row>
    <row r="537">
      <c r="A537" s="1">
        <v>535.0</v>
      </c>
      <c r="B537" s="2">
        <v>44101.0</v>
      </c>
      <c r="C537" s="1" t="s">
        <v>308</v>
      </c>
      <c r="D537" s="1" t="s">
        <v>309</v>
      </c>
      <c r="E537" s="1">
        <v>2.24E8</v>
      </c>
      <c r="F537" s="1">
        <v>6.86E8</v>
      </c>
      <c r="G537" s="1">
        <v>5.01E8</v>
      </c>
      <c r="H537" s="1">
        <v>5.17E8</v>
      </c>
      <c r="I537" s="1">
        <v>1.305E9</v>
      </c>
      <c r="J537" s="1">
        <v>6.03E8</v>
      </c>
      <c r="K537" s="1">
        <v>6.03E8</v>
      </c>
      <c r="L537" s="1">
        <v>-2.5E7</v>
      </c>
      <c r="M537" s="1">
        <v>1.82E8</v>
      </c>
      <c r="N537" s="1">
        <v>5.118E9</v>
      </c>
      <c r="O537" s="1">
        <v>4.515E9</v>
      </c>
      <c r="P537" s="1">
        <v>3.813E9</v>
      </c>
      <c r="Q537" s="1">
        <v>8.3E7</v>
      </c>
      <c r="R537" s="1">
        <v>5.04E8</v>
      </c>
      <c r="S537" s="1">
        <v>5.01E8</v>
      </c>
    </row>
    <row r="538">
      <c r="A538" s="1">
        <v>536.0</v>
      </c>
      <c r="B538" s="2">
        <v>44377.0</v>
      </c>
      <c r="C538" s="1" t="s">
        <v>310</v>
      </c>
      <c r="D538" s="1" t="s">
        <v>311</v>
      </c>
      <c r="F538" s="1">
        <v>3.735E9</v>
      </c>
      <c r="G538" s="1">
        <v>2.783E9</v>
      </c>
      <c r="H538" s="1">
        <v>8.828E9</v>
      </c>
      <c r="I538" s="1">
        <v>1.2906E10</v>
      </c>
      <c r="J538" s="1">
        <v>4.078E9</v>
      </c>
      <c r="K538" s="1">
        <v>4.078E9</v>
      </c>
      <c r="L538" s="1">
        <v>-6.36E8</v>
      </c>
      <c r="M538" s="1">
        <v>9.44E8</v>
      </c>
      <c r="N538" s="1">
        <v>7.2327E10</v>
      </c>
      <c r="O538" s="1">
        <v>6.8249E10</v>
      </c>
      <c r="P538" s="1">
        <v>5.9421E10</v>
      </c>
      <c r="Q538" s="1">
        <v>-3.43E8</v>
      </c>
      <c r="R538" s="1">
        <v>2.791E9</v>
      </c>
      <c r="S538" s="1">
        <v>2.783E9</v>
      </c>
    </row>
    <row r="539">
      <c r="A539" s="1">
        <v>537.0</v>
      </c>
      <c r="B539" s="2">
        <v>44286.0</v>
      </c>
      <c r="C539" s="1" t="s">
        <v>310</v>
      </c>
      <c r="D539" s="1" t="s">
        <v>311</v>
      </c>
      <c r="F539" s="1">
        <v>2.97E9</v>
      </c>
      <c r="G539" s="1">
        <v>2.223E9</v>
      </c>
      <c r="H539" s="1">
        <v>8.881E9</v>
      </c>
      <c r="I539" s="1">
        <v>1.2202E10</v>
      </c>
      <c r="J539" s="1">
        <v>3.321E9</v>
      </c>
      <c r="K539" s="1">
        <v>3.321E9</v>
      </c>
      <c r="L539" s="1">
        <v>-6.57E8</v>
      </c>
      <c r="M539" s="1">
        <v>7.46E8</v>
      </c>
      <c r="N539" s="1">
        <v>6.88E10</v>
      </c>
      <c r="O539" s="1">
        <v>6.5479E10</v>
      </c>
      <c r="P539" s="1">
        <v>5.6598E10</v>
      </c>
      <c r="Q539" s="1">
        <v>-3.51E8</v>
      </c>
      <c r="R539" s="1">
        <v>2.224E9</v>
      </c>
      <c r="S539" s="1">
        <v>2.223E9</v>
      </c>
    </row>
    <row r="540">
      <c r="A540" s="1">
        <v>538.0</v>
      </c>
      <c r="B540" s="2">
        <v>44196.0</v>
      </c>
      <c r="C540" s="1" t="s">
        <v>310</v>
      </c>
      <c r="D540" s="1" t="s">
        <v>311</v>
      </c>
      <c r="F540" s="1">
        <v>1.225E9</v>
      </c>
      <c r="G540" s="1">
        <v>9.73E8</v>
      </c>
      <c r="H540" s="1">
        <v>9.297E9</v>
      </c>
      <c r="I540" s="1">
        <v>1.1709E10</v>
      </c>
      <c r="J540" s="1">
        <v>2.412E9</v>
      </c>
      <c r="K540" s="1">
        <v>2.412E9</v>
      </c>
      <c r="L540" s="1">
        <v>-6.78E8</v>
      </c>
      <c r="M540" s="1">
        <v>2.41E8</v>
      </c>
      <c r="N540" s="1">
        <v>6.9306E10</v>
      </c>
      <c r="O540" s="1">
        <v>6.6894E10</v>
      </c>
      <c r="P540" s="1">
        <v>5.7597E10</v>
      </c>
      <c r="Q540" s="1">
        <v>-1.187E9</v>
      </c>
      <c r="R540" s="1">
        <v>9.84E8</v>
      </c>
      <c r="S540" s="1">
        <v>9.73E8</v>
      </c>
    </row>
    <row r="541">
      <c r="A541" s="1">
        <v>539.0</v>
      </c>
      <c r="B541" s="2">
        <v>44104.0</v>
      </c>
      <c r="C541" s="1" t="s">
        <v>310</v>
      </c>
      <c r="D541" s="1" t="s">
        <v>311</v>
      </c>
      <c r="F541" s="1">
        <v>1.806E9</v>
      </c>
      <c r="G541" s="1">
        <v>1.224E9</v>
      </c>
      <c r="H541" s="1">
        <v>8.414E9</v>
      </c>
      <c r="I541" s="1">
        <v>1.1516E10</v>
      </c>
      <c r="J541" s="1">
        <v>3.102E9</v>
      </c>
      <c r="K541" s="1">
        <v>3.102E9</v>
      </c>
      <c r="L541" s="1">
        <v>-7.31E8</v>
      </c>
      <c r="M541" s="1">
        <v>5.87E8</v>
      </c>
      <c r="N541" s="1">
        <v>6.6852E10</v>
      </c>
      <c r="O541" s="1">
        <v>6.375E10</v>
      </c>
      <c r="P541" s="1">
        <v>5.5336E10</v>
      </c>
      <c r="Q541" s="1">
        <v>-1.296E9</v>
      </c>
      <c r="R541" s="1">
        <v>1.219E9</v>
      </c>
      <c r="S541" s="1">
        <v>1.224E9</v>
      </c>
    </row>
    <row r="542">
      <c r="A542" s="1">
        <v>540.0</v>
      </c>
      <c r="B542" s="2">
        <v>44377.0</v>
      </c>
      <c r="C542" s="1" t="s">
        <v>312</v>
      </c>
      <c r="D542" s="1" t="s">
        <v>313</v>
      </c>
      <c r="F542" s="1">
        <v>1.4156E9</v>
      </c>
      <c r="G542" s="1">
        <v>1.1155E9</v>
      </c>
      <c r="H542" s="1">
        <v>5.287E8</v>
      </c>
      <c r="I542" s="1">
        <v>1.9592E9</v>
      </c>
      <c r="J542" s="1">
        <v>1.4305E9</v>
      </c>
      <c r="K542" s="1">
        <v>1.4305E9</v>
      </c>
      <c r="M542" s="1">
        <v>2.991E8</v>
      </c>
      <c r="N542" s="1">
        <v>7.2846E9</v>
      </c>
      <c r="O542" s="1">
        <v>5.8541E9</v>
      </c>
      <c r="P542" s="1">
        <v>5.3254E9</v>
      </c>
      <c r="Q542" s="1">
        <v>-1.49E7</v>
      </c>
      <c r="R542" s="1">
        <v>1.1165E9</v>
      </c>
      <c r="S542" s="1">
        <v>1.1155E9</v>
      </c>
    </row>
    <row r="543">
      <c r="A543" s="1">
        <v>541.0</v>
      </c>
      <c r="B543" s="2">
        <v>44286.0</v>
      </c>
      <c r="C543" s="1" t="s">
        <v>312</v>
      </c>
      <c r="D543" s="1" t="s">
        <v>313</v>
      </c>
      <c r="F543" s="1">
        <v>1.1799E9</v>
      </c>
      <c r="G543" s="1">
        <v>9.295E8</v>
      </c>
      <c r="H543" s="1">
        <v>4.978E8</v>
      </c>
      <c r="I543" s="1">
        <v>1.6824E9</v>
      </c>
      <c r="J543" s="1">
        <v>1.1846E9</v>
      </c>
      <c r="K543" s="1">
        <v>1.1846E9</v>
      </c>
      <c r="M543" s="1">
        <v>2.46E8</v>
      </c>
      <c r="N543" s="1">
        <v>6.4469E9</v>
      </c>
      <c r="O543" s="1">
        <v>5.2623E9</v>
      </c>
      <c r="P543" s="1">
        <v>4.7645E9</v>
      </c>
      <c r="Q543" s="1">
        <v>-4700000.0</v>
      </c>
      <c r="R543" s="1">
        <v>9.339E8</v>
      </c>
      <c r="S543" s="1">
        <v>9.295E8</v>
      </c>
    </row>
    <row r="544">
      <c r="A544" s="1">
        <v>542.0</v>
      </c>
      <c r="B544" s="2">
        <v>44196.0</v>
      </c>
      <c r="C544" s="1" t="s">
        <v>312</v>
      </c>
      <c r="D544" s="1" t="s">
        <v>313</v>
      </c>
      <c r="F544" s="1">
        <v>1.0343E9</v>
      </c>
      <c r="G544" s="1">
        <v>7.918E8</v>
      </c>
      <c r="H544" s="1">
        <v>4.764E8</v>
      </c>
      <c r="I544" s="1">
        <v>1.5034E9</v>
      </c>
      <c r="J544" s="1">
        <v>1.027E9</v>
      </c>
      <c r="K544" s="1">
        <v>1.027E9</v>
      </c>
      <c r="M544" s="1">
        <v>2.391E8</v>
      </c>
      <c r="N544" s="1">
        <v>5.9334E9</v>
      </c>
      <c r="O544" s="1">
        <v>4.9064E9</v>
      </c>
      <c r="P544" s="1">
        <v>4.43E9</v>
      </c>
      <c r="Q544" s="1">
        <v>7300000.0</v>
      </c>
      <c r="R544" s="1">
        <v>7.952E8</v>
      </c>
      <c r="S544" s="1">
        <v>7.918E8</v>
      </c>
    </row>
    <row r="545">
      <c r="A545" s="1">
        <v>543.0</v>
      </c>
      <c r="B545" s="2">
        <v>44104.0</v>
      </c>
      <c r="C545" s="1" t="s">
        <v>312</v>
      </c>
      <c r="D545" s="1" t="s">
        <v>313</v>
      </c>
      <c r="F545" s="1">
        <v>1.0561E9</v>
      </c>
      <c r="G545" s="1">
        <v>8.29E8</v>
      </c>
      <c r="H545" s="1">
        <v>4.907E8</v>
      </c>
      <c r="I545" s="1">
        <v>1.5531E9</v>
      </c>
      <c r="J545" s="1">
        <v>1.0624E9</v>
      </c>
      <c r="K545" s="1">
        <v>1.0624E9</v>
      </c>
      <c r="M545" s="1">
        <v>2.249E8</v>
      </c>
      <c r="N545" s="1">
        <v>6.4003E9</v>
      </c>
      <c r="O545" s="1">
        <v>5.3379E9</v>
      </c>
      <c r="P545" s="1">
        <v>4.8472E9</v>
      </c>
      <c r="Q545" s="1">
        <v>-6300000.0</v>
      </c>
      <c r="R545" s="1">
        <v>8.312E8</v>
      </c>
      <c r="S545" s="1">
        <v>8.29E8</v>
      </c>
    </row>
    <row r="546">
      <c r="A546" s="1">
        <v>544.0</v>
      </c>
      <c r="B546" s="2">
        <v>44379.0</v>
      </c>
      <c r="C546" s="1" t="s">
        <v>314</v>
      </c>
      <c r="D546" s="1" t="s">
        <v>315</v>
      </c>
      <c r="E546" s="1">
        <v>4.26E8</v>
      </c>
      <c r="F546" s="1">
        <v>2.043E9</v>
      </c>
      <c r="G546" s="1">
        <v>1.785E9</v>
      </c>
      <c r="H546" s="1">
        <v>1.955E9</v>
      </c>
      <c r="I546" s="1">
        <v>4.397E9</v>
      </c>
      <c r="J546" s="1">
        <v>2.016E9</v>
      </c>
      <c r="K546" s="1">
        <v>2.016E9</v>
      </c>
      <c r="L546" s="1">
        <v>-6.2E7</v>
      </c>
      <c r="M546" s="1">
        <v>3.44E8</v>
      </c>
      <c r="N546" s="1">
        <v>7.218E9</v>
      </c>
      <c r="O546" s="1">
        <v>5.202E9</v>
      </c>
      <c r="P546" s="1">
        <v>2.821E9</v>
      </c>
      <c r="Q546" s="1">
        <v>2.7E7</v>
      </c>
      <c r="R546" s="1">
        <v>1.699E9</v>
      </c>
      <c r="S546" s="1">
        <v>1.744E9</v>
      </c>
    </row>
    <row r="547">
      <c r="A547" s="1">
        <v>545.0</v>
      </c>
      <c r="B547" s="2">
        <v>44288.0</v>
      </c>
      <c r="C547" s="1" t="s">
        <v>314</v>
      </c>
      <c r="D547" s="1" t="s">
        <v>315</v>
      </c>
      <c r="E547" s="1">
        <v>3.8E8</v>
      </c>
      <c r="F547" s="1">
        <v>2.083E9</v>
      </c>
      <c r="G547" s="1">
        <v>1.702E9</v>
      </c>
      <c r="H547" s="1">
        <v>1.855E9</v>
      </c>
      <c r="I547" s="1">
        <v>4.282E9</v>
      </c>
      <c r="J547" s="1">
        <v>2.047E9</v>
      </c>
      <c r="K547" s="1">
        <v>2.047E9</v>
      </c>
      <c r="L547" s="1">
        <v>-5.8E7</v>
      </c>
      <c r="M547" s="1">
        <v>3.81E8</v>
      </c>
      <c r="N547" s="1">
        <v>6.858E9</v>
      </c>
      <c r="O547" s="1">
        <v>4.811E9</v>
      </c>
      <c r="P547" s="1">
        <v>2.576E9</v>
      </c>
      <c r="Q547" s="1">
        <v>3.6E7</v>
      </c>
      <c r="R547" s="1">
        <v>1.702E9</v>
      </c>
      <c r="S547" s="1">
        <v>1.661E9</v>
      </c>
    </row>
    <row r="548">
      <c r="A548" s="1">
        <v>546.0</v>
      </c>
      <c r="B548" s="2">
        <v>44196.0</v>
      </c>
      <c r="C548" s="1" t="s">
        <v>314</v>
      </c>
      <c r="D548" s="1" t="s">
        <v>315</v>
      </c>
      <c r="E548" s="1">
        <v>3.958E8</v>
      </c>
      <c r="F548" s="1">
        <v>1.5415E9</v>
      </c>
      <c r="G548" s="1">
        <v>1.2401E9</v>
      </c>
      <c r="H548" s="1">
        <v>1.9548E9</v>
      </c>
      <c r="I548" s="1">
        <v>3.9939E9</v>
      </c>
      <c r="J548" s="1">
        <v>1.6433E9</v>
      </c>
      <c r="K548" s="1">
        <v>1.6433E9</v>
      </c>
      <c r="L548" s="1">
        <v>-7.23E7</v>
      </c>
      <c r="M548" s="1">
        <v>3.014E8</v>
      </c>
      <c r="N548" s="1">
        <v>6.7603E9</v>
      </c>
      <c r="O548" s="1">
        <v>5.117E9</v>
      </c>
      <c r="P548" s="1">
        <v>2.7664E9</v>
      </c>
      <c r="Q548" s="1">
        <v>-1.018E8</v>
      </c>
      <c r="R548" s="1">
        <v>1.2401E9</v>
      </c>
      <c r="S548" s="1">
        <v>1.1994E9</v>
      </c>
    </row>
    <row r="549">
      <c r="A549" s="1">
        <v>547.0</v>
      </c>
      <c r="B549" s="2">
        <v>44106.0</v>
      </c>
      <c r="C549" s="1" t="s">
        <v>314</v>
      </c>
      <c r="D549" s="1" t="s">
        <v>315</v>
      </c>
      <c r="E549" s="1">
        <v>3.426E8</v>
      </c>
      <c r="F549" s="1">
        <v>1.0215E9</v>
      </c>
      <c r="G549" s="1">
        <v>8.835E8</v>
      </c>
      <c r="H549" s="1">
        <v>1.7919E9</v>
      </c>
      <c r="I549" s="1">
        <v>3.6427E9</v>
      </c>
      <c r="J549" s="1">
        <v>1.5082E9</v>
      </c>
      <c r="K549" s="1">
        <v>1.5082E9</v>
      </c>
      <c r="L549" s="1">
        <v>-7.67E7</v>
      </c>
      <c r="M549" s="1">
        <v>1.38E8</v>
      </c>
      <c r="N549" s="1">
        <v>5.8832E9</v>
      </c>
      <c r="O549" s="1">
        <v>4.375E9</v>
      </c>
      <c r="P549" s="1">
        <v>2.2405E9</v>
      </c>
      <c r="Q549" s="1">
        <v>-4.867E8</v>
      </c>
      <c r="R549" s="1">
        <v>8.835E8</v>
      </c>
      <c r="S549" s="1">
        <v>8.424E8</v>
      </c>
    </row>
    <row r="550">
      <c r="A550" s="1">
        <v>548.0</v>
      </c>
      <c r="B550" s="2">
        <v>44346.0</v>
      </c>
      <c r="C550" s="1" t="s">
        <v>316</v>
      </c>
      <c r="D550" s="1" t="s">
        <v>317</v>
      </c>
      <c r="F550" s="1">
        <v>3.06E8</v>
      </c>
      <c r="G550" s="1">
        <v>3.685E8</v>
      </c>
      <c r="H550" s="1">
        <v>1.611E8</v>
      </c>
      <c r="I550" s="1">
        <v>5.394E8</v>
      </c>
      <c r="J550" s="1">
        <v>2.892E8</v>
      </c>
      <c r="K550" s="1">
        <v>2.892E8</v>
      </c>
      <c r="L550" s="1">
        <v>-1.88E7</v>
      </c>
      <c r="M550" s="1">
        <v>-6.3E7</v>
      </c>
      <c r="N550" s="1">
        <v>2.2792E9</v>
      </c>
      <c r="O550" s="1">
        <v>1.99E9</v>
      </c>
      <c r="P550" s="1">
        <v>1.7398E9</v>
      </c>
      <c r="Q550" s="1">
        <v>1.68E7</v>
      </c>
      <c r="R550" s="1">
        <v>3.69E8</v>
      </c>
      <c r="S550" s="1">
        <v>3.685E8</v>
      </c>
    </row>
    <row r="551">
      <c r="A551" s="1">
        <v>549.0</v>
      </c>
      <c r="B551" s="2">
        <v>44255.0</v>
      </c>
      <c r="C551" s="1" t="s">
        <v>316</v>
      </c>
      <c r="D551" s="1" t="s">
        <v>317</v>
      </c>
      <c r="F551" s="1">
        <v>1.323E8</v>
      </c>
      <c r="G551" s="1">
        <v>1.287E8</v>
      </c>
      <c r="H551" s="1">
        <v>9.81E7</v>
      </c>
      <c r="I551" s="1">
        <v>3.374E8</v>
      </c>
      <c r="J551" s="1">
        <v>1.511E8</v>
      </c>
      <c r="K551" s="1">
        <v>1.511E8</v>
      </c>
      <c r="L551" s="1">
        <v>-1.52E7</v>
      </c>
      <c r="M551" s="1">
        <v>3100000.0</v>
      </c>
      <c r="N551" s="1">
        <v>1.733E9</v>
      </c>
      <c r="O551" s="1">
        <v>1.5819E9</v>
      </c>
      <c r="P551" s="1">
        <v>1.3956E9</v>
      </c>
      <c r="Q551" s="1">
        <v>-1.88E7</v>
      </c>
      <c r="R551" s="1">
        <v>1.292E8</v>
      </c>
      <c r="S551" s="1">
        <v>1.287E8</v>
      </c>
    </row>
    <row r="552">
      <c r="A552" s="1">
        <v>550.0</v>
      </c>
      <c r="B552" s="2">
        <v>44164.0</v>
      </c>
      <c r="C552" s="1" t="s">
        <v>316</v>
      </c>
      <c r="D552" s="1" t="s">
        <v>317</v>
      </c>
      <c r="F552" s="1">
        <v>1.057E8</v>
      </c>
      <c r="G552" s="1">
        <v>9.6E7</v>
      </c>
      <c r="H552" s="1">
        <v>1.087E8</v>
      </c>
      <c r="I552" s="1">
        <v>3.154E8</v>
      </c>
      <c r="J552" s="1">
        <v>1.207E8</v>
      </c>
      <c r="K552" s="1">
        <v>1.207E8</v>
      </c>
      <c r="L552" s="1">
        <v>-1.46E7</v>
      </c>
      <c r="M552" s="1">
        <v>8800000.0</v>
      </c>
      <c r="N552" s="1">
        <v>1.6565E9</v>
      </c>
      <c r="O552" s="1">
        <v>1.5358E9</v>
      </c>
      <c r="P552" s="1">
        <v>1.3411E9</v>
      </c>
      <c r="Q552" s="1">
        <v>-1.5E7</v>
      </c>
      <c r="R552" s="1">
        <v>9.69E7</v>
      </c>
      <c r="S552" s="1">
        <v>9.6E7</v>
      </c>
    </row>
    <row r="553">
      <c r="A553" s="1">
        <v>551.0</v>
      </c>
      <c r="B553" s="2">
        <v>44073.0</v>
      </c>
      <c r="C553" s="1" t="s">
        <v>316</v>
      </c>
      <c r="D553" s="1" t="s">
        <v>317</v>
      </c>
      <c r="F553" s="1">
        <v>3.25E7</v>
      </c>
      <c r="G553" s="1">
        <v>3.61E7</v>
      </c>
      <c r="H553" s="1">
        <v>1.168E8</v>
      </c>
      <c r="I553" s="1">
        <v>3.013E8</v>
      </c>
      <c r="J553" s="1">
        <v>9.69E7</v>
      </c>
      <c r="K553" s="1">
        <v>9.69E7</v>
      </c>
      <c r="L553" s="1">
        <v>-1.66E7</v>
      </c>
      <c r="M553" s="1">
        <v>-4800000.0</v>
      </c>
      <c r="N553" s="1">
        <v>1.5274E9</v>
      </c>
      <c r="O553" s="1">
        <v>1.4305E9</v>
      </c>
      <c r="P553" s="1">
        <v>1.2261E9</v>
      </c>
      <c r="Q553" s="1">
        <v>-6.44E7</v>
      </c>
      <c r="R553" s="1">
        <v>3.73E7</v>
      </c>
      <c r="S553" s="1">
        <v>3.61E7</v>
      </c>
    </row>
    <row r="554">
      <c r="A554" s="1">
        <v>552.0</v>
      </c>
      <c r="B554" s="2">
        <v>44469.0</v>
      </c>
      <c r="C554" s="1" t="s">
        <v>318</v>
      </c>
      <c r="D554" s="1" t="s">
        <v>319</v>
      </c>
      <c r="F554" s="1">
        <v>3.94458E8</v>
      </c>
      <c r="G554" s="1">
        <v>2.59754E8</v>
      </c>
      <c r="H554" s="1">
        <v>2.93095E8</v>
      </c>
      <c r="I554" s="1">
        <v>9.2973E8</v>
      </c>
      <c r="J554" s="1">
        <v>4.66173E8</v>
      </c>
      <c r="K554" s="1">
        <v>4.66173E8</v>
      </c>
      <c r="L554" s="1">
        <v>-7.1451E7</v>
      </c>
      <c r="M554" s="1">
        <v>7.4704E7</v>
      </c>
      <c r="N554" s="1">
        <v>2.938319E9</v>
      </c>
      <c r="O554" s="1">
        <v>2.472146E9</v>
      </c>
      <c r="P554" s="1">
        <v>2.008589E9</v>
      </c>
      <c r="Q554" s="1">
        <v>-7.1715E7</v>
      </c>
      <c r="R554" s="1">
        <v>3.19754E8</v>
      </c>
      <c r="S554" s="1">
        <v>2.59754E8</v>
      </c>
    </row>
    <row r="555">
      <c r="A555" s="1">
        <v>553.0</v>
      </c>
      <c r="B555" s="2">
        <v>44377.0</v>
      </c>
      <c r="C555" s="1" t="s">
        <v>318</v>
      </c>
      <c r="D555" s="1" t="s">
        <v>319</v>
      </c>
      <c r="F555" s="1">
        <v>4.3234E8</v>
      </c>
      <c r="G555" s="1">
        <v>2.9382E8</v>
      </c>
      <c r="H555" s="1">
        <v>2.98091E8</v>
      </c>
      <c r="I555" s="1">
        <v>9.51233E8</v>
      </c>
      <c r="J555" s="1">
        <v>4.83453E8</v>
      </c>
      <c r="K555" s="1">
        <v>4.83453E8</v>
      </c>
      <c r="L555" s="1">
        <v>-7.1947E7</v>
      </c>
      <c r="M555" s="1">
        <v>8.1309E7</v>
      </c>
      <c r="N555" s="1">
        <v>2.91651E9</v>
      </c>
      <c r="O555" s="1">
        <v>2.433057E9</v>
      </c>
      <c r="P555" s="1">
        <v>1.965277E9</v>
      </c>
      <c r="Q555" s="1">
        <v>-5.1113E7</v>
      </c>
      <c r="R555" s="1">
        <v>3.51031E8</v>
      </c>
      <c r="S555" s="1">
        <v>2.9382E8</v>
      </c>
    </row>
    <row r="556">
      <c r="A556" s="1">
        <v>554.0</v>
      </c>
      <c r="B556" s="2">
        <v>44286.0</v>
      </c>
      <c r="C556" s="1" t="s">
        <v>318</v>
      </c>
      <c r="D556" s="1" t="s">
        <v>319</v>
      </c>
      <c r="F556" s="1">
        <v>3.76756E8</v>
      </c>
      <c r="G556" s="1">
        <v>2.37403E8</v>
      </c>
      <c r="H556" s="1">
        <v>2.81426E8</v>
      </c>
      <c r="I556" s="1">
        <v>8.81671E8</v>
      </c>
      <c r="J556" s="1">
        <v>4.34544E8</v>
      </c>
      <c r="K556" s="1">
        <v>4.34544E8</v>
      </c>
      <c r="L556" s="1">
        <v>-6.5637E7</v>
      </c>
      <c r="M556" s="1">
        <v>8.5211E7</v>
      </c>
      <c r="N556" s="1">
        <v>2.820001E9</v>
      </c>
      <c r="O556" s="1">
        <v>2.385457E9</v>
      </c>
      <c r="P556" s="1">
        <v>1.93833E9</v>
      </c>
      <c r="Q556" s="1">
        <v>-5.7788E7</v>
      </c>
      <c r="R556" s="1">
        <v>2.91545E8</v>
      </c>
      <c r="S556" s="1">
        <v>2.37403E8</v>
      </c>
    </row>
    <row r="557">
      <c r="A557" s="1">
        <v>555.0</v>
      </c>
      <c r="B557" s="2">
        <v>44196.0</v>
      </c>
      <c r="C557" s="1" t="s">
        <v>318</v>
      </c>
      <c r="D557" s="1" t="s">
        <v>319</v>
      </c>
      <c r="F557" s="1">
        <v>3.27371E8</v>
      </c>
      <c r="G557" s="1">
        <v>1.73773E8</v>
      </c>
      <c r="H557" s="1">
        <v>3.04519E8</v>
      </c>
      <c r="I557" s="1">
        <v>8.48441E8</v>
      </c>
      <c r="J557" s="1">
        <v>3.82436E8</v>
      </c>
      <c r="K557" s="1">
        <v>3.82436E8</v>
      </c>
      <c r="L557" s="1">
        <v>-5.9092E7</v>
      </c>
      <c r="M557" s="1">
        <v>7.3368E7</v>
      </c>
      <c r="N557" s="1">
        <v>2.905322E9</v>
      </c>
      <c r="O557" s="1">
        <v>2.522886E9</v>
      </c>
      <c r="P557" s="1">
        <v>2.056881E9</v>
      </c>
      <c r="Q557" s="1">
        <v>-5.5065E7</v>
      </c>
      <c r="R557" s="1">
        <v>2.54003E8</v>
      </c>
      <c r="S557" s="1">
        <v>1.73773E8</v>
      </c>
    </row>
    <row r="558">
      <c r="A558" s="1">
        <v>556.0</v>
      </c>
      <c r="B558" s="2">
        <v>44409.0</v>
      </c>
      <c r="C558" s="1" t="s">
        <v>320</v>
      </c>
      <c r="D558" s="1" t="s">
        <v>321</v>
      </c>
      <c r="E558" s="1">
        <v>3.94E8</v>
      </c>
      <c r="F558" s="1">
        <v>2.158E9</v>
      </c>
      <c r="G558" s="1">
        <v>1.667E9</v>
      </c>
      <c r="H558" s="1">
        <v>7.0E8</v>
      </c>
      <c r="I558" s="1">
        <v>3.256E9</v>
      </c>
      <c r="J558" s="1">
        <v>2.203E9</v>
      </c>
      <c r="K558" s="1">
        <v>2.203E9</v>
      </c>
      <c r="L558" s="1">
        <v>-7.5E7</v>
      </c>
      <c r="M558" s="1">
        <v>4.91E8</v>
      </c>
      <c r="N558" s="1">
        <v>1.15E10</v>
      </c>
      <c r="O558" s="1">
        <v>9.297E9</v>
      </c>
      <c r="P558" s="1">
        <v>8.244E9</v>
      </c>
      <c r="Q558" s="1">
        <v>-4.5E7</v>
      </c>
      <c r="R558" s="1">
        <v>1.667E9</v>
      </c>
      <c r="S558" s="1">
        <v>1.667E9</v>
      </c>
    </row>
    <row r="559">
      <c r="A559" s="1">
        <v>557.0</v>
      </c>
      <c r="B559" s="2">
        <v>44318.0</v>
      </c>
      <c r="C559" s="1" t="s">
        <v>320</v>
      </c>
      <c r="D559" s="1" t="s">
        <v>321</v>
      </c>
      <c r="E559" s="1">
        <v>3.77E8</v>
      </c>
      <c r="F559" s="1">
        <v>2.32E9</v>
      </c>
      <c r="G559" s="1">
        <v>1.789E9</v>
      </c>
      <c r="H559" s="1">
        <v>7.31E8</v>
      </c>
      <c r="I559" s="1">
        <v>3.615E9</v>
      </c>
      <c r="J559" s="1">
        <v>2.56E9</v>
      </c>
      <c r="K559" s="1">
        <v>2.56E9</v>
      </c>
      <c r="L559" s="1">
        <v>-8.6E7</v>
      </c>
      <c r="M559" s="1">
        <v>5.29E8</v>
      </c>
      <c r="N559" s="1">
        <v>1.2085E10</v>
      </c>
      <c r="O559" s="1">
        <v>9.525E9</v>
      </c>
      <c r="P559" s="1">
        <v>8.47E9</v>
      </c>
      <c r="Q559" s="1">
        <v>-2.4E8</v>
      </c>
      <c r="R559" s="1">
        <v>1.791E9</v>
      </c>
      <c r="S559" s="1">
        <v>1.789E9</v>
      </c>
    </row>
    <row r="560">
      <c r="A560" s="1">
        <v>558.0</v>
      </c>
      <c r="B560" s="2">
        <v>44227.0</v>
      </c>
      <c r="C560" s="1" t="s">
        <v>320</v>
      </c>
      <c r="D560" s="1" t="s">
        <v>321</v>
      </c>
      <c r="E560" s="1">
        <v>3.66E8</v>
      </c>
      <c r="F560" s="1">
        <v>1.532E9</v>
      </c>
      <c r="G560" s="1">
        <v>1.224E9</v>
      </c>
      <c r="H560" s="1">
        <v>6.52E8</v>
      </c>
      <c r="I560" s="1">
        <v>2.625E9</v>
      </c>
      <c r="J560" s="1">
        <v>1.787E9</v>
      </c>
      <c r="K560" s="1">
        <v>1.787E9</v>
      </c>
      <c r="L560" s="1">
        <v>-8.3E7</v>
      </c>
      <c r="M560" s="1">
        <v>3.08E8</v>
      </c>
      <c r="N560" s="1">
        <v>9.112E9</v>
      </c>
      <c r="O560" s="1">
        <v>7.325E9</v>
      </c>
      <c r="P560" s="1">
        <v>6.487E9</v>
      </c>
      <c r="Q560" s="1">
        <v>-2.55E8</v>
      </c>
      <c r="R560" s="1">
        <v>1.224E9</v>
      </c>
      <c r="S560" s="1">
        <v>1.224E9</v>
      </c>
    </row>
    <row r="561">
      <c r="A561" s="1">
        <v>559.0</v>
      </c>
      <c r="B561" s="2">
        <v>44136.0</v>
      </c>
      <c r="C561" s="1" t="s">
        <v>320</v>
      </c>
      <c r="D561" s="1" t="s">
        <v>321</v>
      </c>
      <c r="E561" s="1">
        <v>3.88E8</v>
      </c>
      <c r="F561" s="1">
        <v>1.088E9</v>
      </c>
      <c r="G561" s="1">
        <v>7.58E8</v>
      </c>
      <c r="H561" s="1">
        <v>7.63E8</v>
      </c>
      <c r="I561" s="1">
        <v>2.702E9</v>
      </c>
      <c r="J561" s="1">
        <v>1.54E9</v>
      </c>
      <c r="K561" s="1">
        <v>1.54E9</v>
      </c>
      <c r="L561" s="1">
        <v>-8.3E7</v>
      </c>
      <c r="M561" s="1">
        <v>3.3E8</v>
      </c>
      <c r="N561" s="1">
        <v>9.713E9</v>
      </c>
      <c r="O561" s="1">
        <v>8.173E9</v>
      </c>
      <c r="P561" s="1">
        <v>7.011E9</v>
      </c>
      <c r="Q561" s="1">
        <v>-4.52E8</v>
      </c>
      <c r="R561" s="1">
        <v>7.58E8</v>
      </c>
      <c r="S561" s="1">
        <v>7.58E8</v>
      </c>
    </row>
    <row r="562">
      <c r="A562" s="1">
        <v>560.0</v>
      </c>
      <c r="B562" s="2">
        <v>44469.0</v>
      </c>
      <c r="C562" s="1" t="s">
        <v>322</v>
      </c>
      <c r="D562" s="1" t="s">
        <v>323</v>
      </c>
      <c r="F562" s="1">
        <v>1.532E9</v>
      </c>
      <c r="G562" s="1">
        <v>1.212E9</v>
      </c>
      <c r="H562" s="1">
        <v>3.08E8</v>
      </c>
      <c r="I562" s="1">
        <v>1.695E9</v>
      </c>
      <c r="J562" s="1">
        <v>5.29E8</v>
      </c>
      <c r="K562" s="1">
        <v>5.29E8</v>
      </c>
      <c r="L562" s="1">
        <v>-3.14E8</v>
      </c>
      <c r="M562" s="1">
        <v>3.2E8</v>
      </c>
      <c r="N562" s="1">
        <v>9.154E9</v>
      </c>
      <c r="O562" s="1">
        <v>8.625E9</v>
      </c>
      <c r="P562" s="1">
        <v>7.459E9</v>
      </c>
      <c r="Q562" s="1">
        <v>1.003E9</v>
      </c>
      <c r="R562" s="1">
        <v>1.212E9</v>
      </c>
      <c r="S562" s="1">
        <v>1.212E9</v>
      </c>
    </row>
    <row r="563">
      <c r="A563" s="1">
        <v>561.0</v>
      </c>
      <c r="B563" s="2">
        <v>44377.0</v>
      </c>
      <c r="C563" s="1" t="s">
        <v>322</v>
      </c>
      <c r="D563" s="1" t="s">
        <v>323</v>
      </c>
      <c r="F563" s="1">
        <v>7.76E8</v>
      </c>
      <c r="G563" s="1">
        <v>6.52E8</v>
      </c>
      <c r="H563" s="1">
        <v>2.22E8</v>
      </c>
      <c r="I563" s="1">
        <v>4.87E8</v>
      </c>
      <c r="J563" s="1">
        <v>-5.66E8</v>
      </c>
      <c r="K563" s="1">
        <v>-5.66E8</v>
      </c>
      <c r="L563" s="1">
        <v>-3.38E8</v>
      </c>
      <c r="M563" s="1">
        <v>1.24E8</v>
      </c>
      <c r="N563" s="1">
        <v>7.126E9</v>
      </c>
      <c r="O563" s="1">
        <v>7.692E9</v>
      </c>
      <c r="P563" s="1">
        <v>6.639E9</v>
      </c>
      <c r="Q563" s="1">
        <v>1.342E9</v>
      </c>
      <c r="R563" s="1">
        <v>6.52E8</v>
      </c>
      <c r="S563" s="1">
        <v>6.52E8</v>
      </c>
    </row>
    <row r="564">
      <c r="A564" s="1">
        <v>562.0</v>
      </c>
      <c r="B564" s="2">
        <v>44286.0</v>
      </c>
      <c r="C564" s="1" t="s">
        <v>322</v>
      </c>
      <c r="D564" s="1" t="s">
        <v>323</v>
      </c>
      <c r="F564" s="1">
        <v>-1.515E9</v>
      </c>
      <c r="G564" s="1">
        <v>-1.177E9</v>
      </c>
      <c r="H564" s="1">
        <v>1.1E8</v>
      </c>
      <c r="I564" s="1">
        <v>-1.597E9</v>
      </c>
      <c r="J564" s="1">
        <v>-2.521E9</v>
      </c>
      <c r="K564" s="1">
        <v>-2.521E9</v>
      </c>
      <c r="L564" s="1">
        <v>-3.61E8</v>
      </c>
      <c r="M564" s="1">
        <v>-3.38E8</v>
      </c>
      <c r="N564" s="1">
        <v>4.15E9</v>
      </c>
      <c r="O564" s="1">
        <v>6.671E9</v>
      </c>
      <c r="P564" s="1">
        <v>5.747E9</v>
      </c>
      <c r="Q564" s="1">
        <v>1.006E9</v>
      </c>
      <c r="R564" s="1">
        <v>-1.177E9</v>
      </c>
      <c r="S564" s="1">
        <v>-1.177E9</v>
      </c>
    </row>
    <row r="565">
      <c r="A565" s="1">
        <v>563.0</v>
      </c>
      <c r="B565" s="2">
        <v>44196.0</v>
      </c>
      <c r="C565" s="1" t="s">
        <v>322</v>
      </c>
      <c r="D565" s="1" t="s">
        <v>323</v>
      </c>
      <c r="F565" s="1">
        <v>-1.108E9</v>
      </c>
      <c r="G565" s="1">
        <v>-7.55E8</v>
      </c>
      <c r="H565" s="1">
        <v>8.4E7</v>
      </c>
      <c r="I565" s="1">
        <v>-9.22E8</v>
      </c>
      <c r="J565" s="1">
        <v>-4.297E9</v>
      </c>
      <c r="K565" s="1">
        <v>-4.297E9</v>
      </c>
      <c r="L565" s="1">
        <v>-3.65E8</v>
      </c>
      <c r="M565" s="1">
        <v>-3.53E8</v>
      </c>
      <c r="N565" s="1">
        <v>3.973E9</v>
      </c>
      <c r="O565" s="1">
        <v>8.27E9</v>
      </c>
      <c r="P565" s="1">
        <v>4.895E9</v>
      </c>
      <c r="Q565" s="1">
        <v>3.189E9</v>
      </c>
      <c r="R565" s="1">
        <v>-7.55E8</v>
      </c>
      <c r="S565" s="1">
        <v>-7.55E8</v>
      </c>
    </row>
    <row r="566">
      <c r="A566" s="1">
        <v>564.0</v>
      </c>
      <c r="B566" s="2">
        <v>44286.0</v>
      </c>
      <c r="C566" s="1" t="s">
        <v>324</v>
      </c>
      <c r="D566" s="1" t="s">
        <v>325</v>
      </c>
      <c r="E566" s="1">
        <v>3.7E7</v>
      </c>
      <c r="F566" s="1">
        <v>1.49E8</v>
      </c>
      <c r="G566" s="1">
        <v>1.17E8</v>
      </c>
      <c r="H566" s="1">
        <v>3.85E8</v>
      </c>
      <c r="I566" s="1">
        <v>5.79E8</v>
      </c>
      <c r="J566" s="1">
        <v>1.57E8</v>
      </c>
      <c r="K566" s="1">
        <v>1.57E8</v>
      </c>
      <c r="L566" s="1">
        <v>-1.4E7</v>
      </c>
      <c r="M566" s="1">
        <v>3.2E7</v>
      </c>
      <c r="N566" s="1">
        <v>1.027E9</v>
      </c>
      <c r="O566" s="1">
        <v>8.7E8</v>
      </c>
      <c r="P566" s="1">
        <v>4.48E8</v>
      </c>
      <c r="Q566" s="1">
        <v>-8000000.0</v>
      </c>
      <c r="R566" s="1">
        <v>1.17E8</v>
      </c>
      <c r="S566" s="1">
        <v>1.17E8</v>
      </c>
    </row>
    <row r="567">
      <c r="A567" s="1">
        <v>565.0</v>
      </c>
      <c r="B567" s="2">
        <v>44196.0</v>
      </c>
      <c r="C567" s="1" t="s">
        <v>324</v>
      </c>
      <c r="D567" s="1" t="s">
        <v>325</v>
      </c>
      <c r="E567" s="1">
        <v>1.15E8</v>
      </c>
      <c r="F567" s="1">
        <v>1.229E8</v>
      </c>
      <c r="G567" s="1">
        <v>9.85E7</v>
      </c>
      <c r="H567" s="1">
        <v>2.982E8</v>
      </c>
      <c r="I567" s="1">
        <v>5.821E8</v>
      </c>
      <c r="J567" s="1">
        <v>2.288E8</v>
      </c>
      <c r="K567" s="1">
        <v>2.288E8</v>
      </c>
      <c r="L567" s="1">
        <v>-1.53E7</v>
      </c>
      <c r="M567" s="1">
        <v>2.43E7</v>
      </c>
      <c r="N567" s="1">
        <v>1.0823E9</v>
      </c>
      <c r="O567" s="1">
        <v>8.535E8</v>
      </c>
      <c r="P567" s="1">
        <v>5.002E8</v>
      </c>
      <c r="Q567" s="1">
        <v>-1.059E8</v>
      </c>
      <c r="R567" s="1">
        <v>9.86E7</v>
      </c>
      <c r="S567" s="1">
        <v>9.85E7</v>
      </c>
    </row>
    <row r="568">
      <c r="A568" s="1">
        <v>566.0</v>
      </c>
      <c r="B568" s="2">
        <v>44104.0</v>
      </c>
      <c r="C568" s="1" t="s">
        <v>324</v>
      </c>
      <c r="D568" s="1" t="s">
        <v>325</v>
      </c>
      <c r="E568" s="1">
        <v>1.15E8</v>
      </c>
      <c r="F568" s="1">
        <v>6.67E7</v>
      </c>
      <c r="G568" s="1">
        <v>5.38E7</v>
      </c>
      <c r="H568" s="1">
        <v>3.406E8</v>
      </c>
      <c r="I568" s="1">
        <v>4.746E8</v>
      </c>
      <c r="J568" s="1">
        <v>1.153E8</v>
      </c>
      <c r="K568" s="1">
        <v>1.153E8</v>
      </c>
      <c r="L568" s="1">
        <v>-1.45E7</v>
      </c>
      <c r="M568" s="1">
        <v>1.25E7</v>
      </c>
      <c r="N568" s="1">
        <v>8.948E8</v>
      </c>
      <c r="O568" s="1">
        <v>7.795E8</v>
      </c>
      <c r="P568" s="1">
        <v>4.202E8</v>
      </c>
      <c r="Q568" s="1">
        <v>-4.86E7</v>
      </c>
      <c r="R568" s="1">
        <v>5.42E7</v>
      </c>
      <c r="S568" s="1">
        <v>5.38E7</v>
      </c>
    </row>
    <row r="569">
      <c r="A569" s="1">
        <v>567.0</v>
      </c>
      <c r="B569" s="2">
        <v>44012.0</v>
      </c>
      <c r="C569" s="1" t="s">
        <v>324</v>
      </c>
      <c r="D569" s="1" t="s">
        <v>325</v>
      </c>
      <c r="E569" s="1">
        <v>1.15E8</v>
      </c>
      <c r="F569" s="1">
        <v>-1.199E8</v>
      </c>
      <c r="G569" s="1">
        <v>-9.54E7</v>
      </c>
      <c r="H569" s="1">
        <v>2.791E8</v>
      </c>
      <c r="I569" s="1">
        <v>1.761E8</v>
      </c>
      <c r="J569" s="1">
        <v>-1.021E8</v>
      </c>
      <c r="K569" s="1">
        <v>-1.021E8</v>
      </c>
      <c r="L569" s="1">
        <v>-1.23E7</v>
      </c>
      <c r="M569" s="1">
        <v>-2.4E7</v>
      </c>
      <c r="N569" s="1">
        <v>4.906E8</v>
      </c>
      <c r="O569" s="1">
        <v>5.927E8</v>
      </c>
      <c r="P569" s="1">
        <v>3.145E8</v>
      </c>
      <c r="Q569" s="1">
        <v>-1.78E7</v>
      </c>
      <c r="R569" s="1">
        <v>-9.59E7</v>
      </c>
      <c r="S569" s="1">
        <v>-9.54E7</v>
      </c>
    </row>
    <row r="570">
      <c r="A570" s="1">
        <v>568.0</v>
      </c>
      <c r="B570" s="2">
        <v>44377.0</v>
      </c>
      <c r="C570" s="1" t="s">
        <v>326</v>
      </c>
      <c r="D570" s="1" t="s">
        <v>327</v>
      </c>
      <c r="F570" s="1">
        <v>3.04E8</v>
      </c>
      <c r="G570" s="1">
        <v>2.56E8</v>
      </c>
      <c r="H570" s="1">
        <v>9.4E7</v>
      </c>
      <c r="I570" s="1">
        <v>1.655E9</v>
      </c>
      <c r="J570" s="1">
        <v>3.2E8</v>
      </c>
      <c r="K570" s="1">
        <v>3.2E8</v>
      </c>
      <c r="L570" s="1">
        <v>-9.8E7</v>
      </c>
      <c r="M570" s="1">
        <v>4.3E7</v>
      </c>
      <c r="N570" s="1">
        <v>2.977E9</v>
      </c>
      <c r="O570" s="1">
        <v>2.657E9</v>
      </c>
      <c r="P570" s="1">
        <v>1.322E9</v>
      </c>
      <c r="Q570" s="1">
        <v>-1.6E7</v>
      </c>
      <c r="R570" s="1">
        <v>2.61E8</v>
      </c>
      <c r="S570" s="1">
        <v>2.53E8</v>
      </c>
    </row>
    <row r="571">
      <c r="A571" s="1">
        <v>569.0</v>
      </c>
      <c r="B571" s="2">
        <v>44286.0</v>
      </c>
      <c r="C571" s="1" t="s">
        <v>326</v>
      </c>
      <c r="D571" s="1" t="s">
        <v>327</v>
      </c>
      <c r="F571" s="1">
        <v>-3.2E7</v>
      </c>
      <c r="G571" s="1">
        <v>2.13E8</v>
      </c>
      <c r="H571" s="1">
        <v>1.07E8</v>
      </c>
      <c r="I571" s="1">
        <v>1.291E9</v>
      </c>
      <c r="J571" s="1">
        <v>2.02E8</v>
      </c>
      <c r="K571" s="1">
        <v>2.02E8</v>
      </c>
      <c r="L571" s="1">
        <v>-1.05E8</v>
      </c>
      <c r="M571" s="1">
        <v>-2.48E8</v>
      </c>
      <c r="N571" s="1">
        <v>2.461E9</v>
      </c>
      <c r="O571" s="1">
        <v>2.259E9</v>
      </c>
      <c r="P571" s="1">
        <v>1.17E9</v>
      </c>
      <c r="Q571" s="1">
        <v>-2.34E8</v>
      </c>
      <c r="R571" s="1">
        <v>2.16E8</v>
      </c>
      <c r="S571" s="1">
        <v>2.11E8</v>
      </c>
    </row>
    <row r="572">
      <c r="A572" s="1">
        <v>570.0</v>
      </c>
      <c r="B572" s="2">
        <v>44196.0</v>
      </c>
      <c r="C572" s="1" t="s">
        <v>326</v>
      </c>
      <c r="D572" s="1" t="s">
        <v>327</v>
      </c>
      <c r="F572" s="1">
        <v>-1.1E8</v>
      </c>
      <c r="G572" s="1">
        <v>-1.02E8</v>
      </c>
      <c r="H572" s="1">
        <v>8.2E7</v>
      </c>
      <c r="I572" s="1">
        <v>5.11E8</v>
      </c>
      <c r="J572" s="1">
        <v>2.819E9</v>
      </c>
      <c r="K572" s="1">
        <v>2.819E9</v>
      </c>
      <c r="L572" s="1">
        <v>-6.4E7</v>
      </c>
      <c r="M572" s="1">
        <v>-3.7E7</v>
      </c>
      <c r="N572" s="1">
        <v>1.35E9</v>
      </c>
      <c r="O572" s="1">
        <v>-1.469E9</v>
      </c>
      <c r="P572" s="1">
        <v>8.39E8</v>
      </c>
      <c r="Q572" s="1">
        <v>-2.929E9</v>
      </c>
      <c r="R572" s="1">
        <v>-7.3E7</v>
      </c>
      <c r="S572" s="1">
        <v>-1.03E8</v>
      </c>
    </row>
    <row r="573">
      <c r="A573" s="1">
        <v>571.0</v>
      </c>
      <c r="B573" s="2">
        <v>44104.0</v>
      </c>
      <c r="C573" s="1" t="s">
        <v>326</v>
      </c>
      <c r="D573" s="1" t="s">
        <v>327</v>
      </c>
      <c r="F573" s="1">
        <v>-1.93E8</v>
      </c>
      <c r="G573" s="1">
        <v>-9.2E7</v>
      </c>
      <c r="H573" s="1">
        <v>7.5E7</v>
      </c>
      <c r="I573" s="1">
        <v>4.09E8</v>
      </c>
      <c r="J573" s="1">
        <v>-9.5E7</v>
      </c>
      <c r="K573" s="1">
        <v>-9.5E7</v>
      </c>
      <c r="L573" s="1">
        <v>-6.5E7</v>
      </c>
      <c r="M573" s="1">
        <v>-9.0E7</v>
      </c>
      <c r="N573" s="1">
        <v>1.112E9</v>
      </c>
      <c r="O573" s="1">
        <v>1.207E9</v>
      </c>
      <c r="P573" s="1">
        <v>7.03E8</v>
      </c>
      <c r="Q573" s="1">
        <v>-9.8E7</v>
      </c>
      <c r="R573" s="1">
        <v>-1.03E8</v>
      </c>
      <c r="S573" s="1">
        <v>-9.4E7</v>
      </c>
    </row>
    <row r="574">
      <c r="A574" s="1">
        <v>572.0</v>
      </c>
      <c r="B574" s="2">
        <v>44377.0</v>
      </c>
      <c r="C574" s="1" t="s">
        <v>328</v>
      </c>
      <c r="D574" s="1" t="s">
        <v>329</v>
      </c>
      <c r="E574" s="1">
        <v>1.291E8</v>
      </c>
      <c r="F574" s="1">
        <v>7.67E7</v>
      </c>
      <c r="G574" s="1">
        <v>6.29E7</v>
      </c>
      <c r="H574" s="1">
        <v>1.87E8</v>
      </c>
      <c r="I574" s="1">
        <v>4.171E8</v>
      </c>
      <c r="J574" s="1">
        <v>1.01E8</v>
      </c>
      <c r="K574" s="1">
        <v>1.01E8</v>
      </c>
      <c r="L574" s="1">
        <v>-2.52E7</v>
      </c>
      <c r="M574" s="1">
        <v>1.38E7</v>
      </c>
      <c r="N574" s="1">
        <v>5.951E8</v>
      </c>
      <c r="O574" s="1">
        <v>4.941E8</v>
      </c>
      <c r="P574" s="1">
        <v>1.78E8</v>
      </c>
      <c r="Q574" s="1">
        <v>-2.43E7</v>
      </c>
      <c r="R574" s="1">
        <v>6.29E7</v>
      </c>
      <c r="S574" s="1">
        <v>6.29E7</v>
      </c>
    </row>
    <row r="575">
      <c r="A575" s="1">
        <v>573.0</v>
      </c>
      <c r="B575" s="2">
        <v>44286.0</v>
      </c>
      <c r="C575" s="1" t="s">
        <v>328</v>
      </c>
      <c r="D575" s="1" t="s">
        <v>329</v>
      </c>
      <c r="E575" s="1">
        <v>1.094E8</v>
      </c>
      <c r="F575" s="1">
        <v>2.12E7</v>
      </c>
      <c r="G575" s="1">
        <v>4.03E7</v>
      </c>
      <c r="H575" s="1">
        <v>1.886E8</v>
      </c>
      <c r="I575" s="1">
        <v>3.439E8</v>
      </c>
      <c r="J575" s="1">
        <v>4.59E7</v>
      </c>
      <c r="K575" s="1">
        <v>4.59E7</v>
      </c>
      <c r="L575" s="1">
        <v>-2.48E7</v>
      </c>
      <c r="M575" s="1">
        <v>-1.91E7</v>
      </c>
      <c r="N575" s="1">
        <v>5.05E8</v>
      </c>
      <c r="O575" s="1">
        <v>4.591E8</v>
      </c>
      <c r="P575" s="1">
        <v>1.611E8</v>
      </c>
      <c r="Q575" s="1">
        <v>-2.47E7</v>
      </c>
      <c r="R575" s="1">
        <v>4.03E7</v>
      </c>
      <c r="S575" s="1">
        <v>4.03E7</v>
      </c>
    </row>
    <row r="576">
      <c r="A576" s="1">
        <v>574.0</v>
      </c>
      <c r="B576" s="2">
        <v>44196.0</v>
      </c>
      <c r="C576" s="1" t="s">
        <v>328</v>
      </c>
      <c r="D576" s="1" t="s">
        <v>329</v>
      </c>
      <c r="E576" s="1">
        <v>1.192E8</v>
      </c>
      <c r="F576" s="1">
        <v>8.13E7</v>
      </c>
      <c r="G576" s="1">
        <v>3.552E8</v>
      </c>
      <c r="H576" s="1">
        <v>1.759E8</v>
      </c>
      <c r="I576" s="1">
        <v>3.991E8</v>
      </c>
      <c r="J576" s="1">
        <v>1.04E8</v>
      </c>
      <c r="K576" s="1">
        <v>1.04E8</v>
      </c>
      <c r="L576" s="1">
        <v>-2.46E7</v>
      </c>
      <c r="M576" s="1">
        <v>-2.739E8</v>
      </c>
      <c r="N576" s="1">
        <v>5.689E8</v>
      </c>
      <c r="O576" s="1">
        <v>4.649E8</v>
      </c>
      <c r="P576" s="1">
        <v>1.698E8</v>
      </c>
      <c r="Q576" s="1">
        <v>-2.27E7</v>
      </c>
      <c r="R576" s="1">
        <v>3.552E8</v>
      </c>
      <c r="S576" s="1">
        <v>3.552E8</v>
      </c>
    </row>
    <row r="577">
      <c r="A577" s="1">
        <v>575.0</v>
      </c>
      <c r="B577" s="2">
        <v>44104.0</v>
      </c>
      <c r="C577" s="1" t="s">
        <v>328</v>
      </c>
      <c r="D577" s="1" t="s">
        <v>329</v>
      </c>
      <c r="E577" s="1">
        <v>8.77E7</v>
      </c>
      <c r="F577" s="1">
        <v>7.51E7</v>
      </c>
      <c r="G577" s="1">
        <v>7.22E7</v>
      </c>
      <c r="H577" s="1">
        <v>1.586E8</v>
      </c>
      <c r="I577" s="1">
        <v>3.404E8</v>
      </c>
      <c r="J577" s="1">
        <v>9.41E7</v>
      </c>
      <c r="K577" s="1">
        <v>9.41E7</v>
      </c>
      <c r="L577" s="1">
        <v>-2.44E7</v>
      </c>
      <c r="M577" s="1">
        <v>2900000.0</v>
      </c>
      <c r="N577" s="1">
        <v>5.009E8</v>
      </c>
      <c r="O577" s="1">
        <v>4.068E8</v>
      </c>
      <c r="P577" s="1">
        <v>1.605E8</v>
      </c>
      <c r="Q577" s="1">
        <v>-1.9E7</v>
      </c>
      <c r="R577" s="1">
        <v>7.22E7</v>
      </c>
      <c r="S577" s="1">
        <v>7.22E7</v>
      </c>
    </row>
    <row r="578">
      <c r="A578" s="1">
        <v>576.0</v>
      </c>
      <c r="B578" s="2">
        <v>44286.0</v>
      </c>
      <c r="C578" s="1" t="s">
        <v>330</v>
      </c>
      <c r="D578" s="1" t="s">
        <v>331</v>
      </c>
      <c r="F578" s="1">
        <v>2.88E8</v>
      </c>
      <c r="G578" s="1">
        <v>2.2E8</v>
      </c>
      <c r="H578" s="1">
        <v>2.5E7</v>
      </c>
      <c r="I578" s="1">
        <v>9.62E8</v>
      </c>
      <c r="J578" s="1">
        <v>3.55E8</v>
      </c>
      <c r="K578" s="1">
        <v>3.55E8</v>
      </c>
      <c r="L578" s="1">
        <v>7.2E7</v>
      </c>
      <c r="M578" s="1">
        <v>6.5E7</v>
      </c>
      <c r="N578" s="1">
        <v>1.123E9</v>
      </c>
      <c r="O578" s="1">
        <v>7.68E8</v>
      </c>
      <c r="P578" s="1">
        <v>1.61E8</v>
      </c>
      <c r="Q578" s="1">
        <v>-6.7E7</v>
      </c>
      <c r="R578" s="1">
        <v>2.23E8</v>
      </c>
      <c r="S578" s="1">
        <v>2.2E8</v>
      </c>
    </row>
    <row r="579">
      <c r="A579" s="1">
        <v>577.0</v>
      </c>
      <c r="B579" s="2">
        <v>44196.0</v>
      </c>
      <c r="C579" s="1" t="s">
        <v>330</v>
      </c>
      <c r="D579" s="1" t="s">
        <v>331</v>
      </c>
      <c r="F579" s="1">
        <v>-9.58E8</v>
      </c>
      <c r="G579" s="1">
        <v>-7.39E8</v>
      </c>
      <c r="H579" s="1">
        <v>2.4E7</v>
      </c>
      <c r="I579" s="1">
        <v>5.77E8</v>
      </c>
      <c r="J579" s="1">
        <v>4.8E7</v>
      </c>
      <c r="K579" s="1">
        <v>4.8E7</v>
      </c>
      <c r="L579" s="1">
        <v>7.2E7</v>
      </c>
      <c r="M579" s="1">
        <v>-2.02E8</v>
      </c>
      <c r="N579" s="1">
        <v>7.29E8</v>
      </c>
      <c r="O579" s="1">
        <v>6.81E8</v>
      </c>
      <c r="P579" s="1">
        <v>1.52E8</v>
      </c>
      <c r="Q579" s="1">
        <v>-1.006E9</v>
      </c>
      <c r="R579" s="1">
        <v>-7.56E8</v>
      </c>
      <c r="S579" s="1">
        <v>-7.39E8</v>
      </c>
    </row>
    <row r="580">
      <c r="A580" s="1">
        <v>578.0</v>
      </c>
      <c r="B580" s="2">
        <v>44104.0</v>
      </c>
      <c r="C580" s="1" t="s">
        <v>330</v>
      </c>
      <c r="D580" s="1" t="s">
        <v>331</v>
      </c>
      <c r="F580" s="1">
        <v>-1.409E9</v>
      </c>
      <c r="G580" s="1">
        <v>-1.113E9</v>
      </c>
      <c r="H580" s="1">
        <v>2.0E7</v>
      </c>
      <c r="I580" s="1">
        <v>5.22E8</v>
      </c>
      <c r="J580" s="1">
        <v>9.1E7</v>
      </c>
      <c r="K580" s="1">
        <v>9.1E7</v>
      </c>
      <c r="L580" s="1">
        <v>-4.8E7</v>
      </c>
      <c r="M580" s="1">
        <v>-3.04E8</v>
      </c>
      <c r="N580" s="1">
        <v>6.83E8</v>
      </c>
      <c r="O580" s="1">
        <v>5.92E8</v>
      </c>
      <c r="P580" s="1">
        <v>1.61E8</v>
      </c>
      <c r="Q580" s="1">
        <v>-1.5E9</v>
      </c>
      <c r="R580" s="1">
        <v>-1.105E9</v>
      </c>
      <c r="S580" s="1">
        <v>-1.113E9</v>
      </c>
    </row>
    <row r="581">
      <c r="A581" s="1">
        <v>579.0</v>
      </c>
      <c r="B581" s="2">
        <v>44012.0</v>
      </c>
      <c r="C581" s="1" t="s">
        <v>330</v>
      </c>
      <c r="D581" s="1" t="s">
        <v>331</v>
      </c>
      <c r="F581" s="1">
        <v>-3.092E9</v>
      </c>
      <c r="G581" s="1">
        <v>-2.393E9</v>
      </c>
      <c r="H581" s="1">
        <v>2.0E7</v>
      </c>
      <c r="I581" s="1">
        <v>2.33E8</v>
      </c>
      <c r="J581" s="1">
        <v>-4.86E8</v>
      </c>
      <c r="K581" s="1">
        <v>-4.86E8</v>
      </c>
      <c r="L581" s="1">
        <v>-5.4E7</v>
      </c>
      <c r="M581" s="1">
        <v>-6.81E8</v>
      </c>
      <c r="N581" s="1">
        <v>4.04E8</v>
      </c>
      <c r="O581" s="1">
        <v>8.9E8</v>
      </c>
      <c r="P581" s="1">
        <v>1.71E8</v>
      </c>
      <c r="Q581" s="1">
        <v>-2.606E9</v>
      </c>
      <c r="R581" s="1">
        <v>-2.411E9</v>
      </c>
      <c r="S581" s="1">
        <v>-2.393E9</v>
      </c>
    </row>
    <row r="582">
      <c r="A582" s="1">
        <v>580.0</v>
      </c>
      <c r="B582" s="2">
        <v>44377.0</v>
      </c>
      <c r="C582" s="1" t="s">
        <v>332</v>
      </c>
      <c r="D582" s="1" t="s">
        <v>333</v>
      </c>
      <c r="F582" s="1">
        <v>1.7338E8</v>
      </c>
      <c r="G582" s="1">
        <v>1.21254E8</v>
      </c>
      <c r="H582" s="1">
        <v>9.7492E7</v>
      </c>
      <c r="I582" s="1">
        <v>7.13617E8</v>
      </c>
      <c r="J582" s="1">
        <v>2.44846E8</v>
      </c>
      <c r="K582" s="1">
        <v>2.44846E8</v>
      </c>
      <c r="L582" s="1">
        <v>-7.5014E7</v>
      </c>
      <c r="M582" s="1">
        <v>4.7582E7</v>
      </c>
      <c r="N582" s="1">
        <v>1.145331E9</v>
      </c>
      <c r="O582" s="1">
        <v>9.00485E8</v>
      </c>
      <c r="P582" s="1">
        <v>4.31714E8</v>
      </c>
      <c r="Q582" s="1">
        <v>-7.1466E7</v>
      </c>
      <c r="R582" s="1">
        <v>1.25798E8</v>
      </c>
      <c r="S582" s="1">
        <v>1.27369E8</v>
      </c>
    </row>
    <row r="583">
      <c r="A583" s="1">
        <v>581.0</v>
      </c>
      <c r="B583" s="2">
        <v>44286.0</v>
      </c>
      <c r="C583" s="1" t="s">
        <v>332</v>
      </c>
      <c r="D583" s="1" t="s">
        <v>333</v>
      </c>
      <c r="F583" s="1">
        <v>4.02223E8</v>
      </c>
      <c r="G583" s="1">
        <v>3.8592E8</v>
      </c>
      <c r="H583" s="1">
        <v>9.9994E7</v>
      </c>
      <c r="I583" s="1">
        <v>6.38958E8</v>
      </c>
      <c r="J583" s="1">
        <v>1.69488E8</v>
      </c>
      <c r="K583" s="1">
        <v>1.69488E8</v>
      </c>
      <c r="L583" s="1">
        <v>-7.5653E7</v>
      </c>
      <c r="M583" s="1">
        <v>7547000.0</v>
      </c>
      <c r="N583" s="1">
        <v>1.06736E9</v>
      </c>
      <c r="O583" s="1">
        <v>8.97872E8</v>
      </c>
      <c r="P583" s="1">
        <v>4.28402E8</v>
      </c>
      <c r="Q583" s="1">
        <v>2.32735E8</v>
      </c>
      <c r="R583" s="1">
        <v>3.94676E8</v>
      </c>
      <c r="S583" s="1">
        <v>3.72406E8</v>
      </c>
    </row>
    <row r="584">
      <c r="A584" s="1">
        <v>582.0</v>
      </c>
      <c r="B584" s="2">
        <v>44196.0</v>
      </c>
      <c r="C584" s="1" t="s">
        <v>332</v>
      </c>
      <c r="D584" s="1" t="s">
        <v>333</v>
      </c>
      <c r="F584" s="1">
        <v>6.283E7</v>
      </c>
      <c r="G584" s="1">
        <v>5.7691E7</v>
      </c>
      <c r="H584" s="1">
        <v>1.78188E8</v>
      </c>
      <c r="I584" s="1">
        <v>6.73352E8</v>
      </c>
      <c r="J584" s="1">
        <v>2.10608E8</v>
      </c>
      <c r="K584" s="1">
        <v>2.10608E8</v>
      </c>
      <c r="L584" s="1">
        <v>-7.7883E7</v>
      </c>
      <c r="M584" s="1">
        <v>3322000.0</v>
      </c>
      <c r="N584" s="1">
        <v>1.093664E9</v>
      </c>
      <c r="O584" s="1">
        <v>8.83056E8</v>
      </c>
      <c r="P584" s="1">
        <v>4.20312E8</v>
      </c>
      <c r="Q584" s="1">
        <v>-1.47778E8</v>
      </c>
      <c r="R584" s="1">
        <v>5.9508E7</v>
      </c>
      <c r="S584" s="1">
        <v>4.4177E7</v>
      </c>
    </row>
    <row r="585">
      <c r="A585" s="1">
        <v>583.0</v>
      </c>
      <c r="B585" s="2">
        <v>44104.0</v>
      </c>
      <c r="C585" s="1" t="s">
        <v>332</v>
      </c>
      <c r="D585" s="1" t="s">
        <v>333</v>
      </c>
      <c r="F585" s="1">
        <v>1.4599E7</v>
      </c>
      <c r="G585" s="1">
        <v>-138000.0</v>
      </c>
      <c r="H585" s="1">
        <v>9.1352E7</v>
      </c>
      <c r="I585" s="1">
        <v>6.21274E8</v>
      </c>
      <c r="J585" s="1">
        <v>1.63782E8</v>
      </c>
      <c r="K585" s="1">
        <v>1.63782E8</v>
      </c>
      <c r="L585" s="1">
        <v>-8.9499E7</v>
      </c>
      <c r="M585" s="1">
        <v>1.6053E7</v>
      </c>
      <c r="N585" s="1">
        <v>1.022612E9</v>
      </c>
      <c r="O585" s="1">
        <v>8.5883E8</v>
      </c>
      <c r="P585" s="1">
        <v>4.01338E8</v>
      </c>
      <c r="Q585" s="1">
        <v>-1.49183E8</v>
      </c>
      <c r="R585" s="1">
        <v>-1454000.0</v>
      </c>
      <c r="S585" s="1">
        <v>-3.737E7</v>
      </c>
    </row>
    <row r="586">
      <c r="A586" s="1">
        <v>584.0</v>
      </c>
      <c r="B586" s="2">
        <v>44377.0</v>
      </c>
      <c r="C586" s="1" t="s">
        <v>334</v>
      </c>
      <c r="D586" s="1" t="s">
        <v>335</v>
      </c>
      <c r="F586" s="1">
        <v>2.222E9</v>
      </c>
      <c r="G586" s="1">
        <v>1.698E9</v>
      </c>
      <c r="H586" s="1">
        <v>8.82E8</v>
      </c>
      <c r="I586" s="1">
        <v>3.299E9</v>
      </c>
      <c r="J586" s="1">
        <v>0.0</v>
      </c>
      <c r="K586" s="1">
        <v>2.314E9</v>
      </c>
      <c r="M586" s="1">
        <v>5.24E8</v>
      </c>
      <c r="N586" s="1">
        <v>3.444E9</v>
      </c>
      <c r="O586" s="1">
        <v>1.13E9</v>
      </c>
      <c r="P586" s="1">
        <v>1.45E8</v>
      </c>
      <c r="Q586" s="1">
        <v>-9.2E7</v>
      </c>
      <c r="R586" s="1">
        <v>1.698E9</v>
      </c>
      <c r="S586" s="1">
        <v>1.688E9</v>
      </c>
    </row>
    <row r="587">
      <c r="A587" s="1">
        <v>585.0</v>
      </c>
      <c r="B587" s="2">
        <v>44286.0</v>
      </c>
      <c r="C587" s="1" t="s">
        <v>334</v>
      </c>
      <c r="D587" s="1" t="s">
        <v>335</v>
      </c>
      <c r="F587" s="1">
        <v>2.079E9</v>
      </c>
      <c r="G587" s="1">
        <v>1.593E9</v>
      </c>
      <c r="H587" s="1">
        <v>8.66E8</v>
      </c>
      <c r="I587" s="1">
        <v>3.051E9</v>
      </c>
      <c r="J587" s="1">
        <v>0.0</v>
      </c>
      <c r="K587" s="1">
        <v>2.079E9</v>
      </c>
      <c r="M587" s="1">
        <v>4.86E8</v>
      </c>
      <c r="N587" s="1">
        <v>3.16E9</v>
      </c>
      <c r="O587" s="1">
        <v>1.081E9</v>
      </c>
      <c r="P587" s="1">
        <v>1.09E8</v>
      </c>
      <c r="Q587" s="1">
        <v>0.0</v>
      </c>
      <c r="R587" s="1">
        <v>1.593E9</v>
      </c>
      <c r="S587" s="1">
        <v>1.546E9</v>
      </c>
    </row>
    <row r="588">
      <c r="A588" s="1">
        <v>586.0</v>
      </c>
      <c r="B588" s="2">
        <v>44196.0</v>
      </c>
      <c r="C588" s="1" t="s">
        <v>334</v>
      </c>
      <c r="D588" s="1" t="s">
        <v>335</v>
      </c>
      <c r="F588" s="1">
        <v>1.015E9</v>
      </c>
      <c r="G588" s="1">
        <v>7.99E8</v>
      </c>
      <c r="H588" s="1">
        <v>8.85E8</v>
      </c>
      <c r="I588" s="1">
        <v>2.095E9</v>
      </c>
      <c r="J588" s="1">
        <v>0.0</v>
      </c>
      <c r="K588" s="1">
        <v>1.111E9</v>
      </c>
      <c r="M588" s="1">
        <v>2.16E8</v>
      </c>
      <c r="N588" s="1">
        <v>2.293E9</v>
      </c>
      <c r="O588" s="1">
        <v>1.182E9</v>
      </c>
      <c r="P588" s="1">
        <v>1.98E8</v>
      </c>
      <c r="Q588" s="1">
        <v>-9.6E7</v>
      </c>
      <c r="R588" s="1">
        <v>7.99E8</v>
      </c>
      <c r="S588" s="1">
        <v>7.95E8</v>
      </c>
    </row>
    <row r="589">
      <c r="A589" s="1">
        <v>587.0</v>
      </c>
      <c r="B589" s="2">
        <v>44104.0</v>
      </c>
      <c r="C589" s="1" t="s">
        <v>334</v>
      </c>
      <c r="D589" s="1" t="s">
        <v>335</v>
      </c>
      <c r="F589" s="1">
        <v>9.59E8</v>
      </c>
      <c r="G589" s="1">
        <v>7.71E8</v>
      </c>
      <c r="H589" s="1">
        <v>7.88E8</v>
      </c>
      <c r="I589" s="1">
        <v>1.853E9</v>
      </c>
      <c r="J589" s="1">
        <v>0.0</v>
      </c>
      <c r="K589" s="1">
        <v>9.59E8</v>
      </c>
      <c r="M589" s="1">
        <v>1.88E8</v>
      </c>
      <c r="N589" s="1">
        <v>1.964E9</v>
      </c>
      <c r="O589" s="1">
        <v>1.005E9</v>
      </c>
      <c r="P589" s="1">
        <v>1.11E8</v>
      </c>
      <c r="Q589" s="1">
        <v>0.0</v>
      </c>
      <c r="R589" s="1">
        <v>7.71E8</v>
      </c>
      <c r="S589" s="1">
        <v>7.51E8</v>
      </c>
    </row>
    <row r="590">
      <c r="A590" s="1">
        <v>588.0</v>
      </c>
      <c r="B590" s="2">
        <v>44286.0</v>
      </c>
      <c r="C590" s="1" t="s">
        <v>336</v>
      </c>
      <c r="D590" s="1" t="s">
        <v>337</v>
      </c>
      <c r="F590" s="1">
        <v>2.97E8</v>
      </c>
      <c r="G590" s="1">
        <v>1.4E8</v>
      </c>
      <c r="H590" s="1">
        <v>1.047E9</v>
      </c>
      <c r="I590" s="1">
        <v>1.823E9</v>
      </c>
      <c r="J590" s="1">
        <v>4.15E8</v>
      </c>
      <c r="K590" s="1">
        <v>4.15E8</v>
      </c>
      <c r="L590" s="1">
        <v>-1.73E8</v>
      </c>
      <c r="M590" s="1">
        <v>1.06E8</v>
      </c>
      <c r="N590" s="1">
        <v>2.792E9</v>
      </c>
      <c r="O590" s="1">
        <v>2.377E9</v>
      </c>
      <c r="P590" s="1">
        <v>9.69E8</v>
      </c>
      <c r="Q590" s="1">
        <v>-1.18E8</v>
      </c>
      <c r="R590" s="1">
        <v>1.91E8</v>
      </c>
      <c r="S590" s="1">
        <v>1.25E8</v>
      </c>
    </row>
    <row r="591">
      <c r="A591" s="1">
        <v>589.0</v>
      </c>
      <c r="B591" s="2">
        <v>44196.0</v>
      </c>
      <c r="C591" s="1" t="s">
        <v>336</v>
      </c>
      <c r="D591" s="1" t="s">
        <v>337</v>
      </c>
      <c r="F591" s="1">
        <v>4.16E8</v>
      </c>
      <c r="G591" s="1">
        <v>2.71E8</v>
      </c>
      <c r="H591" s="1">
        <v>8.03E8</v>
      </c>
      <c r="I591" s="1">
        <v>1.797E9</v>
      </c>
      <c r="J591" s="1">
        <v>6.36E8</v>
      </c>
      <c r="K591" s="1">
        <v>6.36E8</v>
      </c>
      <c r="L591" s="1">
        <v>-1.73E8</v>
      </c>
      <c r="M591" s="1">
        <v>9.8E7</v>
      </c>
      <c r="N591" s="1">
        <v>2.886E9</v>
      </c>
      <c r="O591" s="1">
        <v>2.25E9</v>
      </c>
      <c r="P591" s="1">
        <v>1.089E9</v>
      </c>
      <c r="Q591" s="1">
        <v>-2.2E8</v>
      </c>
      <c r="R591" s="1">
        <v>3.18E8</v>
      </c>
      <c r="S591" s="1">
        <v>2.45E8</v>
      </c>
    </row>
    <row r="592">
      <c r="A592" s="1">
        <v>590.0</v>
      </c>
      <c r="B592" s="2">
        <v>44104.0</v>
      </c>
      <c r="C592" s="1" t="s">
        <v>336</v>
      </c>
      <c r="D592" s="1" t="s">
        <v>337</v>
      </c>
      <c r="F592" s="1">
        <v>3.19E8</v>
      </c>
      <c r="G592" s="1">
        <v>3.0E8</v>
      </c>
      <c r="H592" s="1">
        <v>6.33E8</v>
      </c>
      <c r="I592" s="1">
        <v>1.559E9</v>
      </c>
      <c r="J592" s="1">
        <v>5.85E8</v>
      </c>
      <c r="K592" s="1">
        <v>5.85E8</v>
      </c>
      <c r="L592" s="1">
        <v>-1.71E8</v>
      </c>
      <c r="M592" s="1">
        <v>-1.1E7</v>
      </c>
      <c r="N592" s="1">
        <v>2.561E9</v>
      </c>
      <c r="O592" s="1">
        <v>1.976E9</v>
      </c>
      <c r="P592" s="1">
        <v>1.002E9</v>
      </c>
      <c r="Q592" s="1">
        <v>-2.66E8</v>
      </c>
      <c r="R592" s="1">
        <v>3.3E8</v>
      </c>
      <c r="S592" s="1">
        <v>2.65E8</v>
      </c>
    </row>
    <row r="593">
      <c r="A593" s="1">
        <v>591.0</v>
      </c>
      <c r="B593" s="2">
        <v>44012.0</v>
      </c>
      <c r="C593" s="1" t="s">
        <v>336</v>
      </c>
      <c r="D593" s="1" t="s">
        <v>337</v>
      </c>
      <c r="F593" s="1">
        <v>4.56E8</v>
      </c>
      <c r="G593" s="1">
        <v>2.71E8</v>
      </c>
      <c r="H593" s="1">
        <v>6.35E8</v>
      </c>
      <c r="I593" s="1">
        <v>1.737E9</v>
      </c>
      <c r="J593" s="1">
        <v>7.68E8</v>
      </c>
      <c r="K593" s="1">
        <v>7.68E8</v>
      </c>
      <c r="L593" s="1">
        <v>-1.72E8</v>
      </c>
      <c r="M593" s="1">
        <v>1.56E8</v>
      </c>
      <c r="N593" s="1">
        <v>2.541E9</v>
      </c>
      <c r="O593" s="1">
        <v>1.773E9</v>
      </c>
      <c r="P593" s="1">
        <v>8.04E8</v>
      </c>
      <c r="Q593" s="1">
        <v>-3.12E8</v>
      </c>
      <c r="R593" s="1">
        <v>3.0E8</v>
      </c>
      <c r="S593" s="1">
        <v>2.43E8</v>
      </c>
    </row>
    <row r="594">
      <c r="A594" s="1">
        <v>592.0</v>
      </c>
      <c r="B594" s="2">
        <v>44286.0</v>
      </c>
      <c r="C594" s="1" t="s">
        <v>338</v>
      </c>
      <c r="D594" s="1" t="s">
        <v>339</v>
      </c>
      <c r="F594" s="1">
        <v>2.97E8</v>
      </c>
      <c r="G594" s="1">
        <v>1.4E8</v>
      </c>
      <c r="H594" s="1">
        <v>1.047E9</v>
      </c>
      <c r="I594" s="1">
        <v>1.823E9</v>
      </c>
      <c r="J594" s="1">
        <v>4.15E8</v>
      </c>
      <c r="K594" s="1">
        <v>4.15E8</v>
      </c>
      <c r="L594" s="1">
        <v>-1.73E8</v>
      </c>
      <c r="M594" s="1">
        <v>1.06E8</v>
      </c>
      <c r="N594" s="1">
        <v>2.792E9</v>
      </c>
      <c r="O594" s="1">
        <v>2.377E9</v>
      </c>
      <c r="P594" s="1">
        <v>9.69E8</v>
      </c>
      <c r="Q594" s="1">
        <v>-1.18E8</v>
      </c>
      <c r="R594" s="1">
        <v>1.91E8</v>
      </c>
      <c r="S594" s="1">
        <v>1.25E8</v>
      </c>
    </row>
    <row r="595">
      <c r="A595" s="1">
        <v>593.0</v>
      </c>
      <c r="B595" s="2">
        <v>44196.0</v>
      </c>
      <c r="C595" s="1" t="s">
        <v>338</v>
      </c>
      <c r="D595" s="1" t="s">
        <v>339</v>
      </c>
      <c r="F595" s="1">
        <v>4.16E8</v>
      </c>
      <c r="G595" s="1">
        <v>2.71E8</v>
      </c>
      <c r="H595" s="1">
        <v>8.03E8</v>
      </c>
      <c r="I595" s="1">
        <v>1.797E9</v>
      </c>
      <c r="J595" s="1">
        <v>6.36E8</v>
      </c>
      <c r="K595" s="1">
        <v>6.36E8</v>
      </c>
      <c r="L595" s="1">
        <v>-1.73E8</v>
      </c>
      <c r="M595" s="1">
        <v>9.8E7</v>
      </c>
      <c r="N595" s="1">
        <v>2.886E9</v>
      </c>
      <c r="O595" s="1">
        <v>2.25E9</v>
      </c>
      <c r="P595" s="1">
        <v>1.089E9</v>
      </c>
      <c r="Q595" s="1">
        <v>-2.2E8</v>
      </c>
      <c r="R595" s="1">
        <v>3.18E8</v>
      </c>
      <c r="S595" s="1">
        <v>2.45E8</v>
      </c>
    </row>
    <row r="596">
      <c r="A596" s="1">
        <v>594.0</v>
      </c>
      <c r="B596" s="2">
        <v>44104.0</v>
      </c>
      <c r="C596" s="1" t="s">
        <v>338</v>
      </c>
      <c r="D596" s="1" t="s">
        <v>339</v>
      </c>
      <c r="F596" s="1">
        <v>3.19E8</v>
      </c>
      <c r="G596" s="1">
        <v>3.0E8</v>
      </c>
      <c r="H596" s="1">
        <v>6.33E8</v>
      </c>
      <c r="I596" s="1">
        <v>1.559E9</v>
      </c>
      <c r="J596" s="1">
        <v>5.85E8</v>
      </c>
      <c r="K596" s="1">
        <v>5.85E8</v>
      </c>
      <c r="L596" s="1">
        <v>-1.71E8</v>
      </c>
      <c r="M596" s="1">
        <v>-1.1E7</v>
      </c>
      <c r="N596" s="1">
        <v>2.561E9</v>
      </c>
      <c r="O596" s="1">
        <v>1.976E9</v>
      </c>
      <c r="P596" s="1">
        <v>1.002E9</v>
      </c>
      <c r="Q596" s="1">
        <v>-2.66E8</v>
      </c>
      <c r="R596" s="1">
        <v>3.3E8</v>
      </c>
      <c r="S596" s="1">
        <v>2.65E8</v>
      </c>
    </row>
    <row r="597">
      <c r="A597" s="1">
        <v>595.0</v>
      </c>
      <c r="B597" s="2">
        <v>44012.0</v>
      </c>
      <c r="C597" s="1" t="s">
        <v>338</v>
      </c>
      <c r="D597" s="1" t="s">
        <v>339</v>
      </c>
      <c r="F597" s="1">
        <v>4.56E8</v>
      </c>
      <c r="G597" s="1">
        <v>2.71E8</v>
      </c>
      <c r="H597" s="1">
        <v>6.35E8</v>
      </c>
      <c r="I597" s="1">
        <v>1.737E9</v>
      </c>
      <c r="J597" s="1">
        <v>7.68E8</v>
      </c>
      <c r="K597" s="1">
        <v>7.68E8</v>
      </c>
      <c r="L597" s="1">
        <v>-1.72E8</v>
      </c>
      <c r="M597" s="1">
        <v>1.56E8</v>
      </c>
      <c r="N597" s="1">
        <v>2.541E9</v>
      </c>
      <c r="O597" s="1">
        <v>1.773E9</v>
      </c>
      <c r="P597" s="1">
        <v>8.04E8</v>
      </c>
      <c r="Q597" s="1">
        <v>-3.12E8</v>
      </c>
      <c r="R597" s="1">
        <v>3.0E8</v>
      </c>
      <c r="S597" s="1">
        <v>2.43E8</v>
      </c>
    </row>
    <row r="598">
      <c r="A598" s="1">
        <v>596.0</v>
      </c>
      <c r="B598" s="2">
        <v>44377.0</v>
      </c>
      <c r="C598" s="1" t="s">
        <v>340</v>
      </c>
      <c r="D598" s="1" t="s">
        <v>341</v>
      </c>
      <c r="F598" s="1">
        <v>8.98989E8</v>
      </c>
      <c r="G598" s="1">
        <v>6.71047E8</v>
      </c>
      <c r="H598" s="1">
        <v>5.07909E8</v>
      </c>
      <c r="I598" s="1">
        <v>1.601037E9</v>
      </c>
      <c r="J598" s="1">
        <v>9.06738E8</v>
      </c>
      <c r="K598" s="1">
        <v>9.06738E8</v>
      </c>
      <c r="L598" s="1">
        <v>-3825000.0</v>
      </c>
      <c r="M598" s="1">
        <v>2.17538E8</v>
      </c>
      <c r="N598" s="1">
        <v>4.48696E9</v>
      </c>
      <c r="O598" s="1">
        <v>3.580222E9</v>
      </c>
      <c r="P598" s="1">
        <v>2.885923E9</v>
      </c>
      <c r="Q598" s="1">
        <v>-7749000.0</v>
      </c>
      <c r="R598" s="1">
        <v>6.81451E8</v>
      </c>
      <c r="S598" s="1">
        <v>6.71047E8</v>
      </c>
    </row>
    <row r="599">
      <c r="A599" s="1">
        <v>597.0</v>
      </c>
      <c r="B599" s="2">
        <v>44286.0</v>
      </c>
      <c r="C599" s="1" t="s">
        <v>340</v>
      </c>
      <c r="D599" s="1" t="s">
        <v>341</v>
      </c>
      <c r="F599" s="1">
        <v>8.57412E8</v>
      </c>
      <c r="G599" s="1">
        <v>6.30224E8</v>
      </c>
      <c r="H599" s="1">
        <v>4.81686E8</v>
      </c>
      <c r="I599" s="1">
        <v>1.536647E9</v>
      </c>
      <c r="J599" s="1">
        <v>8.64576E8</v>
      </c>
      <c r="K599" s="1">
        <v>8.64576E8</v>
      </c>
      <c r="L599" s="1">
        <v>-3873000.0</v>
      </c>
      <c r="M599" s="1">
        <v>2.15849E8</v>
      </c>
      <c r="N599" s="1">
        <v>4.497853E9</v>
      </c>
      <c r="O599" s="1">
        <v>3.633277E9</v>
      </c>
      <c r="P599" s="1">
        <v>2.961206E9</v>
      </c>
      <c r="Q599" s="1">
        <v>-7164000.0</v>
      </c>
      <c r="R599" s="1">
        <v>6.41563E8</v>
      </c>
      <c r="S599" s="1">
        <v>6.30224E8</v>
      </c>
    </row>
    <row r="600">
      <c r="A600" s="1">
        <v>598.0</v>
      </c>
      <c r="B600" s="2">
        <v>44196.0</v>
      </c>
      <c r="C600" s="1" t="s">
        <v>340</v>
      </c>
      <c r="D600" s="1" t="s">
        <v>341</v>
      </c>
      <c r="F600" s="1">
        <v>9.89709E8</v>
      </c>
      <c r="G600" s="1">
        <v>7.32632E8</v>
      </c>
      <c r="H600" s="1">
        <v>4.29261E8</v>
      </c>
      <c r="I600" s="1">
        <v>1.615425E9</v>
      </c>
      <c r="J600" s="1">
        <v>9.89639E8</v>
      </c>
      <c r="K600" s="1">
        <v>9.89639E8</v>
      </c>
      <c r="L600" s="1">
        <v>-3873000.0</v>
      </c>
      <c r="M600" s="1">
        <v>2.28411E8</v>
      </c>
      <c r="N600" s="1">
        <v>4.557365E9</v>
      </c>
      <c r="O600" s="1">
        <v>3.567726E9</v>
      </c>
      <c r="P600" s="1">
        <v>2.94194E9</v>
      </c>
      <c r="Q600" s="1">
        <v>70000.0</v>
      </c>
      <c r="R600" s="1">
        <v>7.61298E8</v>
      </c>
      <c r="S600" s="1">
        <v>7.32632E8</v>
      </c>
    </row>
    <row r="601">
      <c r="A601" s="1">
        <v>599.0</v>
      </c>
      <c r="B601" s="2">
        <v>44104.0</v>
      </c>
      <c r="C601" s="1" t="s">
        <v>340</v>
      </c>
      <c r="D601" s="1" t="s">
        <v>341</v>
      </c>
      <c r="F601" s="1">
        <v>8.06473E8</v>
      </c>
      <c r="G601" s="1">
        <v>5.04599E8</v>
      </c>
      <c r="H601" s="1">
        <v>5.16648E8</v>
      </c>
      <c r="I601" s="1">
        <v>1.526979E9</v>
      </c>
      <c r="J601" s="1">
        <v>8.11248E8</v>
      </c>
      <c r="K601" s="1">
        <v>8.11248E8</v>
      </c>
      <c r="L601" s="1">
        <v>6778000.0</v>
      </c>
      <c r="M601" s="1">
        <v>2.73514E8</v>
      </c>
      <c r="N601" s="1">
        <v>4.531591E9</v>
      </c>
      <c r="O601" s="1">
        <v>3.720343E9</v>
      </c>
      <c r="P601" s="1">
        <v>3.004612E9</v>
      </c>
      <c r="Q601" s="1">
        <v>-4775000.0</v>
      </c>
      <c r="R601" s="1">
        <v>5.32959E8</v>
      </c>
      <c r="S601" s="1">
        <v>5.04599E8</v>
      </c>
    </row>
    <row r="602">
      <c r="A602" s="1">
        <v>600.0</v>
      </c>
      <c r="B602" s="2">
        <v>44316.0</v>
      </c>
      <c r="C602" s="1" t="s">
        <v>342</v>
      </c>
      <c r="D602" s="1" t="s">
        <v>343</v>
      </c>
      <c r="F602" s="1">
        <v>8.68458E8</v>
      </c>
      <c r="G602" s="1">
        <v>6.77749E8</v>
      </c>
      <c r="H602" s="1">
        <v>1.846818E9</v>
      </c>
      <c r="I602" s="1">
        <v>2.755668E9</v>
      </c>
      <c r="J602" s="1">
        <v>9.0885E8</v>
      </c>
      <c r="K602" s="1">
        <v>9.0885E8</v>
      </c>
      <c r="L602" s="1">
        <v>-4.0392E7</v>
      </c>
      <c r="M602" s="1">
        <v>1.90709E8</v>
      </c>
      <c r="N602" s="1">
        <v>8.400964E9</v>
      </c>
      <c r="O602" s="1">
        <v>7.492114E9</v>
      </c>
      <c r="P602" s="1">
        <v>5.645296E9</v>
      </c>
      <c r="Q602" s="1">
        <v>-4.0392E7</v>
      </c>
      <c r="R602" s="1">
        <v>6.77749E8</v>
      </c>
      <c r="S602" s="1">
        <v>6.77749E8</v>
      </c>
    </row>
    <row r="603">
      <c r="A603" s="1">
        <v>601.0</v>
      </c>
      <c r="B603" s="2">
        <v>44225.0</v>
      </c>
      <c r="C603" s="1" t="s">
        <v>342</v>
      </c>
      <c r="D603" s="1" t="s">
        <v>343</v>
      </c>
      <c r="F603" s="1">
        <v>8.31956E8</v>
      </c>
      <c r="G603" s="1">
        <v>6.42743E8</v>
      </c>
      <c r="H603" s="1">
        <v>1.861771E9</v>
      </c>
      <c r="I603" s="1">
        <v>2.736695E9</v>
      </c>
      <c r="J603" s="1">
        <v>8.74924E8</v>
      </c>
      <c r="K603" s="1">
        <v>8.74924E8</v>
      </c>
      <c r="L603" s="1">
        <v>-4.0268E7</v>
      </c>
      <c r="M603" s="1">
        <v>1.89213E8</v>
      </c>
      <c r="N603" s="1">
        <v>8.414524E9</v>
      </c>
      <c r="O603" s="1">
        <v>7.5396E9</v>
      </c>
      <c r="P603" s="1">
        <v>5.677829E9</v>
      </c>
      <c r="Q603" s="1">
        <v>-4.2968E7</v>
      </c>
      <c r="R603" s="1">
        <v>6.42743E8</v>
      </c>
      <c r="S603" s="1">
        <v>6.42743E8</v>
      </c>
    </row>
    <row r="604">
      <c r="A604" s="1">
        <v>602.0</v>
      </c>
      <c r="B604" s="2">
        <v>44134.0</v>
      </c>
      <c r="C604" s="1" t="s">
        <v>342</v>
      </c>
      <c r="D604" s="1" t="s">
        <v>343</v>
      </c>
      <c r="F604" s="1">
        <v>7.32832E8</v>
      </c>
      <c r="G604" s="1">
        <v>5.7426E8</v>
      </c>
      <c r="H604" s="1">
        <v>1.79511E9</v>
      </c>
      <c r="I604" s="1">
        <v>2.56824E9</v>
      </c>
      <c r="J604" s="1">
        <v>7.7313E8</v>
      </c>
      <c r="K604" s="1">
        <v>7.7313E8</v>
      </c>
      <c r="L604" s="1">
        <v>-4.0298E7</v>
      </c>
      <c r="M604" s="1">
        <v>1.58572E8</v>
      </c>
      <c r="N604" s="1">
        <v>8.199625E9</v>
      </c>
      <c r="O604" s="1">
        <v>7.426495E9</v>
      </c>
      <c r="P604" s="1">
        <v>5.631385E9</v>
      </c>
      <c r="Q604" s="1">
        <v>-4.0298E7</v>
      </c>
      <c r="R604" s="1">
        <v>5.7426E8</v>
      </c>
      <c r="S604" s="1">
        <v>5.7426E8</v>
      </c>
    </row>
    <row r="605">
      <c r="A605" s="1">
        <v>603.0</v>
      </c>
      <c r="B605" s="2">
        <v>44043.0</v>
      </c>
      <c r="C605" s="1" t="s">
        <v>342</v>
      </c>
      <c r="D605" s="1" t="s">
        <v>343</v>
      </c>
      <c r="F605" s="1">
        <v>1.003301E9</v>
      </c>
      <c r="G605" s="1">
        <v>7.87601E8</v>
      </c>
      <c r="H605" s="1">
        <v>1.775608E9</v>
      </c>
      <c r="I605" s="1">
        <v>2.818235E9</v>
      </c>
      <c r="J605" s="1">
        <v>1.042627E9</v>
      </c>
      <c r="K605" s="1">
        <v>1.042627E9</v>
      </c>
      <c r="L605" s="1">
        <v>-3.9326E7</v>
      </c>
      <c r="M605" s="1">
        <v>2.157E8</v>
      </c>
      <c r="N605" s="1">
        <v>8.684241E9</v>
      </c>
      <c r="O605" s="1">
        <v>7.641614E9</v>
      </c>
      <c r="P605" s="1">
        <v>5.866006E9</v>
      </c>
      <c r="Q605" s="1">
        <v>-3.9326E7</v>
      </c>
      <c r="R605" s="1">
        <v>7.87601E8</v>
      </c>
      <c r="S605" s="1">
        <v>7.87601E8</v>
      </c>
    </row>
    <row r="606">
      <c r="A606" s="1">
        <v>604.0</v>
      </c>
      <c r="B606" s="2">
        <v>44317.0</v>
      </c>
      <c r="C606" s="1" t="s">
        <v>344</v>
      </c>
      <c r="D606" s="1" t="s">
        <v>345</v>
      </c>
      <c r="F606" s="1">
        <v>4.869E8</v>
      </c>
      <c r="G606" s="1">
        <v>3.745E8</v>
      </c>
      <c r="H606" s="1">
        <v>1.4471E9</v>
      </c>
      <c r="I606" s="1">
        <v>1.967E9</v>
      </c>
      <c r="J606" s="1">
        <v>5.199E8</v>
      </c>
      <c r="K606" s="1">
        <v>5.199E8</v>
      </c>
      <c r="L606" s="1">
        <v>-3.3E7</v>
      </c>
      <c r="M606" s="1">
        <v>1.124E8</v>
      </c>
      <c r="N606" s="1">
        <v>6.4797E9</v>
      </c>
      <c r="O606" s="1">
        <v>5.9598E9</v>
      </c>
      <c r="P606" s="1">
        <v>4.5127E9</v>
      </c>
      <c r="Q606" s="1">
        <v>-3.3E7</v>
      </c>
      <c r="R606" s="1">
        <v>3.745E8</v>
      </c>
      <c r="S606" s="1">
        <v>3.745E8</v>
      </c>
    </row>
    <row r="607">
      <c r="A607" s="1">
        <v>605.0</v>
      </c>
      <c r="B607" s="2">
        <v>44226.0</v>
      </c>
      <c r="C607" s="1" t="s">
        <v>344</v>
      </c>
      <c r="D607" s="1" t="s">
        <v>345</v>
      </c>
      <c r="F607" s="1">
        <v>6.474E8</v>
      </c>
      <c r="G607" s="1">
        <v>5.028E8</v>
      </c>
      <c r="H607" s="1">
        <v>1.3942E9</v>
      </c>
      <c r="I607" s="1">
        <v>2.1604E9</v>
      </c>
      <c r="J607" s="1">
        <v>7.181E8</v>
      </c>
      <c r="K607" s="1">
        <v>7.181E8</v>
      </c>
      <c r="L607" s="1">
        <v>-3.42E7</v>
      </c>
      <c r="M607" s="1">
        <v>1.446E8</v>
      </c>
      <c r="N607" s="1">
        <v>6.7679E9</v>
      </c>
      <c r="O607" s="1">
        <v>6.0498E9</v>
      </c>
      <c r="P607" s="1">
        <v>4.6075E9</v>
      </c>
      <c r="Q607" s="1">
        <v>-7.07E7</v>
      </c>
      <c r="R607" s="1">
        <v>5.028E8</v>
      </c>
      <c r="S607" s="1">
        <v>5.028E8</v>
      </c>
    </row>
    <row r="608">
      <c r="A608" s="1">
        <v>606.0</v>
      </c>
      <c r="B608" s="2">
        <v>44135.0</v>
      </c>
      <c r="C608" s="1" t="s">
        <v>344</v>
      </c>
      <c r="D608" s="1" t="s">
        <v>345</v>
      </c>
      <c r="F608" s="1">
        <v>4.273E8</v>
      </c>
      <c r="G608" s="1">
        <v>3.3E8</v>
      </c>
      <c r="H608" s="1">
        <v>1.4235E9</v>
      </c>
      <c r="I608" s="1">
        <v>1.9353E9</v>
      </c>
      <c r="J608" s="1">
        <v>5.118E8</v>
      </c>
      <c r="K608" s="1">
        <v>5.118E8</v>
      </c>
      <c r="L608" s="1">
        <v>-3.81E7</v>
      </c>
      <c r="M608" s="1">
        <v>9.73E7</v>
      </c>
      <c r="N608" s="1">
        <v>6.177E9</v>
      </c>
      <c r="O608" s="1">
        <v>5.6652E9</v>
      </c>
      <c r="P608" s="1">
        <v>4.2417E9</v>
      </c>
      <c r="Q608" s="1">
        <v>-8.45E7</v>
      </c>
      <c r="R608" s="1">
        <v>3.3E8</v>
      </c>
      <c r="S608" s="1">
        <v>3.3E8</v>
      </c>
    </row>
    <row r="609">
      <c r="A609" s="1">
        <v>607.0</v>
      </c>
      <c r="B609" s="2">
        <v>44044.0</v>
      </c>
      <c r="C609" s="1" t="s">
        <v>344</v>
      </c>
      <c r="D609" s="1" t="s">
        <v>345</v>
      </c>
      <c r="F609" s="1">
        <v>3.399E8</v>
      </c>
      <c r="G609" s="1">
        <v>2.615E8</v>
      </c>
      <c r="H609" s="1">
        <v>1.4191E9</v>
      </c>
      <c r="I609" s="1">
        <v>1.9276E9</v>
      </c>
      <c r="J609" s="1">
        <v>5.085E8</v>
      </c>
      <c r="K609" s="1">
        <v>5.085E8</v>
      </c>
      <c r="L609" s="1">
        <v>-3.48E7</v>
      </c>
      <c r="M609" s="1">
        <v>7.84E7</v>
      </c>
      <c r="N609" s="1">
        <v>6.2776E9</v>
      </c>
      <c r="O609" s="1">
        <v>5.7691E9</v>
      </c>
      <c r="P609" s="1">
        <v>4.35E9</v>
      </c>
      <c r="Q609" s="1">
        <v>-1.686E8</v>
      </c>
      <c r="R609" s="1">
        <v>2.615E8</v>
      </c>
      <c r="S609" s="1">
        <v>2.615E8</v>
      </c>
    </row>
    <row r="610">
      <c r="A610" s="1">
        <v>608.0</v>
      </c>
      <c r="B610" s="2">
        <v>44377.0</v>
      </c>
      <c r="C610" s="1" t="s">
        <v>346</v>
      </c>
      <c r="D610" s="1" t="s">
        <v>347</v>
      </c>
      <c r="F610" s="1">
        <v>2.22E8</v>
      </c>
      <c r="G610" s="1">
        <v>2.85E8</v>
      </c>
      <c r="H610" s="1">
        <v>-1.14E8</v>
      </c>
      <c r="I610" s="1">
        <v>1.51E9</v>
      </c>
      <c r="J610" s="1">
        <v>7.86E8</v>
      </c>
      <c r="K610" s="1">
        <v>7.86E8</v>
      </c>
      <c r="L610" s="1">
        <v>-5.18E8</v>
      </c>
      <c r="M610" s="1">
        <v>-4.7E7</v>
      </c>
      <c r="N610" s="1">
        <v>3.038E9</v>
      </c>
      <c r="O610" s="1">
        <v>2.252E9</v>
      </c>
      <c r="P610" s="1">
        <v>1.528E9</v>
      </c>
      <c r="Q610" s="1">
        <v>-5.64E8</v>
      </c>
      <c r="R610" s="1">
        <v>2.69E8</v>
      </c>
      <c r="S610" s="1">
        <v>2.69E8</v>
      </c>
    </row>
    <row r="611">
      <c r="A611" s="1">
        <v>609.0</v>
      </c>
      <c r="B611" s="2">
        <v>44286.0</v>
      </c>
      <c r="C611" s="1" t="s">
        <v>346</v>
      </c>
      <c r="D611" s="1" t="s">
        <v>347</v>
      </c>
      <c r="F611" s="1">
        <v>1.192E9</v>
      </c>
      <c r="G611" s="1">
        <v>1.008E9</v>
      </c>
      <c r="H611" s="1">
        <v>-1.24E8</v>
      </c>
      <c r="I611" s="1">
        <v>1.886E9</v>
      </c>
      <c r="J611" s="1">
        <v>1.257E9</v>
      </c>
      <c r="K611" s="1">
        <v>1.257E9</v>
      </c>
      <c r="L611" s="1">
        <v>-5.3E7</v>
      </c>
      <c r="M611" s="1">
        <v>2.12E8</v>
      </c>
      <c r="N611" s="1">
        <v>3.87E9</v>
      </c>
      <c r="O611" s="1">
        <v>2.613E9</v>
      </c>
      <c r="P611" s="1">
        <v>1.984E9</v>
      </c>
      <c r="Q611" s="1">
        <v>-6.5E7</v>
      </c>
      <c r="R611" s="1">
        <v>9.8E8</v>
      </c>
      <c r="S611" s="1">
        <v>9.92E8</v>
      </c>
    </row>
    <row r="612">
      <c r="A612" s="1">
        <v>610.0</v>
      </c>
      <c r="B612" s="2">
        <v>44196.0</v>
      </c>
      <c r="C612" s="1" t="s">
        <v>346</v>
      </c>
      <c r="D612" s="1" t="s">
        <v>347</v>
      </c>
      <c r="F612" s="1">
        <v>1.021E9</v>
      </c>
      <c r="G612" s="1">
        <v>6.82E8</v>
      </c>
      <c r="H612" s="1">
        <v>-4.86E8</v>
      </c>
      <c r="I612" s="1">
        <v>1.762E9</v>
      </c>
      <c r="J612" s="1">
        <v>7.5E8</v>
      </c>
      <c r="K612" s="1">
        <v>7.5E8</v>
      </c>
      <c r="L612" s="1">
        <v>-2.72E8</v>
      </c>
      <c r="M612" s="1">
        <v>2.06E8</v>
      </c>
      <c r="N612" s="1">
        <v>3.521E9</v>
      </c>
      <c r="O612" s="1">
        <v>2.771E9</v>
      </c>
      <c r="P612" s="1">
        <v>1.759E9</v>
      </c>
      <c r="Q612" s="1">
        <v>2.71E8</v>
      </c>
      <c r="R612" s="1">
        <v>8.15E8</v>
      </c>
      <c r="S612" s="1">
        <v>6.65E8</v>
      </c>
    </row>
    <row r="613">
      <c r="A613" s="1">
        <v>611.0</v>
      </c>
      <c r="B613" s="2">
        <v>44104.0</v>
      </c>
      <c r="C613" s="1" t="s">
        <v>346</v>
      </c>
      <c r="D613" s="1" t="s">
        <v>347</v>
      </c>
      <c r="F613" s="1">
        <v>2000000.0</v>
      </c>
      <c r="G613" s="1">
        <v>3.56E8</v>
      </c>
      <c r="H613" s="1">
        <v>3.1E7</v>
      </c>
      <c r="I613" s="1">
        <v>1.998E9</v>
      </c>
      <c r="J613" s="1">
        <v>9.51E8</v>
      </c>
      <c r="K613" s="1">
        <v>9.51E8</v>
      </c>
      <c r="L613" s="1">
        <v>-3.06E8</v>
      </c>
      <c r="M613" s="1">
        <v>-1.1E8</v>
      </c>
      <c r="N613" s="1">
        <v>3.607E9</v>
      </c>
      <c r="O613" s="1">
        <v>2.656E9</v>
      </c>
      <c r="P613" s="1">
        <v>1.609E9</v>
      </c>
      <c r="Q613" s="1">
        <v>-9.49E8</v>
      </c>
      <c r="R613" s="1">
        <v>1.12E8</v>
      </c>
      <c r="S613" s="1">
        <v>3.4E8</v>
      </c>
    </row>
    <row r="614">
      <c r="A614" s="1">
        <v>612.0</v>
      </c>
      <c r="B614" s="2">
        <v>44367.0</v>
      </c>
      <c r="C614" s="1" t="s">
        <v>348</v>
      </c>
      <c r="D614" s="1" t="s">
        <v>349</v>
      </c>
      <c r="F614" s="1">
        <v>1.45093E8</v>
      </c>
      <c r="G614" s="1">
        <v>1.16619E8</v>
      </c>
      <c r="H614" s="1">
        <v>1.00448E8</v>
      </c>
      <c r="I614" s="1">
        <v>2.9135E8</v>
      </c>
      <c r="J614" s="1">
        <v>1.90902E8</v>
      </c>
      <c r="K614" s="1">
        <v>1.90902E8</v>
      </c>
      <c r="L614" s="1">
        <v>-4.5877E7</v>
      </c>
      <c r="M614" s="1">
        <v>2.8474E7</v>
      </c>
      <c r="N614" s="1">
        <v>1.032472E9</v>
      </c>
      <c r="O614" s="1">
        <v>8.4157E8</v>
      </c>
      <c r="P614" s="1">
        <v>7.41122E8</v>
      </c>
      <c r="Q614" s="1">
        <v>-4.5809E7</v>
      </c>
      <c r="R614" s="1">
        <v>1.16619E8</v>
      </c>
      <c r="S614" s="1">
        <v>1.16619E8</v>
      </c>
    </row>
    <row r="615">
      <c r="A615" s="1">
        <v>613.0</v>
      </c>
      <c r="B615" s="2">
        <v>44283.0</v>
      </c>
      <c r="C615" s="1" t="s">
        <v>348</v>
      </c>
      <c r="D615" s="1" t="s">
        <v>349</v>
      </c>
      <c r="F615" s="1">
        <v>1.49638E8</v>
      </c>
      <c r="G615" s="1">
        <v>1.17761E8</v>
      </c>
      <c r="H615" s="1">
        <v>9.1253E7</v>
      </c>
      <c r="I615" s="1">
        <v>2.77791E8</v>
      </c>
      <c r="J615" s="1">
        <v>1.86538E8</v>
      </c>
      <c r="K615" s="1">
        <v>1.86538E8</v>
      </c>
      <c r="L615" s="1">
        <v>-3.9422E7</v>
      </c>
      <c r="M615" s="1">
        <v>3.1877E7</v>
      </c>
      <c r="N615" s="1">
        <v>9.83698E8</v>
      </c>
      <c r="O615" s="1">
        <v>7.9716E8</v>
      </c>
      <c r="P615" s="1">
        <v>7.05907E8</v>
      </c>
      <c r="Q615" s="1">
        <v>-3.69E7</v>
      </c>
      <c r="R615" s="1">
        <v>1.17761E8</v>
      </c>
      <c r="S615" s="1">
        <v>1.17761E8</v>
      </c>
    </row>
    <row r="616">
      <c r="A616" s="1">
        <v>614.0</v>
      </c>
      <c r="B616" s="2">
        <v>44199.0</v>
      </c>
      <c r="C616" s="1" t="s">
        <v>348</v>
      </c>
      <c r="D616" s="1" t="s">
        <v>349</v>
      </c>
      <c r="F616" s="1">
        <v>1.89565E8</v>
      </c>
      <c r="G616" s="1">
        <v>1.51897E8</v>
      </c>
      <c r="H616" s="1">
        <v>1.38404E8</v>
      </c>
      <c r="I616" s="1">
        <v>3.82448E8</v>
      </c>
      <c r="J616" s="1">
        <v>2.44044E8</v>
      </c>
      <c r="K616" s="1">
        <v>2.44044E8</v>
      </c>
      <c r="L616" s="1">
        <v>-5.4479E7</v>
      </c>
      <c r="M616" s="1">
        <v>3.7668E7</v>
      </c>
      <c r="N616" s="1">
        <v>1.356567E9</v>
      </c>
      <c r="O616" s="1">
        <v>1.112523E9</v>
      </c>
      <c r="P616" s="1">
        <v>9.74119E8</v>
      </c>
      <c r="Q616" s="1">
        <v>-5.4479E7</v>
      </c>
      <c r="R616" s="1">
        <v>1.51897E8</v>
      </c>
      <c r="S616" s="1">
        <v>1.51897E8</v>
      </c>
    </row>
    <row r="617">
      <c r="A617" s="1">
        <v>615.0</v>
      </c>
      <c r="B617" s="2">
        <v>44080.0</v>
      </c>
      <c r="C617" s="1" t="s">
        <v>348</v>
      </c>
      <c r="D617" s="1" t="s">
        <v>349</v>
      </c>
      <c r="F617" s="1">
        <v>1.23773E8</v>
      </c>
      <c r="G617" s="1">
        <v>9.9129E7</v>
      </c>
      <c r="H617" s="1">
        <v>9.1652E7</v>
      </c>
      <c r="I617" s="1">
        <v>2.53833E8</v>
      </c>
      <c r="J617" s="1">
        <v>1.62181E8</v>
      </c>
      <c r="K617" s="1">
        <v>1.62181E8</v>
      </c>
      <c r="L617" s="1">
        <v>-3.8605E7</v>
      </c>
      <c r="M617" s="1">
        <v>2.4644E7</v>
      </c>
      <c r="N617" s="1">
        <v>9.67719E8</v>
      </c>
      <c r="O617" s="1">
        <v>8.05538E8</v>
      </c>
      <c r="P617" s="1">
        <v>7.13886E8</v>
      </c>
      <c r="Q617" s="1">
        <v>-3.8408E7</v>
      </c>
      <c r="R617" s="1">
        <v>9.9129E7</v>
      </c>
      <c r="S617" s="1">
        <v>9.9129E7</v>
      </c>
    </row>
    <row r="618">
      <c r="A618" s="1">
        <v>616.0</v>
      </c>
      <c r="B618" s="2">
        <v>44469.0</v>
      </c>
      <c r="C618" s="1" t="s">
        <v>350</v>
      </c>
      <c r="D618" s="1" t="s">
        <v>351</v>
      </c>
      <c r="E618" s="1">
        <v>3.44E7</v>
      </c>
      <c r="F618" s="1">
        <v>3.27519E8</v>
      </c>
      <c r="G618" s="1">
        <v>2.63756E8</v>
      </c>
      <c r="H618" s="1">
        <v>3.74239E8</v>
      </c>
      <c r="I618" s="1">
        <v>7.56773E8</v>
      </c>
      <c r="J618" s="1">
        <v>3.48134E8</v>
      </c>
      <c r="K618" s="1">
        <v>3.48134E8</v>
      </c>
      <c r="L618" s="1">
        <v>-2.6433E7</v>
      </c>
      <c r="M618" s="1">
        <v>6.3763E7</v>
      </c>
      <c r="N618" s="1">
        <v>2.018269E9</v>
      </c>
      <c r="O618" s="1">
        <v>1.670135E9</v>
      </c>
      <c r="P618" s="1">
        <v>1.261496E9</v>
      </c>
      <c r="Q618" s="1">
        <v>-2.0615E7</v>
      </c>
      <c r="R618" s="1">
        <v>2.63756E8</v>
      </c>
      <c r="S618" s="1">
        <v>2.63756E8</v>
      </c>
    </row>
    <row r="619">
      <c r="A619" s="1">
        <v>617.0</v>
      </c>
      <c r="B619" s="2">
        <v>44377.0</v>
      </c>
      <c r="C619" s="1" t="s">
        <v>350</v>
      </c>
      <c r="D619" s="1" t="s">
        <v>351</v>
      </c>
      <c r="E619" s="1">
        <v>4.12E7</v>
      </c>
      <c r="F619" s="1">
        <v>3.23344E8</v>
      </c>
      <c r="G619" s="1">
        <v>2.64508E8</v>
      </c>
      <c r="H619" s="1">
        <v>3.80932E8</v>
      </c>
      <c r="I619" s="1">
        <v>7.77011E8</v>
      </c>
      <c r="J619" s="1">
        <v>3.54879E8</v>
      </c>
      <c r="K619" s="1">
        <v>3.54879E8</v>
      </c>
      <c r="L619" s="1">
        <v>-2.6661E7</v>
      </c>
      <c r="M619" s="1">
        <v>5.8836E7</v>
      </c>
      <c r="N619" s="1">
        <v>2.031676E9</v>
      </c>
      <c r="O619" s="1">
        <v>1.676797E9</v>
      </c>
      <c r="P619" s="1">
        <v>1.254665E9</v>
      </c>
      <c r="Q619" s="1">
        <v>-3.1535E7</v>
      </c>
      <c r="R619" s="1">
        <v>2.64508E8</v>
      </c>
      <c r="S619" s="1">
        <v>2.64508E8</v>
      </c>
    </row>
    <row r="620">
      <c r="A620" s="1">
        <v>618.0</v>
      </c>
      <c r="B620" s="2">
        <v>44286.0</v>
      </c>
      <c r="C620" s="1" t="s">
        <v>350</v>
      </c>
      <c r="D620" s="1" t="s">
        <v>351</v>
      </c>
      <c r="E620" s="1">
        <v>4.12E7</v>
      </c>
      <c r="F620" s="1">
        <v>2.8925E8</v>
      </c>
      <c r="G620" s="1">
        <v>2.32769E8</v>
      </c>
      <c r="H620" s="1">
        <v>3.63954E8</v>
      </c>
      <c r="I620" s="1">
        <v>7.25455E8</v>
      </c>
      <c r="J620" s="1">
        <v>3.20301E8</v>
      </c>
      <c r="K620" s="1">
        <v>3.20301E8</v>
      </c>
      <c r="L620" s="1">
        <v>-2.6823E7</v>
      </c>
      <c r="M620" s="1">
        <v>5.6481E7</v>
      </c>
      <c r="N620" s="1">
        <v>1.867901E9</v>
      </c>
      <c r="O620" s="1">
        <v>1.5476E9</v>
      </c>
      <c r="P620" s="1">
        <v>1.142446E9</v>
      </c>
      <c r="Q620" s="1">
        <v>-3.1051E7</v>
      </c>
      <c r="R620" s="1">
        <v>2.32769E8</v>
      </c>
      <c r="S620" s="1">
        <v>2.32769E8</v>
      </c>
    </row>
    <row r="621">
      <c r="A621" s="1">
        <v>619.0</v>
      </c>
      <c r="B621" s="2">
        <v>44196.0</v>
      </c>
      <c r="C621" s="1" t="s">
        <v>350</v>
      </c>
      <c r="D621" s="1" t="s">
        <v>351</v>
      </c>
      <c r="E621" s="1">
        <v>1.42101E8</v>
      </c>
      <c r="F621" s="1">
        <v>2.20408E8</v>
      </c>
      <c r="G621" s="1">
        <v>1.82106E8</v>
      </c>
      <c r="H621" s="1">
        <v>2.50888E8</v>
      </c>
      <c r="I621" s="1">
        <v>6.58535E8</v>
      </c>
      <c r="J621" s="1">
        <v>2.65546E8</v>
      </c>
      <c r="K621" s="1">
        <v>2.65546E8</v>
      </c>
      <c r="L621" s="1">
        <v>-2.8234E7</v>
      </c>
      <c r="M621" s="1">
        <v>3.8302E7</v>
      </c>
      <c r="N621" s="1">
        <v>1.78039E9</v>
      </c>
      <c r="O621" s="1">
        <v>1.514844E9</v>
      </c>
      <c r="P621" s="1">
        <v>1.121855E9</v>
      </c>
      <c r="Q621" s="1">
        <v>-4.5138E7</v>
      </c>
      <c r="R621" s="1">
        <v>1.82106E8</v>
      </c>
      <c r="S621" s="1">
        <v>1.82106E8</v>
      </c>
    </row>
    <row r="622">
      <c r="A622" s="1">
        <v>620.0</v>
      </c>
      <c r="B622" s="2">
        <v>44377.0</v>
      </c>
      <c r="C622" s="1" t="s">
        <v>352</v>
      </c>
      <c r="D622" s="1" t="s">
        <v>353</v>
      </c>
      <c r="E622" s="1">
        <v>2.28E8</v>
      </c>
      <c r="F622" s="1">
        <v>2.456E9</v>
      </c>
      <c r="G622" s="1">
        <v>1.901E9</v>
      </c>
      <c r="H622" s="1">
        <v>3.54E8</v>
      </c>
      <c r="I622" s="1">
        <v>3.247E9</v>
      </c>
      <c r="J622" s="1">
        <v>2.565E9</v>
      </c>
      <c r="K622" s="1">
        <v>2.565E9</v>
      </c>
      <c r="L622" s="1">
        <v>-1.87E8</v>
      </c>
      <c r="M622" s="1">
        <v>5.24E8</v>
      </c>
      <c r="N622" s="1">
        <v>1.3885E10</v>
      </c>
      <c r="O622" s="1">
        <v>1.132E10</v>
      </c>
      <c r="P622" s="1">
        <v>1.0638E10</v>
      </c>
      <c r="Q622" s="1">
        <v>-1.09E8</v>
      </c>
      <c r="R622" s="1">
        <v>1.932E9</v>
      </c>
      <c r="S622" s="1">
        <v>1.891E9</v>
      </c>
    </row>
    <row r="623">
      <c r="A623" s="1">
        <v>621.0</v>
      </c>
      <c r="B623" s="2">
        <v>44286.0</v>
      </c>
      <c r="C623" s="1" t="s">
        <v>352</v>
      </c>
      <c r="D623" s="1" t="s">
        <v>353</v>
      </c>
      <c r="E623" s="1">
        <v>1.94E8</v>
      </c>
      <c r="F623" s="1">
        <v>1.323E9</v>
      </c>
      <c r="G623" s="1">
        <v>9.91E8</v>
      </c>
      <c r="H623" s="1">
        <v>2.91E8</v>
      </c>
      <c r="I623" s="1">
        <v>1.82E9</v>
      </c>
      <c r="J623" s="1">
        <v>1.234E9</v>
      </c>
      <c r="K623" s="1">
        <v>1.234E9</v>
      </c>
      <c r="L623" s="1">
        <v>-1.96E8</v>
      </c>
      <c r="M623" s="1">
        <v>3.17E8</v>
      </c>
      <c r="N623" s="1">
        <v>1.1882E10</v>
      </c>
      <c r="O623" s="1">
        <v>1.0648E10</v>
      </c>
      <c r="P623" s="1">
        <v>1.0062E10</v>
      </c>
      <c r="Q623" s="1">
        <v>8.9E7</v>
      </c>
      <c r="R623" s="1">
        <v>1.006E9</v>
      </c>
      <c r="S623" s="1">
        <v>9.86E8</v>
      </c>
    </row>
    <row r="624">
      <c r="A624" s="1">
        <v>622.0</v>
      </c>
      <c r="B624" s="2">
        <v>44196.0</v>
      </c>
      <c r="C624" s="1" t="s">
        <v>352</v>
      </c>
      <c r="D624" s="1" t="s">
        <v>353</v>
      </c>
      <c r="E624" s="1">
        <v>2.14E8</v>
      </c>
      <c r="F624" s="1">
        <v>1.816E9</v>
      </c>
      <c r="G624" s="1">
        <v>1.236E9</v>
      </c>
      <c r="H624" s="1">
        <v>4.05E8</v>
      </c>
      <c r="I624" s="1">
        <v>1.567E9</v>
      </c>
      <c r="J624" s="1">
        <v>8.47E8</v>
      </c>
      <c r="K624" s="1">
        <v>8.47E8</v>
      </c>
      <c r="L624" s="1">
        <v>-2.1E8</v>
      </c>
      <c r="M624" s="1">
        <v>5.62E8</v>
      </c>
      <c r="N624" s="1">
        <v>1.0706E10</v>
      </c>
      <c r="O624" s="1">
        <v>9.859E9</v>
      </c>
      <c r="P624" s="1">
        <v>9.139E9</v>
      </c>
      <c r="Q624" s="1">
        <v>9.69E8</v>
      </c>
      <c r="R624" s="1">
        <v>1.254E9</v>
      </c>
      <c r="S624" s="1">
        <v>1.236E9</v>
      </c>
    </row>
    <row r="625">
      <c r="A625" s="1">
        <v>623.0</v>
      </c>
      <c r="B625" s="2">
        <v>44104.0</v>
      </c>
      <c r="C625" s="1" t="s">
        <v>352</v>
      </c>
      <c r="D625" s="1" t="s">
        <v>353</v>
      </c>
      <c r="E625" s="1">
        <v>1.93E8</v>
      </c>
      <c r="F625" s="1">
        <v>4.2E7</v>
      </c>
      <c r="G625" s="1">
        <v>-2.5E7</v>
      </c>
      <c r="H625" s="1">
        <v>3.46E8</v>
      </c>
      <c r="I625" s="1">
        <v>1.341E9</v>
      </c>
      <c r="J625" s="1">
        <v>7.02E8</v>
      </c>
      <c r="K625" s="1">
        <v>7.02E8</v>
      </c>
      <c r="L625" s="1">
        <v>-2.02E8</v>
      </c>
      <c r="M625" s="1">
        <v>4.3E7</v>
      </c>
      <c r="N625" s="1">
        <v>9.712E9</v>
      </c>
      <c r="O625" s="1">
        <v>9.01E9</v>
      </c>
      <c r="P625" s="1">
        <v>8.371E9</v>
      </c>
      <c r="Q625" s="1">
        <v>-6.6E8</v>
      </c>
      <c r="R625" s="1">
        <v>-1000000.0</v>
      </c>
      <c r="S625" s="1">
        <v>-2.8E7</v>
      </c>
    </row>
    <row r="626">
      <c r="A626" s="1">
        <v>624.0</v>
      </c>
      <c r="B626" s="2">
        <v>44377.0</v>
      </c>
      <c r="C626" s="1" t="s">
        <v>354</v>
      </c>
      <c r="D626" s="1" t="s">
        <v>355</v>
      </c>
      <c r="F626" s="1">
        <v>2.01E8</v>
      </c>
      <c r="G626" s="1">
        <v>1.79E8</v>
      </c>
      <c r="H626" s="1">
        <v>3000000.0</v>
      </c>
      <c r="I626" s="1">
        <v>8.85E8</v>
      </c>
      <c r="J626" s="1">
        <v>3.88E8</v>
      </c>
      <c r="K626" s="1">
        <v>3.88E8</v>
      </c>
      <c r="L626" s="1">
        <v>-1.9E8</v>
      </c>
      <c r="M626" s="1">
        <v>2.2E7</v>
      </c>
      <c r="N626" s="1">
        <v>3.229E9</v>
      </c>
      <c r="O626" s="1">
        <v>2.841E9</v>
      </c>
      <c r="P626" s="1">
        <v>2.344E9</v>
      </c>
      <c r="Q626" s="1">
        <v>-1.87E8</v>
      </c>
      <c r="R626" s="1">
        <v>1.79E8</v>
      </c>
      <c r="S626" s="1">
        <v>1.78E8</v>
      </c>
    </row>
    <row r="627">
      <c r="A627" s="1">
        <v>625.0</v>
      </c>
      <c r="B627" s="2">
        <v>44286.0</v>
      </c>
      <c r="C627" s="1" t="s">
        <v>354</v>
      </c>
      <c r="D627" s="1" t="s">
        <v>355</v>
      </c>
      <c r="F627" s="1">
        <v>4.25E8</v>
      </c>
      <c r="G627" s="1">
        <v>3.97E8</v>
      </c>
      <c r="H627" s="1">
        <v>4000000.0</v>
      </c>
      <c r="I627" s="1">
        <v>1.026E9</v>
      </c>
      <c r="J627" s="1">
        <v>5.32E8</v>
      </c>
      <c r="K627" s="1">
        <v>5.32E8</v>
      </c>
      <c r="L627" s="1">
        <v>-1.81E8</v>
      </c>
      <c r="M627" s="1">
        <v>2.8E7</v>
      </c>
      <c r="N627" s="1">
        <v>3.778E9</v>
      </c>
      <c r="O627" s="1">
        <v>3.246E9</v>
      </c>
      <c r="P627" s="1">
        <v>2.752E9</v>
      </c>
      <c r="Q627" s="1">
        <v>-1.07E8</v>
      </c>
      <c r="R627" s="1">
        <v>3.97E8</v>
      </c>
      <c r="S627" s="1">
        <v>3.97E8</v>
      </c>
    </row>
    <row r="628">
      <c r="A628" s="1">
        <v>626.0</v>
      </c>
      <c r="B628" s="2">
        <v>44196.0</v>
      </c>
      <c r="C628" s="1" t="s">
        <v>354</v>
      </c>
      <c r="D628" s="1" t="s">
        <v>355</v>
      </c>
      <c r="F628" s="1">
        <v>3.24E8</v>
      </c>
      <c r="G628" s="1">
        <v>2.75E8</v>
      </c>
      <c r="H628" s="1">
        <v>8000000.0</v>
      </c>
      <c r="I628" s="1">
        <v>9.49E8</v>
      </c>
      <c r="J628" s="1">
        <v>4.53E8</v>
      </c>
      <c r="K628" s="1">
        <v>4.53E8</v>
      </c>
      <c r="L628" s="1">
        <v>-1.88E8</v>
      </c>
      <c r="M628" s="1">
        <v>4.9E7</v>
      </c>
      <c r="N628" s="1">
        <v>3.288E9</v>
      </c>
      <c r="O628" s="1">
        <v>2.835E9</v>
      </c>
      <c r="P628" s="1">
        <v>2.339E9</v>
      </c>
      <c r="Q628" s="1">
        <v>-1.29E8</v>
      </c>
      <c r="R628" s="1">
        <v>2.75E8</v>
      </c>
      <c r="S628" s="1">
        <v>2.75E8</v>
      </c>
    </row>
    <row r="629">
      <c r="A629" s="1">
        <v>627.0</v>
      </c>
      <c r="B629" s="2">
        <v>44104.0</v>
      </c>
      <c r="C629" s="1" t="s">
        <v>354</v>
      </c>
      <c r="D629" s="1" t="s">
        <v>355</v>
      </c>
      <c r="F629" s="1">
        <v>5.4E8</v>
      </c>
      <c r="G629" s="1">
        <v>4.76E8</v>
      </c>
      <c r="H629" s="1">
        <v>5000000.0</v>
      </c>
      <c r="I629" s="1">
        <v>1.061E9</v>
      </c>
      <c r="J629" s="1">
        <v>5.97E8</v>
      </c>
      <c r="K629" s="1">
        <v>5.97E8</v>
      </c>
      <c r="L629" s="1">
        <v>-1.78E8</v>
      </c>
      <c r="M629" s="1">
        <v>6.3E7</v>
      </c>
      <c r="N629" s="1">
        <v>3.284E9</v>
      </c>
      <c r="O629" s="1">
        <v>2.687E9</v>
      </c>
      <c r="P629" s="1">
        <v>2.223E9</v>
      </c>
      <c r="Q629" s="1">
        <v>-5.7E7</v>
      </c>
      <c r="R629" s="1">
        <v>4.77E8</v>
      </c>
      <c r="S629" s="1">
        <v>4.75E8</v>
      </c>
    </row>
    <row r="630">
      <c r="A630" s="1">
        <v>628.0</v>
      </c>
      <c r="B630" s="2">
        <v>44377.0</v>
      </c>
      <c r="C630" s="1" t="s">
        <v>356</v>
      </c>
      <c r="D630" s="1" t="s">
        <v>357</v>
      </c>
      <c r="F630" s="1">
        <v>7.34E8</v>
      </c>
      <c r="G630" s="1">
        <v>7.65E8</v>
      </c>
      <c r="I630" s="1">
        <v>2.854E9</v>
      </c>
      <c r="J630" s="1">
        <v>1.298E9</v>
      </c>
      <c r="K630" s="1">
        <v>1.298E9</v>
      </c>
      <c r="L630" s="1">
        <v>-5.72E8</v>
      </c>
      <c r="M630" s="1">
        <v>3.6E7</v>
      </c>
      <c r="N630" s="1">
        <v>5.758E9</v>
      </c>
      <c r="O630" s="1">
        <v>4.46E9</v>
      </c>
      <c r="P630" s="1">
        <v>2.904E9</v>
      </c>
      <c r="Q630" s="1">
        <v>-5.64E8</v>
      </c>
      <c r="R630" s="1">
        <v>6.98E8</v>
      </c>
      <c r="S630" s="1">
        <v>7.38E8</v>
      </c>
    </row>
    <row r="631">
      <c r="A631" s="1">
        <v>629.0</v>
      </c>
      <c r="B631" s="2">
        <v>44286.0</v>
      </c>
      <c r="C631" s="1" t="s">
        <v>356</v>
      </c>
      <c r="D631" s="1" t="s">
        <v>357</v>
      </c>
      <c r="F631" s="1">
        <v>1.025E9</v>
      </c>
      <c r="G631" s="1">
        <v>9.92E8</v>
      </c>
      <c r="I631" s="1">
        <v>3.029E9</v>
      </c>
      <c r="J631" s="1">
        <v>1.45E9</v>
      </c>
      <c r="K631" s="1">
        <v>1.45E9</v>
      </c>
      <c r="L631" s="1">
        <v>-5.35E8</v>
      </c>
      <c r="M631" s="1">
        <v>8.4E7</v>
      </c>
      <c r="N631" s="1">
        <v>6.15E9</v>
      </c>
      <c r="O631" s="1">
        <v>4.7E9</v>
      </c>
      <c r="P631" s="1">
        <v>3.121E9</v>
      </c>
      <c r="Q631" s="1">
        <v>-4.25E8</v>
      </c>
      <c r="R631" s="1">
        <v>9.41E8</v>
      </c>
      <c r="S631" s="1">
        <v>9.64E8</v>
      </c>
    </row>
    <row r="632">
      <c r="A632" s="1">
        <v>630.0</v>
      </c>
      <c r="B632" s="2">
        <v>44196.0</v>
      </c>
      <c r="C632" s="1" t="s">
        <v>356</v>
      </c>
      <c r="D632" s="1" t="s">
        <v>357</v>
      </c>
      <c r="F632" s="1">
        <v>-3.19E8</v>
      </c>
      <c r="G632" s="1">
        <v>-6.3E7</v>
      </c>
      <c r="I632" s="1">
        <v>2.564E9</v>
      </c>
      <c r="J632" s="1">
        <v>1.022E9</v>
      </c>
      <c r="K632" s="1">
        <v>1.022E9</v>
      </c>
      <c r="L632" s="1">
        <v>-5.35E8</v>
      </c>
      <c r="M632" s="1">
        <v>-1.62E8</v>
      </c>
      <c r="N632" s="1">
        <v>5.777E9</v>
      </c>
      <c r="O632" s="1">
        <v>4.755E9</v>
      </c>
      <c r="P632" s="1">
        <v>3.213E9</v>
      </c>
      <c r="Q632" s="1">
        <v>-1.341E9</v>
      </c>
      <c r="R632" s="1">
        <v>-1.57E8</v>
      </c>
      <c r="S632" s="1">
        <v>-7.7E7</v>
      </c>
    </row>
    <row r="633">
      <c r="A633" s="1">
        <v>631.0</v>
      </c>
      <c r="B633" s="2">
        <v>44104.0</v>
      </c>
      <c r="C633" s="1" t="s">
        <v>356</v>
      </c>
      <c r="D633" s="1" t="s">
        <v>357</v>
      </c>
      <c r="F633" s="1">
        <v>1.339E9</v>
      </c>
      <c r="G633" s="1">
        <v>1.304E9</v>
      </c>
      <c r="I633" s="1">
        <v>3.42E9</v>
      </c>
      <c r="J633" s="1">
        <v>1.879E9</v>
      </c>
      <c r="K633" s="1">
        <v>1.879E9</v>
      </c>
      <c r="L633" s="1">
        <v>-5.22E8</v>
      </c>
      <c r="M633" s="1">
        <v>1.05E8</v>
      </c>
      <c r="N633" s="1">
        <v>6.721E9</v>
      </c>
      <c r="O633" s="1">
        <v>4.842E9</v>
      </c>
      <c r="P633" s="1">
        <v>3.301E9</v>
      </c>
      <c r="Q633" s="1">
        <v>-5.4E8</v>
      </c>
      <c r="R633" s="1">
        <v>1.234E9</v>
      </c>
      <c r="S633" s="1">
        <v>1.276E9</v>
      </c>
    </row>
    <row r="634">
      <c r="A634" s="1">
        <v>632.0</v>
      </c>
      <c r="B634" s="2">
        <v>44286.0</v>
      </c>
      <c r="C634" s="1" t="s">
        <v>358</v>
      </c>
      <c r="D634" s="1" t="s">
        <v>359</v>
      </c>
      <c r="F634" s="1">
        <v>8.5388E7</v>
      </c>
      <c r="G634" s="1">
        <v>7.9362E7</v>
      </c>
      <c r="H634" s="1">
        <v>2.4217E7</v>
      </c>
      <c r="I634" s="1">
        <v>1.93897E8</v>
      </c>
      <c r="J634" s="1">
        <v>7.2004E7</v>
      </c>
      <c r="K634" s="1">
        <v>7.2004E7</v>
      </c>
      <c r="L634" s="1">
        <v>-2.2507E7</v>
      </c>
      <c r="M634" s="1">
        <v>5184000.0</v>
      </c>
      <c r="N634" s="1">
        <v>2.9266E8</v>
      </c>
      <c r="O634" s="1">
        <v>2.20656E8</v>
      </c>
      <c r="P634" s="1">
        <v>9.8763E7</v>
      </c>
      <c r="Q634" s="1">
        <v>1.3384E7</v>
      </c>
      <c r="R634" s="1">
        <v>8.0204E7</v>
      </c>
      <c r="S634" s="1">
        <v>7.8991E7</v>
      </c>
    </row>
    <row r="635">
      <c r="A635" s="1">
        <v>633.0</v>
      </c>
      <c r="B635" s="2">
        <v>44196.0</v>
      </c>
      <c r="C635" s="1" t="s">
        <v>358</v>
      </c>
      <c r="D635" s="1" t="s">
        <v>359</v>
      </c>
      <c r="F635" s="1">
        <v>1.66418E8</v>
      </c>
      <c r="G635" s="1">
        <v>1.68816E8</v>
      </c>
      <c r="H635" s="1">
        <v>1.3196E7</v>
      </c>
      <c r="I635" s="1">
        <v>1.94057E8</v>
      </c>
      <c r="J635" s="1">
        <v>8.3053E7</v>
      </c>
      <c r="K635" s="1">
        <v>8.3053E7</v>
      </c>
      <c r="L635" s="1">
        <v>-2.4048E7</v>
      </c>
      <c r="M635" s="1">
        <v>-3946000.0</v>
      </c>
      <c r="N635" s="1">
        <v>2.69241E8</v>
      </c>
      <c r="O635" s="1">
        <v>1.86188E8</v>
      </c>
      <c r="P635" s="1">
        <v>7.5184E7</v>
      </c>
      <c r="Q635" s="1">
        <v>8.3365E7</v>
      </c>
      <c r="R635" s="1">
        <v>1.70364E8</v>
      </c>
      <c r="S635" s="1">
        <v>1.68433E8</v>
      </c>
    </row>
    <row r="636">
      <c r="A636" s="1">
        <v>634.0</v>
      </c>
      <c r="B636" s="2">
        <v>44104.0</v>
      </c>
      <c r="C636" s="1" t="s">
        <v>358</v>
      </c>
      <c r="D636" s="1" t="s">
        <v>359</v>
      </c>
      <c r="F636" s="1">
        <v>7.152E7</v>
      </c>
      <c r="G636" s="1">
        <v>7.1823E7</v>
      </c>
      <c r="H636" s="1">
        <v>1.1439E7</v>
      </c>
      <c r="I636" s="1">
        <v>1.83094E8</v>
      </c>
      <c r="J636" s="1">
        <v>7.7229E7</v>
      </c>
      <c r="K636" s="1">
        <v>7.7229E7</v>
      </c>
      <c r="L636" s="1">
        <v>-2.3059E7</v>
      </c>
      <c r="M636" s="1">
        <v>-956000.0</v>
      </c>
      <c r="N636" s="1">
        <v>2.64956E8</v>
      </c>
      <c r="O636" s="1">
        <v>1.87727E8</v>
      </c>
      <c r="P636" s="1">
        <v>8.1862E7</v>
      </c>
      <c r="Q636" s="1">
        <v>-5709000.0</v>
      </c>
      <c r="R636" s="1">
        <v>7.2476E7</v>
      </c>
      <c r="S636" s="1">
        <v>7.1471E7</v>
      </c>
    </row>
    <row r="637">
      <c r="A637" s="1">
        <v>635.0</v>
      </c>
      <c r="B637" s="2">
        <v>44012.0</v>
      </c>
      <c r="C637" s="1" t="s">
        <v>358</v>
      </c>
      <c r="D637" s="1" t="s">
        <v>359</v>
      </c>
      <c r="F637" s="1">
        <v>4.0047E7</v>
      </c>
      <c r="G637" s="1">
        <v>3.982E7</v>
      </c>
      <c r="H637" s="1">
        <v>1.1506E7</v>
      </c>
      <c r="I637" s="1">
        <v>1.76515E8</v>
      </c>
      <c r="J637" s="1">
        <v>7.2725E7</v>
      </c>
      <c r="K637" s="1">
        <v>7.2725E7</v>
      </c>
      <c r="L637" s="1">
        <v>-2.2841E7</v>
      </c>
      <c r="M637" s="1">
        <v>-150000.0</v>
      </c>
      <c r="N637" s="1">
        <v>2.41241E8</v>
      </c>
      <c r="O637" s="1">
        <v>1.68516E8</v>
      </c>
      <c r="P637" s="1">
        <v>6.4726E7</v>
      </c>
      <c r="Q637" s="1">
        <v>-3.2678E7</v>
      </c>
      <c r="R637" s="1">
        <v>4.0197E7</v>
      </c>
      <c r="S637" s="1">
        <v>3.9464E7</v>
      </c>
    </row>
    <row r="638">
      <c r="A638" s="1">
        <v>636.0</v>
      </c>
      <c r="B638" s="2">
        <v>44377.0</v>
      </c>
      <c r="C638" s="1" t="s">
        <v>360</v>
      </c>
      <c r="D638" s="1" t="s">
        <v>361</v>
      </c>
      <c r="E638" s="1">
        <v>1.48E8</v>
      </c>
      <c r="F638" s="1">
        <v>7.15E8</v>
      </c>
      <c r="G638" s="1">
        <v>4.78E8</v>
      </c>
      <c r="H638" s="1">
        <v>4.46E8</v>
      </c>
      <c r="I638" s="1">
        <v>1.48E9</v>
      </c>
      <c r="J638" s="1">
        <v>7.19E8</v>
      </c>
      <c r="K638" s="1">
        <v>7.19E8</v>
      </c>
      <c r="L638" s="1">
        <v>-1.29E8</v>
      </c>
      <c r="M638" s="1">
        <v>1.51E8</v>
      </c>
      <c r="N638" s="1">
        <v>4.135E9</v>
      </c>
      <c r="O638" s="1">
        <v>3.416E9</v>
      </c>
      <c r="P638" s="1">
        <v>2.655E9</v>
      </c>
      <c r="Q638" s="1">
        <v>-4000000.0</v>
      </c>
      <c r="R638" s="1">
        <v>5.64E8</v>
      </c>
      <c r="S638" s="1">
        <v>4.78E8</v>
      </c>
    </row>
    <row r="639">
      <c r="A639" s="1">
        <v>637.0</v>
      </c>
      <c r="B639" s="2">
        <v>44286.0</v>
      </c>
      <c r="C639" s="1" t="s">
        <v>360</v>
      </c>
      <c r="D639" s="1" t="s">
        <v>361</v>
      </c>
      <c r="E639" s="1">
        <v>1.56E8</v>
      </c>
      <c r="F639" s="1">
        <v>5.73E8</v>
      </c>
      <c r="G639" s="1">
        <v>5.394E9</v>
      </c>
      <c r="H639" s="1">
        <v>4.44E8</v>
      </c>
      <c r="I639" s="1">
        <v>1.464E9</v>
      </c>
      <c r="J639" s="1">
        <v>6.97E8</v>
      </c>
      <c r="K639" s="1">
        <v>6.97E8</v>
      </c>
      <c r="L639" s="1">
        <v>-1.46E8</v>
      </c>
      <c r="M639" s="1">
        <v>3.2E7</v>
      </c>
      <c r="N639" s="1">
        <v>3.976E9</v>
      </c>
      <c r="O639" s="1">
        <v>3.279E9</v>
      </c>
      <c r="P639" s="1">
        <v>2.512E9</v>
      </c>
      <c r="Q639" s="1">
        <v>-1.24E8</v>
      </c>
      <c r="R639" s="1">
        <v>5.41E8</v>
      </c>
      <c r="S639" s="1">
        <v>5.394E9</v>
      </c>
    </row>
    <row r="640">
      <c r="A640" s="1">
        <v>638.0</v>
      </c>
      <c r="B640" s="2">
        <v>44196.0</v>
      </c>
      <c r="C640" s="1" t="s">
        <v>360</v>
      </c>
      <c r="D640" s="1" t="s">
        <v>361</v>
      </c>
      <c r="E640" s="1">
        <v>2.16E8</v>
      </c>
      <c r="F640" s="1">
        <v>1.56E8</v>
      </c>
      <c r="G640" s="1">
        <v>2.22E8</v>
      </c>
      <c r="H640" s="1">
        <v>5.29E8</v>
      </c>
      <c r="I640" s="1">
        <v>1.731E9</v>
      </c>
      <c r="J640" s="1">
        <v>4.58E8</v>
      </c>
      <c r="K640" s="1">
        <v>4.58E8</v>
      </c>
      <c r="L640" s="1">
        <v>-1.94E8</v>
      </c>
      <c r="M640" s="1">
        <v>-1.23E8</v>
      </c>
      <c r="N640" s="1">
        <v>5.252E9</v>
      </c>
      <c r="O640" s="1">
        <v>4.794E9</v>
      </c>
      <c r="P640" s="1">
        <v>3.521E9</v>
      </c>
      <c r="Q640" s="1">
        <v>-3.02E8</v>
      </c>
      <c r="R640" s="1">
        <v>2.79E8</v>
      </c>
      <c r="S640" s="1">
        <v>2.22E8</v>
      </c>
    </row>
    <row r="641">
      <c r="A641" s="1">
        <v>639.0</v>
      </c>
      <c r="B641" s="2">
        <v>44104.0</v>
      </c>
      <c r="C641" s="1" t="s">
        <v>360</v>
      </c>
      <c r="D641" s="1" t="s">
        <v>361</v>
      </c>
      <c r="E641" s="1">
        <v>1.99E8</v>
      </c>
      <c r="F641" s="1">
        <v>2.0E7</v>
      </c>
      <c r="G641" s="1">
        <v>-7.9E7</v>
      </c>
      <c r="H641" s="1">
        <v>5.19E8</v>
      </c>
      <c r="I641" s="1">
        <v>1.704E9</v>
      </c>
      <c r="J641" s="1">
        <v>4.56E8</v>
      </c>
      <c r="K641" s="1">
        <v>4.56E8</v>
      </c>
      <c r="L641" s="1">
        <v>-1.97E8</v>
      </c>
      <c r="M641" s="1">
        <v>9.2E7</v>
      </c>
      <c r="N641" s="1">
        <v>5.096E9</v>
      </c>
      <c r="O641" s="1">
        <v>4.64E9</v>
      </c>
      <c r="P641" s="1">
        <v>3.392E9</v>
      </c>
      <c r="Q641" s="1">
        <v>-4.36E8</v>
      </c>
      <c r="R641" s="1">
        <v>-7.2E7</v>
      </c>
      <c r="S641" s="1">
        <v>-7.9E7</v>
      </c>
    </row>
    <row r="642">
      <c r="A642" s="1">
        <v>640.0</v>
      </c>
      <c r="B642" s="2">
        <v>44377.0</v>
      </c>
      <c r="C642" s="1" t="s">
        <v>362</v>
      </c>
      <c r="D642" s="1" t="s">
        <v>363</v>
      </c>
      <c r="F642" s="1">
        <v>4.24E8</v>
      </c>
      <c r="G642" s="1">
        <v>2.78E8</v>
      </c>
      <c r="H642" s="1">
        <v>2.77E8</v>
      </c>
      <c r="I642" s="1">
        <v>8.86E8</v>
      </c>
      <c r="J642" s="1">
        <v>1.87E8</v>
      </c>
      <c r="K642" s="1">
        <v>1.87E8</v>
      </c>
      <c r="L642" s="1">
        <v>-6.2E7</v>
      </c>
      <c r="M642" s="1">
        <v>1.42E8</v>
      </c>
      <c r="N642" s="1">
        <v>4.141E9</v>
      </c>
      <c r="O642" s="1">
        <v>3.954E9</v>
      </c>
      <c r="P642" s="1">
        <v>3.255E9</v>
      </c>
      <c r="Q642" s="1">
        <v>2.37E8</v>
      </c>
      <c r="R642" s="1">
        <v>2.82E8</v>
      </c>
      <c r="S642" s="1">
        <v>2.78E8</v>
      </c>
    </row>
    <row r="643">
      <c r="A643" s="1">
        <v>641.0</v>
      </c>
      <c r="B643" s="2">
        <v>44286.0</v>
      </c>
      <c r="C643" s="1" t="s">
        <v>362</v>
      </c>
      <c r="D643" s="1" t="s">
        <v>363</v>
      </c>
      <c r="F643" s="1">
        <v>-7.93E8</v>
      </c>
      <c r="G643" s="1">
        <v>-7.98E8</v>
      </c>
      <c r="H643" s="1">
        <v>8.32E8</v>
      </c>
      <c r="I643" s="1">
        <v>1.016E9</v>
      </c>
      <c r="J643" s="1">
        <v>-2.94E8</v>
      </c>
      <c r="K643" s="1">
        <v>-2.94E8</v>
      </c>
      <c r="L643" s="1">
        <v>-7.7E7</v>
      </c>
      <c r="M643" s="1">
        <v>1.1E7</v>
      </c>
      <c r="N643" s="1">
        <v>4.385E9</v>
      </c>
      <c r="O643" s="1">
        <v>4.679E9</v>
      </c>
      <c r="P643" s="1">
        <v>3.369E9</v>
      </c>
      <c r="Q643" s="1">
        <v>-4.99E8</v>
      </c>
      <c r="R643" s="1">
        <v>-8.04E8</v>
      </c>
      <c r="S643" s="1">
        <v>-7.98E8</v>
      </c>
    </row>
    <row r="644">
      <c r="A644" s="1">
        <v>642.0</v>
      </c>
      <c r="B644" s="2">
        <v>44196.0</v>
      </c>
      <c r="C644" s="1" t="s">
        <v>362</v>
      </c>
      <c r="D644" s="1" t="s">
        <v>363</v>
      </c>
      <c r="F644" s="1">
        <v>1.978E9</v>
      </c>
      <c r="G644" s="1">
        <v>1.098E9</v>
      </c>
      <c r="H644" s="1">
        <v>3.18E8</v>
      </c>
      <c r="I644" s="1">
        <v>9.55E8</v>
      </c>
      <c r="J644" s="1">
        <v>1.62E8</v>
      </c>
      <c r="K644" s="1">
        <v>1.62E8</v>
      </c>
      <c r="L644" s="1">
        <v>-8.2E7</v>
      </c>
      <c r="M644" s="1">
        <v>8.75E8</v>
      </c>
      <c r="N644" s="1">
        <v>4.288E9</v>
      </c>
      <c r="O644" s="1">
        <v>4.126E9</v>
      </c>
      <c r="P644" s="1">
        <v>3.333E9</v>
      </c>
      <c r="Q644" s="1">
        <v>1.816E9</v>
      </c>
      <c r="R644" s="1">
        <v>1.103E9</v>
      </c>
      <c r="S644" s="1">
        <v>1.098E9</v>
      </c>
    </row>
    <row r="645">
      <c r="A645" s="1">
        <v>643.0</v>
      </c>
      <c r="B645" s="2">
        <v>44104.0</v>
      </c>
      <c r="C645" s="1" t="s">
        <v>362</v>
      </c>
      <c r="D645" s="1" t="s">
        <v>363</v>
      </c>
      <c r="F645" s="1">
        <v>-3.06E8</v>
      </c>
      <c r="G645" s="1">
        <v>-2.44E8</v>
      </c>
      <c r="H645" s="1">
        <v>3.39E8</v>
      </c>
      <c r="I645" s="1">
        <v>9.91E8</v>
      </c>
      <c r="J645" s="1">
        <v>1.27E8</v>
      </c>
      <c r="K645" s="1">
        <v>1.27E8</v>
      </c>
      <c r="L645" s="1">
        <v>-9.6E7</v>
      </c>
      <c r="M645" s="1">
        <v>-6.0E7</v>
      </c>
      <c r="N645" s="1">
        <v>4.554E9</v>
      </c>
      <c r="O645" s="1">
        <v>4.427E9</v>
      </c>
      <c r="P645" s="1">
        <v>3.563E9</v>
      </c>
      <c r="Q645" s="1">
        <v>-4.33E8</v>
      </c>
      <c r="R645" s="1">
        <v>-2.46E8</v>
      </c>
      <c r="S645" s="1">
        <v>-2.44E8</v>
      </c>
    </row>
    <row r="646">
      <c r="A646" s="1">
        <v>644.0</v>
      </c>
      <c r="B646" s="2">
        <v>44377.0</v>
      </c>
      <c r="C646" s="1" t="s">
        <v>364</v>
      </c>
      <c r="D646" s="1" t="s">
        <v>365</v>
      </c>
      <c r="E646" s="1">
        <v>6.3E7</v>
      </c>
      <c r="F646" s="1">
        <v>-1.07E8</v>
      </c>
      <c r="G646" s="1">
        <v>-1.46E8</v>
      </c>
      <c r="H646" s="1">
        <v>1.65E8</v>
      </c>
      <c r="I646" s="1">
        <v>6.81E8</v>
      </c>
      <c r="J646" s="1">
        <v>4.53E8</v>
      </c>
      <c r="K646" s="1">
        <v>4.53E8</v>
      </c>
      <c r="L646" s="1">
        <v>-5.1E7</v>
      </c>
      <c r="M646" s="1">
        <v>3.7E7</v>
      </c>
      <c r="N646" s="1">
        <v>2.653E9</v>
      </c>
      <c r="O646" s="1">
        <v>2.2E9</v>
      </c>
      <c r="P646" s="1">
        <v>1.972E9</v>
      </c>
      <c r="Q646" s="1">
        <v>-5.6E8</v>
      </c>
      <c r="R646" s="1">
        <v>-1.44E8</v>
      </c>
      <c r="S646" s="1">
        <v>-1.46E8</v>
      </c>
    </row>
    <row r="647">
      <c r="A647" s="1">
        <v>645.0</v>
      </c>
      <c r="B647" s="2">
        <v>44286.0</v>
      </c>
      <c r="C647" s="1" t="s">
        <v>364</v>
      </c>
      <c r="D647" s="1" t="s">
        <v>365</v>
      </c>
      <c r="E647" s="1">
        <v>5.8E7</v>
      </c>
      <c r="F647" s="1">
        <v>3.39E8</v>
      </c>
      <c r="G647" s="1">
        <v>2.74E8</v>
      </c>
      <c r="H647" s="1">
        <v>1.48E8</v>
      </c>
      <c r="I647" s="1">
        <v>6.02E8</v>
      </c>
      <c r="J647" s="1">
        <v>3.96E8</v>
      </c>
      <c r="K647" s="1">
        <v>3.96E8</v>
      </c>
      <c r="L647" s="1">
        <v>-5.1E7</v>
      </c>
      <c r="M647" s="1">
        <v>6.2E7</v>
      </c>
      <c r="N647" s="1">
        <v>2.409E9</v>
      </c>
      <c r="O647" s="1">
        <v>2.013E9</v>
      </c>
      <c r="P647" s="1">
        <v>1.807E9</v>
      </c>
      <c r="Q647" s="1">
        <v>-5.7E7</v>
      </c>
      <c r="R647" s="1">
        <v>2.77E8</v>
      </c>
      <c r="S647" s="1">
        <v>2.74E8</v>
      </c>
    </row>
    <row r="648">
      <c r="A648" s="1">
        <v>646.0</v>
      </c>
      <c r="B648" s="2">
        <v>44196.0</v>
      </c>
      <c r="C648" s="1" t="s">
        <v>364</v>
      </c>
      <c r="D648" s="1" t="s">
        <v>365</v>
      </c>
      <c r="E648" s="1">
        <v>5.7E7</v>
      </c>
      <c r="F648" s="1">
        <v>2.5E7</v>
      </c>
      <c r="G648" s="1">
        <v>3.2E7</v>
      </c>
      <c r="H648" s="1">
        <v>3.83E8</v>
      </c>
      <c r="I648" s="1">
        <v>5.27E8</v>
      </c>
      <c r="J648" s="1">
        <v>8.7E7</v>
      </c>
      <c r="K648" s="1">
        <v>8.7E7</v>
      </c>
      <c r="L648" s="1">
        <v>-5.2E7</v>
      </c>
      <c r="M648" s="1">
        <v>-9000000.0</v>
      </c>
      <c r="N648" s="1">
        <v>2.186E9</v>
      </c>
      <c r="O648" s="1">
        <v>2.099E9</v>
      </c>
      <c r="P648" s="1">
        <v>1.659E9</v>
      </c>
      <c r="Q648" s="1">
        <v>-6.2E7</v>
      </c>
      <c r="R648" s="1">
        <v>3.4E7</v>
      </c>
      <c r="S648" s="1">
        <v>3.2E7</v>
      </c>
    </row>
    <row r="649">
      <c r="A649" s="1">
        <v>647.0</v>
      </c>
      <c r="B649" s="2">
        <v>44104.0</v>
      </c>
      <c r="C649" s="1" t="s">
        <v>364</v>
      </c>
      <c r="D649" s="1" t="s">
        <v>365</v>
      </c>
      <c r="E649" s="1">
        <v>5.6E7</v>
      </c>
      <c r="F649" s="1">
        <v>1.9E8</v>
      </c>
      <c r="G649" s="1">
        <v>1.61E8</v>
      </c>
      <c r="H649" s="1">
        <v>1.35E8</v>
      </c>
      <c r="I649" s="1">
        <v>5.08E8</v>
      </c>
      <c r="J649" s="1">
        <v>3.17E8</v>
      </c>
      <c r="K649" s="1">
        <v>3.17E8</v>
      </c>
      <c r="L649" s="1">
        <v>-5.4E7</v>
      </c>
      <c r="M649" s="1">
        <v>2.5E7</v>
      </c>
      <c r="N649" s="1">
        <v>2.122E9</v>
      </c>
      <c r="O649" s="1">
        <v>1.805E9</v>
      </c>
      <c r="P649" s="1">
        <v>1.614E9</v>
      </c>
      <c r="Q649" s="1">
        <v>-1.27E8</v>
      </c>
      <c r="R649" s="1">
        <v>1.65E8</v>
      </c>
      <c r="S649" s="1">
        <v>1.61E8</v>
      </c>
    </row>
    <row r="650">
      <c r="A650" s="1">
        <v>648.0</v>
      </c>
      <c r="B650" s="2">
        <v>44377.0</v>
      </c>
      <c r="C650" s="1" t="s">
        <v>366</v>
      </c>
      <c r="D650" s="1" t="s">
        <v>367</v>
      </c>
      <c r="E650" s="1">
        <v>1.54E8</v>
      </c>
      <c r="F650" s="1">
        <v>6.2E8</v>
      </c>
      <c r="G650" s="1">
        <v>5.06E8</v>
      </c>
      <c r="H650" s="1">
        <v>8.6E8</v>
      </c>
      <c r="I650" s="1">
        <v>1.67E9</v>
      </c>
      <c r="J650" s="1">
        <v>6.56E8</v>
      </c>
      <c r="K650" s="1">
        <v>6.56E8</v>
      </c>
      <c r="L650" s="1">
        <v>-1.23E8</v>
      </c>
      <c r="M650" s="1">
        <v>1.14E8</v>
      </c>
      <c r="N650" s="1">
        <v>5.215E9</v>
      </c>
      <c r="O650" s="1">
        <v>4.559E9</v>
      </c>
      <c r="P650" s="1">
        <v>3.545E9</v>
      </c>
      <c r="Q650" s="1">
        <v>-3.6E7</v>
      </c>
      <c r="R650" s="1">
        <v>5.06E8</v>
      </c>
      <c r="S650" s="1">
        <v>5.06E8</v>
      </c>
    </row>
    <row r="651">
      <c r="A651" s="1">
        <v>649.0</v>
      </c>
      <c r="B651" s="2">
        <v>44286.0</v>
      </c>
      <c r="C651" s="1" t="s">
        <v>366</v>
      </c>
      <c r="D651" s="1" t="s">
        <v>367</v>
      </c>
      <c r="E651" s="1">
        <v>1.48E8</v>
      </c>
      <c r="F651" s="1">
        <v>5.38E8</v>
      </c>
      <c r="G651" s="1">
        <v>4.58E8</v>
      </c>
      <c r="H651" s="1">
        <v>7.8E8</v>
      </c>
      <c r="I651" s="1">
        <v>1.508E9</v>
      </c>
      <c r="J651" s="1">
        <v>5.8E8</v>
      </c>
      <c r="K651" s="1">
        <v>5.8E8</v>
      </c>
      <c r="L651" s="1">
        <v>-1.23E8</v>
      </c>
      <c r="M651" s="1">
        <v>7.9E7</v>
      </c>
      <c r="N651" s="1">
        <v>4.692E9</v>
      </c>
      <c r="O651" s="1">
        <v>4.112E9</v>
      </c>
      <c r="P651" s="1">
        <v>3.184E9</v>
      </c>
      <c r="Q651" s="1">
        <v>-4.2E7</v>
      </c>
      <c r="R651" s="1">
        <v>4.59E8</v>
      </c>
      <c r="S651" s="1">
        <v>4.58E8</v>
      </c>
    </row>
    <row r="652">
      <c r="A652" s="1">
        <v>650.0</v>
      </c>
      <c r="B652" s="2">
        <v>44196.0</v>
      </c>
      <c r="C652" s="1" t="s">
        <v>366</v>
      </c>
      <c r="D652" s="1" t="s">
        <v>367</v>
      </c>
      <c r="E652" s="1">
        <v>1.4E8</v>
      </c>
      <c r="F652" s="1">
        <v>5.53E8</v>
      </c>
      <c r="G652" s="1">
        <v>4.75E8</v>
      </c>
      <c r="H652" s="1">
        <v>7.73E8</v>
      </c>
      <c r="I652" s="1">
        <v>1.509E9</v>
      </c>
      <c r="J652" s="1">
        <v>5.96E8</v>
      </c>
      <c r="K652" s="1">
        <v>5.96E8</v>
      </c>
      <c r="L652" s="1">
        <v>-1.62E8</v>
      </c>
      <c r="M652" s="1">
        <v>7.7E7</v>
      </c>
      <c r="N652" s="1">
        <v>4.687E9</v>
      </c>
      <c r="O652" s="1">
        <v>4.091E9</v>
      </c>
      <c r="P652" s="1">
        <v>3.178E9</v>
      </c>
      <c r="Q652" s="1">
        <v>-4.3E7</v>
      </c>
      <c r="R652" s="1">
        <v>4.76E8</v>
      </c>
      <c r="S652" s="1">
        <v>4.75E8</v>
      </c>
    </row>
    <row r="653">
      <c r="A653" s="1">
        <v>651.0</v>
      </c>
      <c r="B653" s="2">
        <v>44104.0</v>
      </c>
      <c r="C653" s="1" t="s">
        <v>366</v>
      </c>
      <c r="D653" s="1" t="s">
        <v>367</v>
      </c>
      <c r="E653" s="1">
        <v>1.32E8</v>
      </c>
      <c r="F653" s="1">
        <v>5.25E8</v>
      </c>
      <c r="G653" s="1">
        <v>4.46E8</v>
      </c>
      <c r="H653" s="1">
        <v>7.6E8</v>
      </c>
      <c r="I653" s="1">
        <v>1.475E9</v>
      </c>
      <c r="J653" s="1">
        <v>5.83E8</v>
      </c>
      <c r="K653" s="1">
        <v>5.83E8</v>
      </c>
      <c r="L653" s="1">
        <v>-9.0E7</v>
      </c>
      <c r="M653" s="1">
        <v>7.8E7</v>
      </c>
      <c r="N653" s="1">
        <v>4.526E9</v>
      </c>
      <c r="O653" s="1">
        <v>3.943E9</v>
      </c>
      <c r="P653" s="1">
        <v>3.051E9</v>
      </c>
      <c r="Q653" s="1">
        <v>-5.8E7</v>
      </c>
      <c r="R653" s="1">
        <v>4.47E8</v>
      </c>
      <c r="S653" s="1">
        <v>4.46E8</v>
      </c>
    </row>
    <row r="654">
      <c r="A654" s="1">
        <v>652.0</v>
      </c>
      <c r="B654" s="2">
        <v>44377.0</v>
      </c>
      <c r="C654" s="1" t="s">
        <v>368</v>
      </c>
      <c r="D654" s="1" t="s">
        <v>369</v>
      </c>
      <c r="E654" s="1">
        <v>3.5E8</v>
      </c>
      <c r="F654" s="1">
        <v>4.01E8</v>
      </c>
      <c r="G654" s="1">
        <v>1.0734E10</v>
      </c>
      <c r="H654" s="1">
        <v>8.09E8</v>
      </c>
      <c r="I654" s="1">
        <v>1.996E9</v>
      </c>
      <c r="J654" s="1">
        <v>7.32E8</v>
      </c>
      <c r="K654" s="1">
        <v>7.32E8</v>
      </c>
      <c r="L654" s="1">
        <v>-5.8E7</v>
      </c>
      <c r="M654" s="1">
        <v>1.07E8</v>
      </c>
      <c r="N654" s="1">
        <v>2.668E9</v>
      </c>
      <c r="O654" s="1">
        <v>1.936E9</v>
      </c>
      <c r="P654" s="1">
        <v>6.72E8</v>
      </c>
      <c r="Q654" s="1">
        <v>-3.31E8</v>
      </c>
      <c r="R654" s="1">
        <v>2.94E8</v>
      </c>
      <c r="S654" s="1">
        <v>1.0734E10</v>
      </c>
    </row>
    <row r="655">
      <c r="A655" s="1">
        <v>653.0</v>
      </c>
      <c r="B655" s="2">
        <v>44286.0</v>
      </c>
      <c r="C655" s="1" t="s">
        <v>368</v>
      </c>
      <c r="D655" s="1" t="s">
        <v>369</v>
      </c>
      <c r="E655" s="1">
        <v>3.04E8</v>
      </c>
      <c r="F655" s="1">
        <v>7.24E8</v>
      </c>
      <c r="G655" s="1">
        <v>6.41E8</v>
      </c>
      <c r="H655" s="1">
        <v>7.57E8</v>
      </c>
      <c r="I655" s="1">
        <v>2.032E9</v>
      </c>
      <c r="J655" s="1">
        <v>8.76E8</v>
      </c>
      <c r="K655" s="1">
        <v>8.76E8</v>
      </c>
      <c r="L655" s="1">
        <v>-6.7E7</v>
      </c>
      <c r="M655" s="1">
        <v>1.56E8</v>
      </c>
      <c r="N655" s="1">
        <v>2.638E9</v>
      </c>
      <c r="O655" s="1">
        <v>1.762E9</v>
      </c>
      <c r="P655" s="1">
        <v>6.06E8</v>
      </c>
      <c r="Q655" s="1">
        <v>-1.52E8</v>
      </c>
      <c r="R655" s="1">
        <v>5.68E8</v>
      </c>
      <c r="S655" s="1">
        <v>6.41E8</v>
      </c>
    </row>
    <row r="656">
      <c r="A656" s="1">
        <v>654.0</v>
      </c>
      <c r="B656" s="2">
        <v>44196.0</v>
      </c>
      <c r="C656" s="1" t="s">
        <v>368</v>
      </c>
      <c r="D656" s="1" t="s">
        <v>369</v>
      </c>
      <c r="E656" s="1">
        <v>2.99E8</v>
      </c>
      <c r="F656" s="1">
        <v>1.109E9</v>
      </c>
      <c r="G656" s="1">
        <v>8.45E8</v>
      </c>
      <c r="H656" s="1">
        <v>1.057E9</v>
      </c>
      <c r="I656" s="1">
        <v>2.126E9</v>
      </c>
      <c r="J656" s="1">
        <v>6.77E8</v>
      </c>
      <c r="K656" s="1">
        <v>6.77E8</v>
      </c>
      <c r="L656" s="1">
        <v>-9.4E7</v>
      </c>
      <c r="M656" s="1">
        <v>3.28E8</v>
      </c>
      <c r="N656" s="1">
        <v>2.868E9</v>
      </c>
      <c r="O656" s="1">
        <v>2.191E9</v>
      </c>
      <c r="P656" s="1">
        <v>7.42E8</v>
      </c>
      <c r="Q656" s="1">
        <v>4.32E8</v>
      </c>
      <c r="R656" s="1">
        <v>7.81E8</v>
      </c>
      <c r="S656" s="1">
        <v>8.45E8</v>
      </c>
    </row>
    <row r="657">
      <c r="A657" s="1">
        <v>655.0</v>
      </c>
      <c r="B657" s="2">
        <v>44104.0</v>
      </c>
      <c r="C657" s="1" t="s">
        <v>368</v>
      </c>
      <c r="D657" s="1" t="s">
        <v>369</v>
      </c>
      <c r="E657" s="1">
        <v>2.87E8</v>
      </c>
      <c r="F657" s="1">
        <v>7.74E8</v>
      </c>
      <c r="G657" s="1">
        <v>6.64E8</v>
      </c>
      <c r="H657" s="1">
        <v>9.18E8</v>
      </c>
      <c r="I657" s="1">
        <v>1.95E9</v>
      </c>
      <c r="J657" s="1">
        <v>6.79E8</v>
      </c>
      <c r="K657" s="1">
        <v>6.79E8</v>
      </c>
      <c r="L657" s="1">
        <v>-6.7E7</v>
      </c>
      <c r="M657" s="1">
        <v>1.53E8</v>
      </c>
      <c r="N657" s="1">
        <v>2.606E9</v>
      </c>
      <c r="O657" s="1">
        <v>1.927E9</v>
      </c>
      <c r="P657" s="1">
        <v>6.56E8</v>
      </c>
      <c r="Q657" s="1">
        <v>9.5E7</v>
      </c>
      <c r="R657" s="1">
        <v>6.21E8</v>
      </c>
      <c r="S657" s="1">
        <v>6.64E8</v>
      </c>
    </row>
    <row r="658">
      <c r="A658" s="1">
        <v>656.0</v>
      </c>
      <c r="B658" s="2">
        <v>44377.0</v>
      </c>
      <c r="C658" s="1" t="s">
        <v>370</v>
      </c>
      <c r="D658" s="1" t="s">
        <v>371</v>
      </c>
      <c r="F658" s="1">
        <v>3.997E8</v>
      </c>
      <c r="G658" s="1">
        <v>3.108E8</v>
      </c>
      <c r="H658" s="1">
        <v>8.362E8</v>
      </c>
      <c r="I658" s="1">
        <v>1.3224E9</v>
      </c>
      <c r="J658" s="1">
        <v>4.862E8</v>
      </c>
      <c r="K658" s="1">
        <v>4.862E8</v>
      </c>
      <c r="L658" s="1">
        <v>-5.17E7</v>
      </c>
      <c r="M658" s="1">
        <v>8.61E7</v>
      </c>
      <c r="N658" s="1">
        <v>3.1627E9</v>
      </c>
      <c r="O658" s="1">
        <v>2.6765E9</v>
      </c>
      <c r="P658" s="1">
        <v>1.8403E9</v>
      </c>
      <c r="Q658" s="1">
        <v>-8.65E7</v>
      </c>
      <c r="R658" s="1">
        <v>3.136E8</v>
      </c>
      <c r="S658" s="1">
        <v>3.108E8</v>
      </c>
    </row>
    <row r="659">
      <c r="A659" s="1">
        <v>657.0</v>
      </c>
      <c r="B659" s="2">
        <v>44286.0</v>
      </c>
      <c r="C659" s="1" t="s">
        <v>370</v>
      </c>
      <c r="D659" s="1" t="s">
        <v>371</v>
      </c>
      <c r="F659" s="1">
        <v>2.626E8</v>
      </c>
      <c r="G659" s="1">
        <v>1.936E8</v>
      </c>
      <c r="H659" s="1">
        <v>8.459E8</v>
      </c>
      <c r="I659" s="1">
        <v>1.1926E9</v>
      </c>
      <c r="J659" s="1">
        <v>3.467E8</v>
      </c>
      <c r="K659" s="1">
        <v>3.467E8</v>
      </c>
      <c r="L659" s="1">
        <v>-5.38E7</v>
      </c>
      <c r="M659" s="1">
        <v>6.61E7</v>
      </c>
      <c r="N659" s="1">
        <v>2.885E9</v>
      </c>
      <c r="O659" s="1">
        <v>2.5383E9</v>
      </c>
      <c r="P659" s="1">
        <v>1.6924E9</v>
      </c>
      <c r="Q659" s="1">
        <v>-6.71E7</v>
      </c>
      <c r="R659" s="1">
        <v>1.965E8</v>
      </c>
      <c r="S659" s="1">
        <v>1.936E8</v>
      </c>
    </row>
    <row r="660">
      <c r="A660" s="1">
        <v>658.0</v>
      </c>
      <c r="B660" s="2">
        <v>44196.0</v>
      </c>
      <c r="C660" s="1" t="s">
        <v>370</v>
      </c>
      <c r="D660" s="1" t="s">
        <v>371</v>
      </c>
      <c r="F660" s="1">
        <v>3.78E8</v>
      </c>
      <c r="G660" s="1">
        <v>3.003E8</v>
      </c>
      <c r="H660" s="1">
        <v>7.946E8</v>
      </c>
      <c r="I660" s="1">
        <v>1.2876E9</v>
      </c>
      <c r="J660" s="1">
        <v>4.93E8</v>
      </c>
      <c r="K660" s="1">
        <v>4.93E8</v>
      </c>
      <c r="L660" s="1">
        <v>-5.14E7</v>
      </c>
      <c r="M660" s="1">
        <v>7.31E7</v>
      </c>
      <c r="N660" s="1">
        <v>3.0653E9</v>
      </c>
      <c r="O660" s="1">
        <v>2.5723E9</v>
      </c>
      <c r="P660" s="1">
        <v>1.7777E9</v>
      </c>
      <c r="Q660" s="1">
        <v>-1.15E8</v>
      </c>
      <c r="R660" s="1">
        <v>3.049E8</v>
      </c>
      <c r="S660" s="1">
        <v>3.003E8</v>
      </c>
    </row>
    <row r="661">
      <c r="A661" s="1">
        <v>659.0</v>
      </c>
      <c r="B661" s="2">
        <v>44104.0</v>
      </c>
      <c r="C661" s="1" t="s">
        <v>370</v>
      </c>
      <c r="D661" s="1" t="s">
        <v>371</v>
      </c>
      <c r="F661" s="1">
        <v>2.917E8</v>
      </c>
      <c r="G661" s="1">
        <v>2.462E8</v>
      </c>
      <c r="H661" s="1">
        <v>7.875E8</v>
      </c>
      <c r="I661" s="1">
        <v>1.2585E9</v>
      </c>
      <c r="J661" s="1">
        <v>4.71E8</v>
      </c>
      <c r="K661" s="1">
        <v>4.71E8</v>
      </c>
      <c r="L661" s="1">
        <v>-5.59E7</v>
      </c>
      <c r="M661" s="1">
        <v>4.24E7</v>
      </c>
      <c r="N661" s="1">
        <v>3.0186E9</v>
      </c>
      <c r="O661" s="1">
        <v>2.5476E9</v>
      </c>
      <c r="P661" s="1">
        <v>1.7601E9</v>
      </c>
      <c r="Q661" s="1">
        <v>-1.793E8</v>
      </c>
      <c r="R661" s="1">
        <v>2.493E8</v>
      </c>
      <c r="S661" s="1">
        <v>2.462E8</v>
      </c>
    </row>
    <row r="662">
      <c r="A662" s="1">
        <v>660.0</v>
      </c>
      <c r="B662" s="2">
        <v>44377.0</v>
      </c>
      <c r="C662" s="1" t="s">
        <v>372</v>
      </c>
      <c r="D662" s="1" t="s">
        <v>373</v>
      </c>
      <c r="F662" s="1">
        <v>3.86E8</v>
      </c>
      <c r="G662" s="1">
        <v>3.18E8</v>
      </c>
      <c r="H662" s="1">
        <v>-3.3E7</v>
      </c>
      <c r="I662" s="1">
        <v>1.278E9</v>
      </c>
      <c r="J662" s="1">
        <v>6.72E8</v>
      </c>
      <c r="K662" s="1">
        <v>6.72E8</v>
      </c>
      <c r="L662" s="1">
        <v>-2.75E8</v>
      </c>
      <c r="M662" s="1">
        <v>6.8E7</v>
      </c>
      <c r="N662" s="1">
        <v>3.315E9</v>
      </c>
      <c r="O662" s="1">
        <v>2.643E9</v>
      </c>
      <c r="P662" s="1">
        <v>2.037E9</v>
      </c>
      <c r="Q662" s="1">
        <v>-2.86E8</v>
      </c>
      <c r="R662" s="1">
        <v>3.18E8</v>
      </c>
      <c r="S662" s="1">
        <v>3.18E8</v>
      </c>
    </row>
    <row r="663">
      <c r="A663" s="1">
        <v>661.0</v>
      </c>
      <c r="B663" s="2">
        <v>44286.0</v>
      </c>
      <c r="C663" s="1" t="s">
        <v>372</v>
      </c>
      <c r="D663" s="1" t="s">
        <v>373</v>
      </c>
      <c r="F663" s="1">
        <v>2.23E8</v>
      </c>
      <c r="G663" s="1">
        <v>2.59E8</v>
      </c>
      <c r="H663" s="1">
        <v>-3.3E7</v>
      </c>
      <c r="I663" s="1">
        <v>1.103E9</v>
      </c>
      <c r="J663" s="1">
        <v>4.85E8</v>
      </c>
      <c r="K663" s="1">
        <v>4.85E8</v>
      </c>
      <c r="L663" s="1">
        <v>-2.48E8</v>
      </c>
      <c r="M663" s="1">
        <v>-3.6E7</v>
      </c>
      <c r="N663" s="1">
        <v>2.96E9</v>
      </c>
      <c r="O663" s="1">
        <v>2.475E9</v>
      </c>
      <c r="P663" s="1">
        <v>1.857E9</v>
      </c>
      <c r="Q663" s="1">
        <v>-2.62E8</v>
      </c>
      <c r="R663" s="1">
        <v>2.59E8</v>
      </c>
      <c r="S663" s="1">
        <v>2.59E8</v>
      </c>
    </row>
    <row r="664">
      <c r="A664" s="1">
        <v>662.0</v>
      </c>
      <c r="B664" s="2">
        <v>44196.0</v>
      </c>
      <c r="C664" s="1" t="s">
        <v>372</v>
      </c>
      <c r="D664" s="1" t="s">
        <v>373</v>
      </c>
      <c r="F664" s="1">
        <v>5.76E8</v>
      </c>
      <c r="G664" s="1">
        <v>5.26E8</v>
      </c>
      <c r="H664" s="1">
        <v>3.66E8</v>
      </c>
      <c r="I664" s="1">
        <v>1.698E9</v>
      </c>
      <c r="J664" s="1">
        <v>7.88E8</v>
      </c>
      <c r="K664" s="1">
        <v>7.88E8</v>
      </c>
      <c r="L664" s="1">
        <v>-2.52E8</v>
      </c>
      <c r="M664" s="1">
        <v>5.0E7</v>
      </c>
      <c r="N664" s="1">
        <v>3.157E9</v>
      </c>
      <c r="O664" s="1">
        <v>2.369E9</v>
      </c>
      <c r="P664" s="1">
        <v>1.459E9</v>
      </c>
      <c r="Q664" s="1">
        <v>-2.12E8</v>
      </c>
      <c r="R664" s="1">
        <v>5.26E8</v>
      </c>
      <c r="S664" s="1">
        <v>5.26E8</v>
      </c>
    </row>
    <row r="665">
      <c r="A665" s="1">
        <v>663.0</v>
      </c>
      <c r="B665" s="2">
        <v>44104.0</v>
      </c>
      <c r="C665" s="1" t="s">
        <v>372</v>
      </c>
      <c r="D665" s="1" t="s">
        <v>373</v>
      </c>
      <c r="F665" s="1">
        <v>-5.63E8</v>
      </c>
      <c r="G665" s="1">
        <v>-2.88E8</v>
      </c>
      <c r="H665" s="1">
        <v>6.94E8</v>
      </c>
      <c r="I665" s="1">
        <v>2.301E9</v>
      </c>
      <c r="J665" s="1">
        <v>1.031E9</v>
      </c>
      <c r="K665" s="1">
        <v>1.031E9</v>
      </c>
      <c r="L665" s="1">
        <v>-2.68E8</v>
      </c>
      <c r="M665" s="1">
        <v>-2.75E8</v>
      </c>
      <c r="N665" s="1">
        <v>4.644E9</v>
      </c>
      <c r="O665" s="1">
        <v>3.613E9</v>
      </c>
      <c r="P665" s="1">
        <v>2.343E9</v>
      </c>
      <c r="Q665" s="1">
        <v>-1.594E9</v>
      </c>
      <c r="R665" s="1">
        <v>-2.88E8</v>
      </c>
      <c r="S665" s="1">
        <v>-2.88E8</v>
      </c>
    </row>
    <row r="666">
      <c r="A666" s="1">
        <v>664.0</v>
      </c>
      <c r="B666" s="2">
        <v>44377.0</v>
      </c>
      <c r="C666" s="1" t="s">
        <v>374</v>
      </c>
      <c r="D666" s="1" t="s">
        <v>375</v>
      </c>
      <c r="E666" s="1">
        <v>2.253E8</v>
      </c>
      <c r="F666" s="1">
        <v>5.455E8</v>
      </c>
      <c r="G666" s="1">
        <v>4.895E8</v>
      </c>
      <c r="H666" s="1">
        <v>3.745E8</v>
      </c>
      <c r="I666" s="1">
        <v>1.0417E9</v>
      </c>
      <c r="J666" s="1">
        <v>4.419E8</v>
      </c>
      <c r="K666" s="1">
        <v>4.419E8</v>
      </c>
      <c r="L666" s="1">
        <v>-2500000.0</v>
      </c>
      <c r="M666" s="1">
        <v>5.6E7</v>
      </c>
      <c r="N666" s="1">
        <v>1.376E9</v>
      </c>
      <c r="O666" s="1">
        <v>9.341E8</v>
      </c>
      <c r="P666" s="1">
        <v>3.343E8</v>
      </c>
      <c r="Q666" s="1">
        <v>1.036E8</v>
      </c>
      <c r="R666" s="1">
        <v>4.895E8</v>
      </c>
      <c r="S666" s="1">
        <v>4.895E8</v>
      </c>
    </row>
    <row r="667">
      <c r="A667" s="1">
        <v>665.0</v>
      </c>
      <c r="B667" s="2">
        <v>44286.0</v>
      </c>
      <c r="C667" s="1" t="s">
        <v>374</v>
      </c>
      <c r="D667" s="1" t="s">
        <v>375</v>
      </c>
      <c r="E667" s="1">
        <v>2.07E8</v>
      </c>
      <c r="F667" s="1">
        <v>3.893E8</v>
      </c>
      <c r="G667" s="1">
        <v>3.382E8</v>
      </c>
      <c r="H667" s="1">
        <v>3.308E8</v>
      </c>
      <c r="I667" s="1">
        <v>9.232E8</v>
      </c>
      <c r="J667" s="1">
        <v>3.854E8</v>
      </c>
      <c r="K667" s="1">
        <v>3.854E8</v>
      </c>
      <c r="L667" s="1">
        <v>-2500000.0</v>
      </c>
      <c r="M667" s="1">
        <v>5.11E7</v>
      </c>
      <c r="N667" s="1">
        <v>1.2166E9</v>
      </c>
      <c r="O667" s="1">
        <v>8.312E8</v>
      </c>
      <c r="P667" s="1">
        <v>2.934E8</v>
      </c>
      <c r="Q667" s="1">
        <v>3900000.0</v>
      </c>
      <c r="R667" s="1">
        <v>3.382E8</v>
      </c>
      <c r="S667" s="1">
        <v>3.382E8</v>
      </c>
    </row>
    <row r="668">
      <c r="A668" s="1">
        <v>666.0</v>
      </c>
      <c r="B668" s="2">
        <v>44196.0</v>
      </c>
      <c r="C668" s="1" t="s">
        <v>374</v>
      </c>
      <c r="D668" s="1" t="s">
        <v>375</v>
      </c>
      <c r="E668" s="1">
        <v>1.957E8</v>
      </c>
      <c r="F668" s="1">
        <v>3.561E8</v>
      </c>
      <c r="G668" s="1">
        <v>3.095E8</v>
      </c>
      <c r="H668" s="1">
        <v>3.389E8</v>
      </c>
      <c r="I668" s="1">
        <v>8.954E8</v>
      </c>
      <c r="J668" s="1">
        <v>3.608E8</v>
      </c>
      <c r="K668" s="1">
        <v>3.608E8</v>
      </c>
      <c r="L668" s="1">
        <v>-1.58E7</v>
      </c>
      <c r="M668" s="1">
        <v>4.66E7</v>
      </c>
      <c r="N668" s="1">
        <v>1.1917E9</v>
      </c>
      <c r="O668" s="1">
        <v>8.309E8</v>
      </c>
      <c r="P668" s="1">
        <v>2.963E8</v>
      </c>
      <c r="Q668" s="1">
        <v>-4700000.0</v>
      </c>
      <c r="R668" s="1">
        <v>3.095E8</v>
      </c>
      <c r="S668" s="1">
        <v>3.095E8</v>
      </c>
    </row>
    <row r="669">
      <c r="A669" s="1">
        <v>667.0</v>
      </c>
      <c r="B669" s="2">
        <v>44104.0</v>
      </c>
      <c r="C669" s="1" t="s">
        <v>374</v>
      </c>
      <c r="D669" s="1" t="s">
        <v>375</v>
      </c>
      <c r="E669" s="1">
        <v>1.955E8</v>
      </c>
      <c r="F669" s="1">
        <v>3.643E8</v>
      </c>
      <c r="G669" s="1">
        <v>3.252E8</v>
      </c>
      <c r="H669" s="1">
        <v>3.072E8</v>
      </c>
      <c r="I669" s="1">
        <v>8.599E8</v>
      </c>
      <c r="J669" s="1">
        <v>3.572E8</v>
      </c>
      <c r="K669" s="1">
        <v>3.572E8</v>
      </c>
      <c r="L669" s="1">
        <v>-800000.0</v>
      </c>
      <c r="M669" s="1">
        <v>3.91E7</v>
      </c>
      <c r="N669" s="1">
        <v>1.1409E9</v>
      </c>
      <c r="O669" s="1">
        <v>7.837E8</v>
      </c>
      <c r="P669" s="1">
        <v>2.81E8</v>
      </c>
      <c r="Q669" s="1">
        <v>7100000.0</v>
      </c>
      <c r="R669" s="1">
        <v>3.252E8</v>
      </c>
      <c r="S669" s="1">
        <v>3.252E8</v>
      </c>
    </row>
    <row r="670">
      <c r="A670" s="1">
        <v>668.0</v>
      </c>
      <c r="B670" s="2">
        <v>44377.0</v>
      </c>
      <c r="C670" s="1" t="s">
        <v>376</v>
      </c>
      <c r="D670" s="1" t="s">
        <v>377</v>
      </c>
      <c r="E670" s="1">
        <v>5.15E8</v>
      </c>
      <c r="F670" s="1">
        <v>3.08E8</v>
      </c>
      <c r="G670" s="1">
        <v>2.04E8</v>
      </c>
      <c r="H670" s="1">
        <v>3.48E8</v>
      </c>
      <c r="I670" s="1">
        <v>1.236E9</v>
      </c>
      <c r="J670" s="1">
        <v>3.45E8</v>
      </c>
      <c r="K670" s="1">
        <v>3.45E8</v>
      </c>
      <c r="L670" s="1">
        <v>-1.4E7</v>
      </c>
      <c r="M670" s="1">
        <v>1.04E8</v>
      </c>
      <c r="N670" s="1">
        <v>1.551E9</v>
      </c>
      <c r="O670" s="1">
        <v>1.206E9</v>
      </c>
      <c r="P670" s="1">
        <v>3.15E8</v>
      </c>
      <c r="Q670" s="1">
        <v>-3.7E7</v>
      </c>
      <c r="R670" s="1">
        <v>2.04E8</v>
      </c>
      <c r="S670" s="1">
        <v>2.04E8</v>
      </c>
    </row>
    <row r="671">
      <c r="A671" s="1">
        <v>669.0</v>
      </c>
      <c r="B671" s="2">
        <v>44286.0</v>
      </c>
      <c r="C671" s="1" t="s">
        <v>376</v>
      </c>
      <c r="D671" s="1" t="s">
        <v>377</v>
      </c>
      <c r="E671" s="1">
        <v>4.68E8</v>
      </c>
      <c r="F671" s="1">
        <v>1.65E8</v>
      </c>
      <c r="G671" s="1">
        <v>7.6E7</v>
      </c>
      <c r="H671" s="1">
        <v>3.61E8</v>
      </c>
      <c r="I671" s="1">
        <v>1.027E9</v>
      </c>
      <c r="J671" s="1">
        <v>1.84E8</v>
      </c>
      <c r="K671" s="1">
        <v>1.84E8</v>
      </c>
      <c r="L671" s="1">
        <v>-2.2E7</v>
      </c>
      <c r="M671" s="1">
        <v>8.9E7</v>
      </c>
      <c r="N671" s="1">
        <v>1.346E9</v>
      </c>
      <c r="O671" s="1">
        <v>1.162E9</v>
      </c>
      <c r="P671" s="1">
        <v>3.19E8</v>
      </c>
      <c r="Q671" s="1">
        <v>-1.9E7</v>
      </c>
      <c r="R671" s="1">
        <v>7.6E7</v>
      </c>
      <c r="S671" s="1">
        <v>7.6E7</v>
      </c>
    </row>
    <row r="672">
      <c r="A672" s="1">
        <v>670.0</v>
      </c>
      <c r="B672" s="2">
        <v>44196.0</v>
      </c>
      <c r="C672" s="1" t="s">
        <v>376</v>
      </c>
      <c r="D672" s="1" t="s">
        <v>377</v>
      </c>
      <c r="E672" s="1">
        <v>4.51E8</v>
      </c>
      <c r="F672" s="1">
        <v>2.45E8</v>
      </c>
      <c r="G672" s="1">
        <v>2.11E8</v>
      </c>
      <c r="H672" s="1">
        <v>3.65E8</v>
      </c>
      <c r="I672" s="1">
        <v>1.072E9</v>
      </c>
      <c r="J672" s="1">
        <v>2.51E8</v>
      </c>
      <c r="K672" s="1">
        <v>2.51E8</v>
      </c>
      <c r="L672" s="1">
        <v>-1.1E7</v>
      </c>
      <c r="M672" s="1">
        <v>3.4E7</v>
      </c>
      <c r="N672" s="1">
        <v>1.673E9</v>
      </c>
      <c r="O672" s="1">
        <v>1.422E9</v>
      </c>
      <c r="P672" s="1">
        <v>6.01E8</v>
      </c>
      <c r="Q672" s="1">
        <v>-6000000.0</v>
      </c>
      <c r="R672" s="1">
        <v>2.11E8</v>
      </c>
      <c r="S672" s="1">
        <v>2.11E8</v>
      </c>
    </row>
    <row r="673">
      <c r="A673" s="1">
        <v>671.0</v>
      </c>
      <c r="B673" s="2">
        <v>44104.0</v>
      </c>
      <c r="C673" s="1" t="s">
        <v>376</v>
      </c>
      <c r="D673" s="1" t="s">
        <v>377</v>
      </c>
      <c r="E673" s="1">
        <v>4.21E8</v>
      </c>
      <c r="F673" s="1">
        <v>1.39E8</v>
      </c>
      <c r="G673" s="1">
        <v>1.85E8</v>
      </c>
      <c r="H673" s="1">
        <v>2.89E8</v>
      </c>
      <c r="I673" s="1">
        <v>8.65E8</v>
      </c>
      <c r="J673" s="1">
        <v>1.49E8</v>
      </c>
      <c r="K673" s="1">
        <v>1.49E8</v>
      </c>
      <c r="L673" s="1">
        <v>-1.1E7</v>
      </c>
      <c r="M673" s="1">
        <v>-4.6E7</v>
      </c>
      <c r="N673" s="1">
        <v>1.151E9</v>
      </c>
      <c r="O673" s="1">
        <v>1.002E9</v>
      </c>
      <c r="P673" s="1">
        <v>2.86E8</v>
      </c>
      <c r="Q673" s="1">
        <v>-1.0E7</v>
      </c>
      <c r="R673" s="1">
        <v>1.85E8</v>
      </c>
      <c r="S673" s="1">
        <v>1.85E8</v>
      </c>
    </row>
    <row r="674">
      <c r="A674" s="1">
        <v>672.0</v>
      </c>
      <c r="B674" s="2">
        <v>44286.0</v>
      </c>
      <c r="C674" s="1" t="s">
        <v>378</v>
      </c>
      <c r="D674" s="1" t="s">
        <v>379</v>
      </c>
      <c r="E674" s="1">
        <v>1.6848E9</v>
      </c>
      <c r="F674" s="1">
        <v>1.4764E9</v>
      </c>
      <c r="G674" s="1">
        <v>1.3553E9</v>
      </c>
      <c r="H674" s="1">
        <v>1.5026E9</v>
      </c>
      <c r="I674" s="1">
        <v>4.927E9</v>
      </c>
      <c r="J674" s="1">
        <v>1.7396E9</v>
      </c>
      <c r="K674" s="1">
        <v>1.7396E9</v>
      </c>
      <c r="L674" s="1">
        <v>-8.78E7</v>
      </c>
      <c r="M674" s="1">
        <v>1.211E8</v>
      </c>
      <c r="N674" s="1">
        <v>6.8056E9</v>
      </c>
      <c r="O674" s="1">
        <v>5.066E9</v>
      </c>
      <c r="P674" s="1">
        <v>1.8786E9</v>
      </c>
      <c r="Q674" s="1">
        <v>-2.632E8</v>
      </c>
      <c r="R674" s="1">
        <v>1.3553E9</v>
      </c>
      <c r="S674" s="1">
        <v>1.3553E9</v>
      </c>
    </row>
    <row r="675">
      <c r="A675" s="1">
        <v>673.0</v>
      </c>
      <c r="B675" s="2">
        <v>44196.0</v>
      </c>
      <c r="C675" s="1" t="s">
        <v>378</v>
      </c>
      <c r="D675" s="1" t="s">
        <v>379</v>
      </c>
      <c r="E675" s="1">
        <v>1.838E9</v>
      </c>
      <c r="F675" s="1">
        <v>2.4691E9</v>
      </c>
      <c r="G675" s="1">
        <v>2.1168E9</v>
      </c>
      <c r="H675" s="1">
        <v>1.4966E9</v>
      </c>
      <c r="I675" s="1">
        <v>5.7202E9</v>
      </c>
      <c r="J675" s="1">
        <v>2.3856E9</v>
      </c>
      <c r="K675" s="1">
        <v>2.3856E9</v>
      </c>
      <c r="L675" s="1">
        <v>-8.92E7</v>
      </c>
      <c r="M675" s="1">
        <v>3.523E8</v>
      </c>
      <c r="N675" s="1">
        <v>7.44E9</v>
      </c>
      <c r="O675" s="1">
        <v>5.0544E9</v>
      </c>
      <c r="P675" s="1">
        <v>1.7198E9</v>
      </c>
      <c r="Q675" s="1">
        <v>8.35E7</v>
      </c>
      <c r="R675" s="1">
        <v>2.1168E9</v>
      </c>
      <c r="S675" s="1">
        <v>2.1168E9</v>
      </c>
    </row>
    <row r="676">
      <c r="A676" s="1">
        <v>674.0</v>
      </c>
      <c r="B676" s="2">
        <v>44104.0</v>
      </c>
      <c r="C676" s="1" t="s">
        <v>378</v>
      </c>
      <c r="D676" s="1" t="s">
        <v>379</v>
      </c>
      <c r="E676" s="1">
        <v>1.4654E9</v>
      </c>
      <c r="F676" s="1">
        <v>1.4372E9</v>
      </c>
      <c r="G676" s="1">
        <v>1.2084E9</v>
      </c>
      <c r="H676" s="1">
        <v>1.4551E9</v>
      </c>
      <c r="I676" s="1">
        <v>4.4142E9</v>
      </c>
      <c r="J676" s="1">
        <v>1.4937E9</v>
      </c>
      <c r="K676" s="1">
        <v>1.4937E9</v>
      </c>
      <c r="L676" s="1">
        <v>-8.96E7</v>
      </c>
      <c r="M676" s="1">
        <v>2.288E8</v>
      </c>
      <c r="N676" s="1">
        <v>5.7406E9</v>
      </c>
      <c r="O676" s="1">
        <v>4.2469E9</v>
      </c>
      <c r="P676" s="1">
        <v>1.3264E9</v>
      </c>
      <c r="Q676" s="1">
        <v>-5.65E7</v>
      </c>
      <c r="R676" s="1">
        <v>1.2084E9</v>
      </c>
      <c r="S676" s="1">
        <v>1.2084E9</v>
      </c>
    </row>
    <row r="677">
      <c r="A677" s="1">
        <v>675.0</v>
      </c>
      <c r="B677" s="2">
        <v>44012.0</v>
      </c>
      <c r="C677" s="1" t="s">
        <v>378</v>
      </c>
      <c r="D677" s="1" t="s">
        <v>379</v>
      </c>
      <c r="E677" s="1">
        <v>1.3902E9</v>
      </c>
      <c r="F677" s="1">
        <v>1.6437E9</v>
      </c>
      <c r="G677" s="1">
        <v>1.412E9</v>
      </c>
      <c r="H677" s="1">
        <v>1.4127E9</v>
      </c>
      <c r="I677" s="1">
        <v>4.2774E9</v>
      </c>
      <c r="J677" s="1">
        <v>1.4745E9</v>
      </c>
      <c r="K677" s="1">
        <v>1.4745E9</v>
      </c>
      <c r="L677" s="1">
        <v>-8.83E7</v>
      </c>
      <c r="M677" s="1">
        <v>2.317E8</v>
      </c>
      <c r="N677" s="1">
        <v>5.4994E9</v>
      </c>
      <c r="O677" s="1">
        <v>4.0249E9</v>
      </c>
      <c r="P677" s="1">
        <v>1.222E9</v>
      </c>
      <c r="Q677" s="1">
        <v>1.692E8</v>
      </c>
      <c r="R677" s="1">
        <v>1.412E9</v>
      </c>
      <c r="S677" s="1">
        <v>1.412E9</v>
      </c>
    </row>
    <row r="678">
      <c r="A678" s="1">
        <v>676.0</v>
      </c>
      <c r="B678" s="2">
        <v>44377.0</v>
      </c>
      <c r="C678" s="1" t="s">
        <v>380</v>
      </c>
      <c r="D678" s="1" t="s">
        <v>381</v>
      </c>
      <c r="F678" s="1">
        <v>7.84E8</v>
      </c>
      <c r="G678" s="1">
        <v>6.27E8</v>
      </c>
      <c r="H678" s="1">
        <v>1.073E9</v>
      </c>
      <c r="I678" s="1">
        <v>1.982E9</v>
      </c>
      <c r="J678" s="1">
        <v>8.41E8</v>
      </c>
      <c r="K678" s="1">
        <v>8.41E8</v>
      </c>
      <c r="L678" s="1">
        <v>-4.0E7</v>
      </c>
      <c r="M678" s="1">
        <v>1.51E8</v>
      </c>
      <c r="N678" s="1">
        <v>4.697E9</v>
      </c>
      <c r="O678" s="1">
        <v>3.856E9</v>
      </c>
      <c r="P678" s="1">
        <v>2.715E9</v>
      </c>
      <c r="Q678" s="1">
        <v>-5.7E7</v>
      </c>
      <c r="R678" s="1">
        <v>6.33E8</v>
      </c>
      <c r="S678" s="1">
        <v>6.27E8</v>
      </c>
    </row>
    <row r="679">
      <c r="A679" s="1">
        <v>677.0</v>
      </c>
      <c r="B679" s="2">
        <v>44286.0</v>
      </c>
      <c r="C679" s="1" t="s">
        <v>380</v>
      </c>
      <c r="D679" s="1" t="s">
        <v>381</v>
      </c>
      <c r="F679" s="1">
        <v>7.37E8</v>
      </c>
      <c r="G679" s="1">
        <v>5.61E8</v>
      </c>
      <c r="H679" s="1">
        <v>1.054E9</v>
      </c>
      <c r="I679" s="1">
        <v>1.862E9</v>
      </c>
      <c r="J679" s="1">
        <v>7.83E8</v>
      </c>
      <c r="K679" s="1">
        <v>7.83E8</v>
      </c>
      <c r="L679" s="1">
        <v>-4.2E7</v>
      </c>
      <c r="M679" s="1">
        <v>1.69E8</v>
      </c>
      <c r="N679" s="1">
        <v>4.431E9</v>
      </c>
      <c r="O679" s="1">
        <v>3.648E9</v>
      </c>
      <c r="P679" s="1">
        <v>2.569E9</v>
      </c>
      <c r="Q679" s="1">
        <v>-4.6E7</v>
      </c>
      <c r="R679" s="1">
        <v>5.68E8</v>
      </c>
      <c r="S679" s="1">
        <v>5.61E8</v>
      </c>
    </row>
    <row r="680">
      <c r="A680" s="1">
        <v>678.0</v>
      </c>
      <c r="B680" s="2">
        <v>44196.0</v>
      </c>
      <c r="C680" s="1" t="s">
        <v>380</v>
      </c>
      <c r="D680" s="1" t="s">
        <v>381</v>
      </c>
      <c r="F680" s="1">
        <v>5.63E8</v>
      </c>
      <c r="G680" s="1">
        <v>4.45E8</v>
      </c>
      <c r="H680" s="1">
        <v>9.98E8</v>
      </c>
      <c r="I680" s="1">
        <v>1.723E9</v>
      </c>
      <c r="J680" s="1">
        <v>6.44E8</v>
      </c>
      <c r="K680" s="1">
        <v>6.44E8</v>
      </c>
      <c r="L680" s="1">
        <v>-4.2E7</v>
      </c>
      <c r="M680" s="1">
        <v>1.11E8</v>
      </c>
      <c r="N680" s="1">
        <v>4.161E9</v>
      </c>
      <c r="O680" s="1">
        <v>3.517E9</v>
      </c>
      <c r="P680" s="1">
        <v>2.438E9</v>
      </c>
      <c r="Q680" s="1">
        <v>-8.1E7</v>
      </c>
      <c r="R680" s="1">
        <v>4.52E8</v>
      </c>
      <c r="S680" s="1">
        <v>4.45E8</v>
      </c>
    </row>
    <row r="681">
      <c r="A681" s="1">
        <v>679.0</v>
      </c>
      <c r="B681" s="2">
        <v>44104.0</v>
      </c>
      <c r="C681" s="1" t="s">
        <v>380</v>
      </c>
      <c r="D681" s="1" t="s">
        <v>381</v>
      </c>
      <c r="F681" s="1">
        <v>7.65E8</v>
      </c>
      <c r="G681" s="1">
        <v>7.23E8</v>
      </c>
      <c r="H681" s="1">
        <v>9.46E8</v>
      </c>
      <c r="I681" s="1">
        <v>1.887E9</v>
      </c>
      <c r="J681" s="1">
        <v>9.26E8</v>
      </c>
      <c r="K681" s="1">
        <v>9.26E8</v>
      </c>
      <c r="L681" s="1">
        <v>-4.3E7</v>
      </c>
      <c r="M681" s="1">
        <v>3.5E7</v>
      </c>
      <c r="N681" s="1">
        <v>4.558E9</v>
      </c>
      <c r="O681" s="1">
        <v>3.632E9</v>
      </c>
      <c r="P681" s="1">
        <v>2.671E9</v>
      </c>
      <c r="Q681" s="1">
        <v>-1.61E8</v>
      </c>
      <c r="R681" s="1">
        <v>7.3E8</v>
      </c>
      <c r="S681" s="1">
        <v>7.23E8</v>
      </c>
    </row>
    <row r="682">
      <c r="A682" s="1">
        <v>680.0</v>
      </c>
      <c r="B682" s="2">
        <v>44286.0</v>
      </c>
      <c r="C682" s="1" t="s">
        <v>382</v>
      </c>
      <c r="D682" s="1" t="s">
        <v>383</v>
      </c>
      <c r="E682" s="1">
        <v>2.1818E7</v>
      </c>
      <c r="F682" s="1">
        <v>-1666000.0</v>
      </c>
      <c r="G682" s="1">
        <v>3.1698E7</v>
      </c>
      <c r="H682" s="1">
        <v>3.6645E7</v>
      </c>
      <c r="I682" s="1">
        <v>1.22949E8</v>
      </c>
      <c r="J682" s="1">
        <v>6.4486E7</v>
      </c>
      <c r="K682" s="1">
        <v>6.4486E7</v>
      </c>
      <c r="L682" s="1">
        <v>-7329000.0</v>
      </c>
      <c r="M682" s="1">
        <v>-3.3364E7</v>
      </c>
      <c r="N682" s="1">
        <v>3.01754E8</v>
      </c>
      <c r="O682" s="1">
        <v>2.37268E8</v>
      </c>
      <c r="P682" s="1">
        <v>1.78805E8</v>
      </c>
      <c r="Q682" s="1">
        <v>-6.6152E7</v>
      </c>
      <c r="R682" s="1">
        <v>3.1698E7</v>
      </c>
      <c r="S682" s="1">
        <v>3.1698E7</v>
      </c>
    </row>
    <row r="683">
      <c r="A683" s="1">
        <v>681.0</v>
      </c>
      <c r="B683" s="2">
        <v>44196.0</v>
      </c>
      <c r="C683" s="1" t="s">
        <v>382</v>
      </c>
      <c r="D683" s="1" t="s">
        <v>383</v>
      </c>
      <c r="E683" s="1">
        <v>1.5801E7</v>
      </c>
      <c r="F683" s="1">
        <v>7.1352E7</v>
      </c>
      <c r="G683" s="1">
        <v>7.2991E7</v>
      </c>
      <c r="H683" s="1">
        <v>2.7023E7</v>
      </c>
      <c r="I683" s="1">
        <v>1.21938E8</v>
      </c>
      <c r="J683" s="1">
        <v>7.9114E7</v>
      </c>
      <c r="K683" s="1">
        <v>7.9114E7</v>
      </c>
      <c r="L683" s="1">
        <v>-5901000.0</v>
      </c>
      <c r="M683" s="1">
        <v>-1639000.0</v>
      </c>
      <c r="N683" s="1">
        <v>2.64839E8</v>
      </c>
      <c r="O683" s="1">
        <v>1.85725E8</v>
      </c>
      <c r="P683" s="1">
        <v>1.42901E8</v>
      </c>
      <c r="Q683" s="1">
        <v>-7762000.0</v>
      </c>
      <c r="R683" s="1">
        <v>7.2991E7</v>
      </c>
      <c r="S683" s="1">
        <v>7.2991E7</v>
      </c>
    </row>
    <row r="684">
      <c r="A684" s="1">
        <v>682.0</v>
      </c>
      <c r="B684" s="2">
        <v>44104.0</v>
      </c>
      <c r="C684" s="1" t="s">
        <v>382</v>
      </c>
      <c r="D684" s="1" t="s">
        <v>383</v>
      </c>
      <c r="E684" s="1">
        <v>1.5052E7</v>
      </c>
      <c r="F684" s="1">
        <v>4.4845E7</v>
      </c>
      <c r="G684" s="1">
        <v>3.9362E7</v>
      </c>
      <c r="H684" s="1">
        <v>2.817E7</v>
      </c>
      <c r="I684" s="1">
        <v>9.4981E7</v>
      </c>
      <c r="J684" s="1">
        <v>5.1759E7</v>
      </c>
      <c r="K684" s="1">
        <v>5.1759E7</v>
      </c>
      <c r="L684" s="1">
        <v>-5993000.0</v>
      </c>
      <c r="M684" s="1">
        <v>5483000.0</v>
      </c>
      <c r="N684" s="1">
        <v>1.78503E8</v>
      </c>
      <c r="O684" s="1">
        <v>1.26744E8</v>
      </c>
      <c r="P684" s="1">
        <v>8.3522E7</v>
      </c>
      <c r="Q684" s="1">
        <v>-6914000.0</v>
      </c>
      <c r="R684" s="1">
        <v>3.9362E7</v>
      </c>
      <c r="S684" s="1">
        <v>3.9362E7</v>
      </c>
    </row>
    <row r="685">
      <c r="A685" s="1">
        <v>683.0</v>
      </c>
      <c r="B685" s="2">
        <v>44012.0</v>
      </c>
      <c r="C685" s="1" t="s">
        <v>382</v>
      </c>
      <c r="D685" s="1" t="s">
        <v>383</v>
      </c>
      <c r="E685" s="1">
        <v>1.3192E7</v>
      </c>
      <c r="F685" s="1">
        <v>-5.3855E7</v>
      </c>
      <c r="G685" s="1">
        <v>-4.7294E7</v>
      </c>
      <c r="H685" s="1">
        <v>2.4341E7</v>
      </c>
      <c r="I685" s="1">
        <v>4.8387E7</v>
      </c>
      <c r="J685" s="1">
        <v>1.0854E7</v>
      </c>
      <c r="K685" s="1">
        <v>1.0854E7</v>
      </c>
      <c r="L685" s="1">
        <v>-5952000.0</v>
      </c>
      <c r="M685" s="1">
        <v>-6561000.0</v>
      </c>
      <c r="N685" s="1">
        <v>1.25538E8</v>
      </c>
      <c r="O685" s="1">
        <v>1.14684E8</v>
      </c>
      <c r="P685" s="1">
        <v>7.7151E7</v>
      </c>
      <c r="Q685" s="1">
        <v>-6.4709E7</v>
      </c>
      <c r="R685" s="1">
        <v>-4.7294E7</v>
      </c>
      <c r="S685" s="1">
        <v>-4.7294E7</v>
      </c>
    </row>
    <row r="686">
      <c r="A686" s="1">
        <v>684.0</v>
      </c>
      <c r="B686" s="2">
        <v>44377.0</v>
      </c>
      <c r="C686" s="1" t="s">
        <v>384</v>
      </c>
      <c r="D686" s="1" t="s">
        <v>385</v>
      </c>
      <c r="F686" s="1">
        <v>-2.439E7</v>
      </c>
      <c r="G686" s="1">
        <v>-5974000.0</v>
      </c>
      <c r="H686" s="1">
        <v>1.45691E8</v>
      </c>
      <c r="I686" s="1">
        <v>1.118817E9</v>
      </c>
      <c r="J686" s="1">
        <v>3.64609E8</v>
      </c>
      <c r="K686" s="1">
        <v>3.64609E8</v>
      </c>
      <c r="L686" s="1">
        <v>-2.24968E8</v>
      </c>
      <c r="M686" s="1">
        <v>-1.8416E7</v>
      </c>
      <c r="N686" s="1">
        <v>2.82207E9</v>
      </c>
      <c r="O686" s="1">
        <v>2.457461E9</v>
      </c>
      <c r="P686" s="1">
        <v>1.703253E9</v>
      </c>
      <c r="Q686" s="1">
        <v>-3.88999E8</v>
      </c>
      <c r="R686" s="1">
        <v>-5974000.0</v>
      </c>
      <c r="S686" s="1">
        <v>-5974000.0</v>
      </c>
    </row>
    <row r="687">
      <c r="A687" s="1">
        <v>685.0</v>
      </c>
      <c r="B687" s="2">
        <v>44286.0</v>
      </c>
      <c r="C687" s="1" t="s">
        <v>384</v>
      </c>
      <c r="D687" s="1" t="s">
        <v>385</v>
      </c>
      <c r="F687" s="1">
        <v>4.00507E8</v>
      </c>
      <c r="G687" s="1">
        <v>3.34565E8</v>
      </c>
      <c r="H687" s="1">
        <v>3.1739E7</v>
      </c>
      <c r="I687" s="1">
        <v>1.213412E9</v>
      </c>
      <c r="J687" s="1">
        <v>4.79531E8</v>
      </c>
      <c r="K687" s="1">
        <v>4.79531E8</v>
      </c>
      <c r="L687" s="1">
        <v>-2.10514E8</v>
      </c>
      <c r="M687" s="1">
        <v>6.5942E7</v>
      </c>
      <c r="N687" s="1">
        <v>2.844838E9</v>
      </c>
      <c r="O687" s="1">
        <v>2.365307E9</v>
      </c>
      <c r="P687" s="1">
        <v>1.631426E9</v>
      </c>
      <c r="Q687" s="1">
        <v>-7.9024E7</v>
      </c>
      <c r="R687" s="1">
        <v>3.34565E8</v>
      </c>
      <c r="S687" s="1">
        <v>3.34565E8</v>
      </c>
    </row>
    <row r="688">
      <c r="A688" s="1">
        <v>686.0</v>
      </c>
      <c r="B688" s="2">
        <v>44196.0</v>
      </c>
      <c r="C688" s="1" t="s">
        <v>384</v>
      </c>
      <c r="D688" s="1" t="s">
        <v>385</v>
      </c>
      <c r="F688" s="1">
        <v>9.9096E7</v>
      </c>
      <c r="G688" s="1">
        <v>3.87968E8</v>
      </c>
      <c r="H688" s="1">
        <v>-1.65327E8</v>
      </c>
      <c r="I688" s="1">
        <v>9.68432E8</v>
      </c>
      <c r="J688" s="1">
        <v>3.98729E8</v>
      </c>
      <c r="K688" s="1">
        <v>3.98729E8</v>
      </c>
      <c r="L688" s="1">
        <v>-2.12411E8</v>
      </c>
      <c r="M688" s="1">
        <v>-2.88872E8</v>
      </c>
      <c r="N688" s="1">
        <v>2.370102E9</v>
      </c>
      <c r="O688" s="1">
        <v>1.971373E9</v>
      </c>
      <c r="P688" s="1">
        <v>1.40167E9</v>
      </c>
      <c r="Q688" s="1">
        <v>-2.99633E8</v>
      </c>
      <c r="R688" s="1">
        <v>3.87968E8</v>
      </c>
      <c r="S688" s="1">
        <v>3.87968E8</v>
      </c>
    </row>
    <row r="689">
      <c r="A689" s="1">
        <v>687.0</v>
      </c>
      <c r="B689" s="2">
        <v>44104.0</v>
      </c>
      <c r="C689" s="1" t="s">
        <v>384</v>
      </c>
      <c r="D689" s="1" t="s">
        <v>385</v>
      </c>
      <c r="F689" s="1">
        <v>6.70563E8</v>
      </c>
      <c r="G689" s="1">
        <v>5.21119E8</v>
      </c>
      <c r="H689" s="1">
        <v>7.6341E7</v>
      </c>
      <c r="I689" s="1">
        <v>1.421255E9</v>
      </c>
      <c r="J689" s="1">
        <v>7.06136E8</v>
      </c>
      <c r="K689" s="1">
        <v>7.06136E8</v>
      </c>
      <c r="L689" s="1">
        <v>-2.12439E8</v>
      </c>
      <c r="M689" s="1">
        <v>1.49444E8</v>
      </c>
      <c r="N689" s="1">
        <v>2.903568E9</v>
      </c>
      <c r="O689" s="1">
        <v>2.197432E9</v>
      </c>
      <c r="P689" s="1">
        <v>1.482313E9</v>
      </c>
      <c r="Q689" s="1">
        <v>-3.5573E7</v>
      </c>
      <c r="R689" s="1">
        <v>5.21119E8</v>
      </c>
      <c r="S689" s="1">
        <v>5.21119E8</v>
      </c>
    </row>
    <row r="690">
      <c r="A690" s="1">
        <v>688.0</v>
      </c>
      <c r="B690" s="2">
        <v>44377.0</v>
      </c>
      <c r="C690" s="1" t="s">
        <v>386</v>
      </c>
      <c r="D690" s="1" t="s">
        <v>387</v>
      </c>
      <c r="F690" s="1">
        <v>1.124E9</v>
      </c>
      <c r="G690" s="1">
        <v>9.07E8</v>
      </c>
      <c r="H690" s="1">
        <v>1.2E8</v>
      </c>
      <c r="I690" s="1">
        <v>2.912E9</v>
      </c>
      <c r="J690" s="1">
        <v>1.121E9</v>
      </c>
      <c r="K690" s="1">
        <v>1.121E9</v>
      </c>
      <c r="L690" s="1">
        <v>-4.5E7</v>
      </c>
      <c r="M690" s="1">
        <v>2.17E8</v>
      </c>
      <c r="N690" s="1">
        <v>4.515E9</v>
      </c>
      <c r="O690" s="1">
        <v>3.394E9</v>
      </c>
      <c r="P690" s="1">
        <v>1.603E9</v>
      </c>
      <c r="Q690" s="1">
        <v>3000000.0</v>
      </c>
      <c r="R690" s="1">
        <v>9.07E8</v>
      </c>
      <c r="S690" s="1">
        <v>9.07E8</v>
      </c>
    </row>
    <row r="691">
      <c r="A691" s="1">
        <v>689.0</v>
      </c>
      <c r="B691" s="2">
        <v>44286.0</v>
      </c>
      <c r="C691" s="1" t="s">
        <v>386</v>
      </c>
      <c r="D691" s="1" t="s">
        <v>387</v>
      </c>
      <c r="F691" s="1">
        <v>8.81E8</v>
      </c>
      <c r="G691" s="1">
        <v>6.77E8</v>
      </c>
      <c r="H691" s="1">
        <v>1.1E8</v>
      </c>
      <c r="I691" s="1">
        <v>2.618E9</v>
      </c>
      <c r="J691" s="1">
        <v>9.39E8</v>
      </c>
      <c r="K691" s="1">
        <v>9.39E8</v>
      </c>
      <c r="L691" s="1">
        <v>-4.7E7</v>
      </c>
      <c r="M691" s="1">
        <v>2.04E8</v>
      </c>
      <c r="N691" s="1">
        <v>4.067E9</v>
      </c>
      <c r="O691" s="1">
        <v>3.128E9</v>
      </c>
      <c r="P691" s="1">
        <v>1.449E9</v>
      </c>
      <c r="Q691" s="1">
        <v>-5.8E7</v>
      </c>
      <c r="R691" s="1">
        <v>6.77E8</v>
      </c>
      <c r="S691" s="1">
        <v>6.77E8</v>
      </c>
    </row>
    <row r="692">
      <c r="A692" s="1">
        <v>690.0</v>
      </c>
      <c r="B692" s="2">
        <v>44196.0</v>
      </c>
      <c r="C692" s="1" t="s">
        <v>386</v>
      </c>
      <c r="D692" s="1" t="s">
        <v>387</v>
      </c>
      <c r="F692" s="1">
        <v>4.2776E8</v>
      </c>
      <c r="G692" s="1">
        <v>3.37466E8</v>
      </c>
      <c r="H692" s="1">
        <v>1.13235E8</v>
      </c>
      <c r="I692" s="1">
        <v>1.704077E9</v>
      </c>
      <c r="J692" s="1">
        <v>8.52826E8</v>
      </c>
      <c r="K692" s="1">
        <v>8.52826E8</v>
      </c>
      <c r="L692" s="1">
        <v>-5.3121E7</v>
      </c>
      <c r="M692" s="1">
        <v>9.0294E7</v>
      </c>
      <c r="N692" s="1">
        <v>2.901794E9</v>
      </c>
      <c r="O692" s="1">
        <v>2.048968E9</v>
      </c>
      <c r="P692" s="1">
        <v>1.197717E9</v>
      </c>
      <c r="Q692" s="1">
        <v>-4.25066E8</v>
      </c>
      <c r="R692" s="1">
        <v>3.37466E8</v>
      </c>
      <c r="S692" s="1">
        <v>3.37466E8</v>
      </c>
    </row>
    <row r="693">
      <c r="A693" s="1">
        <v>691.0</v>
      </c>
      <c r="B693" s="2">
        <v>44104.0</v>
      </c>
      <c r="C693" s="1" t="s">
        <v>386</v>
      </c>
      <c r="D693" s="1" t="s">
        <v>387</v>
      </c>
      <c r="F693" s="1">
        <v>-5.2555E7</v>
      </c>
      <c r="G693" s="1">
        <v>-4.2467E7</v>
      </c>
      <c r="H693" s="1">
        <v>1.2446E8</v>
      </c>
      <c r="I693" s="1">
        <v>1.276567E9</v>
      </c>
      <c r="J693" s="1">
        <v>6.8262E7</v>
      </c>
      <c r="K693" s="1">
        <v>6.8262E7</v>
      </c>
      <c r="L693" s="1">
        <v>-5.3242E7</v>
      </c>
      <c r="M693" s="1">
        <v>-1.0088E7</v>
      </c>
      <c r="N693" s="1">
        <v>2.320438E9</v>
      </c>
      <c r="O693" s="1">
        <v>2.252176E9</v>
      </c>
      <c r="P693" s="1">
        <v>1.043871E9</v>
      </c>
      <c r="Q693" s="1">
        <v>-1.20817E8</v>
      </c>
      <c r="R693" s="1">
        <v>-4.2467E7</v>
      </c>
      <c r="S693" s="1">
        <v>-4.2467E7</v>
      </c>
    </row>
    <row r="694">
      <c r="A694" s="1">
        <v>692.0</v>
      </c>
      <c r="B694" s="2">
        <v>44377.0</v>
      </c>
      <c r="C694" s="1" t="s">
        <v>388</v>
      </c>
      <c r="D694" s="1" t="s">
        <v>389</v>
      </c>
      <c r="F694" s="1">
        <v>2.771E8</v>
      </c>
      <c r="G694" s="1">
        <v>2.151E8</v>
      </c>
      <c r="H694" s="1">
        <v>3.284E8</v>
      </c>
      <c r="I694" s="1">
        <v>7.518E8</v>
      </c>
      <c r="J694" s="1">
        <v>3.06E8</v>
      </c>
      <c r="K694" s="1">
        <v>3.06E8</v>
      </c>
      <c r="L694" s="1">
        <v>-3.49E7</v>
      </c>
      <c r="M694" s="1">
        <v>6.12E7</v>
      </c>
      <c r="N694" s="1">
        <v>1.2348E9</v>
      </c>
      <c r="O694" s="1">
        <v>9.288E8</v>
      </c>
      <c r="P694" s="1">
        <v>4.83E8</v>
      </c>
      <c r="Q694" s="1">
        <v>-2.89E7</v>
      </c>
      <c r="R694" s="1">
        <v>2.159E8</v>
      </c>
      <c r="S694" s="1">
        <v>2.151E8</v>
      </c>
    </row>
    <row r="695">
      <c r="A695" s="1">
        <v>693.0</v>
      </c>
      <c r="B695" s="2">
        <v>44286.0</v>
      </c>
      <c r="C695" s="1" t="s">
        <v>388</v>
      </c>
      <c r="D695" s="1" t="s">
        <v>389</v>
      </c>
      <c r="F695" s="1">
        <v>2.685E8</v>
      </c>
      <c r="G695" s="1">
        <v>2.016E8</v>
      </c>
      <c r="H695" s="1">
        <v>3.088E8</v>
      </c>
      <c r="I695" s="1">
        <v>7.297E8</v>
      </c>
      <c r="J695" s="1">
        <v>3.066E8</v>
      </c>
      <c r="K695" s="1">
        <v>3.066E8</v>
      </c>
      <c r="L695" s="1">
        <v>-3.72E7</v>
      </c>
      <c r="M695" s="1">
        <v>6.56E7</v>
      </c>
      <c r="N695" s="1">
        <v>1.213E9</v>
      </c>
      <c r="O695" s="1">
        <v>9.064E8</v>
      </c>
      <c r="P695" s="1">
        <v>4.833E8</v>
      </c>
      <c r="Q695" s="1">
        <v>-3.81E7</v>
      </c>
      <c r="R695" s="1">
        <v>2.029E8</v>
      </c>
      <c r="S695" s="1">
        <v>2.016E8</v>
      </c>
    </row>
    <row r="696">
      <c r="A696" s="1">
        <v>694.0</v>
      </c>
      <c r="B696" s="2">
        <v>44196.0</v>
      </c>
      <c r="C696" s="1" t="s">
        <v>388</v>
      </c>
      <c r="D696" s="1" t="s">
        <v>389</v>
      </c>
      <c r="F696" s="1">
        <v>1.116E8</v>
      </c>
      <c r="G696" s="1">
        <v>8.74E7</v>
      </c>
      <c r="H696" s="1">
        <v>3.444E8</v>
      </c>
      <c r="I696" s="1">
        <v>6.375E8</v>
      </c>
      <c r="J696" s="1">
        <v>1.916E8</v>
      </c>
      <c r="K696" s="1">
        <v>1.916E8</v>
      </c>
      <c r="L696" s="1">
        <v>-3.69E7</v>
      </c>
      <c r="M696" s="1">
        <v>2.1E7</v>
      </c>
      <c r="N696" s="1">
        <v>1.1184E9</v>
      </c>
      <c r="O696" s="1">
        <v>9.268E8</v>
      </c>
      <c r="P696" s="1">
        <v>4.809E8</v>
      </c>
      <c r="Q696" s="1">
        <v>-8.0E7</v>
      </c>
      <c r="R696" s="1">
        <v>9.06E7</v>
      </c>
      <c r="S696" s="1">
        <v>8.74E7</v>
      </c>
    </row>
    <row r="697">
      <c r="A697" s="1">
        <v>695.0</v>
      </c>
      <c r="B697" s="2">
        <v>44104.0</v>
      </c>
      <c r="C697" s="1" t="s">
        <v>388</v>
      </c>
      <c r="D697" s="1" t="s">
        <v>389</v>
      </c>
      <c r="F697" s="1">
        <v>3.004E8</v>
      </c>
      <c r="G697" s="1">
        <v>2.242E8</v>
      </c>
      <c r="H697" s="1">
        <v>3.32E8</v>
      </c>
      <c r="I697" s="1">
        <v>6.351E8</v>
      </c>
      <c r="J697" s="1">
        <v>2.024E8</v>
      </c>
      <c r="K697" s="1">
        <v>2.024E8</v>
      </c>
      <c r="L697" s="1">
        <v>-3.74E7</v>
      </c>
      <c r="M697" s="1">
        <v>7.54E7</v>
      </c>
      <c r="N697" s="1">
        <v>1.0683E9</v>
      </c>
      <c r="O697" s="1">
        <v>8.659E8</v>
      </c>
      <c r="P697" s="1">
        <v>4.332E8</v>
      </c>
      <c r="Q697" s="1">
        <v>9.8E7</v>
      </c>
      <c r="R697" s="1">
        <v>2.25E8</v>
      </c>
      <c r="S697" s="1">
        <v>2.242E8</v>
      </c>
    </row>
    <row r="698">
      <c r="A698" s="1">
        <v>696.0</v>
      </c>
      <c r="B698" s="2">
        <v>44377.0</v>
      </c>
      <c r="C698" s="1" t="s">
        <v>390</v>
      </c>
      <c r="D698" s="1" t="s">
        <v>391</v>
      </c>
      <c r="F698" s="1">
        <v>4.996E7</v>
      </c>
      <c r="G698" s="1">
        <v>6.8339E7</v>
      </c>
      <c r="H698" s="1">
        <v>5.07615E8</v>
      </c>
      <c r="I698" s="1">
        <v>7.92799E8</v>
      </c>
      <c r="J698" s="1">
        <v>2.85184E8</v>
      </c>
      <c r="K698" s="1">
        <v>2.85184E8</v>
      </c>
      <c r="L698" s="1">
        <v>-8.7231E7</v>
      </c>
      <c r="M698" s="1">
        <v>-1.8527E7</v>
      </c>
      <c r="N698" s="1">
        <v>1.657919E9</v>
      </c>
      <c r="O698" s="1">
        <v>1.372735E9</v>
      </c>
      <c r="P698" s="1">
        <v>8.6512E8</v>
      </c>
      <c r="Q698" s="1">
        <v>-2.35224E8</v>
      </c>
      <c r="R698" s="1">
        <v>6.8487E7</v>
      </c>
      <c r="S698" s="1">
        <v>6.8339E7</v>
      </c>
    </row>
    <row r="699">
      <c r="A699" s="1">
        <v>697.0</v>
      </c>
      <c r="B699" s="2">
        <v>44286.0</v>
      </c>
      <c r="C699" s="1" t="s">
        <v>390</v>
      </c>
      <c r="D699" s="1" t="s">
        <v>391</v>
      </c>
      <c r="F699" s="1">
        <v>1.88702E8</v>
      </c>
      <c r="G699" s="1">
        <v>1.56362E8</v>
      </c>
      <c r="H699" s="1">
        <v>4.84283E8</v>
      </c>
      <c r="I699" s="1">
        <v>7.84847E8</v>
      </c>
      <c r="J699" s="1">
        <v>3.00564E8</v>
      </c>
      <c r="K699" s="1">
        <v>3.00564E8</v>
      </c>
      <c r="L699" s="1">
        <v>-8.9681E7</v>
      </c>
      <c r="M699" s="1">
        <v>3.2628E7</v>
      </c>
      <c r="N699" s="1">
        <v>1.596064E9</v>
      </c>
      <c r="O699" s="1">
        <v>1.2955E9</v>
      </c>
      <c r="P699" s="1">
        <v>8.11217E8</v>
      </c>
      <c r="Q699" s="1">
        <v>-1.11862E8</v>
      </c>
      <c r="R699" s="1">
        <v>1.56074E8</v>
      </c>
      <c r="S699" s="1">
        <v>1.56362E8</v>
      </c>
    </row>
    <row r="700">
      <c r="A700" s="1">
        <v>698.0</v>
      </c>
      <c r="B700" s="2">
        <v>44196.0</v>
      </c>
      <c r="C700" s="1" t="s">
        <v>390</v>
      </c>
      <c r="D700" s="1" t="s">
        <v>391</v>
      </c>
      <c r="F700" s="1">
        <v>9.224E7</v>
      </c>
      <c r="G700" s="1">
        <v>5.0994E7</v>
      </c>
      <c r="H700" s="1">
        <v>4.80199E8</v>
      </c>
      <c r="I700" s="1">
        <v>7.4117E8</v>
      </c>
      <c r="J700" s="1">
        <v>2.60971E8</v>
      </c>
      <c r="K700" s="1">
        <v>2.60971E8</v>
      </c>
      <c r="L700" s="1">
        <v>-9.0912E7</v>
      </c>
      <c r="M700" s="1">
        <v>4.1304E7</v>
      </c>
      <c r="N700" s="1">
        <v>1.571905E9</v>
      </c>
      <c r="O700" s="1">
        <v>1.310934E9</v>
      </c>
      <c r="P700" s="1">
        <v>8.30735E8</v>
      </c>
      <c r="Q700" s="1">
        <v>-1.68731E8</v>
      </c>
      <c r="R700" s="1">
        <v>5.0936E7</v>
      </c>
      <c r="S700" s="1">
        <v>5.0994E7</v>
      </c>
    </row>
    <row r="701">
      <c r="A701" s="1">
        <v>699.0</v>
      </c>
      <c r="B701" s="2">
        <v>44104.0</v>
      </c>
      <c r="C701" s="1" t="s">
        <v>390</v>
      </c>
      <c r="D701" s="1" t="s">
        <v>391</v>
      </c>
      <c r="F701" s="1">
        <v>9.6734E7</v>
      </c>
      <c r="G701" s="1">
        <v>6.6687E7</v>
      </c>
      <c r="H701" s="1">
        <v>4.52077E8</v>
      </c>
      <c r="I701" s="1">
        <v>7.49314E8</v>
      </c>
      <c r="J701" s="1">
        <v>2.97237E8</v>
      </c>
      <c r="K701" s="1">
        <v>2.97237E8</v>
      </c>
      <c r="L701" s="1">
        <v>-9.9736E7</v>
      </c>
      <c r="M701" s="1">
        <v>2.9903E7</v>
      </c>
      <c r="N701" s="1">
        <v>1.517293E9</v>
      </c>
      <c r="O701" s="1">
        <v>1.220056E9</v>
      </c>
      <c r="P701" s="1">
        <v>7.67979E8</v>
      </c>
      <c r="Q701" s="1">
        <v>-2.00503E8</v>
      </c>
      <c r="R701" s="1">
        <v>6.6831E7</v>
      </c>
      <c r="S701" s="1">
        <v>6.6687E7</v>
      </c>
    </row>
    <row r="702">
      <c r="A702" s="1">
        <v>700.0</v>
      </c>
      <c r="B702" s="2">
        <v>44377.0</v>
      </c>
      <c r="C702" s="1" t="s">
        <v>392</v>
      </c>
      <c r="D702" s="1" t="s">
        <v>393</v>
      </c>
      <c r="F702" s="1">
        <v>3.28282E8</v>
      </c>
      <c r="G702" s="1">
        <v>3.16386E8</v>
      </c>
      <c r="H702" s="1">
        <v>1.4678E7</v>
      </c>
      <c r="I702" s="1">
        <v>3.68457E8</v>
      </c>
      <c r="J702" s="1">
        <v>1.53106E8</v>
      </c>
      <c r="K702" s="1">
        <v>1.53106E8</v>
      </c>
      <c r="L702" s="1">
        <v>-6.9063E7</v>
      </c>
      <c r="M702" s="1">
        <v>242000.0</v>
      </c>
      <c r="N702" s="1">
        <v>5.98059E8</v>
      </c>
      <c r="O702" s="1">
        <v>4.44953E8</v>
      </c>
      <c r="P702" s="1">
        <v>2.29602E8</v>
      </c>
      <c r="Q702" s="1">
        <v>1.75176E8</v>
      </c>
      <c r="R702" s="1">
        <v>3.2804E8</v>
      </c>
      <c r="S702" s="1">
        <v>3.15614E8</v>
      </c>
    </row>
    <row r="703">
      <c r="A703" s="1">
        <v>701.0</v>
      </c>
      <c r="B703" s="2">
        <v>44286.0</v>
      </c>
      <c r="C703" s="1" t="s">
        <v>392</v>
      </c>
      <c r="D703" s="1" t="s">
        <v>393</v>
      </c>
      <c r="F703" s="1">
        <v>6.0517E7</v>
      </c>
      <c r="G703" s="1">
        <v>5.7539E7</v>
      </c>
      <c r="H703" s="1">
        <v>1.5383E7</v>
      </c>
      <c r="I703" s="1">
        <v>3.50948E8</v>
      </c>
      <c r="J703" s="1">
        <v>1.35603E8</v>
      </c>
      <c r="K703" s="1">
        <v>1.35603E8</v>
      </c>
      <c r="L703" s="1">
        <v>-6.9543E7</v>
      </c>
      <c r="M703" s="1">
        <v>153000.0</v>
      </c>
      <c r="N703" s="1">
        <v>5.97602E8</v>
      </c>
      <c r="O703" s="1">
        <v>4.61999E8</v>
      </c>
      <c r="P703" s="1">
        <v>2.46654E8</v>
      </c>
      <c r="Q703" s="1">
        <v>-7.5086E7</v>
      </c>
      <c r="R703" s="1">
        <v>6.0364E7</v>
      </c>
      <c r="S703" s="1">
        <v>5.6766E7</v>
      </c>
    </row>
    <row r="704">
      <c r="A704" s="1">
        <v>702.0</v>
      </c>
      <c r="B704" s="2">
        <v>44196.0</v>
      </c>
      <c r="C704" s="1" t="s">
        <v>392</v>
      </c>
      <c r="D704" s="1" t="s">
        <v>393</v>
      </c>
      <c r="F704" s="1">
        <v>2.63334E8</v>
      </c>
      <c r="G704" s="1">
        <v>2.52856E8</v>
      </c>
      <c r="H704" s="1">
        <v>1.1093E7</v>
      </c>
      <c r="I704" s="1">
        <v>3.89939E8</v>
      </c>
      <c r="J704" s="1">
        <v>1.77017E8</v>
      </c>
      <c r="K704" s="1">
        <v>1.77017E8</v>
      </c>
      <c r="L704" s="1">
        <v>-1.1941E8</v>
      </c>
      <c r="M704" s="1">
        <v>350000.0</v>
      </c>
      <c r="N704" s="1">
        <v>6.13435E8</v>
      </c>
      <c r="O704" s="1">
        <v>4.36418E8</v>
      </c>
      <c r="P704" s="1">
        <v>2.23496E8</v>
      </c>
      <c r="Q704" s="1">
        <v>8.6317E7</v>
      </c>
      <c r="R704" s="1">
        <v>2.62984E8</v>
      </c>
      <c r="S704" s="1">
        <v>2.52084E8</v>
      </c>
    </row>
    <row r="705">
      <c r="A705" s="1">
        <v>703.0</v>
      </c>
      <c r="B705" s="2">
        <v>44104.0</v>
      </c>
      <c r="C705" s="1" t="s">
        <v>392</v>
      </c>
      <c r="D705" s="1" t="s">
        <v>393</v>
      </c>
      <c r="F705" s="1">
        <v>9.5627E7</v>
      </c>
      <c r="G705" s="1">
        <v>9.1286E7</v>
      </c>
      <c r="H705" s="1">
        <v>1.0859E7</v>
      </c>
      <c r="I705" s="1">
        <v>3.93899E8</v>
      </c>
      <c r="J705" s="1">
        <v>1.82435E8</v>
      </c>
      <c r="K705" s="1">
        <v>1.82435E8</v>
      </c>
      <c r="L705" s="1">
        <v>-8.2975E7</v>
      </c>
      <c r="M705" s="1">
        <v>262000.0</v>
      </c>
      <c r="N705" s="1">
        <v>6.22433E8</v>
      </c>
      <c r="O705" s="1">
        <v>4.39998E8</v>
      </c>
      <c r="P705" s="1">
        <v>2.28534E8</v>
      </c>
      <c r="Q705" s="1">
        <v>-8.6808E7</v>
      </c>
      <c r="R705" s="1">
        <v>9.5365E7</v>
      </c>
      <c r="S705" s="1">
        <v>9.0513E7</v>
      </c>
    </row>
    <row r="706">
      <c r="A706" s="1">
        <v>704.0</v>
      </c>
      <c r="B706" s="2">
        <v>44377.0</v>
      </c>
      <c r="C706" s="1" t="s">
        <v>394</v>
      </c>
      <c r="D706" s="1" t="s">
        <v>395</v>
      </c>
      <c r="F706" s="1">
        <v>6.9615E7</v>
      </c>
      <c r="G706" s="1">
        <v>6.4846E7</v>
      </c>
      <c r="H706" s="1">
        <v>1.2222E7</v>
      </c>
      <c r="I706" s="1">
        <v>2.52587E8</v>
      </c>
      <c r="J706" s="1">
        <v>1.11629E8</v>
      </c>
      <c r="K706" s="1">
        <v>1.11629E8</v>
      </c>
      <c r="L706" s="1">
        <v>-5.0971E7</v>
      </c>
      <c r="M706" s="1">
        <v>0.0</v>
      </c>
      <c r="N706" s="1">
        <v>3.69226E8</v>
      </c>
      <c r="O706" s="1">
        <v>2.57597E8</v>
      </c>
      <c r="P706" s="1">
        <v>1.16639E8</v>
      </c>
      <c r="Q706" s="1">
        <v>-4.2014E7</v>
      </c>
      <c r="R706" s="1">
        <v>6.9615E7</v>
      </c>
      <c r="S706" s="1">
        <v>6.4846E7</v>
      </c>
    </row>
    <row r="707">
      <c r="A707" s="1">
        <v>705.0</v>
      </c>
      <c r="B707" s="2">
        <v>44286.0</v>
      </c>
      <c r="C707" s="1" t="s">
        <v>394</v>
      </c>
      <c r="D707" s="1" t="s">
        <v>395</v>
      </c>
      <c r="F707" s="1">
        <v>1.76949E8</v>
      </c>
      <c r="G707" s="1">
        <v>1.68444E8</v>
      </c>
      <c r="H707" s="1">
        <v>9812000.0</v>
      </c>
      <c r="I707" s="1">
        <v>2.52695E8</v>
      </c>
      <c r="J707" s="1">
        <v>1.14296E8</v>
      </c>
      <c r="K707" s="1">
        <v>1.14296E8</v>
      </c>
      <c r="L707" s="1">
        <v>-5.1649E7</v>
      </c>
      <c r="M707" s="1">
        <v>0.0</v>
      </c>
      <c r="N707" s="1">
        <v>3.72136E8</v>
      </c>
      <c r="O707" s="1">
        <v>2.5784E8</v>
      </c>
      <c r="P707" s="1">
        <v>1.19441E8</v>
      </c>
      <c r="Q707" s="1">
        <v>6.2653E7</v>
      </c>
      <c r="R707" s="1">
        <v>1.76949E8</v>
      </c>
      <c r="S707" s="1">
        <v>1.68444E8</v>
      </c>
    </row>
    <row r="708">
      <c r="A708" s="1">
        <v>706.0</v>
      </c>
      <c r="B708" s="2">
        <v>44196.0</v>
      </c>
      <c r="C708" s="1" t="s">
        <v>394</v>
      </c>
      <c r="D708" s="1" t="s">
        <v>395</v>
      </c>
      <c r="F708" s="1">
        <v>1.01649E8</v>
      </c>
      <c r="G708" s="1">
        <v>9.5745E7</v>
      </c>
      <c r="H708" s="1">
        <v>2.3144E7</v>
      </c>
      <c r="I708" s="1">
        <v>2.53071E8</v>
      </c>
      <c r="J708" s="1">
        <v>9.98E7</v>
      </c>
      <c r="K708" s="1">
        <v>9.98E7</v>
      </c>
      <c r="L708" s="1">
        <v>-5.5609E7</v>
      </c>
      <c r="M708" s="1">
        <v>0.0</v>
      </c>
      <c r="N708" s="1">
        <v>3.69733E8</v>
      </c>
      <c r="O708" s="1">
        <v>2.69933E8</v>
      </c>
      <c r="P708" s="1">
        <v>1.16662E8</v>
      </c>
      <c r="Q708" s="1">
        <v>1849000.0</v>
      </c>
      <c r="R708" s="1">
        <v>1.01649E8</v>
      </c>
      <c r="S708" s="1">
        <v>9.5745E7</v>
      </c>
    </row>
    <row r="709">
      <c r="A709" s="1">
        <v>707.0</v>
      </c>
      <c r="B709" s="2">
        <v>44104.0</v>
      </c>
      <c r="C709" s="1" t="s">
        <v>394</v>
      </c>
      <c r="D709" s="1" t="s">
        <v>395</v>
      </c>
      <c r="F709" s="1">
        <v>7.8842E7</v>
      </c>
      <c r="G709" s="1">
        <v>7.3661E7</v>
      </c>
      <c r="H709" s="1">
        <v>1.331E7</v>
      </c>
      <c r="I709" s="1">
        <v>2.64755E8</v>
      </c>
      <c r="J709" s="1">
        <v>1.21243E8</v>
      </c>
      <c r="K709" s="1">
        <v>1.21243E8</v>
      </c>
      <c r="L709" s="1">
        <v>-5.543E7</v>
      </c>
      <c r="M709" s="1">
        <v>0.0</v>
      </c>
      <c r="N709" s="1">
        <v>3.85771E8</v>
      </c>
      <c r="O709" s="1">
        <v>2.64528E8</v>
      </c>
      <c r="P709" s="1">
        <v>1.21016E8</v>
      </c>
      <c r="Q709" s="1">
        <v>-4.2401E7</v>
      </c>
      <c r="R709" s="1">
        <v>7.8842E7</v>
      </c>
      <c r="S709" s="1">
        <v>7.3661E7</v>
      </c>
    </row>
    <row r="710">
      <c r="A710" s="1">
        <v>708.0</v>
      </c>
      <c r="B710" s="2">
        <v>44377.0</v>
      </c>
      <c r="C710" s="1" t="s">
        <v>396</v>
      </c>
      <c r="D710" s="1" t="s">
        <v>397</v>
      </c>
      <c r="F710" s="1">
        <v>1.05E9</v>
      </c>
      <c r="G710" s="1">
        <v>1.018E9</v>
      </c>
      <c r="H710" s="1">
        <v>2.604E9</v>
      </c>
      <c r="I710" s="1">
        <v>2.951E9</v>
      </c>
      <c r="J710" s="1">
        <v>3.47E8</v>
      </c>
      <c r="K710" s="1">
        <v>3.47E8</v>
      </c>
      <c r="L710" s="1">
        <v>-4.2E7</v>
      </c>
      <c r="M710" s="1">
        <v>3.5E7</v>
      </c>
      <c r="N710" s="1">
        <v>3.936E9</v>
      </c>
      <c r="O710" s="1">
        <v>3.589E9</v>
      </c>
      <c r="P710" s="1">
        <v>9.85E8</v>
      </c>
      <c r="Q710" s="1">
        <v>7.03E8</v>
      </c>
      <c r="R710" s="1">
        <v>1.015E9</v>
      </c>
      <c r="S710" s="1">
        <v>1.018E9</v>
      </c>
    </row>
    <row r="711">
      <c r="A711" s="1">
        <v>709.0</v>
      </c>
      <c r="B711" s="2">
        <v>44286.0</v>
      </c>
      <c r="C711" s="1" t="s">
        <v>396</v>
      </c>
      <c r="D711" s="1" t="s">
        <v>397</v>
      </c>
      <c r="F711" s="1">
        <v>5.8E8</v>
      </c>
      <c r="G711" s="1">
        <v>4.56E8</v>
      </c>
      <c r="H711" s="1">
        <v>2.05E9</v>
      </c>
      <c r="I711" s="1">
        <v>2.929E9</v>
      </c>
      <c r="J711" s="1">
        <v>8.79E8</v>
      </c>
      <c r="K711" s="1">
        <v>8.79E8</v>
      </c>
      <c r="L711" s="1">
        <v>-4.3E7</v>
      </c>
      <c r="M711" s="1">
        <v>1.22E8</v>
      </c>
      <c r="N711" s="1">
        <v>3.864E9</v>
      </c>
      <c r="O711" s="1">
        <v>2.985E9</v>
      </c>
      <c r="P711" s="1">
        <v>9.35E8</v>
      </c>
      <c r="Q711" s="1">
        <v>-2.99E8</v>
      </c>
      <c r="R711" s="1">
        <v>4.58E8</v>
      </c>
      <c r="S711" s="1">
        <v>4.56E8</v>
      </c>
    </row>
    <row r="712">
      <c r="A712" s="1">
        <v>710.0</v>
      </c>
      <c r="B712" s="2">
        <v>44196.0</v>
      </c>
      <c r="C712" s="1" t="s">
        <v>396</v>
      </c>
      <c r="D712" s="1" t="s">
        <v>397</v>
      </c>
      <c r="F712" s="1">
        <v>1.03E9</v>
      </c>
      <c r="G712" s="1">
        <v>8.73E8</v>
      </c>
      <c r="H712" s="1">
        <v>2.599E9</v>
      </c>
      <c r="I712" s="1">
        <v>3.771E9</v>
      </c>
      <c r="J712" s="1">
        <v>1.172E9</v>
      </c>
      <c r="K712" s="1">
        <v>1.172E9</v>
      </c>
      <c r="L712" s="1">
        <v>-4.3E7</v>
      </c>
      <c r="M712" s="1">
        <v>1.53E8</v>
      </c>
      <c r="N712" s="1">
        <v>4.853E9</v>
      </c>
      <c r="O712" s="1">
        <v>3.681E9</v>
      </c>
      <c r="P712" s="1">
        <v>1.082E9</v>
      </c>
      <c r="Q712" s="1">
        <v>-1.42E8</v>
      </c>
      <c r="R712" s="1">
        <v>8.77E8</v>
      </c>
      <c r="S712" s="1">
        <v>8.73E8</v>
      </c>
    </row>
    <row r="713">
      <c r="A713" s="1">
        <v>711.0</v>
      </c>
      <c r="B713" s="2">
        <v>44104.0</v>
      </c>
      <c r="C713" s="1" t="s">
        <v>396</v>
      </c>
      <c r="D713" s="1" t="s">
        <v>397</v>
      </c>
      <c r="F713" s="1">
        <v>6.71E8</v>
      </c>
      <c r="G713" s="1">
        <v>5.23E8</v>
      </c>
      <c r="H713" s="1">
        <v>2.029E9</v>
      </c>
      <c r="I713" s="1">
        <v>2.74E9</v>
      </c>
      <c r="J713" s="1">
        <v>7.11E8</v>
      </c>
      <c r="K713" s="1">
        <v>7.11E8</v>
      </c>
      <c r="L713" s="1">
        <v>-4.5E7</v>
      </c>
      <c r="M713" s="1">
        <v>1.46E8</v>
      </c>
      <c r="N713" s="1">
        <v>3.562E9</v>
      </c>
      <c r="O713" s="1">
        <v>2.851E9</v>
      </c>
      <c r="P713" s="1">
        <v>8.22E8</v>
      </c>
      <c r="Q713" s="1">
        <v>-4.0E7</v>
      </c>
      <c r="R713" s="1">
        <v>5.25E8</v>
      </c>
      <c r="S713" s="1">
        <v>5.23E8</v>
      </c>
    </row>
    <row r="714">
      <c r="A714" s="1">
        <v>712.0</v>
      </c>
      <c r="B714" s="2">
        <v>44377.0</v>
      </c>
      <c r="C714" s="1" t="s">
        <v>398</v>
      </c>
      <c r="D714" s="1" t="s">
        <v>399</v>
      </c>
      <c r="E714" s="1">
        <v>6.1753E7</v>
      </c>
      <c r="F714" s="1">
        <v>8.5754E7</v>
      </c>
      <c r="G714" s="1">
        <v>9.8254E7</v>
      </c>
      <c r="H714" s="1">
        <v>2.19129E8</v>
      </c>
      <c r="I714" s="1">
        <v>3.79931E8</v>
      </c>
      <c r="J714" s="1">
        <v>9.9049E7</v>
      </c>
      <c r="K714" s="1">
        <v>9.9049E7</v>
      </c>
      <c r="L714" s="1">
        <v>-1882000.0</v>
      </c>
      <c r="M714" s="1">
        <v>-1.25E7</v>
      </c>
      <c r="N714" s="1">
        <v>5.289E8</v>
      </c>
      <c r="O714" s="1">
        <v>4.29851E8</v>
      </c>
      <c r="P714" s="1">
        <v>1.48969E8</v>
      </c>
      <c r="Q714" s="1">
        <v>-1.3295E7</v>
      </c>
      <c r="R714" s="1">
        <v>9.8254E7</v>
      </c>
      <c r="S714" s="1">
        <v>9.8254E7</v>
      </c>
    </row>
    <row r="715">
      <c r="A715" s="1">
        <v>713.0</v>
      </c>
      <c r="B715" s="2">
        <v>44286.0</v>
      </c>
      <c r="C715" s="1" t="s">
        <v>398</v>
      </c>
      <c r="D715" s="1" t="s">
        <v>399</v>
      </c>
      <c r="E715" s="1">
        <v>5.3706E7</v>
      </c>
      <c r="F715" s="1">
        <v>1.57728E8</v>
      </c>
      <c r="G715" s="1">
        <v>1.43766E8</v>
      </c>
      <c r="H715" s="1">
        <v>2.03386E8</v>
      </c>
      <c r="I715" s="1">
        <v>4.07729E8</v>
      </c>
      <c r="J715" s="1">
        <v>1.50637E8</v>
      </c>
      <c r="K715" s="1">
        <v>1.50637E8</v>
      </c>
      <c r="L715" s="1">
        <v>-1685000.0</v>
      </c>
      <c r="M715" s="1">
        <v>1.3962E7</v>
      </c>
      <c r="N715" s="1">
        <v>5.50646E8</v>
      </c>
      <c r="O715" s="1">
        <v>4.00009E8</v>
      </c>
      <c r="P715" s="1">
        <v>1.42917E8</v>
      </c>
      <c r="Q715" s="1">
        <v>7091000.0</v>
      </c>
      <c r="R715" s="1">
        <v>1.43766E8</v>
      </c>
      <c r="S715" s="1">
        <v>1.43766E8</v>
      </c>
    </row>
    <row r="716">
      <c r="A716" s="1">
        <v>714.0</v>
      </c>
      <c r="B716" s="2">
        <v>44196.0</v>
      </c>
      <c r="C716" s="1" t="s">
        <v>398</v>
      </c>
      <c r="D716" s="1" t="s">
        <v>399</v>
      </c>
      <c r="E716" s="1">
        <v>5.1157E7</v>
      </c>
      <c r="F716" s="1">
        <v>1.53307E8</v>
      </c>
      <c r="G716" s="1">
        <v>1.48538E8</v>
      </c>
      <c r="H716" s="1">
        <v>2.5398E8</v>
      </c>
      <c r="I716" s="1">
        <v>4.66575E8</v>
      </c>
      <c r="J716" s="1">
        <v>1.61438E8</v>
      </c>
      <c r="K716" s="1">
        <v>1.61438E8</v>
      </c>
      <c r="L716" s="1">
        <v>-1.1417E7</v>
      </c>
      <c r="M716" s="1">
        <v>4769000.0</v>
      </c>
      <c r="N716" s="1">
        <v>6.17355E8</v>
      </c>
      <c r="O716" s="1">
        <v>4.55917E8</v>
      </c>
      <c r="P716" s="1">
        <v>1.5078E8</v>
      </c>
      <c r="Q716" s="1">
        <v>-8131000.0</v>
      </c>
      <c r="R716" s="1">
        <v>1.48538E8</v>
      </c>
      <c r="S716" s="1">
        <v>1.48538E8</v>
      </c>
    </row>
    <row r="717">
      <c r="A717" s="1">
        <v>715.0</v>
      </c>
      <c r="B717" s="2">
        <v>44104.0</v>
      </c>
      <c r="C717" s="1" t="s">
        <v>398</v>
      </c>
      <c r="D717" s="1" t="s">
        <v>399</v>
      </c>
      <c r="E717" s="1">
        <v>4.5908E7</v>
      </c>
      <c r="F717" s="1">
        <v>9.0393E7</v>
      </c>
      <c r="G717" s="1">
        <v>9.1761E7</v>
      </c>
      <c r="H717" s="1">
        <v>1.66841E8</v>
      </c>
      <c r="I717" s="1">
        <v>3.3131E8</v>
      </c>
      <c r="J717" s="1">
        <v>1.18561E8</v>
      </c>
      <c r="K717" s="1">
        <v>1.18561E8</v>
      </c>
      <c r="L717" s="1">
        <v>-1.0615E7</v>
      </c>
      <c r="M717" s="1">
        <v>-1368000.0</v>
      </c>
      <c r="N717" s="1">
        <v>4.51478E8</v>
      </c>
      <c r="O717" s="1">
        <v>3.32917E8</v>
      </c>
      <c r="P717" s="1">
        <v>1.20168E8</v>
      </c>
      <c r="Q717" s="1">
        <v>-2.8168E7</v>
      </c>
      <c r="R717" s="1">
        <v>9.1761E7</v>
      </c>
      <c r="S717" s="1">
        <v>9.1761E7</v>
      </c>
    </row>
    <row r="718">
      <c r="A718" s="1">
        <v>716.0</v>
      </c>
      <c r="B718" s="2">
        <v>44377.0</v>
      </c>
      <c r="C718" s="1" t="s">
        <v>400</v>
      </c>
      <c r="D718" s="1" t="s">
        <v>401</v>
      </c>
      <c r="F718" s="1">
        <v>7.60181E8</v>
      </c>
      <c r="G718" s="1">
        <v>6.79982E8</v>
      </c>
      <c r="H718" s="1">
        <v>1.6168E7</v>
      </c>
      <c r="I718" s="1">
        <v>7.91956E8</v>
      </c>
      <c r="J718" s="1">
        <v>7.75788E8</v>
      </c>
      <c r="K718" s="1">
        <v>7.75788E8</v>
      </c>
      <c r="L718" s="1">
        <v>-1.5607E7</v>
      </c>
      <c r="M718" s="1">
        <v>8.0199E7</v>
      </c>
      <c r="N718" s="1">
        <v>3.07669E9</v>
      </c>
      <c r="O718" s="1">
        <v>2.300902E9</v>
      </c>
      <c r="P718" s="1">
        <v>2.284734E9</v>
      </c>
      <c r="Q718" s="1">
        <v>-1.5607E7</v>
      </c>
      <c r="R718" s="1">
        <v>6.79982E8</v>
      </c>
      <c r="S718" s="1">
        <v>6.79982E8</v>
      </c>
    </row>
    <row r="719">
      <c r="A719" s="1">
        <v>717.0</v>
      </c>
      <c r="B719" s="2">
        <v>44286.0</v>
      </c>
      <c r="C719" s="1" t="s">
        <v>400</v>
      </c>
      <c r="D719" s="1" t="s">
        <v>401</v>
      </c>
      <c r="F719" s="1">
        <v>3.73095E8</v>
      </c>
      <c r="G719" s="1">
        <v>3.41862E8</v>
      </c>
      <c r="H719" s="1">
        <v>1.2378E7</v>
      </c>
      <c r="I719" s="1">
        <v>3.49312E8</v>
      </c>
      <c r="J719" s="1">
        <v>3.36934E8</v>
      </c>
      <c r="K719" s="1">
        <v>3.36934E8</v>
      </c>
      <c r="L719" s="1">
        <v>-1.5639E7</v>
      </c>
      <c r="M719" s="1">
        <v>3.1233E7</v>
      </c>
      <c r="N719" s="1">
        <v>2.691973E9</v>
      </c>
      <c r="O719" s="1">
        <v>2.355039E9</v>
      </c>
      <c r="P719" s="1">
        <v>2.342661E9</v>
      </c>
      <c r="Q719" s="1">
        <v>3.6161E7</v>
      </c>
      <c r="R719" s="1">
        <v>3.41862E8</v>
      </c>
      <c r="S719" s="1">
        <v>3.37446E8</v>
      </c>
    </row>
    <row r="720">
      <c r="A720" s="1">
        <v>718.0</v>
      </c>
      <c r="B720" s="2">
        <v>44196.0</v>
      </c>
      <c r="C720" s="1" t="s">
        <v>400</v>
      </c>
      <c r="D720" s="1" t="s">
        <v>401</v>
      </c>
      <c r="F720" s="1">
        <v>1.19396E8</v>
      </c>
      <c r="G720" s="1">
        <v>6.3602E7</v>
      </c>
      <c r="H720" s="1">
        <v>1.1934E7</v>
      </c>
      <c r="I720" s="1">
        <v>1.91376E8</v>
      </c>
      <c r="J720" s="1">
        <v>1.79442E8</v>
      </c>
      <c r="K720" s="1">
        <v>1.79442E8</v>
      </c>
      <c r="L720" s="1">
        <v>-1.4846E7</v>
      </c>
      <c r="M720" s="1">
        <v>5.5794E7</v>
      </c>
      <c r="N720" s="1">
        <v>2.806599E9</v>
      </c>
      <c r="O720" s="1">
        <v>2.627157E9</v>
      </c>
      <c r="P720" s="1">
        <v>2.615223E9</v>
      </c>
      <c r="Q720" s="1">
        <v>-6.0046E7</v>
      </c>
      <c r="R720" s="1">
        <v>6.3602E7</v>
      </c>
      <c r="S720" s="1">
        <v>6.2893E7</v>
      </c>
    </row>
    <row r="721">
      <c r="A721" s="1">
        <v>719.0</v>
      </c>
      <c r="B721" s="2">
        <v>44104.0</v>
      </c>
      <c r="C721" s="1" t="s">
        <v>400</v>
      </c>
      <c r="D721" s="1" t="s">
        <v>401</v>
      </c>
      <c r="F721" s="1">
        <v>2.72508E8</v>
      </c>
      <c r="G721" s="1">
        <v>2.43057E8</v>
      </c>
      <c r="H721" s="1">
        <v>1.0618E7</v>
      </c>
      <c r="I721" s="1">
        <v>2.28367E8</v>
      </c>
      <c r="J721" s="1">
        <v>2.17749E8</v>
      </c>
      <c r="K721" s="1">
        <v>2.17749E8</v>
      </c>
      <c r="L721" s="1">
        <v>-6641000.0</v>
      </c>
      <c r="M721" s="1">
        <v>2.9451E7</v>
      </c>
      <c r="N721" s="1">
        <v>2.548784E9</v>
      </c>
      <c r="O721" s="1">
        <v>2.331035E9</v>
      </c>
      <c r="P721" s="1">
        <v>2.320417E9</v>
      </c>
      <c r="Q721" s="1">
        <v>5.4759E7</v>
      </c>
      <c r="R721" s="1">
        <v>2.43057E8</v>
      </c>
      <c r="S721" s="1">
        <v>2.40138E8</v>
      </c>
    </row>
    <row r="722">
      <c r="A722" s="1">
        <v>720.0</v>
      </c>
      <c r="B722" s="2">
        <v>44377.0</v>
      </c>
      <c r="C722" s="1" t="s">
        <v>402</v>
      </c>
      <c r="D722" s="1" t="s">
        <v>403</v>
      </c>
      <c r="F722" s="1">
        <v>2.079E8</v>
      </c>
      <c r="G722" s="1">
        <v>1.853E8</v>
      </c>
      <c r="I722" s="1">
        <v>6.184E8</v>
      </c>
      <c r="J722" s="1">
        <v>2.953E8</v>
      </c>
      <c r="K722" s="1">
        <v>2.953E8</v>
      </c>
      <c r="L722" s="1">
        <v>-9.38E7</v>
      </c>
      <c r="M722" s="1">
        <v>1.96E7</v>
      </c>
      <c r="N722" s="1">
        <v>1.2362E9</v>
      </c>
      <c r="O722" s="1">
        <v>9.409E8</v>
      </c>
      <c r="P722" s="1">
        <v>6.178E8</v>
      </c>
      <c r="Q722" s="1">
        <v>-8.74E7</v>
      </c>
      <c r="R722" s="1">
        <v>1.883E8</v>
      </c>
      <c r="S722" s="1">
        <v>1.853E8</v>
      </c>
    </row>
    <row r="723">
      <c r="A723" s="1">
        <v>721.0</v>
      </c>
      <c r="B723" s="2">
        <v>44286.0</v>
      </c>
      <c r="C723" s="1" t="s">
        <v>402</v>
      </c>
      <c r="D723" s="1" t="s">
        <v>403</v>
      </c>
      <c r="F723" s="1">
        <v>2.176E8</v>
      </c>
      <c r="G723" s="1">
        <v>1.916E8</v>
      </c>
      <c r="H723" s="1">
        <v>1.48E7</v>
      </c>
      <c r="I723" s="1">
        <v>6.39E8</v>
      </c>
      <c r="J723" s="1">
        <v>3.1E8</v>
      </c>
      <c r="K723" s="1">
        <v>3.1E8</v>
      </c>
      <c r="L723" s="1">
        <v>-9.4E7</v>
      </c>
      <c r="M723" s="1">
        <v>2.3E7</v>
      </c>
      <c r="N723" s="1">
        <v>1.6119E9</v>
      </c>
      <c r="O723" s="1">
        <v>1.3019E9</v>
      </c>
      <c r="P723" s="1">
        <v>9.729E8</v>
      </c>
      <c r="Q723" s="1">
        <v>-9.24E7</v>
      </c>
      <c r="R723" s="1">
        <v>1.946E8</v>
      </c>
      <c r="S723" s="1">
        <v>1.916E8</v>
      </c>
    </row>
    <row r="724">
      <c r="A724" s="1">
        <v>722.0</v>
      </c>
      <c r="B724" s="2">
        <v>44196.0</v>
      </c>
      <c r="C724" s="1" t="s">
        <v>402</v>
      </c>
      <c r="D724" s="1" t="s">
        <v>403</v>
      </c>
      <c r="F724" s="1">
        <v>6.24E7</v>
      </c>
      <c r="G724" s="1">
        <v>5.1E7</v>
      </c>
      <c r="H724" s="1">
        <v>1.49E7</v>
      </c>
      <c r="I724" s="1">
        <v>4.76E8</v>
      </c>
      <c r="J724" s="1">
        <v>1.491E8</v>
      </c>
      <c r="K724" s="1">
        <v>1.491E8</v>
      </c>
      <c r="L724" s="1">
        <v>-9.34E7</v>
      </c>
      <c r="M724" s="1">
        <v>8400000.0</v>
      </c>
      <c r="N724" s="1">
        <v>1.0944E9</v>
      </c>
      <c r="O724" s="1">
        <v>9.453E8</v>
      </c>
      <c r="P724" s="1">
        <v>6.184E8</v>
      </c>
      <c r="Q724" s="1">
        <v>-8.67E7</v>
      </c>
      <c r="R724" s="1">
        <v>5.4E7</v>
      </c>
      <c r="S724" s="1">
        <v>5.1E7</v>
      </c>
    </row>
    <row r="725">
      <c r="A725" s="1">
        <v>723.0</v>
      </c>
      <c r="B725" s="2">
        <v>44104.0</v>
      </c>
      <c r="C725" s="1" t="s">
        <v>402</v>
      </c>
      <c r="D725" s="1" t="s">
        <v>403</v>
      </c>
      <c r="F725" s="1">
        <v>4.175E8</v>
      </c>
      <c r="G725" s="1">
        <v>3.645E8</v>
      </c>
      <c r="H725" s="1">
        <v>1.37E7</v>
      </c>
      <c r="I725" s="1">
        <v>8.594E8</v>
      </c>
      <c r="J725" s="1">
        <v>5.367E8</v>
      </c>
      <c r="K725" s="1">
        <v>5.367E8</v>
      </c>
      <c r="L725" s="1">
        <v>-9.48E7</v>
      </c>
      <c r="M725" s="1">
        <v>5.0E7</v>
      </c>
      <c r="N725" s="1">
        <v>1.5176E9</v>
      </c>
      <c r="O725" s="1">
        <v>9.809E8</v>
      </c>
      <c r="P725" s="1">
        <v>6.582E8</v>
      </c>
      <c r="Q725" s="1">
        <v>-1.192E8</v>
      </c>
      <c r="R725" s="1">
        <v>3.675E8</v>
      </c>
      <c r="S725" s="1">
        <v>3.645E8</v>
      </c>
    </row>
    <row r="726">
      <c r="A726" s="1">
        <v>724.0</v>
      </c>
      <c r="B726" s="2">
        <v>44377.0</v>
      </c>
      <c r="C726" s="1" t="s">
        <v>404</v>
      </c>
      <c r="D726" s="1" t="s">
        <v>405</v>
      </c>
      <c r="F726" s="1">
        <v>3.52789E8</v>
      </c>
      <c r="G726" s="1">
        <v>2.6452E8</v>
      </c>
      <c r="H726" s="1">
        <v>-2.21E7</v>
      </c>
      <c r="I726" s="1">
        <v>1.061304E9</v>
      </c>
      <c r="J726" s="1">
        <v>4.73705E8</v>
      </c>
      <c r="K726" s="1">
        <v>4.73705E8</v>
      </c>
      <c r="L726" s="1">
        <v>-1.45435E8</v>
      </c>
      <c r="M726" s="1">
        <v>8.6389E7</v>
      </c>
      <c r="N726" s="1">
        <v>2.122538E9</v>
      </c>
      <c r="O726" s="1">
        <v>1.648833E9</v>
      </c>
      <c r="P726" s="1">
        <v>1.061234E9</v>
      </c>
      <c r="Q726" s="1">
        <v>-1.20916E8</v>
      </c>
      <c r="R726" s="1">
        <v>2.664E8</v>
      </c>
      <c r="S726" s="1">
        <v>2.6452E8</v>
      </c>
    </row>
    <row r="727">
      <c r="A727" s="1">
        <v>725.0</v>
      </c>
      <c r="B727" s="2">
        <v>44286.0</v>
      </c>
      <c r="C727" s="1" t="s">
        <v>404</v>
      </c>
      <c r="D727" s="1" t="s">
        <v>405</v>
      </c>
      <c r="F727" s="1">
        <v>4.82003E8</v>
      </c>
      <c r="G727" s="1">
        <v>3.66143E8</v>
      </c>
      <c r="H727" s="1">
        <v>-2.01E7</v>
      </c>
      <c r="I727" s="1">
        <v>1.361807E9</v>
      </c>
      <c r="J727" s="1">
        <v>6.05668E8</v>
      </c>
      <c r="K727" s="1">
        <v>6.05668E8</v>
      </c>
      <c r="L727" s="1">
        <v>-1.37766E8</v>
      </c>
      <c r="M727" s="1">
        <v>1.1398E8</v>
      </c>
      <c r="N727" s="1">
        <v>2.82584E9</v>
      </c>
      <c r="O727" s="1">
        <v>2.220172E9</v>
      </c>
      <c r="P727" s="1">
        <v>1.464033E9</v>
      </c>
      <c r="Q727" s="1">
        <v>-1.23665E8</v>
      </c>
      <c r="R727" s="1">
        <v>3.68023E8</v>
      </c>
      <c r="S727" s="1">
        <v>3.66143E8</v>
      </c>
    </row>
    <row r="728">
      <c r="A728" s="1">
        <v>726.0</v>
      </c>
      <c r="B728" s="2">
        <v>44196.0</v>
      </c>
      <c r="C728" s="1" t="s">
        <v>404</v>
      </c>
      <c r="D728" s="1" t="s">
        <v>405</v>
      </c>
      <c r="F728" s="1">
        <v>3.44368E8</v>
      </c>
      <c r="G728" s="1">
        <v>2.71923E8</v>
      </c>
      <c r="H728" s="1">
        <v>-1.01E7</v>
      </c>
      <c r="I728" s="1">
        <v>1.087446E9</v>
      </c>
      <c r="J728" s="1">
        <v>4.67328E8</v>
      </c>
      <c r="K728" s="1">
        <v>4.67328E8</v>
      </c>
      <c r="L728" s="1">
        <v>-1.35385E8</v>
      </c>
      <c r="M728" s="1">
        <v>7.0565E7</v>
      </c>
      <c r="N728" s="1">
        <v>2.233933E9</v>
      </c>
      <c r="O728" s="1">
        <v>1.766605E9</v>
      </c>
      <c r="P728" s="1">
        <v>1.146487E9</v>
      </c>
      <c r="Q728" s="1">
        <v>-1.2296E8</v>
      </c>
      <c r="R728" s="1">
        <v>2.73803E8</v>
      </c>
      <c r="S728" s="1">
        <v>2.71923E8</v>
      </c>
    </row>
    <row r="729">
      <c r="A729" s="1">
        <v>727.0</v>
      </c>
      <c r="B729" s="2">
        <v>44104.0</v>
      </c>
      <c r="C729" s="1" t="s">
        <v>404</v>
      </c>
      <c r="D729" s="1" t="s">
        <v>405</v>
      </c>
      <c r="F729" s="1">
        <v>4.56382E8</v>
      </c>
      <c r="G729" s="1">
        <v>3.4626E8</v>
      </c>
      <c r="H729" s="1">
        <v>-1.1E7</v>
      </c>
      <c r="I729" s="1">
        <v>1.207257E9</v>
      </c>
      <c r="J729" s="1">
        <v>5.7413E8</v>
      </c>
      <c r="K729" s="1">
        <v>5.7413E8</v>
      </c>
      <c r="L729" s="1">
        <v>-1.34066E8</v>
      </c>
      <c r="M729" s="1">
        <v>1.08242E8</v>
      </c>
      <c r="N729" s="1">
        <v>2.343642E9</v>
      </c>
      <c r="O729" s="1">
        <v>1.769512E9</v>
      </c>
      <c r="P729" s="1">
        <v>1.136385E9</v>
      </c>
      <c r="Q729" s="1">
        <v>-1.17748E8</v>
      </c>
      <c r="R729" s="1">
        <v>3.4814E8</v>
      </c>
      <c r="S729" s="1">
        <v>3.4626E8</v>
      </c>
    </row>
    <row r="730">
      <c r="A730" s="1">
        <v>728.0</v>
      </c>
      <c r="B730" s="2">
        <v>44286.0</v>
      </c>
      <c r="C730" s="1" t="s">
        <v>406</v>
      </c>
      <c r="D730" s="1" t="s">
        <v>407</v>
      </c>
      <c r="F730" s="1">
        <v>-2.83E8</v>
      </c>
      <c r="G730" s="1">
        <v>-2.89E8</v>
      </c>
      <c r="H730" s="1">
        <v>-2.0E7</v>
      </c>
      <c r="I730" s="1">
        <v>1.943E9</v>
      </c>
      <c r="J730" s="1">
        <v>5.02E8</v>
      </c>
      <c r="K730" s="1">
        <v>5.02E8</v>
      </c>
      <c r="L730" s="1">
        <v>-3.86E8</v>
      </c>
      <c r="M730" s="1">
        <v>-1.9E7</v>
      </c>
      <c r="N730" s="1">
        <v>9.89E9</v>
      </c>
      <c r="O730" s="1">
        <v>9.388E9</v>
      </c>
      <c r="P730" s="1">
        <v>7.947E9</v>
      </c>
      <c r="Q730" s="1">
        <v>-7.85E8</v>
      </c>
      <c r="R730" s="1">
        <v>-2.64E8</v>
      </c>
      <c r="S730" s="1">
        <v>-2.89E8</v>
      </c>
    </row>
    <row r="731">
      <c r="A731" s="1">
        <v>729.0</v>
      </c>
      <c r="B731" s="2">
        <v>44196.0</v>
      </c>
      <c r="C731" s="1" t="s">
        <v>406</v>
      </c>
      <c r="D731" s="1" t="s">
        <v>407</v>
      </c>
      <c r="F731" s="1">
        <v>6.67E8</v>
      </c>
      <c r="G731" s="1">
        <v>3.59E8</v>
      </c>
      <c r="H731" s="1">
        <v>-1.5E7</v>
      </c>
      <c r="I731" s="1">
        <v>2.259E9</v>
      </c>
      <c r="J731" s="1">
        <v>8.44E8</v>
      </c>
      <c r="K731" s="1">
        <v>8.44E8</v>
      </c>
      <c r="L731" s="1">
        <v>-3.94E8</v>
      </c>
      <c r="M731" s="1">
        <v>2.32E8</v>
      </c>
      <c r="N731" s="1">
        <v>8.114E9</v>
      </c>
      <c r="O731" s="1">
        <v>7.27E9</v>
      </c>
      <c r="P731" s="1">
        <v>5.855E9</v>
      </c>
      <c r="Q731" s="1">
        <v>-1.77E8</v>
      </c>
      <c r="R731" s="1">
        <v>4.35E8</v>
      </c>
      <c r="S731" s="1">
        <v>3.59E8</v>
      </c>
    </row>
    <row r="732">
      <c r="A732" s="1">
        <v>730.0</v>
      </c>
      <c r="B732" s="2">
        <v>44104.0</v>
      </c>
      <c r="C732" s="1" t="s">
        <v>406</v>
      </c>
      <c r="D732" s="1" t="s">
        <v>407</v>
      </c>
      <c r="F732" s="1">
        <v>7.85E8</v>
      </c>
      <c r="G732" s="1">
        <v>5.01E8</v>
      </c>
      <c r="H732" s="1">
        <v>-1.5E7</v>
      </c>
      <c r="I732" s="1">
        <v>3.132E9</v>
      </c>
      <c r="J732" s="1">
        <v>1.674E9</v>
      </c>
      <c r="K732" s="1">
        <v>1.674E9</v>
      </c>
      <c r="L732" s="1">
        <v>-4.04E8</v>
      </c>
      <c r="M732" s="1">
        <v>2.16E8</v>
      </c>
      <c r="N732" s="1">
        <v>8.853E9</v>
      </c>
      <c r="O732" s="1">
        <v>7.179E9</v>
      </c>
      <c r="P732" s="1">
        <v>5.721E9</v>
      </c>
      <c r="Q732" s="1">
        <v>-8.89E8</v>
      </c>
      <c r="R732" s="1">
        <v>5.69E8</v>
      </c>
      <c r="S732" s="1">
        <v>5.01E8</v>
      </c>
    </row>
    <row r="733">
      <c r="A733" s="1">
        <v>731.0</v>
      </c>
      <c r="B733" s="2">
        <v>44012.0</v>
      </c>
      <c r="C733" s="1" t="s">
        <v>406</v>
      </c>
      <c r="D733" s="1" t="s">
        <v>407</v>
      </c>
      <c r="F733" s="1">
        <v>7.93E8</v>
      </c>
      <c r="G733" s="1">
        <v>5.21E8</v>
      </c>
      <c r="H733" s="1">
        <v>-1.3E7</v>
      </c>
      <c r="I733" s="1">
        <v>1.966E9</v>
      </c>
      <c r="J733" s="1">
        <v>5.67E8</v>
      </c>
      <c r="K733" s="1">
        <v>5.67E8</v>
      </c>
      <c r="L733" s="1">
        <v>-4.27E8</v>
      </c>
      <c r="M733" s="1">
        <v>2.19E8</v>
      </c>
      <c r="N733" s="1">
        <v>7.325E9</v>
      </c>
      <c r="O733" s="1">
        <v>6.758E9</v>
      </c>
      <c r="P733" s="1">
        <v>5.359E9</v>
      </c>
      <c r="Q733" s="1">
        <v>2.26E8</v>
      </c>
      <c r="R733" s="1">
        <v>5.74E8</v>
      </c>
      <c r="S733" s="1">
        <v>5.21E8</v>
      </c>
    </row>
    <row r="734">
      <c r="A734" s="1">
        <v>732.0</v>
      </c>
      <c r="B734" s="2">
        <v>44286.0</v>
      </c>
      <c r="C734" s="1" t="s">
        <v>408</v>
      </c>
      <c r="D734" s="1" t="s">
        <v>409</v>
      </c>
      <c r="E734" s="1">
        <v>2.47E8</v>
      </c>
      <c r="F734" s="1">
        <v>-7.5E8</v>
      </c>
      <c r="G734" s="1">
        <v>-5.78E8</v>
      </c>
      <c r="H734" s="1">
        <v>8.2E8</v>
      </c>
      <c r="I734" s="1">
        <v>9.35E8</v>
      </c>
      <c r="J734" s="1">
        <v>-3.41E8</v>
      </c>
      <c r="K734" s="1">
        <v>-3.41E8</v>
      </c>
      <c r="L734" s="1">
        <v>-9.8E7</v>
      </c>
      <c r="M734" s="1">
        <v>-1.69E8</v>
      </c>
      <c r="N734" s="1">
        <v>1.246E9</v>
      </c>
      <c r="O734" s="1">
        <v>1.587E9</v>
      </c>
      <c r="P734" s="1">
        <v>3.11E8</v>
      </c>
      <c r="Q734" s="1">
        <v>-4.09E8</v>
      </c>
      <c r="R734" s="1">
        <v>-5.81E8</v>
      </c>
      <c r="S734" s="1">
        <v>-6.06E8</v>
      </c>
    </row>
    <row r="735">
      <c r="A735" s="1">
        <v>733.0</v>
      </c>
      <c r="B735" s="2">
        <v>44196.0</v>
      </c>
      <c r="C735" s="1" t="s">
        <v>408</v>
      </c>
      <c r="D735" s="1" t="s">
        <v>409</v>
      </c>
      <c r="E735" s="1">
        <v>2.23E8</v>
      </c>
      <c r="F735" s="1">
        <v>-4.95E8</v>
      </c>
      <c r="G735" s="1">
        <v>-3.83E8</v>
      </c>
      <c r="H735" s="1">
        <v>6.35E8</v>
      </c>
      <c r="I735" s="1">
        <v>6.33E8</v>
      </c>
      <c r="J735" s="1">
        <v>-4.23E8</v>
      </c>
      <c r="K735" s="1">
        <v>-4.23E8</v>
      </c>
      <c r="L735" s="1">
        <v>-1.02E8</v>
      </c>
      <c r="M735" s="1">
        <v>-1.04E8</v>
      </c>
      <c r="N735" s="1">
        <v>9.2E8</v>
      </c>
      <c r="O735" s="1">
        <v>1.343E9</v>
      </c>
      <c r="P735" s="1">
        <v>2.87E8</v>
      </c>
      <c r="Q735" s="1">
        <v>-7.2E7</v>
      </c>
      <c r="R735" s="1">
        <v>-3.91E8</v>
      </c>
      <c r="S735" s="1">
        <v>-4.12E8</v>
      </c>
    </row>
    <row r="736">
      <c r="A736" s="1">
        <v>734.0</v>
      </c>
      <c r="B736" s="2">
        <v>44104.0</v>
      </c>
      <c r="C736" s="1" t="s">
        <v>408</v>
      </c>
      <c r="D736" s="1" t="s">
        <v>409</v>
      </c>
      <c r="E736" s="1">
        <v>2.24E8</v>
      </c>
      <c r="F736" s="1">
        <v>-2.24E8</v>
      </c>
      <c r="G736" s="1">
        <v>-1.92E8</v>
      </c>
      <c r="H736" s="1">
        <v>6.63E8</v>
      </c>
      <c r="I736" s="1">
        <v>1.129E9</v>
      </c>
      <c r="J736" s="1">
        <v>2.0E7</v>
      </c>
      <c r="K736" s="1">
        <v>2.0E7</v>
      </c>
      <c r="L736" s="1">
        <v>-1.13E8</v>
      </c>
      <c r="M736" s="1">
        <v>-2.4E7</v>
      </c>
      <c r="N736" s="1">
        <v>1.504E9</v>
      </c>
      <c r="O736" s="1">
        <v>1.484E9</v>
      </c>
      <c r="P736" s="1">
        <v>3.75E8</v>
      </c>
      <c r="Q736" s="1">
        <v>-2.44E8</v>
      </c>
      <c r="R736" s="1">
        <v>-2.0E8</v>
      </c>
      <c r="S736" s="1">
        <v>-2.21E8</v>
      </c>
    </row>
    <row r="737">
      <c r="A737" s="1">
        <v>735.0</v>
      </c>
      <c r="B737" s="2">
        <v>44012.0</v>
      </c>
      <c r="C737" s="1" t="s">
        <v>408</v>
      </c>
      <c r="D737" s="1" t="s">
        <v>409</v>
      </c>
      <c r="E737" s="1">
        <v>2.55E8</v>
      </c>
      <c r="F737" s="1">
        <v>-9.53E8</v>
      </c>
      <c r="G737" s="1">
        <v>-7.36E8</v>
      </c>
      <c r="H737" s="1">
        <v>4.48E8</v>
      </c>
      <c r="I737" s="1">
        <v>1.77E8</v>
      </c>
      <c r="J737" s="1">
        <v>-7.58E8</v>
      </c>
      <c r="K737" s="1">
        <v>-7.58E8</v>
      </c>
      <c r="L737" s="1">
        <v>-9.5E7</v>
      </c>
      <c r="M737" s="1">
        <v>-2.13E8</v>
      </c>
      <c r="N737" s="1">
        <v>5.66E8</v>
      </c>
      <c r="O737" s="1">
        <v>1.324E9</v>
      </c>
      <c r="P737" s="1">
        <v>3.89E8</v>
      </c>
      <c r="Q737" s="1">
        <v>-1.95E8</v>
      </c>
      <c r="R737" s="1">
        <v>-7.4E8</v>
      </c>
      <c r="S737" s="1">
        <v>-7.53E8</v>
      </c>
    </row>
    <row r="738">
      <c r="A738" s="1">
        <v>736.0</v>
      </c>
      <c r="B738" s="2">
        <v>44286.0</v>
      </c>
      <c r="C738" s="1" t="s">
        <v>410</v>
      </c>
      <c r="D738" s="1" t="s">
        <v>411</v>
      </c>
      <c r="F738" s="1">
        <v>3.90461E8</v>
      </c>
      <c r="G738" s="1">
        <v>2.8722E8</v>
      </c>
      <c r="H738" s="1">
        <v>3070000.0</v>
      </c>
      <c r="I738" s="1">
        <v>4.54151E8</v>
      </c>
      <c r="J738" s="1">
        <v>3.85515E8</v>
      </c>
      <c r="K738" s="1">
        <v>3.85515E8</v>
      </c>
      <c r="M738" s="1">
        <v>1.02511E8</v>
      </c>
      <c r="N738" s="1">
        <v>3.35754E9</v>
      </c>
      <c r="O738" s="1">
        <v>2.972025E9</v>
      </c>
      <c r="P738" s="1">
        <v>2.903389E9</v>
      </c>
      <c r="Q738" s="1">
        <v>4946000.0</v>
      </c>
      <c r="R738" s="1">
        <v>2.8795E8</v>
      </c>
      <c r="S738" s="1">
        <v>2.8722E8</v>
      </c>
    </row>
    <row r="739">
      <c r="A739" s="1">
        <v>737.0</v>
      </c>
      <c r="B739" s="2">
        <v>44196.0</v>
      </c>
      <c r="C739" s="1" t="s">
        <v>410</v>
      </c>
      <c r="D739" s="1" t="s">
        <v>411</v>
      </c>
      <c r="F739" s="1">
        <v>2.83907E8</v>
      </c>
      <c r="G739" s="1">
        <v>1.9862E8</v>
      </c>
      <c r="H739" s="1">
        <v>4135000.0</v>
      </c>
      <c r="I739" s="1">
        <v>3.57761E8</v>
      </c>
      <c r="J739" s="1">
        <v>2.81811E8</v>
      </c>
      <c r="K739" s="1">
        <v>2.81811E8</v>
      </c>
      <c r="M739" s="1">
        <v>8.4382E7</v>
      </c>
      <c r="N739" s="1">
        <v>3.169188E9</v>
      </c>
      <c r="O739" s="1">
        <v>2.887377E9</v>
      </c>
      <c r="P739" s="1">
        <v>2.811427E9</v>
      </c>
      <c r="Q739" s="1">
        <v>2096000.0</v>
      </c>
      <c r="R739" s="1">
        <v>1.99525E8</v>
      </c>
      <c r="S739" s="1">
        <v>1.9862E8</v>
      </c>
    </row>
    <row r="740">
      <c r="A740" s="1">
        <v>738.0</v>
      </c>
      <c r="B740" s="2">
        <v>44104.0</v>
      </c>
      <c r="C740" s="1" t="s">
        <v>410</v>
      </c>
      <c r="D740" s="1" t="s">
        <v>411</v>
      </c>
      <c r="F740" s="1">
        <v>2.54429E8</v>
      </c>
      <c r="G740" s="1">
        <v>1.91307E8</v>
      </c>
      <c r="H740" s="1">
        <v>2945000.0</v>
      </c>
      <c r="I740" s="1">
        <v>3.18282E8</v>
      </c>
      <c r="J740" s="1">
        <v>2.51945E8</v>
      </c>
      <c r="K740" s="1">
        <v>2.51945E8</v>
      </c>
      <c r="M740" s="1">
        <v>6.271E7</v>
      </c>
      <c r="N740" s="1">
        <v>2.464797E9</v>
      </c>
      <c r="O740" s="1">
        <v>2.212852E9</v>
      </c>
      <c r="P740" s="1">
        <v>2.146515E9</v>
      </c>
      <c r="Q740" s="1">
        <v>2484000.0</v>
      </c>
      <c r="R740" s="1">
        <v>1.91719E8</v>
      </c>
      <c r="S740" s="1">
        <v>1.91307E8</v>
      </c>
    </row>
    <row r="741">
      <c r="A741" s="1">
        <v>739.0</v>
      </c>
      <c r="B741" s="2">
        <v>44012.0</v>
      </c>
      <c r="C741" s="1" t="s">
        <v>410</v>
      </c>
      <c r="D741" s="1" t="s">
        <v>411</v>
      </c>
      <c r="F741" s="1">
        <v>2.50982E8</v>
      </c>
      <c r="G741" s="1">
        <v>1.83869E8</v>
      </c>
      <c r="H741" s="1">
        <v>3113000.0</v>
      </c>
      <c r="I741" s="1">
        <v>3.13109E8</v>
      </c>
      <c r="J741" s="1">
        <v>2.47626E8</v>
      </c>
      <c r="K741" s="1">
        <v>2.47626E8</v>
      </c>
      <c r="M741" s="1">
        <v>6.6794E7</v>
      </c>
      <c r="N741" s="1">
        <v>2.580632E9</v>
      </c>
      <c r="O741" s="1">
        <v>2.333006E9</v>
      </c>
      <c r="P741" s="1">
        <v>2.267523E9</v>
      </c>
      <c r="Q741" s="1">
        <v>3356000.0</v>
      </c>
      <c r="R741" s="1">
        <v>1.84188E8</v>
      </c>
      <c r="S741" s="1">
        <v>1.83869E8</v>
      </c>
    </row>
    <row r="742">
      <c r="A742" s="1">
        <v>740.0</v>
      </c>
      <c r="B742" s="2">
        <v>44377.0</v>
      </c>
      <c r="C742" s="1" t="s">
        <v>412</v>
      </c>
      <c r="D742" s="1" t="s">
        <v>413</v>
      </c>
      <c r="F742" s="1">
        <v>1.84E8</v>
      </c>
      <c r="G742" s="1">
        <v>1.67948E8</v>
      </c>
      <c r="H742" s="1">
        <v>2.6341E7</v>
      </c>
      <c r="I742" s="1">
        <v>2.97313E8</v>
      </c>
      <c r="J742" s="1">
        <v>2.11402E8</v>
      </c>
      <c r="K742" s="1">
        <v>2.11402E8</v>
      </c>
      <c r="L742" s="1">
        <v>-4.024E7</v>
      </c>
      <c r="M742" s="1">
        <v>5421000.0</v>
      </c>
      <c r="N742" s="1">
        <v>3.93203E8</v>
      </c>
      <c r="O742" s="1">
        <v>1.81801E8</v>
      </c>
      <c r="P742" s="1">
        <v>9.589E7</v>
      </c>
      <c r="Q742" s="1">
        <v>-2.7402E7</v>
      </c>
      <c r="R742" s="1">
        <v>1.78579E8</v>
      </c>
      <c r="S742" s="1">
        <v>1.67716E8</v>
      </c>
    </row>
    <row r="743">
      <c r="A743" s="1">
        <v>741.0</v>
      </c>
      <c r="B743" s="2">
        <v>44286.0</v>
      </c>
      <c r="C743" s="1" t="s">
        <v>412</v>
      </c>
      <c r="D743" s="1" t="s">
        <v>413</v>
      </c>
      <c r="F743" s="1">
        <v>2.19638E8</v>
      </c>
      <c r="G743" s="1">
        <v>2.02998E8</v>
      </c>
      <c r="H743" s="1">
        <v>2.354E7</v>
      </c>
      <c r="I743" s="1">
        <v>2.66285E8</v>
      </c>
      <c r="J743" s="1">
        <v>1.84146E8</v>
      </c>
      <c r="K743" s="1">
        <v>1.84146E8</v>
      </c>
      <c r="L743" s="1">
        <v>-4.0695E7</v>
      </c>
      <c r="M743" s="1">
        <v>4137000.0</v>
      </c>
      <c r="N743" s="1">
        <v>3.65813E8</v>
      </c>
      <c r="O743" s="1">
        <v>1.81667E8</v>
      </c>
      <c r="P743" s="1">
        <v>9.9528E7</v>
      </c>
      <c r="Q743" s="1">
        <v>3.5492E7</v>
      </c>
      <c r="R743" s="1">
        <v>2.15501E8</v>
      </c>
      <c r="S743" s="1">
        <v>2.02686E8</v>
      </c>
    </row>
    <row r="744">
      <c r="A744" s="1">
        <v>742.0</v>
      </c>
      <c r="B744" s="2">
        <v>44196.0</v>
      </c>
      <c r="C744" s="1" t="s">
        <v>412</v>
      </c>
      <c r="D744" s="1" t="s">
        <v>413</v>
      </c>
      <c r="F744" s="1">
        <v>1.70106E8</v>
      </c>
      <c r="G744" s="1">
        <v>1.56056E8</v>
      </c>
      <c r="H744" s="1">
        <v>5.2688E7</v>
      </c>
      <c r="I744" s="1">
        <v>2.9377E8</v>
      </c>
      <c r="J744" s="1">
        <v>1.84343E8</v>
      </c>
      <c r="K744" s="1">
        <v>1.84343E8</v>
      </c>
      <c r="L744" s="1">
        <v>-4.1016E7</v>
      </c>
      <c r="M744" s="1">
        <v>3797000.0</v>
      </c>
      <c r="N744" s="1">
        <v>3.60159E8</v>
      </c>
      <c r="O744" s="1">
        <v>1.75816E8</v>
      </c>
      <c r="P744" s="1">
        <v>6.6389E7</v>
      </c>
      <c r="Q744" s="1">
        <v>-1.4237E7</v>
      </c>
      <c r="R744" s="1">
        <v>1.66309E8</v>
      </c>
      <c r="S744" s="1">
        <v>1.55863E8</v>
      </c>
    </row>
    <row r="745">
      <c r="A745" s="1">
        <v>743.0</v>
      </c>
      <c r="B745" s="2">
        <v>44104.0</v>
      </c>
      <c r="C745" s="1" t="s">
        <v>412</v>
      </c>
      <c r="D745" s="1" t="s">
        <v>413</v>
      </c>
      <c r="F745" s="1">
        <v>1.28511E8</v>
      </c>
      <c r="G745" s="1">
        <v>1.14633E8</v>
      </c>
      <c r="H745" s="1">
        <v>2.3894E7</v>
      </c>
      <c r="I745" s="1">
        <v>2.49118E8</v>
      </c>
      <c r="J745" s="1">
        <v>1.68812E8</v>
      </c>
      <c r="K745" s="1">
        <v>1.68812E8</v>
      </c>
      <c r="L745" s="1">
        <v>-4.3446E7</v>
      </c>
      <c r="M745" s="1">
        <v>4657000.0</v>
      </c>
      <c r="N745" s="1">
        <v>3.48629E8</v>
      </c>
      <c r="O745" s="1">
        <v>1.79817E8</v>
      </c>
      <c r="P745" s="1">
        <v>9.9511E7</v>
      </c>
      <c r="Q745" s="1">
        <v>-4.0301E7</v>
      </c>
      <c r="R745" s="1">
        <v>1.23854E8</v>
      </c>
      <c r="S745" s="1">
        <v>1.14456E8</v>
      </c>
    </row>
    <row r="746">
      <c r="A746" s="1">
        <v>744.0</v>
      </c>
      <c r="B746" s="2">
        <v>44377.0</v>
      </c>
      <c r="C746" s="1" t="s">
        <v>414</v>
      </c>
      <c r="D746" s="1" t="s">
        <v>415</v>
      </c>
      <c r="F746" s="1">
        <v>6.307E9</v>
      </c>
      <c r="G746" s="1">
        <v>4.69E9</v>
      </c>
      <c r="H746" s="1">
        <v>2.497E9</v>
      </c>
      <c r="I746" s="1">
        <v>2.0506E10</v>
      </c>
      <c r="J746" s="1">
        <v>5.135E9</v>
      </c>
      <c r="K746" s="1">
        <v>5.135E9</v>
      </c>
      <c r="L746" s="1">
        <v>-2.54E8</v>
      </c>
      <c r="M746" s="1">
        <v>1.526E9</v>
      </c>
      <c r="N746" s="1">
        <v>6.6306E10</v>
      </c>
      <c r="O746" s="1">
        <v>6.1171E10</v>
      </c>
      <c r="P746" s="1">
        <v>4.58E10</v>
      </c>
      <c r="Q746" s="1">
        <v>1.172E9</v>
      </c>
      <c r="R746" s="1">
        <v>4.781E9</v>
      </c>
      <c r="S746" s="1">
        <v>4.69E9</v>
      </c>
    </row>
    <row r="747">
      <c r="A747" s="1">
        <v>745.0</v>
      </c>
      <c r="B747" s="2">
        <v>44286.0</v>
      </c>
      <c r="C747" s="1" t="s">
        <v>414</v>
      </c>
      <c r="D747" s="1" t="s">
        <v>415</v>
      </c>
      <c r="F747" s="1">
        <v>3.592E9</v>
      </c>
      <c r="G747" s="1">
        <v>2.73E9</v>
      </c>
      <c r="H747" s="1">
        <v>2.767E9</v>
      </c>
      <c r="I747" s="1">
        <v>1.7011E10</v>
      </c>
      <c r="J747" s="1">
        <v>3.027E9</v>
      </c>
      <c r="K747" s="1">
        <v>3.027E9</v>
      </c>
      <c r="L747" s="1">
        <v>-2.58E8</v>
      </c>
      <c r="M747" s="1">
        <v>7.96E8</v>
      </c>
      <c r="N747" s="1">
        <v>5.7674E10</v>
      </c>
      <c r="O747" s="1">
        <v>5.4647E10</v>
      </c>
      <c r="P747" s="1">
        <v>4.0663E10</v>
      </c>
      <c r="Q747" s="1">
        <v>5.65E8</v>
      </c>
      <c r="R747" s="1">
        <v>2.796E9</v>
      </c>
      <c r="S747" s="1">
        <v>2.73E9</v>
      </c>
    </row>
    <row r="748">
      <c r="A748" s="1">
        <v>746.0</v>
      </c>
      <c r="B748" s="2">
        <v>44196.0</v>
      </c>
      <c r="C748" s="1" t="s">
        <v>414</v>
      </c>
      <c r="D748" s="1" t="s">
        <v>415</v>
      </c>
      <c r="F748" s="1">
        <v>-2.6613E10</v>
      </c>
      <c r="G748" s="1">
        <v>-2.007E10</v>
      </c>
      <c r="H748" s="1">
        <v>2.187E9</v>
      </c>
      <c r="I748" s="1">
        <v>1.5973E10</v>
      </c>
      <c r="J748" s="1">
        <v>-1.176E9</v>
      </c>
      <c r="K748" s="1">
        <v>-1.176E9</v>
      </c>
      <c r="L748" s="1">
        <v>-3.13E8</v>
      </c>
      <c r="M748" s="1">
        <v>-6.01E9</v>
      </c>
      <c r="N748" s="1">
        <v>4.6203E10</v>
      </c>
      <c r="O748" s="1">
        <v>4.7379E10</v>
      </c>
      <c r="P748" s="1">
        <v>3.023E10</v>
      </c>
      <c r="Q748" s="1">
        <v>-2.5437E10</v>
      </c>
      <c r="R748" s="1">
        <v>-2.0603E10</v>
      </c>
      <c r="S748" s="1">
        <v>-2.007E10</v>
      </c>
    </row>
    <row r="749">
      <c r="A749" s="1">
        <v>747.0</v>
      </c>
      <c r="B749" s="2">
        <v>44104.0</v>
      </c>
      <c r="C749" s="1" t="s">
        <v>414</v>
      </c>
      <c r="D749" s="1" t="s">
        <v>415</v>
      </c>
      <c r="F749" s="1">
        <v>-3.72E8</v>
      </c>
      <c r="G749" s="1">
        <v>-6.8E8</v>
      </c>
      <c r="H749" s="1">
        <v>2.716E9</v>
      </c>
      <c r="I749" s="1">
        <v>1.4643E10</v>
      </c>
      <c r="J749" s="1">
        <v>-5.96E8</v>
      </c>
      <c r="K749" s="1">
        <v>-5.96E8</v>
      </c>
      <c r="L749" s="1">
        <v>-2.79E8</v>
      </c>
      <c r="M749" s="1">
        <v>3.37E8</v>
      </c>
      <c r="N749" s="1">
        <v>4.5696E10</v>
      </c>
      <c r="O749" s="1">
        <v>4.6292E10</v>
      </c>
      <c r="P749" s="1">
        <v>3.1053E10</v>
      </c>
      <c r="Q749" s="1">
        <v>2.24E8</v>
      </c>
      <c r="R749" s="1">
        <v>-7.09E8</v>
      </c>
      <c r="S749" s="1">
        <v>-6.8E8</v>
      </c>
    </row>
    <row r="750">
      <c r="A750" s="1">
        <v>748.0</v>
      </c>
      <c r="B750" s="2">
        <v>44286.0</v>
      </c>
      <c r="C750" s="1" t="s">
        <v>416</v>
      </c>
      <c r="D750" s="1" t="s">
        <v>417</v>
      </c>
      <c r="E750" s="1">
        <v>1.30608E8</v>
      </c>
      <c r="F750" s="1">
        <v>5.2124E7</v>
      </c>
      <c r="G750" s="1">
        <v>4.3241E7</v>
      </c>
      <c r="H750" s="1">
        <v>2.96256E8</v>
      </c>
      <c r="I750" s="1">
        <v>5.2109E8</v>
      </c>
      <c r="J750" s="1">
        <v>9.4226E7</v>
      </c>
      <c r="K750" s="1">
        <v>9.4226E7</v>
      </c>
      <c r="M750" s="1">
        <v>8883000.0</v>
      </c>
      <c r="N750" s="1">
        <v>6.45287E8</v>
      </c>
      <c r="O750" s="1">
        <v>5.51061E8</v>
      </c>
      <c r="P750" s="1">
        <v>1.24197E8</v>
      </c>
      <c r="Q750" s="1">
        <v>-4.2102E7</v>
      </c>
      <c r="R750" s="1">
        <v>4.3241E7</v>
      </c>
      <c r="S750" s="1">
        <v>4.3241E7</v>
      </c>
    </row>
    <row r="751">
      <c r="A751" s="1">
        <v>749.0</v>
      </c>
      <c r="B751" s="2">
        <v>44196.0</v>
      </c>
      <c r="C751" s="1" t="s">
        <v>416</v>
      </c>
      <c r="D751" s="1" t="s">
        <v>417</v>
      </c>
      <c r="E751" s="1">
        <v>1.14191E8</v>
      </c>
      <c r="F751" s="1">
        <v>1.17065E8</v>
      </c>
      <c r="G751" s="1">
        <v>8.7678E7</v>
      </c>
      <c r="H751" s="1">
        <v>2.74999E8</v>
      </c>
      <c r="I751" s="1">
        <v>5.09638E8</v>
      </c>
      <c r="J751" s="1">
        <v>1.20448E8</v>
      </c>
      <c r="K751" s="1">
        <v>1.20448E8</v>
      </c>
      <c r="M751" s="1">
        <v>2.9387E7</v>
      </c>
      <c r="N751" s="1">
        <v>6.24617E8</v>
      </c>
      <c r="O751" s="1">
        <v>5.04169E8</v>
      </c>
      <c r="P751" s="1">
        <v>1.14979E8</v>
      </c>
      <c r="Q751" s="1">
        <v>-3383000.0</v>
      </c>
      <c r="R751" s="1">
        <v>8.7678E7</v>
      </c>
      <c r="S751" s="1">
        <v>8.7678E7</v>
      </c>
    </row>
    <row r="752">
      <c r="A752" s="1">
        <v>750.0</v>
      </c>
      <c r="B752" s="2">
        <v>44104.0</v>
      </c>
      <c r="C752" s="1" t="s">
        <v>416</v>
      </c>
      <c r="D752" s="1" t="s">
        <v>417</v>
      </c>
      <c r="E752" s="1">
        <v>1.203E8</v>
      </c>
      <c r="F752" s="1">
        <v>9.7523E7</v>
      </c>
      <c r="G752" s="1">
        <v>7.7663E7</v>
      </c>
      <c r="H752" s="1">
        <v>2.83936E8</v>
      </c>
      <c r="I752" s="1">
        <v>5.02849E8</v>
      </c>
      <c r="J752" s="1">
        <v>9.8613E7</v>
      </c>
      <c r="K752" s="1">
        <v>9.8613E7</v>
      </c>
      <c r="M752" s="1">
        <v>1.986E7</v>
      </c>
      <c r="N752" s="1">
        <v>6.14816E8</v>
      </c>
      <c r="O752" s="1">
        <v>5.16203E8</v>
      </c>
      <c r="P752" s="1">
        <v>1.11967E8</v>
      </c>
      <c r="Q752" s="1">
        <v>-1090000.0</v>
      </c>
      <c r="R752" s="1">
        <v>7.7663E7</v>
      </c>
      <c r="S752" s="1">
        <v>7.7663E7</v>
      </c>
    </row>
    <row r="753">
      <c r="A753" s="1">
        <v>751.0</v>
      </c>
      <c r="B753" s="2">
        <v>44012.0</v>
      </c>
      <c r="C753" s="1" t="s">
        <v>416</v>
      </c>
      <c r="D753" s="1" t="s">
        <v>417</v>
      </c>
      <c r="E753" s="1">
        <v>1.15991E8</v>
      </c>
      <c r="F753" s="1">
        <v>8.7762E7</v>
      </c>
      <c r="G753" s="1">
        <v>6.9872E7</v>
      </c>
      <c r="H753" s="1">
        <v>2.736E8</v>
      </c>
      <c r="I753" s="1">
        <v>4.77212E8</v>
      </c>
      <c r="J753" s="1">
        <v>8.7621E7</v>
      </c>
      <c r="K753" s="1">
        <v>8.7621E7</v>
      </c>
      <c r="M753" s="1">
        <v>1.789E7</v>
      </c>
      <c r="N753" s="1">
        <v>5.83252E8</v>
      </c>
      <c r="O753" s="1">
        <v>4.95631E8</v>
      </c>
      <c r="P753" s="1">
        <v>1.0604E8</v>
      </c>
      <c r="Q753" s="1">
        <v>141000.0</v>
      </c>
      <c r="R753" s="1">
        <v>6.9872E7</v>
      </c>
      <c r="S753" s="1">
        <v>6.9872E7</v>
      </c>
    </row>
    <row r="754">
      <c r="A754" s="1">
        <v>752.0</v>
      </c>
      <c r="B754" s="2">
        <v>44377.0</v>
      </c>
      <c r="C754" s="1" t="s">
        <v>418</v>
      </c>
      <c r="D754" s="1" t="s">
        <v>419</v>
      </c>
      <c r="E754" s="1">
        <v>6.096E9</v>
      </c>
      <c r="F754" s="1">
        <v>1.2513E10</v>
      </c>
      <c r="G754" s="1">
        <v>1.0394E10</v>
      </c>
      <c r="H754" s="1">
        <v>5.215E9</v>
      </c>
      <c r="I754" s="1">
        <v>2.3678E10</v>
      </c>
      <c r="J754" s="1">
        <v>1.2367E10</v>
      </c>
      <c r="K754" s="1">
        <v>1.2367E10</v>
      </c>
      <c r="M754" s="1">
        <v>2.119E9</v>
      </c>
      <c r="N754" s="1">
        <v>2.9077E10</v>
      </c>
      <c r="O754" s="1">
        <v>1.671E10</v>
      </c>
      <c r="P754" s="1">
        <v>5.399E9</v>
      </c>
      <c r="Q754" s="1">
        <v>1.46E8</v>
      </c>
      <c r="R754" s="1">
        <v>1.0394E10</v>
      </c>
      <c r="S754" s="1">
        <v>1.0394E10</v>
      </c>
    </row>
    <row r="755">
      <c r="A755" s="1">
        <v>753.0</v>
      </c>
      <c r="B755" s="2">
        <v>44286.0</v>
      </c>
      <c r="C755" s="1" t="s">
        <v>418</v>
      </c>
      <c r="D755" s="1" t="s">
        <v>419</v>
      </c>
      <c r="E755" s="1">
        <v>5.197E9</v>
      </c>
      <c r="F755" s="1">
        <v>1.1503E10</v>
      </c>
      <c r="G755" s="1">
        <v>9.497E9</v>
      </c>
      <c r="H755" s="1">
        <v>4.465E9</v>
      </c>
      <c r="I755" s="1">
        <v>2.104E10</v>
      </c>
      <c r="J755" s="1">
        <v>1.1378E10</v>
      </c>
      <c r="K755" s="1">
        <v>1.1378E10</v>
      </c>
      <c r="M755" s="1">
        <v>2.006E9</v>
      </c>
      <c r="N755" s="1">
        <v>2.6171E10</v>
      </c>
      <c r="O755" s="1">
        <v>1.4793E10</v>
      </c>
      <c r="P755" s="1">
        <v>5.131E9</v>
      </c>
      <c r="Q755" s="1">
        <v>1.25E8</v>
      </c>
      <c r="R755" s="1">
        <v>9.497E9</v>
      </c>
      <c r="S755" s="1">
        <v>9.497E9</v>
      </c>
    </row>
    <row r="756">
      <c r="A756" s="1">
        <v>754.0</v>
      </c>
      <c r="B756" s="2">
        <v>44196.0</v>
      </c>
      <c r="C756" s="1" t="s">
        <v>418</v>
      </c>
      <c r="D756" s="1" t="s">
        <v>419</v>
      </c>
      <c r="E756" s="1">
        <v>5.207E9</v>
      </c>
      <c r="F756" s="1">
        <v>1.3055E10</v>
      </c>
      <c r="G756" s="1">
        <v>1.1219E10</v>
      </c>
      <c r="H756" s="1">
        <v>4.88E9</v>
      </c>
      <c r="I756" s="1">
        <v>2.2862E10</v>
      </c>
      <c r="J756" s="1">
        <v>1.2775E10</v>
      </c>
      <c r="K756" s="1">
        <v>1.2775E10</v>
      </c>
      <c r="M756" s="1">
        <v>1.836E9</v>
      </c>
      <c r="N756" s="1">
        <v>2.8072E10</v>
      </c>
      <c r="O756" s="1">
        <v>1.5297E10</v>
      </c>
      <c r="P756" s="1">
        <v>5.21E9</v>
      </c>
      <c r="Q756" s="1">
        <v>2.8E8</v>
      </c>
      <c r="R756" s="1">
        <v>1.1219E10</v>
      </c>
      <c r="S756" s="1">
        <v>1.1219E10</v>
      </c>
    </row>
    <row r="757">
      <c r="A757" s="1">
        <v>755.0</v>
      </c>
      <c r="B757" s="2">
        <v>44104.0</v>
      </c>
      <c r="C757" s="1" t="s">
        <v>418</v>
      </c>
      <c r="D757" s="1" t="s">
        <v>419</v>
      </c>
      <c r="E757" s="1">
        <v>4.763E9</v>
      </c>
      <c r="F757" s="1">
        <v>8.133E9</v>
      </c>
      <c r="G757" s="1">
        <v>7.846E9</v>
      </c>
      <c r="H757" s="1">
        <v>4.473E9</v>
      </c>
      <c r="I757" s="1">
        <v>1.7276E10</v>
      </c>
      <c r="J757" s="1">
        <v>8.04E9</v>
      </c>
      <c r="K757" s="1">
        <v>8.04E9</v>
      </c>
      <c r="M757" s="1">
        <v>2.87E8</v>
      </c>
      <c r="N757" s="1">
        <v>2.147E10</v>
      </c>
      <c r="O757" s="1">
        <v>1.343E10</v>
      </c>
      <c r="P757" s="1">
        <v>4.194E9</v>
      </c>
      <c r="Q757" s="1">
        <v>9.3E7</v>
      </c>
      <c r="R757" s="1">
        <v>7.846E9</v>
      </c>
      <c r="S757" s="1">
        <v>7.846E9</v>
      </c>
    </row>
    <row r="758">
      <c r="A758" s="1">
        <v>756.0</v>
      </c>
      <c r="B758" s="2">
        <v>44377.0</v>
      </c>
      <c r="C758" s="1" t="s">
        <v>420</v>
      </c>
      <c r="D758" s="1" t="s">
        <v>421</v>
      </c>
      <c r="F758" s="1">
        <v>3.152E8</v>
      </c>
      <c r="G758" s="1">
        <v>2.397E8</v>
      </c>
      <c r="H758" s="1">
        <v>3.829E8</v>
      </c>
      <c r="I758" s="1">
        <v>7.007E8</v>
      </c>
      <c r="J758" s="1">
        <v>3.178E8</v>
      </c>
      <c r="K758" s="1">
        <v>3.178E8</v>
      </c>
      <c r="L758" s="1">
        <v>-2600000.0</v>
      </c>
      <c r="M758" s="1">
        <v>7.55E7</v>
      </c>
      <c r="N758" s="1">
        <v>1.5077E9</v>
      </c>
      <c r="O758" s="1">
        <v>1.1899E9</v>
      </c>
      <c r="P758" s="1">
        <v>8.07E8</v>
      </c>
      <c r="Q758" s="1">
        <v>-2600000.0</v>
      </c>
      <c r="R758" s="1">
        <v>2.397E8</v>
      </c>
      <c r="S758" s="1">
        <v>2.397E8</v>
      </c>
    </row>
    <row r="759">
      <c r="A759" s="1">
        <v>757.0</v>
      </c>
      <c r="B759" s="2">
        <v>44286.0</v>
      </c>
      <c r="C759" s="1" t="s">
        <v>420</v>
      </c>
      <c r="D759" s="1" t="s">
        <v>421</v>
      </c>
      <c r="F759" s="1">
        <v>2.779E8</v>
      </c>
      <c r="G759" s="1">
        <v>2.106E8</v>
      </c>
      <c r="H759" s="1">
        <v>3.631E8</v>
      </c>
      <c r="I759" s="1">
        <v>6.434E8</v>
      </c>
      <c r="J759" s="1">
        <v>2.803E8</v>
      </c>
      <c r="K759" s="1">
        <v>2.803E8</v>
      </c>
      <c r="L759" s="1">
        <v>-2400000.0</v>
      </c>
      <c r="M759" s="1">
        <v>6.73E7</v>
      </c>
      <c r="N759" s="1">
        <v>1.417E9</v>
      </c>
      <c r="O759" s="1">
        <v>1.1367E9</v>
      </c>
      <c r="P759" s="1">
        <v>7.736E8</v>
      </c>
      <c r="Q759" s="1">
        <v>-2400000.0</v>
      </c>
      <c r="R759" s="1">
        <v>2.106E8</v>
      </c>
      <c r="S759" s="1">
        <v>2.106E8</v>
      </c>
    </row>
    <row r="760">
      <c r="A760" s="1">
        <v>758.0</v>
      </c>
      <c r="B760" s="2">
        <v>44196.0</v>
      </c>
      <c r="C760" s="1" t="s">
        <v>420</v>
      </c>
      <c r="D760" s="1" t="s">
        <v>421</v>
      </c>
      <c r="F760" s="1">
        <v>2.622E8</v>
      </c>
      <c r="G760" s="1">
        <v>1.961E8</v>
      </c>
      <c r="H760" s="1">
        <v>3.547E8</v>
      </c>
      <c r="I760" s="1">
        <v>6.188E8</v>
      </c>
      <c r="J760" s="1">
        <v>2.641E8</v>
      </c>
      <c r="K760" s="1">
        <v>2.641E8</v>
      </c>
      <c r="L760" s="1">
        <v>-2500000.0</v>
      </c>
      <c r="M760" s="1">
        <v>6.61E7</v>
      </c>
      <c r="N760" s="1">
        <v>1.358E9</v>
      </c>
      <c r="O760" s="1">
        <v>1.0939E9</v>
      </c>
      <c r="P760" s="1">
        <v>7.392E8</v>
      </c>
      <c r="Q760" s="1">
        <v>-1900000.0</v>
      </c>
      <c r="R760" s="1">
        <v>1.961E8</v>
      </c>
      <c r="S760" s="1">
        <v>1.961E8</v>
      </c>
    </row>
    <row r="761">
      <c r="A761" s="1">
        <v>759.0</v>
      </c>
      <c r="B761" s="2">
        <v>44104.0</v>
      </c>
      <c r="C761" s="1" t="s">
        <v>420</v>
      </c>
      <c r="D761" s="1" t="s">
        <v>421</v>
      </c>
      <c r="F761" s="1">
        <v>2.876E8</v>
      </c>
      <c r="G761" s="1">
        <v>2.215E8</v>
      </c>
      <c r="H761" s="1">
        <v>3.515E8</v>
      </c>
      <c r="I761" s="1">
        <v>6.406E8</v>
      </c>
      <c r="J761" s="1">
        <v>2.891E8</v>
      </c>
      <c r="K761" s="1">
        <v>2.891E8</v>
      </c>
      <c r="L761" s="1">
        <v>-2600000.0</v>
      </c>
      <c r="M761" s="1">
        <v>6.61E7</v>
      </c>
      <c r="N761" s="1">
        <v>1.4133E9</v>
      </c>
      <c r="O761" s="1">
        <v>1.1242E9</v>
      </c>
      <c r="P761" s="1">
        <v>7.727E8</v>
      </c>
      <c r="Q761" s="1">
        <v>-1500000.0</v>
      </c>
      <c r="R761" s="1">
        <v>2.215E8</v>
      </c>
      <c r="S761" s="1">
        <v>2.215E8</v>
      </c>
    </row>
    <row r="762">
      <c r="A762" s="1">
        <v>760.0</v>
      </c>
      <c r="B762" s="2">
        <v>44377.0</v>
      </c>
      <c r="C762" s="1" t="s">
        <v>422</v>
      </c>
      <c r="D762" s="1" t="s">
        <v>423</v>
      </c>
      <c r="F762" s="1">
        <v>4.8059E7</v>
      </c>
      <c r="G762" s="1">
        <v>4.6204E7</v>
      </c>
      <c r="H762" s="1">
        <v>1.2846E7</v>
      </c>
      <c r="I762" s="1">
        <v>1.59507E8</v>
      </c>
      <c r="J762" s="1">
        <v>7.8986E7</v>
      </c>
      <c r="K762" s="1">
        <v>7.8986E7</v>
      </c>
      <c r="L762" s="1">
        <v>-3.1177E7</v>
      </c>
      <c r="M762" s="1">
        <v>0.0</v>
      </c>
      <c r="N762" s="1">
        <v>2.31748E8</v>
      </c>
      <c r="O762" s="1">
        <v>1.52762E8</v>
      </c>
      <c r="P762" s="1">
        <v>7.2241E7</v>
      </c>
      <c r="Q762" s="1">
        <v>-3.0927E7</v>
      </c>
      <c r="R762" s="1">
        <v>4.8059E7</v>
      </c>
      <c r="S762" s="1">
        <v>4.3895E7</v>
      </c>
    </row>
    <row r="763">
      <c r="A763" s="1">
        <v>761.0</v>
      </c>
      <c r="B763" s="2">
        <v>44286.0</v>
      </c>
      <c r="C763" s="1" t="s">
        <v>422</v>
      </c>
      <c r="D763" s="1" t="s">
        <v>423</v>
      </c>
      <c r="F763" s="1">
        <v>4.9739E7</v>
      </c>
      <c r="G763" s="1">
        <v>4.8236E7</v>
      </c>
      <c r="H763" s="1">
        <v>1.0258E7</v>
      </c>
      <c r="I763" s="1">
        <v>1.38165E8</v>
      </c>
      <c r="J763" s="1">
        <v>6.4033E7</v>
      </c>
      <c r="K763" s="1">
        <v>6.4033E7</v>
      </c>
      <c r="L763" s="1">
        <v>-3.2085E7</v>
      </c>
      <c r="M763" s="1">
        <v>0.0</v>
      </c>
      <c r="N763" s="1">
        <v>2.16823E8</v>
      </c>
      <c r="O763" s="1">
        <v>1.5279E8</v>
      </c>
      <c r="P763" s="1">
        <v>7.8658E7</v>
      </c>
      <c r="Q763" s="1">
        <v>-1.4294E7</v>
      </c>
      <c r="R763" s="1">
        <v>4.9739E7</v>
      </c>
      <c r="S763" s="1">
        <v>4.5932E7</v>
      </c>
    </row>
    <row r="764">
      <c r="A764" s="1">
        <v>762.0</v>
      </c>
      <c r="B764" s="2">
        <v>44196.0</v>
      </c>
      <c r="C764" s="1" t="s">
        <v>422</v>
      </c>
      <c r="D764" s="1" t="s">
        <v>423</v>
      </c>
      <c r="F764" s="1">
        <v>1.02211E8</v>
      </c>
      <c r="G764" s="1">
        <v>9.4725E7</v>
      </c>
      <c r="H764" s="1">
        <v>1.8739E7</v>
      </c>
      <c r="I764" s="1">
        <v>1.47122E8</v>
      </c>
      <c r="J764" s="1">
        <v>6.3959E7</v>
      </c>
      <c r="K764" s="1">
        <v>6.3959E7</v>
      </c>
      <c r="L764" s="1">
        <v>-3.7543E7</v>
      </c>
      <c r="M764" s="1">
        <v>0.0</v>
      </c>
      <c r="N764" s="1">
        <v>2.18108E8</v>
      </c>
      <c r="O764" s="1">
        <v>1.54149E8</v>
      </c>
      <c r="P764" s="1">
        <v>7.0986E7</v>
      </c>
      <c r="Q764" s="1">
        <v>3.8252E7</v>
      </c>
      <c r="R764" s="1">
        <v>1.02211E8</v>
      </c>
      <c r="S764" s="1">
        <v>9.2467E7</v>
      </c>
    </row>
    <row r="765">
      <c r="A765" s="1">
        <v>763.0</v>
      </c>
      <c r="B765" s="2">
        <v>44104.0</v>
      </c>
      <c r="C765" s="1" t="s">
        <v>422</v>
      </c>
      <c r="D765" s="1" t="s">
        <v>423</v>
      </c>
      <c r="F765" s="1">
        <v>-3.3623E7</v>
      </c>
      <c r="G765" s="1">
        <v>-2.8289E7</v>
      </c>
      <c r="H765" s="1">
        <v>9308000.0</v>
      </c>
      <c r="I765" s="1">
        <v>1.34224E8</v>
      </c>
      <c r="J765" s="1">
        <v>5.9285E7</v>
      </c>
      <c r="K765" s="1">
        <v>5.9285E7</v>
      </c>
      <c r="L765" s="1">
        <v>-3.6228E7</v>
      </c>
      <c r="M765" s="1">
        <v>0.0</v>
      </c>
      <c r="N765" s="1">
        <v>2.06576E8</v>
      </c>
      <c r="O765" s="1">
        <v>1.47291E8</v>
      </c>
      <c r="P765" s="1">
        <v>7.2352E7</v>
      </c>
      <c r="Q765" s="1">
        <v>-9.2908E7</v>
      </c>
      <c r="R765" s="1">
        <v>-3.3623E7</v>
      </c>
      <c r="S765" s="1">
        <v>-3.0548E7</v>
      </c>
    </row>
    <row r="766">
      <c r="A766" s="1">
        <v>764.0</v>
      </c>
      <c r="B766" s="2">
        <v>44347.0</v>
      </c>
      <c r="C766" s="1" t="s">
        <v>424</v>
      </c>
      <c r="D766" s="1" t="s">
        <v>425</v>
      </c>
      <c r="F766" s="1">
        <v>2.613E9</v>
      </c>
      <c r="G766" s="1">
        <v>1.868E9</v>
      </c>
      <c r="H766" s="1">
        <v>4.28E8</v>
      </c>
      <c r="I766" s="1">
        <v>7.594E9</v>
      </c>
      <c r="J766" s="1">
        <v>3.333E9</v>
      </c>
      <c r="K766" s="1">
        <v>3.333E9</v>
      </c>
      <c r="L766" s="1">
        <v>-1.86E8</v>
      </c>
      <c r="M766" s="1">
        <v>7.45E8</v>
      </c>
      <c r="N766" s="1">
        <v>2.2565E10</v>
      </c>
      <c r="O766" s="1">
        <v>1.9232E10</v>
      </c>
      <c r="P766" s="1">
        <v>1.4971E10</v>
      </c>
      <c r="Q766" s="1">
        <v>-7.2E8</v>
      </c>
      <c r="R766" s="1">
        <v>1.868E9</v>
      </c>
      <c r="S766" s="1">
        <v>1.868E9</v>
      </c>
    </row>
    <row r="767">
      <c r="A767" s="1">
        <v>765.0</v>
      </c>
      <c r="B767" s="2">
        <v>44255.0</v>
      </c>
      <c r="C767" s="1" t="s">
        <v>424</v>
      </c>
      <c r="D767" s="1" t="s">
        <v>425</v>
      </c>
      <c r="F767" s="1">
        <v>1.049E9</v>
      </c>
      <c r="G767" s="1">
        <v>8.92E8</v>
      </c>
      <c r="H767" s="1">
        <v>4.28E8</v>
      </c>
      <c r="I767" s="1">
        <v>5.333E9</v>
      </c>
      <c r="J767" s="1">
        <v>1.217E9</v>
      </c>
      <c r="K767" s="1">
        <v>1.217E9</v>
      </c>
      <c r="L767" s="1">
        <v>-1.87E8</v>
      </c>
      <c r="M767" s="1">
        <v>1.57E8</v>
      </c>
      <c r="N767" s="1">
        <v>2.151E10</v>
      </c>
      <c r="O767" s="1">
        <v>2.0293E10</v>
      </c>
      <c r="P767" s="1">
        <v>1.6177E10</v>
      </c>
      <c r="Q767" s="1">
        <v>-1.68E8</v>
      </c>
      <c r="R767" s="1">
        <v>8.92E8</v>
      </c>
      <c r="S767" s="1">
        <v>8.89E8</v>
      </c>
    </row>
    <row r="768">
      <c r="A768" s="1">
        <v>766.0</v>
      </c>
      <c r="B768" s="2">
        <v>44165.0</v>
      </c>
      <c r="C768" s="1" t="s">
        <v>424</v>
      </c>
      <c r="D768" s="1" t="s">
        <v>425</v>
      </c>
      <c r="F768" s="1">
        <v>1.406E9</v>
      </c>
      <c r="G768" s="1">
        <v>1.226E9</v>
      </c>
      <c r="H768" s="1">
        <v>4.28E8</v>
      </c>
      <c r="I768" s="1">
        <v>5.417E9</v>
      </c>
      <c r="J768" s="1">
        <v>1.615E9</v>
      </c>
      <c r="K768" s="1">
        <v>1.615E9</v>
      </c>
      <c r="L768" s="1">
        <v>-1.84E8</v>
      </c>
      <c r="M768" s="1">
        <v>1.8E8</v>
      </c>
      <c r="N768" s="1">
        <v>2.0563E10</v>
      </c>
      <c r="O768" s="1">
        <v>1.8948E10</v>
      </c>
      <c r="P768" s="1">
        <v>1.5146E10</v>
      </c>
      <c r="Q768" s="1">
        <v>-2.09E8</v>
      </c>
      <c r="R768" s="1">
        <v>1.226E9</v>
      </c>
      <c r="S768" s="1">
        <v>1.224E9</v>
      </c>
    </row>
    <row r="769">
      <c r="A769" s="1">
        <v>767.0</v>
      </c>
      <c r="B769" s="2">
        <v>44074.0</v>
      </c>
      <c r="C769" s="1" t="s">
        <v>424</v>
      </c>
      <c r="D769" s="1" t="s">
        <v>425</v>
      </c>
      <c r="F769" s="1">
        <v>1.606E9</v>
      </c>
      <c r="G769" s="1">
        <v>1.245E9</v>
      </c>
      <c r="H769" s="1">
        <v>4.28E8</v>
      </c>
      <c r="I769" s="1">
        <v>5.386E9</v>
      </c>
      <c r="J769" s="1">
        <v>1.791E9</v>
      </c>
      <c r="K769" s="1">
        <v>1.791E9</v>
      </c>
      <c r="L769" s="1">
        <v>-1.84E8</v>
      </c>
      <c r="M769" s="1">
        <v>3.61E8</v>
      </c>
      <c r="N769" s="1">
        <v>1.9321E10</v>
      </c>
      <c r="O769" s="1">
        <v>1.753E10</v>
      </c>
      <c r="P769" s="1">
        <v>1.3935E10</v>
      </c>
      <c r="Q769" s="1">
        <v>-1.85E8</v>
      </c>
      <c r="R769" s="1">
        <v>1.245E9</v>
      </c>
      <c r="S769" s="1">
        <v>1.243E9</v>
      </c>
    </row>
    <row r="770">
      <c r="A770" s="1">
        <v>768.0</v>
      </c>
      <c r="B770" s="2">
        <v>44377.0</v>
      </c>
      <c r="C770" s="1" t="s">
        <v>426</v>
      </c>
      <c r="D770" s="1" t="s">
        <v>427</v>
      </c>
      <c r="F770" s="1">
        <v>6.44E8</v>
      </c>
      <c r="G770" s="1">
        <v>3.41E8</v>
      </c>
      <c r="H770" s="1">
        <v>9.77E8</v>
      </c>
      <c r="I770" s="1">
        <v>1.34E9</v>
      </c>
      <c r="J770" s="1">
        <v>3.63E8</v>
      </c>
      <c r="K770" s="1">
        <v>3.63E8</v>
      </c>
      <c r="L770" s="1">
        <v>-4.8E7</v>
      </c>
      <c r="M770" s="1">
        <v>3.02E8</v>
      </c>
      <c r="N770" s="1">
        <v>3.475E9</v>
      </c>
      <c r="O770" s="1">
        <v>3.112E9</v>
      </c>
      <c r="P770" s="1">
        <v>2.135E9</v>
      </c>
      <c r="Q770" s="1">
        <v>2.81E8</v>
      </c>
      <c r="R770" s="1">
        <v>3.42E8</v>
      </c>
      <c r="S770" s="1">
        <v>3.41E8</v>
      </c>
    </row>
    <row r="771">
      <c r="A771" s="1">
        <v>769.0</v>
      </c>
      <c r="B771" s="2">
        <v>44286.0</v>
      </c>
      <c r="C771" s="1" t="s">
        <v>426</v>
      </c>
      <c r="D771" s="1" t="s">
        <v>427</v>
      </c>
      <c r="F771" s="1">
        <v>-4.67E8</v>
      </c>
      <c r="G771" s="1">
        <v>-3.73E8</v>
      </c>
      <c r="H771" s="1">
        <v>9.97E8</v>
      </c>
      <c r="I771" s="1">
        <v>1.105E9</v>
      </c>
      <c r="J771" s="1">
        <v>1.08E8</v>
      </c>
      <c r="K771" s="1">
        <v>1.08E8</v>
      </c>
      <c r="L771" s="1">
        <v>-7.4E7</v>
      </c>
      <c r="M771" s="1">
        <v>-9.7E7</v>
      </c>
      <c r="N771" s="1">
        <v>3.223E9</v>
      </c>
      <c r="O771" s="1">
        <v>3.115E9</v>
      </c>
      <c r="P771" s="1">
        <v>2.118E9</v>
      </c>
      <c r="Q771" s="1">
        <v>-5.75E8</v>
      </c>
      <c r="R771" s="1">
        <v>-3.7E8</v>
      </c>
      <c r="S771" s="1">
        <v>-3.73E8</v>
      </c>
    </row>
    <row r="772">
      <c r="A772" s="1">
        <v>770.0</v>
      </c>
      <c r="B772" s="2">
        <v>44196.0</v>
      </c>
      <c r="C772" s="1" t="s">
        <v>426</v>
      </c>
      <c r="D772" s="1" t="s">
        <v>427</v>
      </c>
      <c r="F772" s="1">
        <v>1.05E8</v>
      </c>
      <c r="G772" s="1">
        <v>1.04E8</v>
      </c>
      <c r="H772" s="1">
        <v>6.61E8</v>
      </c>
      <c r="I772" s="1">
        <v>1.206E9</v>
      </c>
      <c r="J772" s="1">
        <v>5.45E8</v>
      </c>
      <c r="K772" s="1">
        <v>5.45E8</v>
      </c>
      <c r="L772" s="1">
        <v>-8.7E7</v>
      </c>
      <c r="M772" s="1">
        <v>2000000.0</v>
      </c>
      <c r="N772" s="1">
        <v>3.316E9</v>
      </c>
      <c r="O772" s="1">
        <v>2.771E9</v>
      </c>
      <c r="P772" s="1">
        <v>2.11E9</v>
      </c>
      <c r="Q772" s="1">
        <v>-4.4E8</v>
      </c>
      <c r="R772" s="1">
        <v>1.03E8</v>
      </c>
      <c r="S772" s="1">
        <v>1.04E8</v>
      </c>
    </row>
    <row r="773">
      <c r="A773" s="1">
        <v>771.0</v>
      </c>
      <c r="B773" s="2">
        <v>44104.0</v>
      </c>
      <c r="C773" s="1" t="s">
        <v>426</v>
      </c>
      <c r="D773" s="1" t="s">
        <v>427</v>
      </c>
      <c r="F773" s="1">
        <v>1.43E8</v>
      </c>
      <c r="G773" s="1">
        <v>2.0E7</v>
      </c>
      <c r="H773" s="1">
        <v>6.67E8</v>
      </c>
      <c r="I773" s="1">
        <v>1.093E9</v>
      </c>
      <c r="J773" s="1">
        <v>4.26E8</v>
      </c>
      <c r="K773" s="1">
        <v>4.26E8</v>
      </c>
      <c r="L773" s="1">
        <v>-8.4E7</v>
      </c>
      <c r="M773" s="1">
        <v>1.21E8</v>
      </c>
      <c r="N773" s="1">
        <v>3.197E9</v>
      </c>
      <c r="O773" s="1">
        <v>2.771E9</v>
      </c>
      <c r="P773" s="1">
        <v>2.104E9</v>
      </c>
      <c r="Q773" s="1">
        <v>-2.83E8</v>
      </c>
      <c r="R773" s="1">
        <v>2.2E7</v>
      </c>
      <c r="S773" s="1">
        <v>2.0E7</v>
      </c>
    </row>
    <row r="774">
      <c r="A774" s="1">
        <v>772.0</v>
      </c>
      <c r="B774" s="2">
        <v>44377.0</v>
      </c>
      <c r="C774" s="1" t="s">
        <v>428</v>
      </c>
      <c r="D774" s="1" t="s">
        <v>429</v>
      </c>
      <c r="F774" s="1">
        <v>9.11E8</v>
      </c>
      <c r="G774" s="1">
        <v>7.09E8</v>
      </c>
      <c r="H774" s="1">
        <v>8.61E8</v>
      </c>
      <c r="I774" s="1">
        <v>2.066E9</v>
      </c>
      <c r="J774" s="1">
        <v>0.0</v>
      </c>
      <c r="K774" s="1">
        <v>9.15E8</v>
      </c>
      <c r="M774" s="1">
        <v>2.02E8</v>
      </c>
      <c r="N774" s="1">
        <v>2.066E9</v>
      </c>
      <c r="O774" s="1">
        <v>1.151E9</v>
      </c>
      <c r="P774" s="1">
        <v>0.0</v>
      </c>
      <c r="Q774" s="1">
        <v>-4000000.0</v>
      </c>
      <c r="R774" s="1">
        <v>7.09E8</v>
      </c>
      <c r="S774" s="1">
        <v>6.73E8</v>
      </c>
    </row>
    <row r="775">
      <c r="A775" s="1">
        <v>773.0</v>
      </c>
      <c r="B775" s="2">
        <v>44286.0</v>
      </c>
      <c r="C775" s="1" t="s">
        <v>428</v>
      </c>
      <c r="D775" s="1" t="s">
        <v>429</v>
      </c>
      <c r="F775" s="1">
        <v>8.83E8</v>
      </c>
      <c r="G775" s="1">
        <v>6.94E8</v>
      </c>
      <c r="H775" s="1">
        <v>9.35E8</v>
      </c>
      <c r="I775" s="1">
        <v>2.125E9</v>
      </c>
      <c r="J775" s="1">
        <v>0.0</v>
      </c>
      <c r="K775" s="1">
        <v>9.1E8</v>
      </c>
      <c r="M775" s="1">
        <v>1.89E8</v>
      </c>
      <c r="N775" s="1">
        <v>2.125E9</v>
      </c>
      <c r="O775" s="1">
        <v>1.215E9</v>
      </c>
      <c r="P775" s="1">
        <v>0.0</v>
      </c>
      <c r="Q775" s="1">
        <v>-2.7E7</v>
      </c>
      <c r="R775" s="1">
        <v>6.94E8</v>
      </c>
      <c r="S775" s="1">
        <v>6.72E8</v>
      </c>
    </row>
    <row r="776">
      <c r="A776" s="1">
        <v>774.0</v>
      </c>
      <c r="B776" s="2">
        <v>44196.0</v>
      </c>
      <c r="C776" s="1" t="s">
        <v>428</v>
      </c>
      <c r="D776" s="1" t="s">
        <v>429</v>
      </c>
      <c r="F776" s="1">
        <v>7.46E8</v>
      </c>
      <c r="G776" s="1">
        <v>6.04E8</v>
      </c>
      <c r="H776" s="1">
        <v>9.26E8</v>
      </c>
      <c r="I776" s="1">
        <v>1.991E9</v>
      </c>
      <c r="J776" s="1">
        <v>0.0</v>
      </c>
      <c r="K776" s="1">
        <v>7.57E8</v>
      </c>
      <c r="M776" s="1">
        <v>1.42E8</v>
      </c>
      <c r="N776" s="1">
        <v>1.991E9</v>
      </c>
      <c r="O776" s="1">
        <v>1.234E9</v>
      </c>
      <c r="P776" s="1">
        <v>0.0</v>
      </c>
      <c r="Q776" s="1">
        <v>-1.1E7</v>
      </c>
      <c r="R776" s="1">
        <v>6.04E8</v>
      </c>
      <c r="S776" s="1">
        <v>5.66E8</v>
      </c>
    </row>
    <row r="777">
      <c r="A777" s="1">
        <v>775.0</v>
      </c>
      <c r="B777" s="2">
        <v>44104.0</v>
      </c>
      <c r="C777" s="1" t="s">
        <v>428</v>
      </c>
      <c r="D777" s="1" t="s">
        <v>429</v>
      </c>
      <c r="F777" s="1">
        <v>7.46E8</v>
      </c>
      <c r="G777" s="1">
        <v>5.81E8</v>
      </c>
      <c r="H777" s="1">
        <v>8.71E8</v>
      </c>
      <c r="I777" s="1">
        <v>1.918E9</v>
      </c>
      <c r="J777" s="1">
        <v>0.0</v>
      </c>
      <c r="K777" s="1">
        <v>7.58E8</v>
      </c>
      <c r="M777" s="1">
        <v>1.65E8</v>
      </c>
      <c r="N777" s="1">
        <v>1.918E9</v>
      </c>
      <c r="O777" s="1">
        <v>1.16E9</v>
      </c>
      <c r="P777" s="1">
        <v>0.0</v>
      </c>
      <c r="Q777" s="1">
        <v>-1.2E7</v>
      </c>
      <c r="R777" s="1">
        <v>5.81E8</v>
      </c>
      <c r="S777" s="1">
        <v>5.6E8</v>
      </c>
    </row>
    <row r="778">
      <c r="A778" s="1">
        <v>776.0</v>
      </c>
      <c r="B778" s="2">
        <v>44377.0</v>
      </c>
      <c r="C778" s="1" t="s">
        <v>430</v>
      </c>
      <c r="D778" s="1" t="s">
        <v>431</v>
      </c>
      <c r="F778" s="1">
        <v>4.51565E8</v>
      </c>
      <c r="G778" s="1">
        <v>3.73106E8</v>
      </c>
      <c r="H778" s="1">
        <v>6.76044E8</v>
      </c>
      <c r="I778" s="1">
        <v>1.21433E9</v>
      </c>
      <c r="J778" s="1">
        <v>0.0</v>
      </c>
      <c r="K778" s="1">
        <v>4.70188E8</v>
      </c>
      <c r="M778" s="1">
        <v>7.8459E7</v>
      </c>
      <c r="N778" s="1">
        <v>1.21433E9</v>
      </c>
      <c r="O778" s="1">
        <v>7.44142E8</v>
      </c>
      <c r="P778" s="1">
        <v>0.0</v>
      </c>
      <c r="Q778" s="1">
        <v>-1.8623E7</v>
      </c>
      <c r="R778" s="1">
        <v>3.73106E8</v>
      </c>
      <c r="S778" s="1">
        <v>3.49451E8</v>
      </c>
    </row>
    <row r="779">
      <c r="A779" s="1">
        <v>777.0</v>
      </c>
      <c r="B779" s="2">
        <v>44286.0</v>
      </c>
      <c r="C779" s="1" t="s">
        <v>430</v>
      </c>
      <c r="D779" s="1" t="s">
        <v>431</v>
      </c>
      <c r="F779" s="1">
        <v>4.28845E8</v>
      </c>
      <c r="G779" s="1">
        <v>3.34833E8</v>
      </c>
      <c r="H779" s="1">
        <v>6.38356E8</v>
      </c>
      <c r="I779" s="1">
        <v>1.149241E9</v>
      </c>
      <c r="J779" s="1">
        <v>0.0</v>
      </c>
      <c r="K779" s="1">
        <v>4.4547E8</v>
      </c>
      <c r="M779" s="1">
        <v>9.4012E7</v>
      </c>
      <c r="N779" s="1">
        <v>1.149241E9</v>
      </c>
      <c r="O779" s="1">
        <v>7.03771E8</v>
      </c>
      <c r="P779" s="1">
        <v>0.0</v>
      </c>
      <c r="Q779" s="1">
        <v>-1.6625E7</v>
      </c>
      <c r="R779" s="1">
        <v>3.34833E8</v>
      </c>
      <c r="S779" s="1">
        <v>3.16308E8</v>
      </c>
    </row>
    <row r="780">
      <c r="A780" s="1">
        <v>778.0</v>
      </c>
      <c r="B780" s="2">
        <v>44196.0</v>
      </c>
      <c r="C780" s="1" t="s">
        <v>430</v>
      </c>
      <c r="D780" s="1" t="s">
        <v>431</v>
      </c>
      <c r="F780" s="1">
        <v>3.79255E8</v>
      </c>
      <c r="G780" s="1">
        <v>2.9556E8</v>
      </c>
      <c r="H780" s="1">
        <v>5.83502E8</v>
      </c>
      <c r="I780" s="1">
        <v>1.045299E9</v>
      </c>
      <c r="J780" s="1">
        <v>0.0</v>
      </c>
      <c r="K780" s="1">
        <v>4.17705E8</v>
      </c>
      <c r="M780" s="1">
        <v>8.3695E7</v>
      </c>
      <c r="N780" s="1">
        <v>1.045299E9</v>
      </c>
      <c r="O780" s="1">
        <v>6.27594E8</v>
      </c>
      <c r="P780" s="1">
        <v>0.0</v>
      </c>
      <c r="Q780" s="1">
        <v>-3.845E7</v>
      </c>
      <c r="R780" s="1">
        <v>2.9556E8</v>
      </c>
      <c r="S780" s="1">
        <v>2.79488E8</v>
      </c>
    </row>
    <row r="781">
      <c r="A781" s="1">
        <v>779.0</v>
      </c>
      <c r="B781" s="2">
        <v>44104.0</v>
      </c>
      <c r="C781" s="1" t="s">
        <v>430</v>
      </c>
      <c r="D781" s="1" t="s">
        <v>431</v>
      </c>
      <c r="F781" s="1">
        <v>3.64515E8</v>
      </c>
      <c r="G781" s="1">
        <v>2.93137E8</v>
      </c>
      <c r="H781" s="1">
        <v>5.32071E8</v>
      </c>
      <c r="I781" s="1">
        <v>9.72725E8</v>
      </c>
      <c r="J781" s="1">
        <v>0.0</v>
      </c>
      <c r="K781" s="1">
        <v>3.75518E8</v>
      </c>
      <c r="M781" s="1">
        <v>7.1378E7</v>
      </c>
      <c r="N781" s="1">
        <v>9.72725E8</v>
      </c>
      <c r="O781" s="1">
        <v>5.97207E8</v>
      </c>
      <c r="P781" s="1">
        <v>0.0</v>
      </c>
      <c r="Q781" s="1">
        <v>-1.1003E7</v>
      </c>
      <c r="R781" s="1">
        <v>2.93137E8</v>
      </c>
      <c r="S781" s="1">
        <v>2.78321E8</v>
      </c>
    </row>
    <row r="782">
      <c r="A782" s="1">
        <v>780.0</v>
      </c>
      <c r="B782" s="2">
        <v>44286.0</v>
      </c>
      <c r="C782" s="1" t="s">
        <v>432</v>
      </c>
      <c r="D782" s="1" t="s">
        <v>433</v>
      </c>
      <c r="F782" s="1">
        <v>4.22E8</v>
      </c>
      <c r="G782" s="1">
        <v>3.35E8</v>
      </c>
      <c r="H782" s="1">
        <v>-1.17E8</v>
      </c>
      <c r="I782" s="1">
        <v>1.798E9</v>
      </c>
      <c r="J782" s="1">
        <v>5.67E8</v>
      </c>
      <c r="K782" s="1">
        <v>5.67E8</v>
      </c>
      <c r="L782" s="1">
        <v>-2.79E8</v>
      </c>
      <c r="M782" s="1">
        <v>8.7E7</v>
      </c>
      <c r="N782" s="1">
        <v>2.726E9</v>
      </c>
      <c r="O782" s="1">
        <v>2.159E9</v>
      </c>
      <c r="P782" s="1">
        <v>9.28E8</v>
      </c>
      <c r="Q782" s="1">
        <v>-1.45E8</v>
      </c>
      <c r="R782" s="1">
        <v>3.35E8</v>
      </c>
      <c r="S782" s="1">
        <v>3.35E8</v>
      </c>
    </row>
    <row r="783">
      <c r="A783" s="1">
        <v>781.0</v>
      </c>
      <c r="B783" s="2">
        <v>44196.0</v>
      </c>
      <c r="C783" s="1" t="s">
        <v>432</v>
      </c>
      <c r="D783" s="1" t="s">
        <v>433</v>
      </c>
      <c r="F783" s="1">
        <v>2.16E8</v>
      </c>
      <c r="G783" s="1">
        <v>2.42E8</v>
      </c>
      <c r="H783" s="1">
        <v>-2.35E8</v>
      </c>
      <c r="I783" s="1">
        <v>1.843E9</v>
      </c>
      <c r="J783" s="1">
        <v>6.89E8</v>
      </c>
      <c r="K783" s="1">
        <v>6.89E8</v>
      </c>
      <c r="L783" s="1">
        <v>-2.66E8</v>
      </c>
      <c r="M783" s="1">
        <v>4000000.0</v>
      </c>
      <c r="N783" s="1">
        <v>2.354E9</v>
      </c>
      <c r="O783" s="1">
        <v>1.665E9</v>
      </c>
      <c r="P783" s="1">
        <v>5.11E8</v>
      </c>
      <c r="Q783" s="1">
        <v>-4.73E8</v>
      </c>
      <c r="R783" s="1">
        <v>2.12E8</v>
      </c>
      <c r="S783" s="1">
        <v>2.42E8</v>
      </c>
    </row>
    <row r="784">
      <c r="A784" s="1">
        <v>782.0</v>
      </c>
      <c r="B784" s="2">
        <v>44104.0</v>
      </c>
      <c r="C784" s="1" t="s">
        <v>432</v>
      </c>
      <c r="D784" s="1" t="s">
        <v>433</v>
      </c>
      <c r="F784" s="1">
        <v>5.76E8</v>
      </c>
      <c r="G784" s="1">
        <v>4.54E8</v>
      </c>
      <c r="H784" s="1">
        <v>-2.35E8</v>
      </c>
      <c r="I784" s="1">
        <v>2.246E9</v>
      </c>
      <c r="J784" s="1">
        <v>7.21E8</v>
      </c>
      <c r="K784" s="1">
        <v>7.21E8</v>
      </c>
      <c r="L784" s="1">
        <v>-2.58E8</v>
      </c>
      <c r="M784" s="1">
        <v>1.16E8</v>
      </c>
      <c r="N784" s="1">
        <v>3.022E9</v>
      </c>
      <c r="O784" s="1">
        <v>2.301E9</v>
      </c>
      <c r="P784" s="1">
        <v>7.76E8</v>
      </c>
      <c r="Q784" s="1">
        <v>-1.45E8</v>
      </c>
      <c r="R784" s="1">
        <v>4.6E8</v>
      </c>
      <c r="S784" s="1">
        <v>4.54E8</v>
      </c>
    </row>
    <row r="785">
      <c r="A785" s="1">
        <v>783.0</v>
      </c>
      <c r="B785" s="2">
        <v>44012.0</v>
      </c>
      <c r="C785" s="1" t="s">
        <v>432</v>
      </c>
      <c r="D785" s="1" t="s">
        <v>433</v>
      </c>
      <c r="F785" s="1">
        <v>3.73E8</v>
      </c>
      <c r="G785" s="1">
        <v>3.09E8</v>
      </c>
      <c r="H785" s="1">
        <v>-2.35E8</v>
      </c>
      <c r="I785" s="1">
        <v>1.819E9</v>
      </c>
      <c r="J785" s="1">
        <v>5.15E8</v>
      </c>
      <c r="K785" s="1">
        <v>5.15E8</v>
      </c>
      <c r="L785" s="1">
        <v>-2.57E8</v>
      </c>
      <c r="M785" s="1">
        <v>6.6E7</v>
      </c>
      <c r="N785" s="1">
        <v>2.522E9</v>
      </c>
      <c r="O785" s="1">
        <v>2.007E9</v>
      </c>
      <c r="P785" s="1">
        <v>7.03E8</v>
      </c>
      <c r="Q785" s="1">
        <v>-1.42E8</v>
      </c>
      <c r="R785" s="1">
        <v>3.07E8</v>
      </c>
      <c r="S785" s="1">
        <v>3.09E8</v>
      </c>
    </row>
    <row r="786">
      <c r="A786" s="1">
        <v>784.0</v>
      </c>
      <c r="B786" s="2">
        <v>44377.0</v>
      </c>
      <c r="C786" s="1" t="s">
        <v>434</v>
      </c>
      <c r="D786" s="1" t="s">
        <v>435</v>
      </c>
      <c r="F786" s="1">
        <v>5.12E8</v>
      </c>
      <c r="G786" s="1">
        <v>2.69E8</v>
      </c>
      <c r="H786" s="1">
        <v>1.44E9</v>
      </c>
      <c r="I786" s="1">
        <v>2.084E9</v>
      </c>
      <c r="J786" s="1">
        <v>6.44E8</v>
      </c>
      <c r="K786" s="1">
        <v>6.44E8</v>
      </c>
      <c r="L786" s="1">
        <v>-1.76E8</v>
      </c>
      <c r="M786" s="1">
        <v>2.28E8</v>
      </c>
      <c r="N786" s="1">
        <v>4.051E9</v>
      </c>
      <c r="O786" s="1">
        <v>3.407E9</v>
      </c>
      <c r="P786" s="1">
        <v>1.967E9</v>
      </c>
      <c r="Q786" s="1">
        <v>-1.32E8</v>
      </c>
      <c r="R786" s="1">
        <v>2.84E8</v>
      </c>
      <c r="S786" s="1">
        <v>2.69E8</v>
      </c>
    </row>
    <row r="787">
      <c r="A787" s="1">
        <v>785.0</v>
      </c>
      <c r="B787" s="2">
        <v>44286.0</v>
      </c>
      <c r="C787" s="1" t="s">
        <v>434</v>
      </c>
      <c r="D787" s="1" t="s">
        <v>435</v>
      </c>
      <c r="F787" s="1">
        <v>3.36E8</v>
      </c>
      <c r="G787" s="1">
        <v>3.04E8</v>
      </c>
      <c r="H787" s="1">
        <v>1.367E9</v>
      </c>
      <c r="I787" s="1">
        <v>1.848E9</v>
      </c>
      <c r="J787" s="1">
        <v>4.81E8</v>
      </c>
      <c r="K787" s="1">
        <v>4.81E8</v>
      </c>
      <c r="L787" s="1">
        <v>-1.77E8</v>
      </c>
      <c r="M787" s="1">
        <v>1.8E7</v>
      </c>
      <c r="N787" s="1">
        <v>3.755E9</v>
      </c>
      <c r="O787" s="1">
        <v>3.274E9</v>
      </c>
      <c r="P787" s="1">
        <v>1.907E9</v>
      </c>
      <c r="Q787" s="1">
        <v>-1.45E8</v>
      </c>
      <c r="R787" s="1">
        <v>3.18E8</v>
      </c>
      <c r="S787" s="1">
        <v>3.04E8</v>
      </c>
    </row>
    <row r="788">
      <c r="A788" s="1">
        <v>786.0</v>
      </c>
      <c r="B788" s="2">
        <v>44196.0</v>
      </c>
      <c r="C788" s="1" t="s">
        <v>434</v>
      </c>
      <c r="D788" s="1" t="s">
        <v>435</v>
      </c>
      <c r="F788" s="1">
        <v>3.33E8</v>
      </c>
      <c r="G788" s="1">
        <v>3.0E8</v>
      </c>
      <c r="H788" s="1">
        <v>1.379E9</v>
      </c>
      <c r="I788" s="1">
        <v>1.978E9</v>
      </c>
      <c r="J788" s="1">
        <v>5.99E8</v>
      </c>
      <c r="K788" s="1">
        <v>5.99E8</v>
      </c>
      <c r="L788" s="1">
        <v>-1.75E8</v>
      </c>
      <c r="M788" s="1">
        <v>2.0E7</v>
      </c>
      <c r="N788" s="1">
        <v>3.832E9</v>
      </c>
      <c r="O788" s="1">
        <v>3.233E9</v>
      </c>
      <c r="P788" s="1">
        <v>1.854E9</v>
      </c>
      <c r="Q788" s="1">
        <v>-2.66E8</v>
      </c>
      <c r="R788" s="1">
        <v>3.13E8</v>
      </c>
      <c r="S788" s="1">
        <v>3.0E8</v>
      </c>
    </row>
    <row r="789">
      <c r="A789" s="1">
        <v>787.0</v>
      </c>
      <c r="B789" s="2">
        <v>44104.0</v>
      </c>
      <c r="C789" s="1" t="s">
        <v>434</v>
      </c>
      <c r="D789" s="1" t="s">
        <v>435</v>
      </c>
      <c r="F789" s="1">
        <v>4.0E8</v>
      </c>
      <c r="G789" s="1">
        <v>2.64E8</v>
      </c>
      <c r="H789" s="1">
        <v>1.408E9</v>
      </c>
      <c r="I789" s="1">
        <v>1.953E9</v>
      </c>
      <c r="J789" s="1">
        <v>5.45E8</v>
      </c>
      <c r="K789" s="1">
        <v>5.45E8</v>
      </c>
      <c r="L789" s="1">
        <v>-1.76E8</v>
      </c>
      <c r="M789" s="1">
        <v>1.24E8</v>
      </c>
      <c r="N789" s="1">
        <v>3.786E9</v>
      </c>
      <c r="O789" s="1">
        <v>3.241E9</v>
      </c>
      <c r="P789" s="1">
        <v>1.833E9</v>
      </c>
      <c r="Q789" s="1">
        <v>-1.45E8</v>
      </c>
      <c r="R789" s="1">
        <v>2.76E8</v>
      </c>
      <c r="S789" s="1">
        <v>2.64E8</v>
      </c>
    </row>
    <row r="790">
      <c r="A790" s="1">
        <v>788.0</v>
      </c>
      <c r="B790" s="2">
        <v>44377.0</v>
      </c>
      <c r="C790" s="1" t="s">
        <v>436</v>
      </c>
      <c r="D790" s="1" t="s">
        <v>437</v>
      </c>
      <c r="F790" s="1">
        <v>2.62519E8</v>
      </c>
      <c r="G790" s="1">
        <v>1.96247E8</v>
      </c>
      <c r="H790" s="1">
        <v>1.78233E8</v>
      </c>
      <c r="I790" s="1">
        <v>5.45087E8</v>
      </c>
      <c r="J790" s="1">
        <v>2.97612E8</v>
      </c>
      <c r="K790" s="1">
        <v>2.97612E8</v>
      </c>
      <c r="L790" s="1">
        <v>-3.4685E7</v>
      </c>
      <c r="M790" s="1">
        <v>6.6272E7</v>
      </c>
      <c r="N790" s="1">
        <v>6.67381E8</v>
      </c>
      <c r="O790" s="1">
        <v>3.69769E8</v>
      </c>
      <c r="P790" s="1">
        <v>1.22294E8</v>
      </c>
      <c r="Q790" s="1">
        <v>-3.5093E7</v>
      </c>
      <c r="R790" s="1">
        <v>1.96247E8</v>
      </c>
      <c r="S790" s="1">
        <v>1.96247E8</v>
      </c>
    </row>
    <row r="791">
      <c r="A791" s="1">
        <v>789.0</v>
      </c>
      <c r="B791" s="2">
        <v>44286.0</v>
      </c>
      <c r="C791" s="1" t="s">
        <v>436</v>
      </c>
      <c r="D791" s="1" t="s">
        <v>437</v>
      </c>
      <c r="F791" s="1">
        <v>2.3568E8</v>
      </c>
      <c r="G791" s="1">
        <v>1.84239E8</v>
      </c>
      <c r="H791" s="1">
        <v>1.60444E8</v>
      </c>
      <c r="I791" s="1">
        <v>4.92195E8</v>
      </c>
      <c r="J791" s="1">
        <v>2.65965E8</v>
      </c>
      <c r="K791" s="1">
        <v>2.65965E8</v>
      </c>
      <c r="L791" s="1">
        <v>-2.8551E7</v>
      </c>
      <c r="M791" s="1">
        <v>5.1441E7</v>
      </c>
      <c r="N791" s="1">
        <v>6.08623E8</v>
      </c>
      <c r="O791" s="1">
        <v>3.42658E8</v>
      </c>
      <c r="P791" s="1">
        <v>1.16428E8</v>
      </c>
      <c r="Q791" s="1">
        <v>-3.0285E7</v>
      </c>
      <c r="R791" s="1">
        <v>1.84239E8</v>
      </c>
      <c r="S791" s="1">
        <v>1.84239E8</v>
      </c>
    </row>
    <row r="792">
      <c r="A792" s="1">
        <v>790.0</v>
      </c>
      <c r="B792" s="2">
        <v>44196.0</v>
      </c>
      <c r="C792" s="1" t="s">
        <v>436</v>
      </c>
      <c r="D792" s="1" t="s">
        <v>437</v>
      </c>
      <c r="F792" s="1">
        <v>2.63188E8</v>
      </c>
      <c r="G792" s="1">
        <v>2.09851E8</v>
      </c>
      <c r="H792" s="1">
        <v>1.38698E8</v>
      </c>
      <c r="I792" s="1">
        <v>4.95819E8</v>
      </c>
      <c r="J792" s="1">
        <v>2.94233E8</v>
      </c>
      <c r="K792" s="1">
        <v>2.94233E8</v>
      </c>
      <c r="L792" s="1">
        <v>-3.0329E7</v>
      </c>
      <c r="M792" s="1">
        <v>5.3337E7</v>
      </c>
      <c r="N792" s="1">
        <v>6.17333E8</v>
      </c>
      <c r="O792" s="1">
        <v>3.231E8</v>
      </c>
      <c r="P792" s="1">
        <v>1.21514E8</v>
      </c>
      <c r="Q792" s="1">
        <v>-3.1045E7</v>
      </c>
      <c r="R792" s="1">
        <v>2.09851E8</v>
      </c>
      <c r="S792" s="1">
        <v>2.09851E8</v>
      </c>
    </row>
    <row r="793">
      <c r="A793" s="1">
        <v>791.0</v>
      </c>
      <c r="B793" s="2">
        <v>44104.0</v>
      </c>
      <c r="C793" s="1" t="s">
        <v>436</v>
      </c>
      <c r="D793" s="1" t="s">
        <v>437</v>
      </c>
      <c r="F793" s="1">
        <v>2.3541E8</v>
      </c>
      <c r="G793" s="1">
        <v>1.88817E8</v>
      </c>
      <c r="H793" s="1">
        <v>1.3763E8</v>
      </c>
      <c r="I793" s="1">
        <v>4.65427E8</v>
      </c>
      <c r="J793" s="1">
        <v>2.64532E8</v>
      </c>
      <c r="K793" s="1">
        <v>2.64532E8</v>
      </c>
      <c r="L793" s="1">
        <v>-3.1383E7</v>
      </c>
      <c r="M793" s="1">
        <v>4.6593E7</v>
      </c>
      <c r="N793" s="1">
        <v>5.85283E8</v>
      </c>
      <c r="O793" s="1">
        <v>3.20751E8</v>
      </c>
      <c r="P793" s="1">
        <v>1.19856E8</v>
      </c>
      <c r="Q793" s="1">
        <v>-2.9122E7</v>
      </c>
      <c r="R793" s="1">
        <v>1.88817E8</v>
      </c>
      <c r="S793" s="1">
        <v>1.88817E8</v>
      </c>
    </row>
    <row r="794">
      <c r="A794" s="1">
        <v>792.0</v>
      </c>
      <c r="B794" s="2">
        <v>44377.0</v>
      </c>
      <c r="C794" s="1" t="s">
        <v>438</v>
      </c>
      <c r="D794" s="1" t="s">
        <v>439</v>
      </c>
      <c r="E794" s="1">
        <v>6.59E7</v>
      </c>
      <c r="F794" s="1">
        <v>2.512E8</v>
      </c>
      <c r="G794" s="1">
        <v>2.029E8</v>
      </c>
      <c r="H794" s="1">
        <v>1.61E8</v>
      </c>
      <c r="I794" s="1">
        <v>5.318E8</v>
      </c>
      <c r="J794" s="1">
        <v>2.991E8</v>
      </c>
      <c r="K794" s="1">
        <v>2.991E8</v>
      </c>
      <c r="L794" s="1">
        <v>-3.26E7</v>
      </c>
      <c r="M794" s="1">
        <v>3.34E7</v>
      </c>
      <c r="N794" s="1">
        <v>1.242E9</v>
      </c>
      <c r="O794" s="1">
        <v>9.429E8</v>
      </c>
      <c r="P794" s="1">
        <v>7.102E8</v>
      </c>
      <c r="Q794" s="1">
        <v>-4.79E7</v>
      </c>
      <c r="R794" s="1">
        <v>2.178E8</v>
      </c>
      <c r="S794" s="1">
        <v>2.024E8</v>
      </c>
    </row>
    <row r="795">
      <c r="A795" s="1">
        <v>793.0</v>
      </c>
      <c r="B795" s="2">
        <v>44286.0</v>
      </c>
      <c r="C795" s="1" t="s">
        <v>438</v>
      </c>
      <c r="D795" s="1" t="s">
        <v>439</v>
      </c>
      <c r="E795" s="1">
        <v>7.4E7</v>
      </c>
      <c r="F795" s="1">
        <v>2.235E8</v>
      </c>
      <c r="G795" s="1">
        <v>1.826E8</v>
      </c>
      <c r="H795" s="1">
        <v>1.741E8</v>
      </c>
      <c r="I795" s="1">
        <v>5.124E8</v>
      </c>
      <c r="J795" s="1">
        <v>2.643E8</v>
      </c>
      <c r="K795" s="1">
        <v>2.643E8</v>
      </c>
      <c r="L795" s="1">
        <v>-3.24E7</v>
      </c>
      <c r="M795" s="1">
        <v>3.22E7</v>
      </c>
      <c r="N795" s="1">
        <v>1.1956E9</v>
      </c>
      <c r="O795" s="1">
        <v>9.313E8</v>
      </c>
      <c r="P795" s="1">
        <v>6.832E8</v>
      </c>
      <c r="Q795" s="1">
        <v>-4.08E7</v>
      </c>
      <c r="R795" s="1">
        <v>1.913E8</v>
      </c>
      <c r="S795" s="1">
        <v>1.822E8</v>
      </c>
    </row>
    <row r="796">
      <c r="A796" s="1">
        <v>794.0</v>
      </c>
      <c r="B796" s="2">
        <v>44196.0</v>
      </c>
      <c r="C796" s="1" t="s">
        <v>438</v>
      </c>
      <c r="D796" s="1" t="s">
        <v>439</v>
      </c>
      <c r="E796" s="1">
        <v>8.46E7</v>
      </c>
      <c r="F796" s="1">
        <v>1.075E8</v>
      </c>
      <c r="G796" s="1">
        <v>4.95E7</v>
      </c>
      <c r="H796" s="1">
        <v>1.687E8</v>
      </c>
      <c r="I796" s="1">
        <v>5.014E8</v>
      </c>
      <c r="J796" s="1">
        <v>2.486E8</v>
      </c>
      <c r="K796" s="1">
        <v>2.486E8</v>
      </c>
      <c r="L796" s="1">
        <v>-3.43E7</v>
      </c>
      <c r="M796" s="1">
        <v>6.86E7</v>
      </c>
      <c r="N796" s="1">
        <v>1.1522E9</v>
      </c>
      <c r="O796" s="1">
        <v>9.036E8</v>
      </c>
      <c r="P796" s="1">
        <v>6.508E8</v>
      </c>
      <c r="Q796" s="1">
        <v>-1.411E8</v>
      </c>
      <c r="R796" s="1">
        <v>3.89E7</v>
      </c>
      <c r="S796" s="1">
        <v>4.94E7</v>
      </c>
    </row>
    <row r="797">
      <c r="A797" s="1">
        <v>795.0</v>
      </c>
      <c r="B797" s="2">
        <v>44104.0</v>
      </c>
      <c r="C797" s="1" t="s">
        <v>438</v>
      </c>
      <c r="D797" s="1" t="s">
        <v>439</v>
      </c>
      <c r="E797" s="1">
        <v>7.17E7</v>
      </c>
      <c r="F797" s="1">
        <v>1.489E8</v>
      </c>
      <c r="G797" s="1">
        <v>1.114E8</v>
      </c>
      <c r="H797" s="1">
        <v>1.733E8</v>
      </c>
      <c r="I797" s="1">
        <v>4.664E8</v>
      </c>
      <c r="J797" s="1">
        <v>2.213E8</v>
      </c>
      <c r="K797" s="1">
        <v>2.213E8</v>
      </c>
      <c r="L797" s="1">
        <v>-3.55E7</v>
      </c>
      <c r="M797" s="1">
        <v>1.84E7</v>
      </c>
      <c r="N797" s="1">
        <v>1.0846E9</v>
      </c>
      <c r="O797" s="1">
        <v>8.633E8</v>
      </c>
      <c r="P797" s="1">
        <v>6.182E8</v>
      </c>
      <c r="Q797" s="1">
        <v>-7.24E7</v>
      </c>
      <c r="R797" s="1">
        <v>1.305E8</v>
      </c>
      <c r="S797" s="1">
        <v>1.111E8</v>
      </c>
    </row>
    <row r="798">
      <c r="A798" s="1">
        <v>796.0</v>
      </c>
      <c r="B798" s="2">
        <v>44377.0</v>
      </c>
      <c r="C798" s="1" t="s">
        <v>440</v>
      </c>
      <c r="D798" s="1" t="s">
        <v>441</v>
      </c>
      <c r="F798" s="1">
        <v>7.35E8</v>
      </c>
      <c r="G798" s="1">
        <v>5.61E8</v>
      </c>
      <c r="H798" s="1">
        <v>1.856E9</v>
      </c>
      <c r="I798" s="1">
        <v>2.864E9</v>
      </c>
      <c r="J798" s="1">
        <v>1.008E9</v>
      </c>
      <c r="K798" s="1">
        <v>1.008E9</v>
      </c>
      <c r="L798" s="1">
        <v>-4.53E8</v>
      </c>
      <c r="M798" s="1">
        <v>1.82E8</v>
      </c>
      <c r="N798" s="1">
        <v>2.6752E10</v>
      </c>
      <c r="O798" s="1">
        <v>2.5744E10</v>
      </c>
      <c r="P798" s="1">
        <v>2.3888E10</v>
      </c>
      <c r="Q798" s="1">
        <v>-2.73E8</v>
      </c>
      <c r="R798" s="1">
        <v>5.53E8</v>
      </c>
      <c r="S798" s="1">
        <v>5.61E8</v>
      </c>
    </row>
    <row r="799">
      <c r="A799" s="1">
        <v>797.0</v>
      </c>
      <c r="B799" s="2">
        <v>44286.0</v>
      </c>
      <c r="C799" s="1" t="s">
        <v>440</v>
      </c>
      <c r="D799" s="1" t="s">
        <v>441</v>
      </c>
      <c r="F799" s="1">
        <v>3.942E9</v>
      </c>
      <c r="G799" s="1">
        <v>3.262E9</v>
      </c>
      <c r="H799" s="1">
        <v>2.231E9</v>
      </c>
      <c r="I799" s="1">
        <v>5.357E9</v>
      </c>
      <c r="J799" s="1">
        <v>3.126E9</v>
      </c>
      <c r="K799" s="1">
        <v>3.126E9</v>
      </c>
      <c r="L799" s="1">
        <v>-4.76E8</v>
      </c>
      <c r="M799" s="1">
        <v>6.8E8</v>
      </c>
      <c r="N799" s="1">
        <v>3.6228E10</v>
      </c>
      <c r="O799" s="1">
        <v>3.3102E10</v>
      </c>
      <c r="P799" s="1">
        <v>3.0871E10</v>
      </c>
      <c r="Q799" s="1">
        <v>8.16E8</v>
      </c>
      <c r="R799" s="1">
        <v>3.262E9</v>
      </c>
      <c r="S799" s="1">
        <v>3.262E9</v>
      </c>
    </row>
    <row r="800">
      <c r="A800" s="1">
        <v>798.0</v>
      </c>
      <c r="B800" s="2">
        <v>44196.0</v>
      </c>
      <c r="C800" s="1" t="s">
        <v>440</v>
      </c>
      <c r="D800" s="1" t="s">
        <v>441</v>
      </c>
      <c r="F800" s="1">
        <v>-3.81E9</v>
      </c>
      <c r="G800" s="1">
        <v>-2.788E9</v>
      </c>
      <c r="H800" s="1">
        <v>3.304E9</v>
      </c>
      <c r="I800" s="1">
        <v>1.035E9</v>
      </c>
      <c r="J800" s="1">
        <v>-2.269E9</v>
      </c>
      <c r="K800" s="1">
        <v>-2.269E9</v>
      </c>
      <c r="L800" s="1">
        <v>-4.72E8</v>
      </c>
      <c r="M800" s="1">
        <v>-1.019E9</v>
      </c>
      <c r="N800" s="1">
        <v>3.5952E10</v>
      </c>
      <c r="O800" s="1">
        <v>3.8221E10</v>
      </c>
      <c r="P800" s="1">
        <v>3.4917E10</v>
      </c>
      <c r="Q800" s="1">
        <v>-1.541E9</v>
      </c>
      <c r="R800" s="1">
        <v>-2.791E9</v>
      </c>
      <c r="S800" s="1">
        <v>-2.788E9</v>
      </c>
    </row>
    <row r="801">
      <c r="A801" s="1">
        <v>799.0</v>
      </c>
      <c r="B801" s="2">
        <v>44104.0</v>
      </c>
      <c r="C801" s="1" t="s">
        <v>440</v>
      </c>
      <c r="D801" s="1" t="s">
        <v>441</v>
      </c>
      <c r="F801" s="1">
        <v>2.756E9</v>
      </c>
      <c r="G801" s="1">
        <v>2.385E9</v>
      </c>
      <c r="H801" s="1">
        <v>1.822E9</v>
      </c>
      <c r="I801" s="1">
        <v>4.83E9</v>
      </c>
      <c r="J801" s="1">
        <v>3.008E9</v>
      </c>
      <c r="K801" s="1">
        <v>3.008E9</v>
      </c>
      <c r="L801" s="1">
        <v>-5.07E8</v>
      </c>
      <c r="M801" s="1">
        <v>3.66E8</v>
      </c>
      <c r="N801" s="1">
        <v>3.7501E10</v>
      </c>
      <c r="O801" s="1">
        <v>3.4493E10</v>
      </c>
      <c r="P801" s="1">
        <v>3.2671E10</v>
      </c>
      <c r="Q801" s="1">
        <v>-2.52E8</v>
      </c>
      <c r="R801" s="1">
        <v>2.39E9</v>
      </c>
      <c r="S801" s="1">
        <v>2.385E9</v>
      </c>
    </row>
    <row r="802">
      <c r="A802" s="1">
        <v>800.0</v>
      </c>
      <c r="B802" s="2">
        <v>44377.0</v>
      </c>
      <c r="C802" s="1" t="s">
        <v>442</v>
      </c>
      <c r="D802" s="1" t="s">
        <v>443</v>
      </c>
      <c r="E802" s="1">
        <v>1.066E8</v>
      </c>
      <c r="F802" s="1">
        <v>1.45E8</v>
      </c>
      <c r="G802" s="1">
        <v>1.375E8</v>
      </c>
      <c r="H802" s="1">
        <v>3.613E8</v>
      </c>
      <c r="I802" s="1">
        <v>6.142E8</v>
      </c>
      <c r="J802" s="1">
        <v>1.463E8</v>
      </c>
      <c r="K802" s="1">
        <v>1.463E8</v>
      </c>
      <c r="L802" s="1">
        <v>-4500000.0</v>
      </c>
      <c r="M802" s="1">
        <v>7500000.0</v>
      </c>
      <c r="N802" s="1">
        <v>8.011E8</v>
      </c>
      <c r="O802" s="1">
        <v>6.548E8</v>
      </c>
      <c r="P802" s="1">
        <v>1.869E8</v>
      </c>
      <c r="Q802" s="1">
        <v>-1300000.0</v>
      </c>
      <c r="R802" s="1">
        <v>1.375E8</v>
      </c>
      <c r="S802" s="1">
        <v>1.375E8</v>
      </c>
    </row>
    <row r="803">
      <c r="A803" s="1">
        <v>801.0</v>
      </c>
      <c r="B803" s="2">
        <v>44286.0</v>
      </c>
      <c r="C803" s="1" t="s">
        <v>442</v>
      </c>
      <c r="D803" s="1" t="s">
        <v>443</v>
      </c>
      <c r="E803" s="1">
        <v>9.72E7</v>
      </c>
      <c r="F803" s="1">
        <v>1.194E8</v>
      </c>
      <c r="G803" s="1">
        <v>1.072E8</v>
      </c>
      <c r="H803" s="1">
        <v>3.36E8</v>
      </c>
      <c r="I803" s="1">
        <v>5.537E8</v>
      </c>
      <c r="J803" s="1">
        <v>1.205E8</v>
      </c>
      <c r="K803" s="1">
        <v>1.205E8</v>
      </c>
      <c r="L803" s="1">
        <v>-200000.0</v>
      </c>
      <c r="M803" s="1">
        <v>1.22E7</v>
      </c>
      <c r="N803" s="1">
        <v>7.103E8</v>
      </c>
      <c r="O803" s="1">
        <v>5.898E8</v>
      </c>
      <c r="P803" s="1">
        <v>1.566E8</v>
      </c>
      <c r="Q803" s="1">
        <v>-1100000.0</v>
      </c>
      <c r="R803" s="1">
        <v>1.072E8</v>
      </c>
      <c r="S803" s="1">
        <v>1.072E8</v>
      </c>
    </row>
    <row r="804">
      <c r="A804" s="1">
        <v>802.0</v>
      </c>
      <c r="B804" s="2">
        <v>44196.0</v>
      </c>
      <c r="C804" s="1" t="s">
        <v>442</v>
      </c>
      <c r="D804" s="1" t="s">
        <v>443</v>
      </c>
      <c r="E804" s="1">
        <v>8.9E7</v>
      </c>
      <c r="F804" s="1">
        <v>1.717E8</v>
      </c>
      <c r="G804" s="1">
        <v>1.467E8</v>
      </c>
      <c r="H804" s="1">
        <v>3.238E8</v>
      </c>
      <c r="I804" s="1">
        <v>5.81E8</v>
      </c>
      <c r="J804" s="1">
        <v>1.682E8</v>
      </c>
      <c r="K804" s="1">
        <v>1.682E8</v>
      </c>
      <c r="L804" s="1">
        <v>-200000.0</v>
      </c>
      <c r="M804" s="1">
        <v>2.5E7</v>
      </c>
      <c r="N804" s="1">
        <v>7.48E8</v>
      </c>
      <c r="O804" s="1">
        <v>5.798E8</v>
      </c>
      <c r="P804" s="1">
        <v>1.67E8</v>
      </c>
      <c r="Q804" s="1">
        <v>3500000.0</v>
      </c>
      <c r="R804" s="1">
        <v>1.467E8</v>
      </c>
      <c r="S804" s="1">
        <v>1.467E8</v>
      </c>
    </row>
    <row r="805">
      <c r="A805" s="1">
        <v>803.0</v>
      </c>
      <c r="B805" s="2">
        <v>44104.0</v>
      </c>
      <c r="C805" s="1" t="s">
        <v>442</v>
      </c>
      <c r="D805" s="1" t="s">
        <v>443</v>
      </c>
      <c r="E805" s="1">
        <v>9.0E7</v>
      </c>
      <c r="F805" s="1">
        <v>1.284E8</v>
      </c>
      <c r="G805" s="1">
        <v>1.234E8</v>
      </c>
      <c r="H805" s="1">
        <v>2.961E8</v>
      </c>
      <c r="I805" s="1">
        <v>5.119E8</v>
      </c>
      <c r="J805" s="1">
        <v>1.258E8</v>
      </c>
      <c r="K805" s="1">
        <v>1.258E8</v>
      </c>
      <c r="L805" s="1">
        <v>-200000.0</v>
      </c>
      <c r="M805" s="1">
        <v>5000000.0</v>
      </c>
      <c r="N805" s="1">
        <v>6.511E8</v>
      </c>
      <c r="O805" s="1">
        <v>5.253E8</v>
      </c>
      <c r="P805" s="1">
        <v>1.392E8</v>
      </c>
      <c r="Q805" s="1">
        <v>2600000.0</v>
      </c>
      <c r="R805" s="1">
        <v>1.234E8</v>
      </c>
      <c r="S805" s="1">
        <v>1.234E8</v>
      </c>
    </row>
    <row r="806">
      <c r="A806" s="1">
        <v>804.0</v>
      </c>
      <c r="B806" s="2">
        <v>44379.0</v>
      </c>
      <c r="C806" s="1" t="s">
        <v>444</v>
      </c>
      <c r="D806" s="1" t="s">
        <v>445</v>
      </c>
      <c r="E806" s="1">
        <v>8.78E7</v>
      </c>
      <c r="F806" s="1">
        <v>2.075E8</v>
      </c>
      <c r="G806" s="1">
        <v>1.809E8</v>
      </c>
      <c r="H806" s="1">
        <v>4.571E8</v>
      </c>
      <c r="I806" s="1">
        <v>7.555E8</v>
      </c>
      <c r="J806" s="1">
        <v>2.106E8</v>
      </c>
      <c r="K806" s="1">
        <v>2.106E8</v>
      </c>
      <c r="L806" s="1">
        <v>-2.52E7</v>
      </c>
      <c r="M806" s="1">
        <v>2.55E7</v>
      </c>
      <c r="N806" s="1">
        <v>1.3197E9</v>
      </c>
      <c r="O806" s="1">
        <v>1.1091E9</v>
      </c>
      <c r="P806" s="1">
        <v>5.642E8</v>
      </c>
      <c r="Q806" s="1">
        <v>-3100000.0</v>
      </c>
      <c r="R806" s="1">
        <v>1.82E8</v>
      </c>
      <c r="S806" s="1">
        <v>1.637E8</v>
      </c>
    </row>
    <row r="807">
      <c r="A807" s="1">
        <v>805.0</v>
      </c>
      <c r="B807" s="2">
        <v>44288.0</v>
      </c>
      <c r="C807" s="1" t="s">
        <v>444</v>
      </c>
      <c r="D807" s="1" t="s">
        <v>445</v>
      </c>
      <c r="E807" s="1">
        <v>8.62E7</v>
      </c>
      <c r="F807" s="1">
        <v>1.187E8</v>
      </c>
      <c r="G807" s="1">
        <v>1.102E8</v>
      </c>
      <c r="H807" s="1">
        <v>4.289E8</v>
      </c>
      <c r="I807" s="1">
        <v>7.119E8</v>
      </c>
      <c r="J807" s="1">
        <v>1.968E8</v>
      </c>
      <c r="K807" s="1">
        <v>1.968E8</v>
      </c>
      <c r="L807" s="1">
        <v>-2.77E7</v>
      </c>
      <c r="M807" s="1">
        <v>7000000.0</v>
      </c>
      <c r="N807" s="1">
        <v>1.2592E9</v>
      </c>
      <c r="O807" s="1">
        <v>1.0624E9</v>
      </c>
      <c r="P807" s="1">
        <v>5.473E8</v>
      </c>
      <c r="Q807" s="1">
        <v>-7.81E7</v>
      </c>
      <c r="R807" s="1">
        <v>1.117E8</v>
      </c>
      <c r="S807" s="1">
        <v>9.29E7</v>
      </c>
    </row>
    <row r="808">
      <c r="A808" s="1">
        <v>806.0</v>
      </c>
      <c r="B808" s="2">
        <v>44196.0</v>
      </c>
      <c r="C808" s="1" t="s">
        <v>444</v>
      </c>
      <c r="D808" s="1" t="s">
        <v>445</v>
      </c>
      <c r="E808" s="1">
        <v>-1.03E7</v>
      </c>
      <c r="F808" s="1">
        <v>1.018E9</v>
      </c>
      <c r="G808" s="1">
        <v>1.2156E9</v>
      </c>
      <c r="H808" s="1">
        <v>2.36E7</v>
      </c>
      <c r="I808" s="1">
        <v>-5.68E7</v>
      </c>
      <c r="J808" s="1">
        <v>-7.01E7</v>
      </c>
      <c r="K808" s="1">
        <v>-7.01E7</v>
      </c>
      <c r="L808" s="1">
        <v>-1.78E7</v>
      </c>
      <c r="M808" s="1">
        <v>-3.58E7</v>
      </c>
      <c r="N808" s="1">
        <v>-5.526E8</v>
      </c>
      <c r="O808" s="1">
        <v>-4.825E8</v>
      </c>
      <c r="P808" s="1">
        <v>-4.958E8</v>
      </c>
      <c r="Q808" s="1">
        <v>1.0881E9</v>
      </c>
      <c r="R808" s="1">
        <v>1.0538E9</v>
      </c>
      <c r="S808" s="1">
        <v>1.1984E9</v>
      </c>
    </row>
    <row r="809">
      <c r="A809" s="1">
        <v>807.0</v>
      </c>
      <c r="B809" s="2">
        <v>44099.0</v>
      </c>
      <c r="C809" s="1" t="s">
        <v>444</v>
      </c>
      <c r="D809" s="1" t="s">
        <v>445</v>
      </c>
      <c r="E809" s="1">
        <v>1.107E8</v>
      </c>
      <c r="F809" s="1">
        <v>2.651E8</v>
      </c>
      <c r="G809" s="1">
        <v>2.258E8</v>
      </c>
      <c r="H809" s="1">
        <v>5.631E8</v>
      </c>
      <c r="I809" s="1">
        <v>9.834E8</v>
      </c>
      <c r="J809" s="1">
        <v>3.096E8</v>
      </c>
      <c r="K809" s="1">
        <v>3.096E8</v>
      </c>
      <c r="L809" s="1">
        <v>-4.39E7</v>
      </c>
      <c r="M809" s="1">
        <v>3.93E7</v>
      </c>
      <c r="N809" s="1">
        <v>1.9023E9</v>
      </c>
      <c r="O809" s="1">
        <v>1.5927E9</v>
      </c>
      <c r="P809" s="1">
        <v>9.189E8</v>
      </c>
      <c r="Q809" s="1">
        <v>-4.45E7</v>
      </c>
      <c r="R809" s="1">
        <v>2.258E8</v>
      </c>
      <c r="S809" s="1">
        <v>2.085E8</v>
      </c>
    </row>
    <row r="810">
      <c r="A810" s="1">
        <v>808.0</v>
      </c>
      <c r="B810" s="2">
        <v>44377.0</v>
      </c>
      <c r="C810" s="1" t="s">
        <v>446</v>
      </c>
      <c r="D810" s="1" t="s">
        <v>447</v>
      </c>
      <c r="F810" s="1">
        <v>2.75E8</v>
      </c>
      <c r="G810" s="1">
        <v>2.172E8</v>
      </c>
      <c r="H810" s="1">
        <v>3.946E8</v>
      </c>
      <c r="I810" s="1">
        <v>7.058E8</v>
      </c>
      <c r="J810" s="1">
        <v>2.952E8</v>
      </c>
      <c r="K810" s="1">
        <v>2.952E8</v>
      </c>
      <c r="L810" s="1">
        <v>-2.12E7</v>
      </c>
      <c r="M810" s="1">
        <v>5.78E7</v>
      </c>
      <c r="N810" s="1">
        <v>1.9361E9</v>
      </c>
      <c r="O810" s="1">
        <v>1.6409E9</v>
      </c>
      <c r="P810" s="1">
        <v>1.2303E9</v>
      </c>
      <c r="Q810" s="1">
        <v>-2.02E7</v>
      </c>
      <c r="R810" s="1">
        <v>2.172E8</v>
      </c>
      <c r="S810" s="1">
        <v>2.172E8</v>
      </c>
    </row>
    <row r="811">
      <c r="A811" s="1">
        <v>809.0</v>
      </c>
      <c r="B811" s="2">
        <v>44286.0</v>
      </c>
      <c r="C811" s="1" t="s">
        <v>446</v>
      </c>
      <c r="D811" s="1" t="s">
        <v>447</v>
      </c>
      <c r="F811" s="1">
        <v>2.237E8</v>
      </c>
      <c r="G811" s="1">
        <v>1.778E8</v>
      </c>
      <c r="H811" s="1">
        <v>3.715E8</v>
      </c>
      <c r="I811" s="1">
        <v>6.474E8</v>
      </c>
      <c r="J811" s="1">
        <v>2.593E8</v>
      </c>
      <c r="K811" s="1">
        <v>2.593E8</v>
      </c>
      <c r="L811" s="1">
        <v>-2.14E7</v>
      </c>
      <c r="M811" s="1">
        <v>4.59E7</v>
      </c>
      <c r="N811" s="1">
        <v>1.771E9</v>
      </c>
      <c r="O811" s="1">
        <v>1.5117E9</v>
      </c>
      <c r="P811" s="1">
        <v>1.1236E9</v>
      </c>
      <c r="Q811" s="1">
        <v>-3.56E7</v>
      </c>
      <c r="R811" s="1">
        <v>1.778E8</v>
      </c>
      <c r="S811" s="1">
        <v>1.778E8</v>
      </c>
    </row>
    <row r="812">
      <c r="A812" s="1">
        <v>810.0</v>
      </c>
      <c r="B812" s="2">
        <v>44196.0</v>
      </c>
      <c r="C812" s="1" t="s">
        <v>446</v>
      </c>
      <c r="D812" s="1" t="s">
        <v>447</v>
      </c>
      <c r="F812" s="1">
        <v>2.107E8</v>
      </c>
      <c r="G812" s="1">
        <v>1.636E8</v>
      </c>
      <c r="H812" s="1">
        <v>3.632E8</v>
      </c>
      <c r="I812" s="1">
        <v>6.181E8</v>
      </c>
      <c r="J812" s="1">
        <v>2.44E8</v>
      </c>
      <c r="K812" s="1">
        <v>2.44E8</v>
      </c>
      <c r="L812" s="1">
        <v>-1.95E7</v>
      </c>
      <c r="M812" s="1">
        <v>4.71E7</v>
      </c>
      <c r="N812" s="1">
        <v>1.6597E9</v>
      </c>
      <c r="O812" s="1">
        <v>1.4157E9</v>
      </c>
      <c r="P812" s="1">
        <v>1.0416E9</v>
      </c>
      <c r="Q812" s="1">
        <v>-3.33E7</v>
      </c>
      <c r="R812" s="1">
        <v>1.636E8</v>
      </c>
      <c r="S812" s="1">
        <v>1.636E8</v>
      </c>
    </row>
    <row r="813">
      <c r="A813" s="1">
        <v>811.0</v>
      </c>
      <c r="B813" s="2">
        <v>44104.0</v>
      </c>
      <c r="C813" s="1" t="s">
        <v>446</v>
      </c>
      <c r="D813" s="1" t="s">
        <v>447</v>
      </c>
      <c r="F813" s="1">
        <v>2.198E8</v>
      </c>
      <c r="G813" s="1">
        <v>1.646E8</v>
      </c>
      <c r="H813" s="1">
        <v>3.278E8</v>
      </c>
      <c r="I813" s="1">
        <v>5.806E8</v>
      </c>
      <c r="J813" s="1">
        <v>2.423E8</v>
      </c>
      <c r="K813" s="1">
        <v>2.423E8</v>
      </c>
      <c r="L813" s="1">
        <v>-2.01E7</v>
      </c>
      <c r="M813" s="1">
        <v>5.4E7</v>
      </c>
      <c r="N813" s="1">
        <v>1.6521E9</v>
      </c>
      <c r="O813" s="1">
        <v>1.4098E9</v>
      </c>
      <c r="P813" s="1">
        <v>1.0715E9</v>
      </c>
      <c r="Q813" s="1">
        <v>-2.25E7</v>
      </c>
      <c r="R813" s="1">
        <v>1.658E8</v>
      </c>
      <c r="S813" s="1">
        <v>1.646E8</v>
      </c>
    </row>
    <row r="814">
      <c r="A814" s="1">
        <v>812.0</v>
      </c>
      <c r="B814" s="2">
        <v>44377.0</v>
      </c>
      <c r="C814" s="1" t="s">
        <v>448</v>
      </c>
      <c r="D814" s="1" t="s">
        <v>449</v>
      </c>
      <c r="F814" s="1">
        <v>3.57E8</v>
      </c>
      <c r="G814" s="1">
        <v>2.53E8</v>
      </c>
      <c r="H814" s="1">
        <v>5.4E8</v>
      </c>
      <c r="I814" s="1">
        <v>1.252E9</v>
      </c>
      <c r="J814" s="1">
        <v>6.28E8</v>
      </c>
      <c r="K814" s="1">
        <v>6.28E8</v>
      </c>
      <c r="L814" s="1">
        <v>-9.9E7</v>
      </c>
      <c r="M814" s="1">
        <v>8.5E7</v>
      </c>
      <c r="N814" s="1">
        <v>2.89E9</v>
      </c>
      <c r="O814" s="1">
        <v>2.262E9</v>
      </c>
      <c r="P814" s="1">
        <v>1.638E9</v>
      </c>
      <c r="Q814" s="1">
        <v>-2.71E8</v>
      </c>
      <c r="R814" s="1">
        <v>2.72E8</v>
      </c>
      <c r="S814" s="1">
        <v>2.53E8</v>
      </c>
    </row>
    <row r="815">
      <c r="A815" s="1">
        <v>813.0</v>
      </c>
      <c r="B815" s="2">
        <v>44286.0</v>
      </c>
      <c r="C815" s="1" t="s">
        <v>448</v>
      </c>
      <c r="D815" s="1" t="s">
        <v>449</v>
      </c>
      <c r="F815" s="1">
        <v>7.78E8</v>
      </c>
      <c r="G815" s="1">
        <v>5.67E8</v>
      </c>
      <c r="H815" s="1">
        <v>4.37E8</v>
      </c>
      <c r="I815" s="1">
        <v>1.33E9</v>
      </c>
      <c r="J815" s="1">
        <v>8.15E8</v>
      </c>
      <c r="K815" s="1">
        <v>8.15E8</v>
      </c>
      <c r="L815" s="1">
        <v>-9.8E7</v>
      </c>
      <c r="M815" s="1">
        <v>1.96E8</v>
      </c>
      <c r="N815" s="1">
        <v>3.215E9</v>
      </c>
      <c r="O815" s="1">
        <v>2.4E9</v>
      </c>
      <c r="P815" s="1">
        <v>1.885E9</v>
      </c>
      <c r="Q815" s="1">
        <v>-3.7E7</v>
      </c>
      <c r="R815" s="1">
        <v>5.82E8</v>
      </c>
      <c r="S815" s="1">
        <v>5.67E8</v>
      </c>
    </row>
    <row r="816">
      <c r="A816" s="1">
        <v>814.0</v>
      </c>
      <c r="B816" s="2">
        <v>44196.0</v>
      </c>
      <c r="C816" s="1" t="s">
        <v>448</v>
      </c>
      <c r="D816" s="1" t="s">
        <v>449</v>
      </c>
      <c r="F816" s="1">
        <v>3.04E8</v>
      </c>
      <c r="G816" s="1">
        <v>2.24E8</v>
      </c>
      <c r="H816" s="1">
        <v>4.42E8</v>
      </c>
      <c r="I816" s="1">
        <v>7.41E8</v>
      </c>
      <c r="J816" s="1">
        <v>2.29E8</v>
      </c>
      <c r="K816" s="1">
        <v>2.29E8</v>
      </c>
      <c r="L816" s="1">
        <v>-9.9E7</v>
      </c>
      <c r="M816" s="1">
        <v>7.4E7</v>
      </c>
      <c r="N816" s="1">
        <v>4.087E9</v>
      </c>
      <c r="O816" s="1">
        <v>3.858E9</v>
      </c>
      <c r="P816" s="1">
        <v>3.346E9</v>
      </c>
      <c r="Q816" s="1">
        <v>7.5E7</v>
      </c>
      <c r="R816" s="1">
        <v>2.3E8</v>
      </c>
      <c r="S816" s="1">
        <v>2.24E8</v>
      </c>
    </row>
    <row r="817">
      <c r="A817" s="1">
        <v>815.0</v>
      </c>
      <c r="B817" s="2">
        <v>44104.0</v>
      </c>
      <c r="C817" s="1" t="s">
        <v>448</v>
      </c>
      <c r="D817" s="1" t="s">
        <v>449</v>
      </c>
      <c r="F817" s="1">
        <v>1.479E9</v>
      </c>
      <c r="G817" s="1">
        <v>1.106E9</v>
      </c>
      <c r="H817" s="1">
        <v>3.88E8</v>
      </c>
      <c r="I817" s="1">
        <v>1.549E9</v>
      </c>
      <c r="J817" s="1">
        <v>1.093E9</v>
      </c>
      <c r="K817" s="1">
        <v>1.093E9</v>
      </c>
      <c r="L817" s="1">
        <v>-9.9E7</v>
      </c>
      <c r="M817" s="1">
        <v>3.62E8</v>
      </c>
      <c r="N817" s="1">
        <v>2.717E9</v>
      </c>
      <c r="O817" s="1">
        <v>1.624E9</v>
      </c>
      <c r="P817" s="1">
        <v>1.168E9</v>
      </c>
      <c r="Q817" s="1">
        <v>3.86E8</v>
      </c>
      <c r="R817" s="1">
        <v>1.117E9</v>
      </c>
      <c r="S817" s="1">
        <v>1.106E9</v>
      </c>
    </row>
    <row r="818">
      <c r="A818" s="1">
        <v>816.0</v>
      </c>
      <c r="B818" s="2">
        <v>44377.0</v>
      </c>
      <c r="C818" s="1" t="s">
        <v>450</v>
      </c>
      <c r="D818" s="1" t="s">
        <v>451</v>
      </c>
      <c r="F818" s="1">
        <v>3.57E8</v>
      </c>
      <c r="G818" s="1">
        <v>2.53E8</v>
      </c>
      <c r="H818" s="1">
        <v>5.4E8</v>
      </c>
      <c r="I818" s="1">
        <v>1.252E9</v>
      </c>
      <c r="J818" s="1">
        <v>6.28E8</v>
      </c>
      <c r="K818" s="1">
        <v>6.28E8</v>
      </c>
      <c r="L818" s="1">
        <v>-9.9E7</v>
      </c>
      <c r="M818" s="1">
        <v>8.5E7</v>
      </c>
      <c r="N818" s="1">
        <v>2.89E9</v>
      </c>
      <c r="O818" s="1">
        <v>2.262E9</v>
      </c>
      <c r="P818" s="1">
        <v>1.638E9</v>
      </c>
      <c r="Q818" s="1">
        <v>-2.71E8</v>
      </c>
      <c r="R818" s="1">
        <v>2.72E8</v>
      </c>
      <c r="S818" s="1">
        <v>2.53E8</v>
      </c>
    </row>
    <row r="819">
      <c r="A819" s="1">
        <v>817.0</v>
      </c>
      <c r="B819" s="2">
        <v>44286.0</v>
      </c>
      <c r="C819" s="1" t="s">
        <v>450</v>
      </c>
      <c r="D819" s="1" t="s">
        <v>451</v>
      </c>
      <c r="F819" s="1">
        <v>7.78E8</v>
      </c>
      <c r="G819" s="1">
        <v>5.67E8</v>
      </c>
      <c r="H819" s="1">
        <v>4.37E8</v>
      </c>
      <c r="I819" s="1">
        <v>1.33E9</v>
      </c>
      <c r="J819" s="1">
        <v>8.15E8</v>
      </c>
      <c r="K819" s="1">
        <v>8.15E8</v>
      </c>
      <c r="L819" s="1">
        <v>-9.8E7</v>
      </c>
      <c r="M819" s="1">
        <v>1.96E8</v>
      </c>
      <c r="N819" s="1">
        <v>3.215E9</v>
      </c>
      <c r="O819" s="1">
        <v>2.4E9</v>
      </c>
      <c r="P819" s="1">
        <v>1.885E9</v>
      </c>
      <c r="Q819" s="1">
        <v>-3.7E7</v>
      </c>
      <c r="R819" s="1">
        <v>5.82E8</v>
      </c>
      <c r="S819" s="1">
        <v>5.67E8</v>
      </c>
    </row>
    <row r="820">
      <c r="A820" s="1">
        <v>818.0</v>
      </c>
      <c r="B820" s="2">
        <v>44196.0</v>
      </c>
      <c r="C820" s="1" t="s">
        <v>450</v>
      </c>
      <c r="D820" s="1" t="s">
        <v>451</v>
      </c>
      <c r="F820" s="1">
        <v>3.04E8</v>
      </c>
      <c r="G820" s="1">
        <v>2.24E8</v>
      </c>
      <c r="H820" s="1">
        <v>4.42E8</v>
      </c>
      <c r="I820" s="1">
        <v>7.41E8</v>
      </c>
      <c r="J820" s="1">
        <v>2.29E8</v>
      </c>
      <c r="K820" s="1">
        <v>2.29E8</v>
      </c>
      <c r="L820" s="1">
        <v>-9.9E7</v>
      </c>
      <c r="M820" s="1">
        <v>7.4E7</v>
      </c>
      <c r="N820" s="1">
        <v>4.087E9</v>
      </c>
      <c r="O820" s="1">
        <v>3.858E9</v>
      </c>
      <c r="P820" s="1">
        <v>3.346E9</v>
      </c>
      <c r="Q820" s="1">
        <v>7.5E7</v>
      </c>
      <c r="R820" s="1">
        <v>2.3E8</v>
      </c>
      <c r="S820" s="1">
        <v>2.24E8</v>
      </c>
    </row>
    <row r="821">
      <c r="A821" s="1">
        <v>819.0</v>
      </c>
      <c r="B821" s="2">
        <v>44104.0</v>
      </c>
      <c r="C821" s="1" t="s">
        <v>450</v>
      </c>
      <c r="D821" s="1" t="s">
        <v>451</v>
      </c>
      <c r="F821" s="1">
        <v>1.479E9</v>
      </c>
      <c r="G821" s="1">
        <v>1.106E9</v>
      </c>
      <c r="H821" s="1">
        <v>3.88E8</v>
      </c>
      <c r="I821" s="1">
        <v>1.549E9</v>
      </c>
      <c r="J821" s="1">
        <v>1.093E9</v>
      </c>
      <c r="K821" s="1">
        <v>1.093E9</v>
      </c>
      <c r="L821" s="1">
        <v>-9.9E7</v>
      </c>
      <c r="M821" s="1">
        <v>3.62E8</v>
      </c>
      <c r="N821" s="1">
        <v>2.717E9</v>
      </c>
      <c r="O821" s="1">
        <v>1.624E9</v>
      </c>
      <c r="P821" s="1">
        <v>1.168E9</v>
      </c>
      <c r="Q821" s="1">
        <v>3.86E8</v>
      </c>
      <c r="R821" s="1">
        <v>1.117E9</v>
      </c>
      <c r="S821" s="1">
        <v>1.106E9</v>
      </c>
    </row>
    <row r="822">
      <c r="A822" s="1">
        <v>820.0</v>
      </c>
      <c r="B822" s="2">
        <v>44377.0</v>
      </c>
      <c r="C822" s="1" t="s">
        <v>452</v>
      </c>
      <c r="D822" s="1" t="s">
        <v>453</v>
      </c>
      <c r="F822" s="1">
        <v>5.554E8</v>
      </c>
      <c r="G822" s="1">
        <v>4.384E8</v>
      </c>
      <c r="H822" s="1">
        <v>3.344E8</v>
      </c>
      <c r="I822" s="1">
        <v>9.135E8</v>
      </c>
      <c r="J822" s="1">
        <v>5.211E8</v>
      </c>
      <c r="K822" s="1">
        <v>5.211E8</v>
      </c>
      <c r="L822" s="1">
        <v>-2.57E7</v>
      </c>
      <c r="M822" s="1">
        <v>8.38E7</v>
      </c>
      <c r="N822" s="1">
        <v>2.1729E9</v>
      </c>
      <c r="O822" s="1">
        <v>1.6518E9</v>
      </c>
      <c r="P822" s="1">
        <v>1.2594E9</v>
      </c>
      <c r="Q822" s="1">
        <v>3.43E7</v>
      </c>
      <c r="R822" s="1">
        <v>4.716E8</v>
      </c>
      <c r="S822" s="1">
        <v>4.19E8</v>
      </c>
    </row>
    <row r="823">
      <c r="A823" s="1">
        <v>821.0</v>
      </c>
      <c r="B823" s="2">
        <v>44286.0</v>
      </c>
      <c r="C823" s="1" t="s">
        <v>452</v>
      </c>
      <c r="D823" s="1" t="s">
        <v>453</v>
      </c>
      <c r="F823" s="1">
        <v>6.135E8</v>
      </c>
      <c r="G823" s="1">
        <v>3.818E8</v>
      </c>
      <c r="H823" s="1">
        <v>2.882E8</v>
      </c>
      <c r="I823" s="1">
        <v>8.595E8</v>
      </c>
      <c r="J823" s="1">
        <v>5.134E8</v>
      </c>
      <c r="K823" s="1">
        <v>5.134E8</v>
      </c>
      <c r="L823" s="1">
        <v>-1.59E7</v>
      </c>
      <c r="M823" s="1">
        <v>1.281E8</v>
      </c>
      <c r="N823" s="1">
        <v>2.0765E9</v>
      </c>
      <c r="O823" s="1">
        <v>1.5631E9</v>
      </c>
      <c r="P823" s="1">
        <v>1.217E9</v>
      </c>
      <c r="Q823" s="1">
        <v>1.001E8</v>
      </c>
      <c r="R823" s="1">
        <v>4.854E8</v>
      </c>
      <c r="S823" s="1">
        <v>3.649E8</v>
      </c>
    </row>
    <row r="824">
      <c r="A824" s="1">
        <v>822.0</v>
      </c>
      <c r="B824" s="2">
        <v>44196.0</v>
      </c>
      <c r="C824" s="1" t="s">
        <v>452</v>
      </c>
      <c r="D824" s="1" t="s">
        <v>453</v>
      </c>
      <c r="F824" s="1">
        <v>5.373E8</v>
      </c>
      <c r="G824" s="1">
        <v>3.453E8</v>
      </c>
      <c r="H824" s="1">
        <v>2.849E8</v>
      </c>
      <c r="I824" s="1">
        <v>8.3E8</v>
      </c>
      <c r="J824" s="1">
        <v>4.869E8</v>
      </c>
      <c r="K824" s="1">
        <v>4.869E8</v>
      </c>
      <c r="L824" s="1">
        <v>-2.97E7</v>
      </c>
      <c r="M824" s="1">
        <v>1.425E8</v>
      </c>
      <c r="N824" s="1">
        <v>1.9951E9</v>
      </c>
      <c r="O824" s="1">
        <v>1.5082E9</v>
      </c>
      <c r="P824" s="1">
        <v>1.1651E9</v>
      </c>
      <c r="Q824" s="1">
        <v>5.04E7</v>
      </c>
      <c r="R824" s="1">
        <v>3.948E8</v>
      </c>
      <c r="S824" s="1">
        <v>3.307E8</v>
      </c>
    </row>
    <row r="825">
      <c r="A825" s="1">
        <v>823.0</v>
      </c>
      <c r="B825" s="2">
        <v>44104.0</v>
      </c>
      <c r="C825" s="1" t="s">
        <v>452</v>
      </c>
      <c r="D825" s="1" t="s">
        <v>453</v>
      </c>
      <c r="F825" s="1">
        <v>1.996E8</v>
      </c>
      <c r="G825" s="1">
        <v>7.89E7</v>
      </c>
      <c r="H825" s="1">
        <v>2.319E8</v>
      </c>
      <c r="I825" s="1">
        <v>6.79E8</v>
      </c>
      <c r="J825" s="1">
        <v>4.098E8</v>
      </c>
      <c r="K825" s="1">
        <v>4.098E8</v>
      </c>
      <c r="L825" s="1">
        <v>-1.57E7</v>
      </c>
      <c r="M825" s="1">
        <v>7.31E7</v>
      </c>
      <c r="N825" s="1">
        <v>1.6274E9</v>
      </c>
      <c r="O825" s="1">
        <v>1.2176E9</v>
      </c>
      <c r="P825" s="1">
        <v>9.484E8</v>
      </c>
      <c r="Q825" s="1">
        <v>-2.102E8</v>
      </c>
      <c r="R825" s="1">
        <v>1.265E8</v>
      </c>
      <c r="S825" s="1">
        <v>6.36E7</v>
      </c>
    </row>
    <row r="826">
      <c r="A826" s="1">
        <v>824.0</v>
      </c>
      <c r="B826" s="2">
        <v>44377.0</v>
      </c>
      <c r="C826" s="1" t="s">
        <v>454</v>
      </c>
      <c r="D826" s="1" t="s">
        <v>455</v>
      </c>
      <c r="F826" s="1">
        <v>1.934E9</v>
      </c>
      <c r="G826" s="1">
        <v>1.083E9</v>
      </c>
      <c r="H826" s="1">
        <v>8.7E7</v>
      </c>
      <c r="I826" s="1">
        <v>2.75E9</v>
      </c>
      <c r="J826" s="1">
        <v>2.133E9</v>
      </c>
      <c r="K826" s="1">
        <v>2.133E9</v>
      </c>
      <c r="L826" s="1">
        <v>-1.48E8</v>
      </c>
      <c r="M826" s="1">
        <v>6.03E8</v>
      </c>
      <c r="N826" s="1">
        <v>5.748E9</v>
      </c>
      <c r="O826" s="1">
        <v>3.615E9</v>
      </c>
      <c r="P826" s="1">
        <v>2.998E9</v>
      </c>
      <c r="Q826" s="1">
        <v>-1.99E8</v>
      </c>
      <c r="R826" s="1">
        <v>1.331E9</v>
      </c>
      <c r="S826" s="1">
        <v>1.079E9</v>
      </c>
    </row>
    <row r="827">
      <c r="A827" s="1">
        <v>825.0</v>
      </c>
      <c r="B827" s="2">
        <v>44286.0</v>
      </c>
      <c r="C827" s="1" t="s">
        <v>454</v>
      </c>
      <c r="D827" s="1" t="s">
        <v>455</v>
      </c>
      <c r="F827" s="1">
        <v>1.396E9</v>
      </c>
      <c r="G827" s="1">
        <v>7.18E8</v>
      </c>
      <c r="H827" s="1">
        <v>1.0E8</v>
      </c>
      <c r="I827" s="1">
        <v>2.063E9</v>
      </c>
      <c r="J827" s="1">
        <v>1.532E9</v>
      </c>
      <c r="K827" s="1">
        <v>1.532E9</v>
      </c>
      <c r="L827" s="1">
        <v>-1.45E8</v>
      </c>
      <c r="M827" s="1">
        <v>4.43E8</v>
      </c>
      <c r="N827" s="1">
        <v>4.85E9</v>
      </c>
      <c r="O827" s="1">
        <v>3.318E9</v>
      </c>
      <c r="P827" s="1">
        <v>2.787E9</v>
      </c>
      <c r="Q827" s="1">
        <v>-1.36E8</v>
      </c>
      <c r="R827" s="1">
        <v>9.53E8</v>
      </c>
      <c r="S827" s="1">
        <v>7.18E8</v>
      </c>
    </row>
    <row r="828">
      <c r="A828" s="1">
        <v>826.0</v>
      </c>
      <c r="B828" s="2">
        <v>44196.0</v>
      </c>
      <c r="C828" s="1" t="s">
        <v>454</v>
      </c>
      <c r="D828" s="1" t="s">
        <v>455</v>
      </c>
      <c r="F828" s="1">
        <v>1.469E9</v>
      </c>
      <c r="G828" s="1">
        <v>7.08E8</v>
      </c>
      <c r="H828" s="1">
        <v>1.17E8</v>
      </c>
      <c r="I828" s="1">
        <v>1.864E9</v>
      </c>
      <c r="J828" s="1">
        <v>1.335E9</v>
      </c>
      <c r="K828" s="1">
        <v>1.335E9</v>
      </c>
      <c r="L828" s="1">
        <v>-2.01E8</v>
      </c>
      <c r="M828" s="1">
        <v>6.11E8</v>
      </c>
      <c r="N828" s="1">
        <v>4.495E9</v>
      </c>
      <c r="O828" s="1">
        <v>3.16E9</v>
      </c>
      <c r="P828" s="1">
        <v>2.631E9</v>
      </c>
      <c r="Q828" s="1">
        <v>1.34E8</v>
      </c>
      <c r="R828" s="1">
        <v>8.58E8</v>
      </c>
      <c r="S828" s="1">
        <v>7.08E8</v>
      </c>
    </row>
    <row r="829">
      <c r="A829" s="1">
        <v>827.0</v>
      </c>
      <c r="B829" s="2">
        <v>44104.0</v>
      </c>
      <c r="C829" s="1" t="s">
        <v>454</v>
      </c>
      <c r="D829" s="1" t="s">
        <v>455</v>
      </c>
      <c r="F829" s="1">
        <v>7.29E8</v>
      </c>
      <c r="G829" s="1">
        <v>3.29E8</v>
      </c>
      <c r="H829" s="1">
        <v>7.2E7</v>
      </c>
      <c r="I829" s="1">
        <v>1.407E9</v>
      </c>
      <c r="J829" s="1">
        <v>9.16E8</v>
      </c>
      <c r="K829" s="1">
        <v>9.16E8</v>
      </c>
      <c r="L829" s="1">
        <v>-1.2E8</v>
      </c>
      <c r="M829" s="1">
        <v>2.97E8</v>
      </c>
      <c r="N829" s="1">
        <v>3.851E9</v>
      </c>
      <c r="O829" s="1">
        <v>2.935E9</v>
      </c>
      <c r="P829" s="1">
        <v>2.444E9</v>
      </c>
      <c r="Q829" s="1">
        <v>-1.87E8</v>
      </c>
      <c r="R829" s="1">
        <v>4.32E8</v>
      </c>
      <c r="S829" s="1">
        <v>3.26E8</v>
      </c>
    </row>
    <row r="830">
      <c r="A830" s="1">
        <v>828.0</v>
      </c>
      <c r="B830" s="2">
        <v>44408.0</v>
      </c>
      <c r="C830" s="1" t="s">
        <v>456</v>
      </c>
      <c r="D830" s="1" t="s">
        <v>457</v>
      </c>
      <c r="F830" s="1">
        <v>3.59E8</v>
      </c>
      <c r="G830" s="1">
        <v>2.58E8</v>
      </c>
      <c r="H830" s="1">
        <v>1.398E9</v>
      </c>
      <c r="I830" s="1">
        <v>1.823E9</v>
      </c>
      <c r="J830" s="1">
        <v>4.25E8</v>
      </c>
      <c r="K830" s="1">
        <v>4.25E8</v>
      </c>
      <c r="L830" s="1">
        <v>-5.1E7</v>
      </c>
      <c r="M830" s="1">
        <v>1.01E8</v>
      </c>
      <c r="N830" s="1">
        <v>4.211E9</v>
      </c>
      <c r="O830" s="1">
        <v>3.786E9</v>
      </c>
      <c r="P830" s="1">
        <v>2.388E9</v>
      </c>
      <c r="Q830" s="1">
        <v>-6.6E7</v>
      </c>
      <c r="R830" s="1">
        <v>2.58E8</v>
      </c>
      <c r="S830" s="1">
        <v>2.58E8</v>
      </c>
    </row>
    <row r="831">
      <c r="A831" s="1">
        <v>829.0</v>
      </c>
      <c r="B831" s="2">
        <v>44317.0</v>
      </c>
      <c r="C831" s="1" t="s">
        <v>456</v>
      </c>
      <c r="D831" s="1" t="s">
        <v>457</v>
      </c>
      <c r="F831" s="1">
        <v>1.87E8</v>
      </c>
      <c r="G831" s="1">
        <v>1.66E8</v>
      </c>
      <c r="H831" s="1">
        <v>1.329E9</v>
      </c>
      <c r="I831" s="1">
        <v>1.63E9</v>
      </c>
      <c r="J831" s="1">
        <v>3.01E8</v>
      </c>
      <c r="K831" s="1">
        <v>3.01E8</v>
      </c>
      <c r="L831" s="1">
        <v>-5.4E7</v>
      </c>
      <c r="M831" s="1">
        <v>2.1E7</v>
      </c>
      <c r="N831" s="1">
        <v>3.991E9</v>
      </c>
      <c r="O831" s="1">
        <v>3.69E9</v>
      </c>
      <c r="P831" s="1">
        <v>2.361E9</v>
      </c>
      <c r="Q831" s="1">
        <v>-1.14E8</v>
      </c>
      <c r="R831" s="1">
        <v>1.66E8</v>
      </c>
      <c r="S831" s="1">
        <v>1.66E8</v>
      </c>
    </row>
    <row r="832">
      <c r="A832" s="1">
        <v>830.0</v>
      </c>
      <c r="B832" s="2">
        <v>44226.0</v>
      </c>
      <c r="C832" s="1" t="s">
        <v>456</v>
      </c>
      <c r="D832" s="1" t="s">
        <v>457</v>
      </c>
      <c r="E832" s="1">
        <v>4.6E7</v>
      </c>
      <c r="F832" s="1">
        <v>7.7E7</v>
      </c>
      <c r="G832" s="1">
        <v>2.34E8</v>
      </c>
      <c r="H832" s="1">
        <v>2.913E9</v>
      </c>
      <c r="I832" s="1">
        <v>3.043E9</v>
      </c>
      <c r="J832" s="1">
        <v>8.4E7</v>
      </c>
      <c r="K832" s="1">
        <v>8.4E7</v>
      </c>
      <c r="L832" s="1">
        <v>-6.0E7</v>
      </c>
      <c r="M832" s="1">
        <v>-1.57E8</v>
      </c>
      <c r="N832" s="1">
        <v>4.424E9</v>
      </c>
      <c r="O832" s="1">
        <v>4.34E9</v>
      </c>
      <c r="P832" s="1">
        <v>1.381E9</v>
      </c>
      <c r="Q832" s="1">
        <v>-7000000.0</v>
      </c>
      <c r="R832" s="1">
        <v>2.34E8</v>
      </c>
      <c r="S832" s="1">
        <v>2.34E8</v>
      </c>
    </row>
    <row r="833">
      <c r="A833" s="1">
        <v>831.0</v>
      </c>
      <c r="B833" s="2">
        <v>44135.0</v>
      </c>
      <c r="C833" s="1" t="s">
        <v>456</v>
      </c>
      <c r="D833" s="1" t="s">
        <v>457</v>
      </c>
      <c r="E833" s="1">
        <v>4.6E7</v>
      </c>
      <c r="F833" s="1">
        <v>1.21E8</v>
      </c>
      <c r="G833" s="1">
        <v>9.5E7</v>
      </c>
      <c r="H833" s="1">
        <v>1.449E9</v>
      </c>
      <c r="I833" s="1">
        <v>1.62E9</v>
      </c>
      <c r="J833" s="1">
        <v>1.71E8</v>
      </c>
      <c r="K833" s="1">
        <v>1.71E8</v>
      </c>
      <c r="L833" s="1">
        <v>-5.5E7</v>
      </c>
      <c r="M833" s="1">
        <v>2.6E7</v>
      </c>
      <c r="N833" s="1">
        <v>3.994E9</v>
      </c>
      <c r="O833" s="1">
        <v>3.823E9</v>
      </c>
      <c r="P833" s="1">
        <v>2.374E9</v>
      </c>
      <c r="Q833" s="1">
        <v>-5.0E7</v>
      </c>
      <c r="R833" s="1">
        <v>9.5E7</v>
      </c>
      <c r="S833" s="1">
        <v>9.5E7</v>
      </c>
    </row>
    <row r="834">
      <c r="A834" s="1">
        <v>832.0</v>
      </c>
      <c r="B834" s="2">
        <v>44373.0</v>
      </c>
      <c r="C834" s="1" t="s">
        <v>458</v>
      </c>
      <c r="D834" s="1" t="s">
        <v>459</v>
      </c>
      <c r="E834" s="1">
        <v>2.00981E8</v>
      </c>
      <c r="F834" s="1">
        <v>3.72059E8</v>
      </c>
      <c r="G834" s="1">
        <v>3.16997E8</v>
      </c>
      <c r="H834" s="1">
        <v>2.08698E8</v>
      </c>
      <c r="I834" s="1">
        <v>7.80851E8</v>
      </c>
      <c r="J834" s="1">
        <v>3.71172E8</v>
      </c>
      <c r="K834" s="1">
        <v>3.71172E8</v>
      </c>
      <c r="M834" s="1">
        <v>5.5062E7</v>
      </c>
      <c r="N834" s="1">
        <v>1.326905E9</v>
      </c>
      <c r="O834" s="1">
        <v>9.55733E8</v>
      </c>
      <c r="P834" s="1">
        <v>5.46054E8</v>
      </c>
      <c r="Q834" s="1">
        <v>887000.0</v>
      </c>
      <c r="R834" s="1">
        <v>3.16997E8</v>
      </c>
      <c r="S834" s="1">
        <v>3.16997E8</v>
      </c>
    </row>
    <row r="835">
      <c r="A835" s="1">
        <v>833.0</v>
      </c>
      <c r="B835" s="2">
        <v>44282.0</v>
      </c>
      <c r="C835" s="1" t="s">
        <v>458</v>
      </c>
      <c r="D835" s="1" t="s">
        <v>459</v>
      </c>
      <c r="E835" s="1">
        <v>2.03214E8</v>
      </c>
      <c r="F835" s="1">
        <v>2.50514E8</v>
      </c>
      <c r="G835" s="1">
        <v>2.20029E8</v>
      </c>
      <c r="H835" s="1">
        <v>1.88683E8</v>
      </c>
      <c r="I835" s="1">
        <v>6.41556E8</v>
      </c>
      <c r="J835" s="1">
        <v>2.49659E8</v>
      </c>
      <c r="K835" s="1">
        <v>2.49659E8</v>
      </c>
      <c r="M835" s="1">
        <v>3.0485E7</v>
      </c>
      <c r="N835" s="1">
        <v>1.072327E9</v>
      </c>
      <c r="O835" s="1">
        <v>8.22668E8</v>
      </c>
      <c r="P835" s="1">
        <v>4.30771E8</v>
      </c>
      <c r="Q835" s="1">
        <v>855000.0</v>
      </c>
      <c r="R835" s="1">
        <v>2.20029E8</v>
      </c>
      <c r="S835" s="1">
        <v>2.20029E8</v>
      </c>
    </row>
    <row r="836">
      <c r="A836" s="1">
        <v>834.0</v>
      </c>
      <c r="B836" s="2">
        <v>44191.0</v>
      </c>
      <c r="C836" s="1" t="s">
        <v>458</v>
      </c>
      <c r="D836" s="1" t="s">
        <v>459</v>
      </c>
      <c r="E836" s="1">
        <v>1.99672E8</v>
      </c>
      <c r="F836" s="1">
        <v>3.91466E8</v>
      </c>
      <c r="G836" s="1">
        <v>3.33548E8</v>
      </c>
      <c r="H836" s="1">
        <v>2.20045E8</v>
      </c>
      <c r="I836" s="1">
        <v>7.90984E8</v>
      </c>
      <c r="J836" s="1">
        <v>3.71267E8</v>
      </c>
      <c r="K836" s="1">
        <v>3.71267E8</v>
      </c>
      <c r="M836" s="1">
        <v>5.7918E7</v>
      </c>
      <c r="N836" s="1">
        <v>1.351405E9</v>
      </c>
      <c r="O836" s="1">
        <v>9.80138E8</v>
      </c>
      <c r="P836" s="1">
        <v>5.60421E8</v>
      </c>
      <c r="Q836" s="1">
        <v>2.0199E7</v>
      </c>
      <c r="R836" s="1">
        <v>3.33548E8</v>
      </c>
      <c r="S836" s="1">
        <v>3.33548E8</v>
      </c>
    </row>
    <row r="837">
      <c r="A837" s="1">
        <v>835.0</v>
      </c>
      <c r="B837" s="2">
        <v>44100.0</v>
      </c>
      <c r="C837" s="1" t="s">
        <v>458</v>
      </c>
      <c r="D837" s="1" t="s">
        <v>459</v>
      </c>
      <c r="E837" s="1">
        <v>1.74882E8</v>
      </c>
      <c r="F837" s="1">
        <v>3.36717E8</v>
      </c>
      <c r="G837" s="1">
        <v>3.13417E8</v>
      </c>
      <c r="H837" s="1">
        <v>1.76E8</v>
      </c>
      <c r="I837" s="1">
        <v>6.67983E8</v>
      </c>
      <c r="J837" s="1">
        <v>3.17101E8</v>
      </c>
      <c r="K837" s="1">
        <v>3.17101E8</v>
      </c>
      <c r="M837" s="1">
        <v>2.33E7</v>
      </c>
      <c r="N837" s="1">
        <v>1.109194E9</v>
      </c>
      <c r="O837" s="1">
        <v>7.92093E8</v>
      </c>
      <c r="P837" s="1">
        <v>4.41211E8</v>
      </c>
      <c r="Q837" s="1">
        <v>1.9616E7</v>
      </c>
      <c r="R837" s="1">
        <v>3.13417E8</v>
      </c>
      <c r="S837" s="1">
        <v>3.13417E8</v>
      </c>
    </row>
    <row r="838">
      <c r="A838" s="1">
        <v>836.0</v>
      </c>
      <c r="B838" s="2">
        <v>44377.0</v>
      </c>
      <c r="C838" s="1" t="s">
        <v>460</v>
      </c>
      <c r="D838" s="1" t="s">
        <v>461</v>
      </c>
      <c r="F838" s="1">
        <v>3.79187E8</v>
      </c>
      <c r="G838" s="1">
        <v>2.71236E8</v>
      </c>
      <c r="H838" s="1">
        <v>4.88496E8</v>
      </c>
      <c r="I838" s="1">
        <v>8.16517E8</v>
      </c>
      <c r="J838" s="1">
        <v>2.76016E8</v>
      </c>
      <c r="K838" s="1">
        <v>2.76016E8</v>
      </c>
      <c r="L838" s="1">
        <v>-3.139E7</v>
      </c>
      <c r="M838" s="1">
        <v>1.07951E8</v>
      </c>
      <c r="N838" s="1">
        <v>1.167319E9</v>
      </c>
      <c r="O838" s="1">
        <v>8.91303E8</v>
      </c>
      <c r="P838" s="1">
        <v>3.50802E8</v>
      </c>
      <c r="Q838" s="1">
        <v>1.03171E8</v>
      </c>
      <c r="R838" s="1">
        <v>2.71236E8</v>
      </c>
      <c r="S838" s="1">
        <v>2.71236E8</v>
      </c>
    </row>
    <row r="839">
      <c r="A839" s="1">
        <v>837.0</v>
      </c>
      <c r="B839" s="2">
        <v>44286.0</v>
      </c>
      <c r="C839" s="1" t="s">
        <v>460</v>
      </c>
      <c r="D839" s="1" t="s">
        <v>461</v>
      </c>
      <c r="F839" s="1">
        <v>2.14753E8</v>
      </c>
      <c r="G839" s="1">
        <v>1.641E8</v>
      </c>
      <c r="H839" s="1">
        <v>4.80755E8</v>
      </c>
      <c r="I839" s="1">
        <v>7.69571E8</v>
      </c>
      <c r="J839" s="1">
        <v>2.32552E8</v>
      </c>
      <c r="K839" s="1">
        <v>2.32552E8</v>
      </c>
      <c r="L839" s="1">
        <v>-1.0349E7</v>
      </c>
      <c r="M839" s="1">
        <v>5.0653E7</v>
      </c>
      <c r="N839" s="1">
        <v>1.104038E9</v>
      </c>
      <c r="O839" s="1">
        <v>8.71486E8</v>
      </c>
      <c r="P839" s="1">
        <v>3.34467E8</v>
      </c>
      <c r="Q839" s="1">
        <v>-1.7799E7</v>
      </c>
      <c r="R839" s="1">
        <v>1.641E8</v>
      </c>
      <c r="S839" s="1">
        <v>1.641E8</v>
      </c>
    </row>
    <row r="840">
      <c r="A840" s="1">
        <v>838.0</v>
      </c>
      <c r="B840" s="2">
        <v>44196.0</v>
      </c>
      <c r="C840" s="1" t="s">
        <v>460</v>
      </c>
      <c r="D840" s="1" t="s">
        <v>461</v>
      </c>
      <c r="F840" s="1">
        <v>1.56155E8</v>
      </c>
      <c r="G840" s="1">
        <v>1.19607E8</v>
      </c>
      <c r="H840" s="1">
        <v>5.23375E8</v>
      </c>
      <c r="I840" s="1">
        <v>7.61331E8</v>
      </c>
      <c r="J840" s="1">
        <v>1.81575E8</v>
      </c>
      <c r="K840" s="1">
        <v>1.81575E8</v>
      </c>
      <c r="L840" s="1">
        <v>-1.8154E7</v>
      </c>
      <c r="M840" s="1">
        <v>3.6548E7</v>
      </c>
      <c r="N840" s="1">
        <v>1.112759E9</v>
      </c>
      <c r="O840" s="1">
        <v>9.31184E8</v>
      </c>
      <c r="P840" s="1">
        <v>3.51428E8</v>
      </c>
      <c r="Q840" s="1">
        <v>-2.542E7</v>
      </c>
      <c r="R840" s="1">
        <v>1.19607E8</v>
      </c>
      <c r="S840" s="1">
        <v>1.19607E8</v>
      </c>
    </row>
    <row r="841">
      <c r="A841" s="1">
        <v>839.0</v>
      </c>
      <c r="B841" s="2">
        <v>44104.0</v>
      </c>
      <c r="C841" s="1" t="s">
        <v>460</v>
      </c>
      <c r="D841" s="1" t="s">
        <v>461</v>
      </c>
      <c r="F841" s="1">
        <v>1.4167E7</v>
      </c>
      <c r="G841" s="1">
        <v>1.6964E7</v>
      </c>
      <c r="H841" s="1">
        <v>5.22708E8</v>
      </c>
      <c r="I841" s="1">
        <v>6.64851E8</v>
      </c>
      <c r="J841" s="1">
        <v>8.8172E7</v>
      </c>
      <c r="K841" s="1">
        <v>8.8172E7</v>
      </c>
      <c r="L841" s="1">
        <v>-3.0538E7</v>
      </c>
      <c r="M841" s="1">
        <v>-2797000.0</v>
      </c>
      <c r="N841" s="1">
        <v>9.94618E8</v>
      </c>
      <c r="O841" s="1">
        <v>9.06446E8</v>
      </c>
      <c r="P841" s="1">
        <v>3.29767E8</v>
      </c>
      <c r="Q841" s="1">
        <v>-7.4005E7</v>
      </c>
      <c r="R841" s="1">
        <v>1.6964E7</v>
      </c>
      <c r="S841" s="1">
        <v>1.6964E7</v>
      </c>
    </row>
    <row r="842">
      <c r="A842" s="1">
        <v>840.0</v>
      </c>
      <c r="B842" s="2">
        <v>44286.0</v>
      </c>
      <c r="C842" s="1" t="s">
        <v>462</v>
      </c>
      <c r="D842" s="1" t="s">
        <v>463</v>
      </c>
      <c r="E842" s="1">
        <v>2.2388E7</v>
      </c>
      <c r="F842" s="1">
        <v>1.85313E8</v>
      </c>
      <c r="G842" s="1">
        <v>1.48993E8</v>
      </c>
      <c r="H842" s="1">
        <v>1.01323E8</v>
      </c>
      <c r="I842" s="1">
        <v>3.21814E8</v>
      </c>
      <c r="J842" s="1">
        <v>1.89124E8</v>
      </c>
      <c r="K842" s="1">
        <v>1.89124E8</v>
      </c>
      <c r="L842" s="1">
        <v>-7723000.0</v>
      </c>
      <c r="M842" s="1">
        <v>3.5368E7</v>
      </c>
      <c r="N842" s="1">
        <v>8.07434E8</v>
      </c>
      <c r="O842" s="1">
        <v>6.1831E8</v>
      </c>
      <c r="P842" s="1">
        <v>4.8562E8</v>
      </c>
      <c r="Q842" s="1">
        <v>-3811000.0</v>
      </c>
      <c r="R842" s="1">
        <v>1.49945E8</v>
      </c>
      <c r="S842" s="1">
        <v>1.49116E8</v>
      </c>
    </row>
    <row r="843">
      <c r="A843" s="1">
        <v>841.0</v>
      </c>
      <c r="B843" s="2">
        <v>44196.0</v>
      </c>
      <c r="C843" s="1" t="s">
        <v>462</v>
      </c>
      <c r="D843" s="1" t="s">
        <v>463</v>
      </c>
      <c r="E843" s="1">
        <v>2.1489E7</v>
      </c>
      <c r="F843" s="1">
        <v>1.63986E8</v>
      </c>
      <c r="G843" s="1">
        <v>1.25001E8</v>
      </c>
      <c r="H843" s="1">
        <v>9.8719E7</v>
      </c>
      <c r="I843" s="1">
        <v>2.99902E8</v>
      </c>
      <c r="J843" s="1">
        <v>1.70754E8</v>
      </c>
      <c r="K843" s="1">
        <v>1.70754E8</v>
      </c>
      <c r="L843" s="1">
        <v>-7910000.0</v>
      </c>
      <c r="M843" s="1">
        <v>3.9006E7</v>
      </c>
      <c r="N843" s="1">
        <v>7.61082E8</v>
      </c>
      <c r="O843" s="1">
        <v>5.90328E8</v>
      </c>
      <c r="P843" s="1">
        <v>4.6118E8</v>
      </c>
      <c r="Q843" s="1">
        <v>-6768000.0</v>
      </c>
      <c r="R843" s="1">
        <v>1.2498E8</v>
      </c>
      <c r="S843" s="1">
        <v>1.26035E8</v>
      </c>
    </row>
    <row r="844">
      <c r="A844" s="1">
        <v>842.0</v>
      </c>
      <c r="B844" s="2">
        <v>44104.0</v>
      </c>
      <c r="C844" s="1" t="s">
        <v>462</v>
      </c>
      <c r="D844" s="1" t="s">
        <v>463</v>
      </c>
      <c r="E844" s="1">
        <v>2.0658E7</v>
      </c>
      <c r="F844" s="1">
        <v>1.47285E8</v>
      </c>
      <c r="G844" s="1">
        <v>1.1497E8</v>
      </c>
      <c r="H844" s="1">
        <v>9.1962E7</v>
      </c>
      <c r="I844" s="1">
        <v>2.76149E8</v>
      </c>
      <c r="J844" s="1">
        <v>1.55637E8</v>
      </c>
      <c r="K844" s="1">
        <v>1.55637E8</v>
      </c>
      <c r="L844" s="1">
        <v>-8096000.0</v>
      </c>
      <c r="M844" s="1">
        <v>3.205E7</v>
      </c>
      <c r="N844" s="1">
        <v>7.01355E8</v>
      </c>
      <c r="O844" s="1">
        <v>5.45718E8</v>
      </c>
      <c r="P844" s="1">
        <v>4.25206E8</v>
      </c>
      <c r="Q844" s="1">
        <v>-8352000.0</v>
      </c>
      <c r="R844" s="1">
        <v>1.15235E8</v>
      </c>
      <c r="S844" s="1">
        <v>1.15781E8</v>
      </c>
    </row>
    <row r="845">
      <c r="A845" s="1">
        <v>843.0</v>
      </c>
      <c r="B845" s="2">
        <v>44012.0</v>
      </c>
      <c r="C845" s="1" t="s">
        <v>462</v>
      </c>
      <c r="D845" s="1" t="s">
        <v>463</v>
      </c>
      <c r="E845" s="1">
        <v>1.9455E7</v>
      </c>
      <c r="F845" s="1">
        <v>8.2065E7</v>
      </c>
      <c r="G845" s="1">
        <v>6.6145E7</v>
      </c>
      <c r="H845" s="1">
        <v>9.2308E7</v>
      </c>
      <c r="I845" s="1">
        <v>2.15301E8</v>
      </c>
      <c r="J845" s="1">
        <v>9.5871E7</v>
      </c>
      <c r="K845" s="1">
        <v>9.5871E7</v>
      </c>
      <c r="L845" s="1">
        <v>-7932000.0</v>
      </c>
      <c r="M845" s="1">
        <v>1.8473E7</v>
      </c>
      <c r="N845" s="1">
        <v>5.46848E8</v>
      </c>
      <c r="O845" s="1">
        <v>4.50977E8</v>
      </c>
      <c r="P845" s="1">
        <v>3.31547E8</v>
      </c>
      <c r="Q845" s="1">
        <v>-1.3806E7</v>
      </c>
      <c r="R845" s="1">
        <v>6.3592E7</v>
      </c>
      <c r="S845" s="1">
        <v>6.4575E7</v>
      </c>
    </row>
    <row r="846">
      <c r="A846" s="1">
        <v>844.0</v>
      </c>
      <c r="B846" s="2">
        <v>44381.0</v>
      </c>
      <c r="C846" s="1" t="s">
        <v>464</v>
      </c>
      <c r="D846" s="1" t="s">
        <v>465</v>
      </c>
      <c r="F846" s="1">
        <v>8.81E8</v>
      </c>
      <c r="G846" s="1">
        <v>7.37E8</v>
      </c>
      <c r="H846" s="1">
        <v>4.75E8</v>
      </c>
      <c r="I846" s="1">
        <v>1.515E9</v>
      </c>
      <c r="J846" s="1">
        <v>1.04E9</v>
      </c>
      <c r="K846" s="1">
        <v>1.04E9</v>
      </c>
      <c r="L846" s="1">
        <v>-1.09E8</v>
      </c>
      <c r="M846" s="1">
        <v>1.44E8</v>
      </c>
      <c r="N846" s="1">
        <v>9.22E9</v>
      </c>
      <c r="O846" s="1">
        <v>8.18E9</v>
      </c>
      <c r="P846" s="1">
        <v>7.705E9</v>
      </c>
      <c r="Q846" s="1">
        <v>-1.59E8</v>
      </c>
      <c r="R846" s="1">
        <v>7.37E8</v>
      </c>
      <c r="S846" s="1">
        <v>7.37E8</v>
      </c>
    </row>
    <row r="847">
      <c r="A847" s="1">
        <v>845.0</v>
      </c>
      <c r="B847" s="2">
        <v>44290.0</v>
      </c>
      <c r="C847" s="1" t="s">
        <v>464</v>
      </c>
      <c r="D847" s="1" t="s">
        <v>465</v>
      </c>
      <c r="F847" s="1">
        <v>8.45E8</v>
      </c>
      <c r="G847" s="1">
        <v>7.08E8</v>
      </c>
      <c r="H847" s="1">
        <v>5.02E8</v>
      </c>
      <c r="I847" s="1">
        <v>1.497E9</v>
      </c>
      <c r="J847" s="1">
        <v>9.95E8</v>
      </c>
      <c r="K847" s="1">
        <v>9.95E8</v>
      </c>
      <c r="L847" s="1">
        <v>-1.23E8</v>
      </c>
      <c r="M847" s="1">
        <v>1.37E8</v>
      </c>
      <c r="N847" s="1">
        <v>9.389E9</v>
      </c>
      <c r="O847" s="1">
        <v>8.394E9</v>
      </c>
      <c r="P847" s="1">
        <v>7.892E9</v>
      </c>
      <c r="Q847" s="1">
        <v>-1.5E8</v>
      </c>
      <c r="R847" s="1">
        <v>7.08E8</v>
      </c>
      <c r="S847" s="1">
        <v>7.08E8</v>
      </c>
    </row>
    <row r="848">
      <c r="A848" s="1">
        <v>846.0</v>
      </c>
      <c r="B848" s="2">
        <v>44196.0</v>
      </c>
      <c r="C848" s="1" t="s">
        <v>464</v>
      </c>
      <c r="D848" s="1" t="s">
        <v>465</v>
      </c>
      <c r="F848" s="1">
        <v>1.185E9</v>
      </c>
      <c r="G848" s="1">
        <v>1.002E9</v>
      </c>
      <c r="H848" s="1">
        <v>6.14E8</v>
      </c>
      <c r="I848" s="1">
        <v>1.85E9</v>
      </c>
      <c r="J848" s="1">
        <v>1.236E9</v>
      </c>
      <c r="K848" s="1">
        <v>1.236E9</v>
      </c>
      <c r="L848" s="1">
        <v>-1.32E8</v>
      </c>
      <c r="M848" s="1">
        <v>1.83E8</v>
      </c>
      <c r="N848" s="1">
        <v>1.0481E10</v>
      </c>
      <c r="O848" s="1">
        <v>9.245E9</v>
      </c>
      <c r="P848" s="1">
        <v>8.631E9</v>
      </c>
      <c r="Q848" s="1">
        <v>-5.1E7</v>
      </c>
      <c r="R848" s="1">
        <v>1.002E9</v>
      </c>
      <c r="S848" s="1">
        <v>1.002E9</v>
      </c>
    </row>
    <row r="849">
      <c r="A849" s="1">
        <v>847.0</v>
      </c>
      <c r="B849" s="2">
        <v>44101.0</v>
      </c>
      <c r="C849" s="1" t="s">
        <v>464</v>
      </c>
      <c r="D849" s="1" t="s">
        <v>465</v>
      </c>
      <c r="F849" s="1">
        <v>9.78E8</v>
      </c>
      <c r="G849" s="1">
        <v>8.34E8</v>
      </c>
      <c r="H849" s="1">
        <v>4.8E8</v>
      </c>
      <c r="I849" s="1">
        <v>1.595E9</v>
      </c>
      <c r="J849" s="1">
        <v>1.115E9</v>
      </c>
      <c r="K849" s="1">
        <v>1.115E9</v>
      </c>
      <c r="L849" s="1">
        <v>-1.18E8</v>
      </c>
      <c r="M849" s="1">
        <v>1.44E8</v>
      </c>
      <c r="N849" s="1">
        <v>9.431E9</v>
      </c>
      <c r="O849" s="1">
        <v>8.316E9</v>
      </c>
      <c r="P849" s="1">
        <v>7.836E9</v>
      </c>
      <c r="Q849" s="1">
        <v>-1.37E8</v>
      </c>
      <c r="R849" s="1">
        <v>8.34E8</v>
      </c>
      <c r="S849" s="1">
        <v>8.34E8</v>
      </c>
    </row>
    <row r="850">
      <c r="A850" s="1">
        <v>848.0</v>
      </c>
      <c r="B850" s="2">
        <v>44377.0</v>
      </c>
      <c r="C850" s="1" t="s">
        <v>466</v>
      </c>
      <c r="D850" s="1" t="s">
        <v>467</v>
      </c>
      <c r="E850" s="1">
        <v>6.04E8</v>
      </c>
      <c r="F850" s="1">
        <v>-1.036E9</v>
      </c>
      <c r="G850" s="1">
        <v>-1.131E9</v>
      </c>
      <c r="H850" s="1">
        <v>2.648E9</v>
      </c>
      <c r="I850" s="1">
        <v>3.239E9</v>
      </c>
      <c r="J850" s="1">
        <v>-1.3E7</v>
      </c>
      <c r="K850" s="1">
        <v>-1.3E7</v>
      </c>
      <c r="L850" s="1">
        <v>-2.61E8</v>
      </c>
      <c r="M850" s="1">
        <v>-4.66E8</v>
      </c>
      <c r="N850" s="1">
        <v>1.8279E10</v>
      </c>
      <c r="O850" s="1">
        <v>1.8292E10</v>
      </c>
      <c r="P850" s="1">
        <v>1.504E10</v>
      </c>
      <c r="Q850" s="1">
        <v>-1.023E9</v>
      </c>
      <c r="R850" s="1">
        <v>-5.7E8</v>
      </c>
      <c r="S850" s="1">
        <v>-1.19E9</v>
      </c>
    </row>
    <row r="851">
      <c r="A851" s="1">
        <v>849.0</v>
      </c>
      <c r="B851" s="2">
        <v>44286.0</v>
      </c>
      <c r="C851" s="1" t="s">
        <v>466</v>
      </c>
      <c r="D851" s="1" t="s">
        <v>467</v>
      </c>
      <c r="E851" s="1">
        <v>5.61E8</v>
      </c>
      <c r="F851" s="1">
        <v>2.36E8</v>
      </c>
      <c r="G851" s="1">
        <v>-2.803E9</v>
      </c>
      <c r="H851" s="1">
        <v>2.659E9</v>
      </c>
      <c r="I851" s="1">
        <v>3.722E9</v>
      </c>
      <c r="J851" s="1">
        <v>5.02E8</v>
      </c>
      <c r="K851" s="1">
        <v>5.02E8</v>
      </c>
      <c r="L851" s="1">
        <v>-2.67E8</v>
      </c>
      <c r="M851" s="1">
        <v>1.41E8</v>
      </c>
      <c r="N851" s="1">
        <v>1.7118E10</v>
      </c>
      <c r="O851" s="1">
        <v>1.6616E10</v>
      </c>
      <c r="P851" s="1">
        <v>1.3396E10</v>
      </c>
      <c r="Q851" s="1">
        <v>-2.66E8</v>
      </c>
      <c r="R851" s="1">
        <v>9.5E7</v>
      </c>
      <c r="S851" s="1">
        <v>-2.873E9</v>
      </c>
    </row>
    <row r="852">
      <c r="A852" s="1">
        <v>850.0</v>
      </c>
      <c r="B852" s="2">
        <v>44196.0</v>
      </c>
      <c r="C852" s="1" t="s">
        <v>466</v>
      </c>
      <c r="D852" s="1" t="s">
        <v>467</v>
      </c>
      <c r="E852" s="1">
        <v>2.565E9</v>
      </c>
      <c r="F852" s="1">
        <v>2.721E9</v>
      </c>
      <c r="G852" s="1">
        <v>2.636E9</v>
      </c>
      <c r="H852" s="1">
        <v>2.571E9</v>
      </c>
      <c r="I852" s="1">
        <v>6.37E9</v>
      </c>
      <c r="J852" s="1">
        <v>1.234E9</v>
      </c>
      <c r="K852" s="1">
        <v>1.234E9</v>
      </c>
      <c r="L852" s="1">
        <v>-2.54E8</v>
      </c>
      <c r="M852" s="1">
        <v>1.63E8</v>
      </c>
      <c r="N852" s="1">
        <v>2.1929E10</v>
      </c>
      <c r="O852" s="1">
        <v>2.0695E10</v>
      </c>
      <c r="P852" s="1">
        <v>1.5559E10</v>
      </c>
      <c r="Q852" s="1">
        <v>1.487E9</v>
      </c>
      <c r="R852" s="1">
        <v>2.558E9</v>
      </c>
      <c r="S852" s="1">
        <v>2.419E9</v>
      </c>
    </row>
    <row r="853">
      <c r="A853" s="1">
        <v>851.0</v>
      </c>
      <c r="B853" s="2">
        <v>44104.0</v>
      </c>
      <c r="C853" s="1" t="s">
        <v>466</v>
      </c>
      <c r="D853" s="1" t="s">
        <v>467</v>
      </c>
      <c r="E853" s="1">
        <v>2.565E9</v>
      </c>
      <c r="F853" s="1">
        <v>-1.661E9</v>
      </c>
      <c r="G853" s="1">
        <v>-1.144E9</v>
      </c>
      <c r="H853" s="1">
        <v>2.918E9</v>
      </c>
      <c r="I853" s="1">
        <v>2.963E9</v>
      </c>
      <c r="J853" s="1">
        <v>4.5E7</v>
      </c>
      <c r="K853" s="1">
        <v>4.5E7</v>
      </c>
      <c r="L853" s="1">
        <v>-3.13E8</v>
      </c>
      <c r="M853" s="1">
        <v>-5.01E8</v>
      </c>
      <c r="N853" s="1">
        <v>1.9417E10</v>
      </c>
      <c r="O853" s="1">
        <v>1.9372E10</v>
      </c>
      <c r="P853" s="1">
        <v>1.6454E10</v>
      </c>
      <c r="Q853" s="1">
        <v>-1.706E9</v>
      </c>
      <c r="R853" s="1">
        <v>-1.16E9</v>
      </c>
      <c r="S853" s="1">
        <v>-1.196E9</v>
      </c>
    </row>
    <row r="854">
      <c r="A854" s="1">
        <v>852.0</v>
      </c>
      <c r="B854" s="2">
        <v>44346.0</v>
      </c>
      <c r="C854" s="1" t="s">
        <v>468</v>
      </c>
      <c r="D854" s="1" t="s">
        <v>469</v>
      </c>
      <c r="F854" s="1">
        <v>5.068E8</v>
      </c>
      <c r="G854" s="1">
        <v>4.168E8</v>
      </c>
      <c r="H854" s="1">
        <v>7.897E8</v>
      </c>
      <c r="I854" s="1">
        <v>1.5835E9</v>
      </c>
      <c r="J854" s="1">
        <v>7.938E8</v>
      </c>
      <c r="K854" s="1">
        <v>7.938E8</v>
      </c>
      <c r="L854" s="1">
        <v>-1.1E8</v>
      </c>
      <c r="M854" s="1">
        <v>1.069E8</v>
      </c>
      <c r="N854" s="1">
        <v>4.5236E9</v>
      </c>
      <c r="O854" s="1">
        <v>3.7298E9</v>
      </c>
      <c r="P854" s="1">
        <v>2.9401E9</v>
      </c>
      <c r="Q854" s="1">
        <v>-2.87E8</v>
      </c>
      <c r="R854" s="1">
        <v>3.999E8</v>
      </c>
      <c r="S854" s="1">
        <v>4.168E8</v>
      </c>
    </row>
    <row r="855">
      <c r="A855" s="1">
        <v>853.0</v>
      </c>
      <c r="B855" s="2">
        <v>44255.0</v>
      </c>
      <c r="C855" s="1" t="s">
        <v>468</v>
      </c>
      <c r="D855" s="1" t="s">
        <v>469</v>
      </c>
      <c r="F855" s="1">
        <v>7.658E8</v>
      </c>
      <c r="G855" s="1">
        <v>5.957E8</v>
      </c>
      <c r="H855" s="1">
        <v>6.829E8</v>
      </c>
      <c r="I855" s="1">
        <v>1.5546E9</v>
      </c>
      <c r="J855" s="1">
        <v>8.717E8</v>
      </c>
      <c r="K855" s="1">
        <v>8.717E8</v>
      </c>
      <c r="L855" s="1">
        <v>-1.06E8</v>
      </c>
      <c r="M855" s="1">
        <v>1.62E8</v>
      </c>
      <c r="N855" s="1">
        <v>4.52E9</v>
      </c>
      <c r="O855" s="1">
        <v>3.6483E9</v>
      </c>
      <c r="P855" s="1">
        <v>2.9654E9</v>
      </c>
      <c r="Q855" s="1">
        <v>-1.059E8</v>
      </c>
      <c r="R855" s="1">
        <v>6.038E8</v>
      </c>
      <c r="S855" s="1">
        <v>5.957E8</v>
      </c>
    </row>
    <row r="856">
      <c r="A856" s="1">
        <v>854.0</v>
      </c>
      <c r="B856" s="2">
        <v>44164.0</v>
      </c>
      <c r="C856" s="1" t="s">
        <v>468</v>
      </c>
      <c r="D856" s="1" t="s">
        <v>469</v>
      </c>
      <c r="F856" s="1">
        <v>8.853E8</v>
      </c>
      <c r="G856" s="1">
        <v>6.884E8</v>
      </c>
      <c r="H856" s="1">
        <v>7.712E8</v>
      </c>
      <c r="I856" s="1">
        <v>1.7216E9</v>
      </c>
      <c r="J856" s="1">
        <v>9.504E8</v>
      </c>
      <c r="K856" s="1">
        <v>9.504E8</v>
      </c>
      <c r="L856" s="1">
        <v>-1.006E8</v>
      </c>
      <c r="M856" s="1">
        <v>1.894E8</v>
      </c>
      <c r="N856" s="1">
        <v>4.7194E9</v>
      </c>
      <c r="O856" s="1">
        <v>3.769E9</v>
      </c>
      <c r="P856" s="1">
        <v>2.9978E9</v>
      </c>
      <c r="Q856" s="1">
        <v>-6.51E7</v>
      </c>
      <c r="R856" s="1">
        <v>6.959E8</v>
      </c>
      <c r="S856" s="1">
        <v>6.884E8</v>
      </c>
    </row>
    <row r="857">
      <c r="A857" s="1">
        <v>855.0</v>
      </c>
      <c r="B857" s="2">
        <v>44073.0</v>
      </c>
      <c r="C857" s="1" t="s">
        <v>468</v>
      </c>
      <c r="D857" s="1" t="s">
        <v>469</v>
      </c>
      <c r="F857" s="1">
        <v>8.172E8</v>
      </c>
      <c r="G857" s="1">
        <v>6.389E8</v>
      </c>
      <c r="H857" s="1">
        <v>7.029E8</v>
      </c>
      <c r="I857" s="1">
        <v>1.5909E9</v>
      </c>
      <c r="J857" s="1">
        <v>8.88E8</v>
      </c>
      <c r="K857" s="1">
        <v>8.88E8</v>
      </c>
      <c r="L857" s="1">
        <v>-1.111E8</v>
      </c>
      <c r="M857" s="1">
        <v>1.708E8</v>
      </c>
      <c r="N857" s="1">
        <v>4.364E9</v>
      </c>
      <c r="O857" s="1">
        <v>3.476E9</v>
      </c>
      <c r="P857" s="1">
        <v>2.7731E9</v>
      </c>
      <c r="Q857" s="1">
        <v>-7.08E7</v>
      </c>
      <c r="R857" s="1">
        <v>6.464E8</v>
      </c>
      <c r="S857" s="1">
        <v>6.389E8</v>
      </c>
    </row>
    <row r="858">
      <c r="A858" s="1">
        <v>856.0</v>
      </c>
      <c r="B858" s="2">
        <v>44377.0</v>
      </c>
      <c r="C858" s="1" t="s">
        <v>470</v>
      </c>
      <c r="D858" s="1" t="s">
        <v>471</v>
      </c>
      <c r="F858" s="1">
        <v>3.75E9</v>
      </c>
      <c r="G858" s="1">
        <v>2.836E9</v>
      </c>
      <c r="H858" s="1">
        <v>1.533E9</v>
      </c>
      <c r="I858" s="1">
        <v>5.057E9</v>
      </c>
      <c r="J858" s="1">
        <v>3.524E9</v>
      </c>
      <c r="K858" s="1">
        <v>3.524E9</v>
      </c>
      <c r="L858" s="1">
        <v>-2.43E8</v>
      </c>
      <c r="M858" s="1">
        <v>9.71E8</v>
      </c>
      <c r="N858" s="1">
        <v>3.4167E10</v>
      </c>
      <c r="O858" s="1">
        <v>3.0643E10</v>
      </c>
      <c r="P858" s="1">
        <v>2.911E10</v>
      </c>
      <c r="Q858" s="1">
        <v>2.26E8</v>
      </c>
      <c r="R858" s="1">
        <v>2.779E9</v>
      </c>
      <c r="S858" s="1">
        <v>2.79E9</v>
      </c>
    </row>
    <row r="859">
      <c r="A859" s="1">
        <v>857.0</v>
      </c>
      <c r="B859" s="2">
        <v>44286.0</v>
      </c>
      <c r="C859" s="1" t="s">
        <v>470</v>
      </c>
      <c r="D859" s="1" t="s">
        <v>471</v>
      </c>
      <c r="F859" s="1">
        <v>4.191E9</v>
      </c>
      <c r="G859" s="1">
        <v>3.022E9</v>
      </c>
      <c r="H859" s="1">
        <v>1.32E9</v>
      </c>
      <c r="I859" s="1">
        <v>5.134E9</v>
      </c>
      <c r="J859" s="1">
        <v>3.814E9</v>
      </c>
      <c r="K859" s="1">
        <v>3.814E9</v>
      </c>
      <c r="L859" s="1">
        <v>-2.5E8</v>
      </c>
      <c r="M859" s="1">
        <v>1.177E9</v>
      </c>
      <c r="N859" s="1">
        <v>3.2474E10</v>
      </c>
      <c r="O859" s="1">
        <v>2.866E10</v>
      </c>
      <c r="P859" s="1">
        <v>2.734E10</v>
      </c>
      <c r="Q859" s="1">
        <v>3.77E8</v>
      </c>
      <c r="R859" s="1">
        <v>3.014E9</v>
      </c>
      <c r="S859" s="1">
        <v>2.976E9</v>
      </c>
    </row>
    <row r="860">
      <c r="A860" s="1">
        <v>858.0</v>
      </c>
      <c r="B860" s="2">
        <v>44196.0</v>
      </c>
      <c r="C860" s="1" t="s">
        <v>470</v>
      </c>
      <c r="D860" s="1" t="s">
        <v>471</v>
      </c>
      <c r="F860" s="1">
        <v>3.439E9</v>
      </c>
      <c r="G860" s="1">
        <v>2.846E9</v>
      </c>
      <c r="H860" s="1">
        <v>2.088E9</v>
      </c>
      <c r="I860" s="1">
        <v>5.014E9</v>
      </c>
      <c r="J860" s="1">
        <v>2.926E9</v>
      </c>
      <c r="K860" s="1">
        <v>2.926E9</v>
      </c>
      <c r="L860" s="1">
        <v>-2.75E8</v>
      </c>
      <c r="M860" s="1">
        <v>6.42E8</v>
      </c>
      <c r="N860" s="1">
        <v>3.7518E10</v>
      </c>
      <c r="O860" s="1">
        <v>3.4592E10</v>
      </c>
      <c r="P860" s="1">
        <v>3.2504E10</v>
      </c>
      <c r="Q860" s="1">
        <v>5.13E8</v>
      </c>
      <c r="R860" s="1">
        <v>2.797E9</v>
      </c>
      <c r="S860" s="1">
        <v>2.801E9</v>
      </c>
    </row>
    <row r="861">
      <c r="A861" s="1">
        <v>859.0</v>
      </c>
      <c r="B861" s="2">
        <v>44104.0</v>
      </c>
      <c r="C861" s="1" t="s">
        <v>470</v>
      </c>
      <c r="D861" s="1" t="s">
        <v>471</v>
      </c>
      <c r="F861" s="1">
        <v>4.905E9</v>
      </c>
      <c r="G861" s="1">
        <v>4.045E9</v>
      </c>
      <c r="H861" s="1">
        <v>1.23E9</v>
      </c>
      <c r="I861" s="1">
        <v>6.098E9</v>
      </c>
      <c r="J861" s="1">
        <v>4.868E9</v>
      </c>
      <c r="K861" s="1">
        <v>4.868E9</v>
      </c>
      <c r="L861" s="1">
        <v>-3.27E8</v>
      </c>
      <c r="M861" s="1">
        <v>8.87E8</v>
      </c>
      <c r="N861" s="1">
        <v>3.548E10</v>
      </c>
      <c r="O861" s="1">
        <v>3.0612E10</v>
      </c>
      <c r="P861" s="1">
        <v>2.9382E10</v>
      </c>
      <c r="Q861" s="1">
        <v>3.7E7</v>
      </c>
      <c r="R861" s="1">
        <v>4.018E9</v>
      </c>
      <c r="S861" s="1">
        <v>4.005E9</v>
      </c>
    </row>
    <row r="862">
      <c r="A862" s="1">
        <v>860.0</v>
      </c>
      <c r="B862" s="2">
        <v>44377.0</v>
      </c>
      <c r="C862" s="1" t="s">
        <v>472</v>
      </c>
      <c r="D862" s="1" t="s">
        <v>473</v>
      </c>
      <c r="F862" s="1">
        <v>2.69607E8</v>
      </c>
      <c r="G862" s="1">
        <v>1.96496E8</v>
      </c>
      <c r="H862" s="1">
        <v>1.263673E9</v>
      </c>
      <c r="I862" s="1">
        <v>1.689105E9</v>
      </c>
      <c r="J862" s="1">
        <v>3.46435E8</v>
      </c>
      <c r="K862" s="1">
        <v>3.46435E8</v>
      </c>
      <c r="L862" s="1">
        <v>-1.6107E7</v>
      </c>
      <c r="M862" s="1">
        <v>7.3111E7</v>
      </c>
      <c r="N862" s="1">
        <v>4.783738E9</v>
      </c>
      <c r="O862" s="1">
        <v>4.437303E9</v>
      </c>
      <c r="P862" s="1">
        <v>3.094633E9</v>
      </c>
      <c r="Q862" s="1">
        <v>-7.6828E7</v>
      </c>
      <c r="R862" s="1">
        <v>1.96496E8</v>
      </c>
      <c r="S862" s="1">
        <v>1.96496E8</v>
      </c>
    </row>
    <row r="863">
      <c r="A863" s="1">
        <v>861.0</v>
      </c>
      <c r="B863" s="2">
        <v>44286.0</v>
      </c>
      <c r="C863" s="1" t="s">
        <v>472</v>
      </c>
      <c r="D863" s="1" t="s">
        <v>473</v>
      </c>
      <c r="F863" s="1">
        <v>2.85859E8</v>
      </c>
      <c r="G863" s="1">
        <v>2.1771E8</v>
      </c>
      <c r="H863" s="1">
        <v>1.186966E9</v>
      </c>
      <c r="I863" s="1">
        <v>1.540815E9</v>
      </c>
      <c r="J863" s="1">
        <v>2.76644E8</v>
      </c>
      <c r="K863" s="1">
        <v>2.76644E8</v>
      </c>
      <c r="L863" s="1">
        <v>-1.9062E7</v>
      </c>
      <c r="M863" s="1">
        <v>6.8149E7</v>
      </c>
      <c r="N863" s="1">
        <v>4.464714E9</v>
      </c>
      <c r="O863" s="1">
        <v>4.18807E9</v>
      </c>
      <c r="P863" s="1">
        <v>2.923899E9</v>
      </c>
      <c r="Q863" s="1">
        <v>9215000.0</v>
      </c>
      <c r="R863" s="1">
        <v>2.1771E8</v>
      </c>
      <c r="S863" s="1">
        <v>2.1771E8</v>
      </c>
    </row>
    <row r="864">
      <c r="A864" s="1">
        <v>862.0</v>
      </c>
      <c r="B864" s="2">
        <v>44196.0</v>
      </c>
      <c r="C864" s="1" t="s">
        <v>472</v>
      </c>
      <c r="D864" s="1" t="s">
        <v>473</v>
      </c>
      <c r="F864" s="1">
        <v>2.25546E8</v>
      </c>
      <c r="G864" s="1">
        <v>1.71204E8</v>
      </c>
      <c r="H864" s="1">
        <v>1.121115E9</v>
      </c>
      <c r="I864" s="1">
        <v>1.44811E9</v>
      </c>
      <c r="J864" s="1">
        <v>2.57112E8</v>
      </c>
      <c r="K864" s="1">
        <v>2.57112E8</v>
      </c>
      <c r="L864" s="1">
        <v>-2.1495E7</v>
      </c>
      <c r="M864" s="1">
        <v>5.3914E7</v>
      </c>
      <c r="N864" s="1">
        <v>4.251594E9</v>
      </c>
      <c r="O864" s="1">
        <v>3.994482E9</v>
      </c>
      <c r="P864" s="1">
        <v>2.803484E9</v>
      </c>
      <c r="Q864" s="1">
        <v>-3.1566E7</v>
      </c>
      <c r="R864" s="1">
        <v>1.71632E8</v>
      </c>
      <c r="S864" s="1">
        <v>1.71204E8</v>
      </c>
    </row>
    <row r="865">
      <c r="A865" s="1">
        <v>863.0</v>
      </c>
      <c r="B865" s="2">
        <v>44104.0</v>
      </c>
      <c r="C865" s="1" t="s">
        <v>472</v>
      </c>
      <c r="D865" s="1" t="s">
        <v>473</v>
      </c>
      <c r="F865" s="1">
        <v>2.97665E8</v>
      </c>
      <c r="G865" s="1">
        <v>2.27531E8</v>
      </c>
      <c r="H865" s="1">
        <v>1.133851E9</v>
      </c>
      <c r="I865" s="1">
        <v>1.528066E9</v>
      </c>
      <c r="J865" s="1">
        <v>3.19485E8</v>
      </c>
      <c r="K865" s="1">
        <v>3.19485E8</v>
      </c>
      <c r="L865" s="1">
        <v>-2.5788E7</v>
      </c>
      <c r="M865" s="1">
        <v>6.4747E7</v>
      </c>
      <c r="N865" s="1">
        <v>4.370086E9</v>
      </c>
      <c r="O865" s="1">
        <v>4.050601E9</v>
      </c>
      <c r="P865" s="1">
        <v>2.84202E9</v>
      </c>
      <c r="Q865" s="1">
        <v>-2.182E7</v>
      </c>
      <c r="R865" s="1">
        <v>2.32918E8</v>
      </c>
      <c r="S865" s="1">
        <v>2.27531E8</v>
      </c>
    </row>
    <row r="866">
      <c r="A866" s="1">
        <v>864.0</v>
      </c>
      <c r="B866" s="2">
        <v>44377.0</v>
      </c>
      <c r="C866" s="1" t="s">
        <v>474</v>
      </c>
      <c r="D866" s="1" t="s">
        <v>475</v>
      </c>
      <c r="E866" s="1">
        <v>1.134E9</v>
      </c>
      <c r="F866" s="1">
        <v>1.817E9</v>
      </c>
      <c r="G866" s="1">
        <v>1.522E9</v>
      </c>
      <c r="H866" s="1">
        <v>1.351E9</v>
      </c>
      <c r="I866" s="1">
        <v>4.827E9</v>
      </c>
      <c r="J866" s="1">
        <v>2.342E9</v>
      </c>
      <c r="K866" s="1">
        <v>2.342E9</v>
      </c>
      <c r="L866" s="1">
        <v>-2.56E8</v>
      </c>
      <c r="M866" s="1">
        <v>3.0E8</v>
      </c>
      <c r="N866" s="1">
        <v>6.217E9</v>
      </c>
      <c r="O866" s="1">
        <v>3.875E9</v>
      </c>
      <c r="P866" s="1">
        <v>1.39E9</v>
      </c>
      <c r="Q866" s="1">
        <v>-5.25E8</v>
      </c>
      <c r="R866" s="1">
        <v>1.517E9</v>
      </c>
      <c r="S866" s="1">
        <v>1.522E9</v>
      </c>
    </row>
    <row r="867">
      <c r="A867" s="1">
        <v>865.0</v>
      </c>
      <c r="B867" s="2">
        <v>44286.0</v>
      </c>
      <c r="C867" s="1" t="s">
        <v>474</v>
      </c>
      <c r="D867" s="1" t="s">
        <v>475</v>
      </c>
      <c r="E867" s="1">
        <v>1.055E9</v>
      </c>
      <c r="F867" s="1">
        <v>2.264E9</v>
      </c>
      <c r="G867" s="1">
        <v>1.729E9</v>
      </c>
      <c r="H867" s="1">
        <v>1.044E9</v>
      </c>
      <c r="I867" s="1">
        <v>5.062E9</v>
      </c>
      <c r="J867" s="1">
        <v>2.963E9</v>
      </c>
      <c r="K867" s="1">
        <v>2.963E9</v>
      </c>
      <c r="L867" s="1">
        <v>-2.57E8</v>
      </c>
      <c r="M867" s="1">
        <v>5.42E8</v>
      </c>
      <c r="N867" s="1">
        <v>6.423E9</v>
      </c>
      <c r="O867" s="1">
        <v>3.46E9</v>
      </c>
      <c r="P867" s="1">
        <v>1.361E9</v>
      </c>
      <c r="Q867" s="1">
        <v>-6.99E8</v>
      </c>
      <c r="R867" s="1">
        <v>1.722E9</v>
      </c>
      <c r="S867" s="1">
        <v>1.729E9</v>
      </c>
    </row>
    <row r="868">
      <c r="A868" s="1">
        <v>866.0</v>
      </c>
      <c r="B868" s="2">
        <v>44196.0</v>
      </c>
      <c r="C868" s="1" t="s">
        <v>474</v>
      </c>
      <c r="D868" s="1" t="s">
        <v>475</v>
      </c>
      <c r="E868" s="1">
        <v>1.412E9</v>
      </c>
      <c r="F868" s="1">
        <v>1.814E9</v>
      </c>
      <c r="G868" s="1">
        <v>1.551E9</v>
      </c>
      <c r="H868" s="1">
        <v>1.576E9</v>
      </c>
      <c r="I868" s="1">
        <v>6.904E9</v>
      </c>
      <c r="J868" s="1">
        <v>3.916E9</v>
      </c>
      <c r="K868" s="1">
        <v>3.916E9</v>
      </c>
      <c r="L868" s="1">
        <v>-2.67E8</v>
      </c>
      <c r="M868" s="1">
        <v>2.7E8</v>
      </c>
      <c r="N868" s="1">
        <v>7.421E9</v>
      </c>
      <c r="O868" s="1">
        <v>3.505E9</v>
      </c>
      <c r="P868" s="1">
        <v>5.17E8</v>
      </c>
      <c r="Q868" s="1">
        <v>-2.102E9</v>
      </c>
      <c r="R868" s="1">
        <v>1.544E9</v>
      </c>
      <c r="S868" s="1">
        <v>1.551E9</v>
      </c>
    </row>
    <row r="869">
      <c r="A869" s="1">
        <v>867.0</v>
      </c>
      <c r="B869" s="2">
        <v>44104.0</v>
      </c>
      <c r="C869" s="1" t="s">
        <v>474</v>
      </c>
      <c r="D869" s="1" t="s">
        <v>475</v>
      </c>
      <c r="E869" s="1">
        <v>1.158E9</v>
      </c>
      <c r="F869" s="1">
        <v>8.25E8</v>
      </c>
      <c r="G869" s="1">
        <v>3.6E8</v>
      </c>
      <c r="H869" s="1">
        <v>1.106E9</v>
      </c>
      <c r="I869" s="1">
        <v>5.436E9</v>
      </c>
      <c r="J869" s="1">
        <v>3.172E9</v>
      </c>
      <c r="K869" s="1">
        <v>3.172E9</v>
      </c>
      <c r="L869" s="1">
        <v>-2.36E8</v>
      </c>
      <c r="M869" s="1">
        <v>4.72E8</v>
      </c>
      <c r="N869" s="1">
        <v>6.577E9</v>
      </c>
      <c r="O869" s="1">
        <v>3.405E9</v>
      </c>
      <c r="P869" s="1">
        <v>1.141E9</v>
      </c>
      <c r="Q869" s="1">
        <v>-2.347E9</v>
      </c>
      <c r="R869" s="1">
        <v>3.53E8</v>
      </c>
      <c r="S869" s="1">
        <v>3.6E8</v>
      </c>
    </row>
    <row r="870">
      <c r="A870" s="1">
        <v>868.0</v>
      </c>
      <c r="B870" s="2">
        <v>44377.0</v>
      </c>
      <c r="C870" s="1" t="s">
        <v>476</v>
      </c>
      <c r="D870" s="1" t="s">
        <v>477</v>
      </c>
      <c r="F870" s="1">
        <v>3.27621E8</v>
      </c>
      <c r="G870" s="1">
        <v>2.6359E8</v>
      </c>
      <c r="H870" s="1">
        <v>7.60269E8</v>
      </c>
      <c r="I870" s="1">
        <v>1.201127E9</v>
      </c>
      <c r="J870" s="1">
        <v>4.40858E8</v>
      </c>
      <c r="K870" s="1">
        <v>4.40858E8</v>
      </c>
      <c r="L870" s="1">
        <v>-7.9E7</v>
      </c>
      <c r="M870" s="1">
        <v>6.0808E7</v>
      </c>
      <c r="N870" s="1">
        <v>2.137437E9</v>
      </c>
      <c r="O870" s="1">
        <v>1.696579E9</v>
      </c>
      <c r="P870" s="1">
        <v>9.3631E8</v>
      </c>
      <c r="Q870" s="1">
        <v>-1.13237E8</v>
      </c>
      <c r="R870" s="1">
        <v>2.66813E8</v>
      </c>
      <c r="S870" s="1">
        <v>2.6359E8</v>
      </c>
    </row>
    <row r="871">
      <c r="A871" s="1">
        <v>869.0</v>
      </c>
      <c r="B871" s="2">
        <v>44286.0</v>
      </c>
      <c r="C871" s="1" t="s">
        <v>476</v>
      </c>
      <c r="D871" s="1" t="s">
        <v>477</v>
      </c>
      <c r="F871" s="1">
        <v>2.19085E8</v>
      </c>
      <c r="G871" s="1">
        <v>1.96681E8</v>
      </c>
      <c r="H871" s="1">
        <v>6.97702E8</v>
      </c>
      <c r="I871" s="1">
        <v>1.064761E9</v>
      </c>
      <c r="J871" s="1">
        <v>3.67059E8</v>
      </c>
      <c r="K871" s="1">
        <v>3.67059E8</v>
      </c>
      <c r="L871" s="1">
        <v>-8.12E7</v>
      </c>
      <c r="M871" s="1">
        <v>2.0675E7</v>
      </c>
      <c r="N871" s="1">
        <v>1.990007E9</v>
      </c>
      <c r="O871" s="1">
        <v>1.622948E9</v>
      </c>
      <c r="P871" s="1">
        <v>9.25246E8</v>
      </c>
      <c r="Q871" s="1">
        <v>-1.47974E8</v>
      </c>
      <c r="R871" s="1">
        <v>1.9841E8</v>
      </c>
      <c r="S871" s="1">
        <v>1.96681E8</v>
      </c>
    </row>
    <row r="872">
      <c r="A872" s="1">
        <v>870.0</v>
      </c>
      <c r="B872" s="2">
        <v>44196.0</v>
      </c>
      <c r="C872" s="1" t="s">
        <v>476</v>
      </c>
      <c r="D872" s="1" t="s">
        <v>477</v>
      </c>
      <c r="F872" s="1">
        <v>2.02798E8</v>
      </c>
      <c r="G872" s="1">
        <v>1.82644E8</v>
      </c>
      <c r="H872" s="1">
        <v>7.38516E8</v>
      </c>
      <c r="I872" s="1">
        <v>1.046598E9</v>
      </c>
      <c r="J872" s="1">
        <v>3.08082E8</v>
      </c>
      <c r="K872" s="1">
        <v>3.08082E8</v>
      </c>
      <c r="L872" s="1">
        <v>-8.25E7</v>
      </c>
      <c r="M872" s="1">
        <v>1.798E7</v>
      </c>
      <c r="N872" s="1">
        <v>1.930193E9</v>
      </c>
      <c r="O872" s="1">
        <v>1.622111E9</v>
      </c>
      <c r="P872" s="1">
        <v>8.83595E8</v>
      </c>
      <c r="Q872" s="1">
        <v>-1.05284E8</v>
      </c>
      <c r="R872" s="1">
        <v>1.84818E8</v>
      </c>
      <c r="S872" s="1">
        <v>1.82644E8</v>
      </c>
    </row>
    <row r="873">
      <c r="A873" s="1">
        <v>871.0</v>
      </c>
      <c r="B873" s="2">
        <v>44104.0</v>
      </c>
      <c r="C873" s="1" t="s">
        <v>476</v>
      </c>
      <c r="D873" s="1" t="s">
        <v>477</v>
      </c>
      <c r="F873" s="1">
        <v>2.73064E8</v>
      </c>
      <c r="G873" s="1">
        <v>2.20971E8</v>
      </c>
      <c r="H873" s="1">
        <v>6.60775E8</v>
      </c>
      <c r="I873" s="1">
        <v>1.016894E9</v>
      </c>
      <c r="J873" s="1">
        <v>3.56119E8</v>
      </c>
      <c r="K873" s="1">
        <v>3.56119E8</v>
      </c>
      <c r="L873" s="1">
        <v>-8.21E7</v>
      </c>
      <c r="M873" s="1">
        <v>4.2834E7</v>
      </c>
      <c r="N873" s="1">
        <v>1.917815E9</v>
      </c>
      <c r="O873" s="1">
        <v>1.561696E9</v>
      </c>
      <c r="P873" s="1">
        <v>9.00921E8</v>
      </c>
      <c r="Q873" s="1">
        <v>-8.3055E7</v>
      </c>
      <c r="R873" s="1">
        <v>2.3023E8</v>
      </c>
      <c r="S873" s="1">
        <v>2.20971E8</v>
      </c>
    </row>
    <row r="874">
      <c r="A874" s="1">
        <v>872.0</v>
      </c>
      <c r="B874" s="2">
        <v>44377.0</v>
      </c>
      <c r="C874" s="1" t="s">
        <v>478</v>
      </c>
      <c r="D874" s="1" t="s">
        <v>479</v>
      </c>
      <c r="F874" s="1">
        <v>2.45243E8</v>
      </c>
      <c r="G874" s="1">
        <v>1.99618E8</v>
      </c>
      <c r="I874" s="1">
        <v>3.46167E8</v>
      </c>
      <c r="J874" s="1">
        <v>2.67012E8</v>
      </c>
      <c r="K874" s="1">
        <v>2.67012E8</v>
      </c>
      <c r="L874" s="1">
        <v>-2.1769E7</v>
      </c>
      <c r="M874" s="1">
        <v>4.5625E7</v>
      </c>
      <c r="N874" s="1">
        <v>1.271111E9</v>
      </c>
      <c r="O874" s="1">
        <v>1.004099E9</v>
      </c>
      <c r="P874" s="1">
        <v>9.24944E8</v>
      </c>
      <c r="Q874" s="1">
        <v>-2.1769E7</v>
      </c>
      <c r="R874" s="1">
        <v>1.99618E8</v>
      </c>
      <c r="S874" s="1">
        <v>1.99618E8</v>
      </c>
    </row>
    <row r="875">
      <c r="A875" s="1">
        <v>873.0</v>
      </c>
      <c r="B875" s="2">
        <v>44286.0</v>
      </c>
      <c r="C875" s="1" t="s">
        <v>478</v>
      </c>
      <c r="D875" s="1" t="s">
        <v>479</v>
      </c>
      <c r="F875" s="1">
        <v>2.18794E8</v>
      </c>
      <c r="G875" s="1">
        <v>1.78517E8</v>
      </c>
      <c r="I875" s="1">
        <v>3.21182E8</v>
      </c>
      <c r="J875" s="1">
        <v>2.448E8</v>
      </c>
      <c r="K875" s="1">
        <v>2.448E8</v>
      </c>
      <c r="L875" s="1">
        <v>-2.1178E7</v>
      </c>
      <c r="M875" s="1">
        <v>4.0277E7</v>
      </c>
      <c r="N875" s="1">
        <v>1.26656E9</v>
      </c>
      <c r="O875" s="1">
        <v>1.02176E9</v>
      </c>
      <c r="P875" s="1">
        <v>9.45378E8</v>
      </c>
      <c r="Q875" s="1">
        <v>-2.6006E7</v>
      </c>
      <c r="R875" s="1">
        <v>1.78517E8</v>
      </c>
      <c r="S875" s="1">
        <v>1.78517E8</v>
      </c>
    </row>
    <row r="876">
      <c r="A876" s="1">
        <v>874.0</v>
      </c>
      <c r="B876" s="2">
        <v>44196.0</v>
      </c>
      <c r="C876" s="1" t="s">
        <v>478</v>
      </c>
      <c r="D876" s="1" t="s">
        <v>479</v>
      </c>
      <c r="F876" s="1">
        <v>2.49984E8</v>
      </c>
      <c r="G876" s="1">
        <v>2.0424E8</v>
      </c>
      <c r="H876" s="1">
        <v>9800000.0</v>
      </c>
      <c r="I876" s="1">
        <v>3.45738E8</v>
      </c>
      <c r="J876" s="1">
        <v>2.71393E8</v>
      </c>
      <c r="K876" s="1">
        <v>2.71393E8</v>
      </c>
      <c r="L876" s="1">
        <v>-2.1409E7</v>
      </c>
      <c r="M876" s="1">
        <v>4.5744E7</v>
      </c>
      <c r="N876" s="1">
        <v>1.228941E9</v>
      </c>
      <c r="O876" s="1">
        <v>9.57548E8</v>
      </c>
      <c r="P876" s="1">
        <v>8.83203E8</v>
      </c>
      <c r="Q876" s="1">
        <v>-2.1409E7</v>
      </c>
      <c r="R876" s="1">
        <v>2.0424E8</v>
      </c>
      <c r="S876" s="1">
        <v>2.0424E8</v>
      </c>
    </row>
    <row r="877">
      <c r="A877" s="1">
        <v>875.0</v>
      </c>
      <c r="B877" s="2">
        <v>44104.0</v>
      </c>
      <c r="C877" s="1" t="s">
        <v>478</v>
      </c>
      <c r="D877" s="1" t="s">
        <v>479</v>
      </c>
      <c r="F877" s="1">
        <v>2.31538E8</v>
      </c>
      <c r="G877" s="1">
        <v>1.88945E8</v>
      </c>
      <c r="H877" s="1">
        <v>9800000.0</v>
      </c>
      <c r="I877" s="1">
        <v>3.28609E8</v>
      </c>
      <c r="J877" s="1">
        <v>2.53212E8</v>
      </c>
      <c r="K877" s="1">
        <v>2.53212E8</v>
      </c>
      <c r="L877" s="1">
        <v>-2.1674E7</v>
      </c>
      <c r="M877" s="1">
        <v>4.2593E7</v>
      </c>
      <c r="N877" s="1">
        <v>1.195042E9</v>
      </c>
      <c r="O877" s="1">
        <v>9.4183E8</v>
      </c>
      <c r="P877" s="1">
        <v>8.66433E8</v>
      </c>
      <c r="Q877" s="1">
        <v>-2.1674E7</v>
      </c>
      <c r="R877" s="1">
        <v>1.88945E8</v>
      </c>
      <c r="S877" s="1">
        <v>1.88945E8</v>
      </c>
    </row>
    <row r="878">
      <c r="A878" s="1">
        <v>876.0</v>
      </c>
      <c r="B878" s="2">
        <v>44377.0</v>
      </c>
      <c r="C878" s="1" t="s">
        <v>480</v>
      </c>
      <c r="D878" s="1" t="s">
        <v>481</v>
      </c>
      <c r="F878" s="1">
        <v>6.84E9</v>
      </c>
      <c r="G878" s="1">
        <v>5.486E9</v>
      </c>
      <c r="H878" s="1">
        <v>5.963E9</v>
      </c>
      <c r="I878" s="1">
        <v>1.3984E10</v>
      </c>
      <c r="J878" s="1">
        <v>0.0</v>
      </c>
      <c r="K878" s="1">
        <v>7.066E9</v>
      </c>
      <c r="M878" s="1">
        <v>1.354E9</v>
      </c>
      <c r="N878" s="1">
        <v>1.548E10</v>
      </c>
      <c r="O878" s="1">
        <v>8.414E9</v>
      </c>
      <c r="P878" s="1">
        <v>1.496E9</v>
      </c>
      <c r="Q878" s="1">
        <v>-2.26E8</v>
      </c>
      <c r="R878" s="1">
        <v>5.486E9</v>
      </c>
      <c r="S878" s="1">
        <v>5.34E9</v>
      </c>
    </row>
    <row r="879">
      <c r="A879" s="1">
        <v>877.0</v>
      </c>
      <c r="B879" s="2">
        <v>44286.0</v>
      </c>
      <c r="C879" s="1" t="s">
        <v>480</v>
      </c>
      <c r="D879" s="1" t="s">
        <v>481</v>
      </c>
      <c r="F879" s="1">
        <v>8.337E9</v>
      </c>
      <c r="G879" s="1">
        <v>6.836E9</v>
      </c>
      <c r="H879" s="1">
        <v>6.73E9</v>
      </c>
      <c r="I879" s="1">
        <v>1.6143E10</v>
      </c>
      <c r="J879" s="1">
        <v>0.0</v>
      </c>
      <c r="K879" s="1">
        <v>8.411E9</v>
      </c>
      <c r="M879" s="1">
        <v>1.501E9</v>
      </c>
      <c r="N879" s="1">
        <v>1.7774E10</v>
      </c>
      <c r="O879" s="1">
        <v>9.363E9</v>
      </c>
      <c r="P879" s="1">
        <v>1.631E9</v>
      </c>
      <c r="Q879" s="1">
        <v>-7.4E7</v>
      </c>
      <c r="R879" s="1">
        <v>6.836E9</v>
      </c>
      <c r="S879" s="1">
        <v>6.704E9</v>
      </c>
    </row>
    <row r="880">
      <c r="A880" s="1">
        <v>878.0</v>
      </c>
      <c r="B880" s="2">
        <v>44196.0</v>
      </c>
      <c r="C880" s="1" t="s">
        <v>480</v>
      </c>
      <c r="D880" s="1" t="s">
        <v>481</v>
      </c>
      <c r="F880" s="1">
        <v>5.541E9</v>
      </c>
      <c r="G880" s="1">
        <v>4.506E9</v>
      </c>
      <c r="H880" s="1">
        <v>3.172E9</v>
      </c>
      <c r="I880" s="1">
        <v>9.797E9</v>
      </c>
      <c r="J880" s="1">
        <v>0.0</v>
      </c>
      <c r="K880" s="1">
        <v>5.561E9</v>
      </c>
      <c r="M880" s="1">
        <v>1.035E9</v>
      </c>
      <c r="N880" s="1">
        <v>1.1448E10</v>
      </c>
      <c r="O880" s="1">
        <v>5.887E9</v>
      </c>
      <c r="P880" s="1">
        <v>1.651E9</v>
      </c>
      <c r="Q880" s="1">
        <v>-2.0E7</v>
      </c>
      <c r="R880" s="1">
        <v>4.506E9</v>
      </c>
      <c r="S880" s="1">
        <v>4.358E9</v>
      </c>
    </row>
    <row r="881">
      <c r="A881" s="1">
        <v>879.0</v>
      </c>
      <c r="B881" s="2">
        <v>44104.0</v>
      </c>
      <c r="C881" s="1" t="s">
        <v>480</v>
      </c>
      <c r="D881" s="1" t="s">
        <v>481</v>
      </c>
      <c r="F881" s="1">
        <v>4.299E9</v>
      </c>
      <c r="G881" s="1">
        <v>3.367E9</v>
      </c>
      <c r="H881" s="1">
        <v>3.72E9</v>
      </c>
      <c r="I881" s="1">
        <v>9.252E9</v>
      </c>
      <c r="J881" s="1">
        <v>0.0</v>
      </c>
      <c r="K881" s="1">
        <v>4.555E9</v>
      </c>
      <c r="M881" s="1">
        <v>9.32E8</v>
      </c>
      <c r="N881" s="1">
        <v>1.0503E10</v>
      </c>
      <c r="O881" s="1">
        <v>5.948E9</v>
      </c>
      <c r="P881" s="1">
        <v>1.251E9</v>
      </c>
      <c r="Q881" s="1">
        <v>-2.56E8</v>
      </c>
      <c r="R881" s="1">
        <v>3.367E9</v>
      </c>
      <c r="S881" s="1">
        <v>3.229E9</v>
      </c>
    </row>
    <row r="882">
      <c r="A882" s="1">
        <v>880.0</v>
      </c>
      <c r="B882" s="2">
        <v>44377.0</v>
      </c>
      <c r="C882" s="1" t="s">
        <v>482</v>
      </c>
      <c r="D882" s="1" t="s">
        <v>483</v>
      </c>
      <c r="F882" s="1">
        <v>2.95E8</v>
      </c>
      <c r="G882" s="1">
        <v>2.27E8</v>
      </c>
      <c r="H882" s="1">
        <v>5.1E7</v>
      </c>
      <c r="I882" s="1">
        <v>4.85E8</v>
      </c>
      <c r="J882" s="1">
        <v>4.34E8</v>
      </c>
      <c r="K882" s="1">
        <v>4.34E8</v>
      </c>
      <c r="L882" s="1">
        <v>-1.34E8</v>
      </c>
      <c r="M882" s="1">
        <v>6.5E7</v>
      </c>
      <c r="N882" s="1">
        <v>3.707E9</v>
      </c>
      <c r="O882" s="1">
        <v>3.273E9</v>
      </c>
      <c r="P882" s="1">
        <v>3.222E9</v>
      </c>
      <c r="Q882" s="1">
        <v>-1.39E8</v>
      </c>
      <c r="R882" s="1">
        <v>2.3E8</v>
      </c>
      <c r="S882" s="1">
        <v>2.27E8</v>
      </c>
    </row>
    <row r="883">
      <c r="A883" s="1">
        <v>881.0</v>
      </c>
      <c r="B883" s="2">
        <v>44286.0</v>
      </c>
      <c r="C883" s="1" t="s">
        <v>482</v>
      </c>
      <c r="D883" s="1" t="s">
        <v>483</v>
      </c>
      <c r="F883" s="1">
        <v>2.23E8</v>
      </c>
      <c r="G883" s="1">
        <v>1.7E8</v>
      </c>
      <c r="H883" s="1">
        <v>4.8E7</v>
      </c>
      <c r="I883" s="1">
        <v>4.18E8</v>
      </c>
      <c r="J883" s="1">
        <v>3.7E8</v>
      </c>
      <c r="K883" s="1">
        <v>3.7E8</v>
      </c>
      <c r="L883" s="1">
        <v>-1.35E8</v>
      </c>
      <c r="M883" s="1">
        <v>5.2E7</v>
      </c>
      <c r="N883" s="1">
        <v>3.451E9</v>
      </c>
      <c r="O883" s="1">
        <v>3.081E9</v>
      </c>
      <c r="P883" s="1">
        <v>3.033E9</v>
      </c>
      <c r="Q883" s="1">
        <v>-1.47E8</v>
      </c>
      <c r="R883" s="1">
        <v>1.71E8</v>
      </c>
      <c r="S883" s="1">
        <v>1.7E8</v>
      </c>
    </row>
    <row r="884">
      <c r="A884" s="1">
        <v>882.0</v>
      </c>
      <c r="B884" s="2">
        <v>44196.0</v>
      </c>
      <c r="C884" s="1" t="s">
        <v>482</v>
      </c>
      <c r="D884" s="1" t="s">
        <v>483</v>
      </c>
      <c r="F884" s="1">
        <v>-2.4E8</v>
      </c>
      <c r="G884" s="1">
        <v>-2.35E8</v>
      </c>
      <c r="H884" s="1">
        <v>4.4E7</v>
      </c>
      <c r="I884" s="1">
        <v>3.94E8</v>
      </c>
      <c r="J884" s="1">
        <v>2.62E8</v>
      </c>
      <c r="K884" s="1">
        <v>2.62E8</v>
      </c>
      <c r="L884" s="1">
        <v>-1.35E8</v>
      </c>
      <c r="M884" s="1">
        <v>-1.3E7</v>
      </c>
      <c r="N884" s="1">
        <v>3.237E9</v>
      </c>
      <c r="O884" s="1">
        <v>2.975E9</v>
      </c>
      <c r="P884" s="1">
        <v>2.843E9</v>
      </c>
      <c r="Q884" s="1">
        <v>-5.02E8</v>
      </c>
      <c r="R884" s="1">
        <v>-2.27E8</v>
      </c>
      <c r="S884" s="1">
        <v>-2.35E8</v>
      </c>
    </row>
    <row r="885">
      <c r="A885" s="1">
        <v>883.0</v>
      </c>
      <c r="B885" s="2">
        <v>44104.0</v>
      </c>
      <c r="C885" s="1" t="s">
        <v>482</v>
      </c>
      <c r="D885" s="1" t="s">
        <v>483</v>
      </c>
      <c r="F885" s="1">
        <v>-1000000.0</v>
      </c>
      <c r="G885" s="1">
        <v>-1.7E7</v>
      </c>
      <c r="H885" s="1">
        <v>4.1E7</v>
      </c>
      <c r="I885" s="1">
        <v>3.05E8</v>
      </c>
      <c r="J885" s="1">
        <v>2.56E8</v>
      </c>
      <c r="K885" s="1">
        <v>2.56E8</v>
      </c>
      <c r="L885" s="1">
        <v>-1.33E8</v>
      </c>
      <c r="M885" s="1">
        <v>1.8E7</v>
      </c>
      <c r="N885" s="1">
        <v>2.975E9</v>
      </c>
      <c r="O885" s="1">
        <v>2.719E9</v>
      </c>
      <c r="P885" s="1">
        <v>2.67E9</v>
      </c>
      <c r="Q885" s="1">
        <v>-2.57E8</v>
      </c>
      <c r="R885" s="1">
        <v>-1.9E7</v>
      </c>
      <c r="S885" s="1">
        <v>-1.7E7</v>
      </c>
    </row>
    <row r="886">
      <c r="A886" s="1">
        <v>884.0</v>
      </c>
      <c r="B886" s="2">
        <v>44380.0</v>
      </c>
      <c r="C886" s="1" t="s">
        <v>484</v>
      </c>
      <c r="D886" s="1" t="s">
        <v>485</v>
      </c>
      <c r="F886" s="1">
        <v>1.73099E8</v>
      </c>
      <c r="G886" s="1">
        <v>1.28676E8</v>
      </c>
      <c r="H886" s="1">
        <v>4.576E8</v>
      </c>
      <c r="I886" s="1">
        <v>6.83529E8</v>
      </c>
      <c r="J886" s="1">
        <v>2.25929E8</v>
      </c>
      <c r="K886" s="1">
        <v>2.25929E8</v>
      </c>
      <c r="L886" s="1">
        <v>-4.244E7</v>
      </c>
      <c r="M886" s="1">
        <v>2.5236E7</v>
      </c>
      <c r="N886" s="1">
        <v>1.751311E9</v>
      </c>
      <c r="O886" s="1">
        <v>1.525382E9</v>
      </c>
      <c r="P886" s="1">
        <v>1.067782E9</v>
      </c>
      <c r="Q886" s="1">
        <v>-5.283E7</v>
      </c>
      <c r="R886" s="1">
        <v>1.47863E8</v>
      </c>
      <c r="S886" s="1">
        <v>1.28676E8</v>
      </c>
    </row>
    <row r="887">
      <c r="A887" s="1">
        <v>885.0</v>
      </c>
      <c r="B887" s="2">
        <v>44289.0</v>
      </c>
      <c r="C887" s="1" t="s">
        <v>484</v>
      </c>
      <c r="D887" s="1" t="s">
        <v>485</v>
      </c>
      <c r="F887" s="1">
        <v>1.43101E8</v>
      </c>
      <c r="G887" s="1">
        <v>-2.63262E8</v>
      </c>
      <c r="H887" s="1">
        <v>4.05334E8</v>
      </c>
      <c r="I887" s="1">
        <v>6.05488E8</v>
      </c>
      <c r="J887" s="1">
        <v>2.00154E8</v>
      </c>
      <c r="K887" s="1">
        <v>2.00154E8</v>
      </c>
      <c r="L887" s="1">
        <v>-4.446E7</v>
      </c>
      <c r="M887" s="1">
        <v>1.4697E7</v>
      </c>
      <c r="N887" s="1">
        <v>1.508029E9</v>
      </c>
      <c r="O887" s="1">
        <v>1.307875E9</v>
      </c>
      <c r="P887" s="1">
        <v>9.02541E8</v>
      </c>
      <c r="Q887" s="1">
        <v>-5.7053E7</v>
      </c>
      <c r="R887" s="1">
        <v>1.28404E8</v>
      </c>
      <c r="S887" s="1">
        <v>-2.63262E8</v>
      </c>
    </row>
    <row r="888">
      <c r="A888" s="1">
        <v>886.0</v>
      </c>
      <c r="B888" s="2">
        <v>44198.0</v>
      </c>
      <c r="C888" s="1" t="s">
        <v>484</v>
      </c>
      <c r="D888" s="1" t="s">
        <v>485</v>
      </c>
      <c r="E888" s="1">
        <v>4.471E7</v>
      </c>
      <c r="F888" s="1">
        <v>-4.94134E8</v>
      </c>
      <c r="G888" s="1">
        <v>-3.32164E8</v>
      </c>
      <c r="H888" s="1">
        <v>4.49694E8</v>
      </c>
      <c r="I888" s="1">
        <v>7.35275E8</v>
      </c>
      <c r="J888" s="1">
        <v>2.0695E8</v>
      </c>
      <c r="K888" s="1">
        <v>2.0695E8</v>
      </c>
      <c r="L888" s="1">
        <v>-4.4115E7</v>
      </c>
      <c r="M888" s="1">
        <v>-1.6197E8</v>
      </c>
      <c r="N888" s="1">
        <v>1.800843E9</v>
      </c>
      <c r="O888" s="1">
        <v>1.593893E9</v>
      </c>
      <c r="P888" s="1">
        <v>1.065568E9</v>
      </c>
      <c r="Q888" s="1">
        <v>-7.01084E8</v>
      </c>
      <c r="R888" s="1">
        <v>-3.32164E8</v>
      </c>
      <c r="S888" s="1">
        <v>-3.32164E8</v>
      </c>
    </row>
    <row r="889">
      <c r="A889" s="1">
        <v>887.0</v>
      </c>
      <c r="B889" s="2">
        <v>44100.0</v>
      </c>
      <c r="C889" s="1" t="s">
        <v>484</v>
      </c>
      <c r="D889" s="1" t="s">
        <v>485</v>
      </c>
      <c r="E889" s="1">
        <v>4.471E7</v>
      </c>
      <c r="F889" s="1">
        <v>1.25394E8</v>
      </c>
      <c r="G889" s="1">
        <v>1.03278E8</v>
      </c>
      <c r="H889" s="1">
        <v>4.46355E8</v>
      </c>
      <c r="I889" s="1">
        <v>6.64349E8</v>
      </c>
      <c r="J889" s="1">
        <v>2.17994E8</v>
      </c>
      <c r="K889" s="1">
        <v>2.17994E8</v>
      </c>
      <c r="L889" s="1">
        <v>-4.3868E7</v>
      </c>
      <c r="M889" s="1">
        <v>2.2116E7</v>
      </c>
      <c r="N889" s="1">
        <v>1.808266E9</v>
      </c>
      <c r="O889" s="1">
        <v>1.590272E9</v>
      </c>
      <c r="P889" s="1">
        <v>1.143917E9</v>
      </c>
      <c r="Q889" s="1">
        <v>-9.26E7</v>
      </c>
      <c r="R889" s="1">
        <v>1.03278E8</v>
      </c>
      <c r="S889" s="1">
        <v>1.03278E8</v>
      </c>
    </row>
    <row r="890">
      <c r="A890" s="1">
        <v>888.0</v>
      </c>
      <c r="B890" s="2">
        <v>44374.0</v>
      </c>
      <c r="C890" s="1" t="s">
        <v>486</v>
      </c>
      <c r="D890" s="1" t="s">
        <v>487</v>
      </c>
      <c r="E890" s="1">
        <v>8.72E7</v>
      </c>
      <c r="F890" s="1">
        <v>4.11E7</v>
      </c>
      <c r="G890" s="1">
        <v>-2.29E7</v>
      </c>
      <c r="H890" s="1">
        <v>4.597E8</v>
      </c>
      <c r="I890" s="1">
        <v>7.55E8</v>
      </c>
      <c r="J890" s="1">
        <v>1.784E8</v>
      </c>
      <c r="K890" s="1">
        <v>1.784E8</v>
      </c>
      <c r="L890" s="1">
        <v>-4.61E7</v>
      </c>
      <c r="M890" s="1">
        <v>6.3E7</v>
      </c>
      <c r="N890" s="1">
        <v>1.3222E9</v>
      </c>
      <c r="O890" s="1">
        <v>1.1438E9</v>
      </c>
      <c r="P890" s="1">
        <v>5.672E8</v>
      </c>
      <c r="Q890" s="1">
        <v>-1.373E8</v>
      </c>
      <c r="R890" s="1">
        <v>-2.19E7</v>
      </c>
      <c r="S890" s="1">
        <v>-2.29E7</v>
      </c>
    </row>
    <row r="891">
      <c r="A891" s="1">
        <v>889.0</v>
      </c>
      <c r="B891" s="2">
        <v>44283.0</v>
      </c>
      <c r="C891" s="1" t="s">
        <v>486</v>
      </c>
      <c r="D891" s="1" t="s">
        <v>487</v>
      </c>
      <c r="E891" s="1">
        <v>6.18E7</v>
      </c>
      <c r="F891" s="1">
        <v>1.295E8</v>
      </c>
      <c r="G891" s="1">
        <v>1.162E8</v>
      </c>
      <c r="H891" s="1">
        <v>3.765E8</v>
      </c>
      <c r="I891" s="1">
        <v>6.185E8</v>
      </c>
      <c r="J891" s="1">
        <v>1.473E8</v>
      </c>
      <c r="K891" s="1">
        <v>1.473E8</v>
      </c>
      <c r="L891" s="1">
        <v>-4.79E7</v>
      </c>
      <c r="M891" s="1">
        <v>1.2E7</v>
      </c>
      <c r="N891" s="1">
        <v>1.1148E9</v>
      </c>
      <c r="O891" s="1">
        <v>9.675E8</v>
      </c>
      <c r="P891" s="1">
        <v>4.963E8</v>
      </c>
      <c r="Q891" s="1">
        <v>-1.78E7</v>
      </c>
      <c r="R891" s="1">
        <v>1.175E8</v>
      </c>
      <c r="S891" s="1">
        <v>1.162E8</v>
      </c>
    </row>
    <row r="892">
      <c r="A892" s="1">
        <v>890.0</v>
      </c>
      <c r="B892" s="2">
        <v>44192.0</v>
      </c>
      <c r="C892" s="1" t="s">
        <v>486</v>
      </c>
      <c r="D892" s="1" t="s">
        <v>487</v>
      </c>
      <c r="E892" s="1">
        <v>8.4659E7</v>
      </c>
      <c r="F892" s="1">
        <v>1.38474E8</v>
      </c>
      <c r="G892" s="1">
        <v>1.05173E8</v>
      </c>
      <c r="H892" s="1">
        <v>4.72029E8</v>
      </c>
      <c r="I892" s="1">
        <v>8.28432E8</v>
      </c>
      <c r="J892" s="1">
        <v>2.34683E8</v>
      </c>
      <c r="K892" s="1">
        <v>2.34683E8</v>
      </c>
      <c r="L892" s="1">
        <v>-4.8428E7</v>
      </c>
      <c r="M892" s="1">
        <v>3.2308E7</v>
      </c>
      <c r="N892" s="1">
        <v>1.722971E9</v>
      </c>
      <c r="O892" s="1">
        <v>1.488288E9</v>
      </c>
      <c r="P892" s="1">
        <v>8.94539E8</v>
      </c>
      <c r="Q892" s="1">
        <v>-9.6209E7</v>
      </c>
      <c r="R892" s="1">
        <v>1.06166E8</v>
      </c>
      <c r="S892" s="1">
        <v>1.05173E8</v>
      </c>
    </row>
    <row r="893">
      <c r="A893" s="1">
        <v>891.0</v>
      </c>
      <c r="B893" s="2">
        <v>44101.0</v>
      </c>
      <c r="C893" s="1" t="s">
        <v>486</v>
      </c>
      <c r="D893" s="1" t="s">
        <v>487</v>
      </c>
      <c r="E893" s="1">
        <v>6.2709E7</v>
      </c>
      <c r="F893" s="1">
        <v>2.99198E8</v>
      </c>
      <c r="G893" s="1">
        <v>2.20898E8</v>
      </c>
      <c r="H893" s="1">
        <v>4.62768E8</v>
      </c>
      <c r="I893" s="1">
        <v>9.04156E8</v>
      </c>
      <c r="J893" s="1">
        <v>3.42507E8</v>
      </c>
      <c r="K893" s="1">
        <v>3.42507E8</v>
      </c>
      <c r="L893" s="1">
        <v>-4.94E7</v>
      </c>
      <c r="M893" s="1">
        <v>7.9215E7</v>
      </c>
      <c r="N893" s="1">
        <v>1.776623E9</v>
      </c>
      <c r="O893" s="1">
        <v>1.434116E9</v>
      </c>
      <c r="P893" s="1">
        <v>8.72467E8</v>
      </c>
      <c r="Q893" s="1">
        <v>-4.3309E7</v>
      </c>
      <c r="R893" s="1">
        <v>2.19983E8</v>
      </c>
      <c r="S893" s="1">
        <v>2.20898E8</v>
      </c>
    </row>
    <row r="894">
      <c r="A894" s="1">
        <v>892.0</v>
      </c>
      <c r="B894" s="2">
        <v>44377.0</v>
      </c>
      <c r="C894" s="1" t="s">
        <v>488</v>
      </c>
      <c r="D894" s="1" t="s">
        <v>489</v>
      </c>
      <c r="F894" s="1">
        <v>2.117E9</v>
      </c>
      <c r="G894" s="1">
        <v>1.45E9</v>
      </c>
      <c r="I894" s="1">
        <v>5.67E9</v>
      </c>
      <c r="J894" s="1">
        <v>2.485E9</v>
      </c>
      <c r="K894" s="1">
        <v>2.485E9</v>
      </c>
      <c r="L894" s="1">
        <v>-3.86E8</v>
      </c>
      <c r="M894" s="1">
        <v>4.53E8</v>
      </c>
      <c r="N894" s="1">
        <v>1.4435E10</v>
      </c>
      <c r="O894" s="1">
        <v>1.195E10</v>
      </c>
      <c r="P894" s="1">
        <v>8.765E9</v>
      </c>
      <c r="Q894" s="1">
        <v>-3.68E8</v>
      </c>
      <c r="R894" s="1">
        <v>1.664E9</v>
      </c>
      <c r="S894" s="1">
        <v>1.45E9</v>
      </c>
    </row>
    <row r="895">
      <c r="A895" s="1">
        <v>893.0</v>
      </c>
      <c r="B895" s="2">
        <v>44286.0</v>
      </c>
      <c r="C895" s="1" t="s">
        <v>488</v>
      </c>
      <c r="D895" s="1" t="s">
        <v>489</v>
      </c>
      <c r="F895" s="1">
        <v>1.973E9</v>
      </c>
      <c r="G895" s="1">
        <v>1.423E9</v>
      </c>
      <c r="I895" s="1">
        <v>5.452E9</v>
      </c>
      <c r="J895" s="1">
        <v>2.334E9</v>
      </c>
      <c r="K895" s="1">
        <v>2.334E9</v>
      </c>
      <c r="L895" s="1">
        <v>-3.84E8</v>
      </c>
      <c r="M895" s="1">
        <v>3.93E8</v>
      </c>
      <c r="N895" s="1">
        <v>1.3977E10</v>
      </c>
      <c r="O895" s="1">
        <v>1.1643E10</v>
      </c>
      <c r="P895" s="1">
        <v>8.525E9</v>
      </c>
      <c r="Q895" s="1">
        <v>-3.61E8</v>
      </c>
      <c r="R895" s="1">
        <v>1.58E9</v>
      </c>
      <c r="S895" s="1">
        <v>1.423E9</v>
      </c>
    </row>
    <row r="896">
      <c r="A896" s="1">
        <v>894.0</v>
      </c>
      <c r="B896" s="2">
        <v>44196.0</v>
      </c>
      <c r="C896" s="1" t="s">
        <v>488</v>
      </c>
      <c r="D896" s="1" t="s">
        <v>489</v>
      </c>
      <c r="F896" s="1">
        <v>2.072E9</v>
      </c>
      <c r="G896" s="1">
        <v>1.426E9</v>
      </c>
      <c r="H896" s="1">
        <v>9.23E8</v>
      </c>
      <c r="I896" s="1">
        <v>5.534E9</v>
      </c>
      <c r="J896" s="1">
        <v>2.39E9</v>
      </c>
      <c r="K896" s="1">
        <v>2.39E9</v>
      </c>
      <c r="L896" s="1">
        <v>-3.83E8</v>
      </c>
      <c r="M896" s="1">
        <v>3.78E8</v>
      </c>
      <c r="N896" s="1">
        <v>1.4293E10</v>
      </c>
      <c r="O896" s="1">
        <v>1.1903E10</v>
      </c>
      <c r="P896" s="1">
        <v>8.759E9</v>
      </c>
      <c r="Q896" s="1">
        <v>-3.18E8</v>
      </c>
      <c r="R896" s="1">
        <v>1.694E9</v>
      </c>
      <c r="S896" s="1">
        <v>1.426E9</v>
      </c>
    </row>
    <row r="897">
      <c r="A897" s="1">
        <v>895.0</v>
      </c>
      <c r="B897" s="2">
        <v>44104.0</v>
      </c>
      <c r="C897" s="1" t="s">
        <v>488</v>
      </c>
      <c r="D897" s="1" t="s">
        <v>489</v>
      </c>
      <c r="F897" s="1">
        <v>9.88E8</v>
      </c>
      <c r="G897" s="1">
        <v>6.68E8</v>
      </c>
      <c r="H897" s="1">
        <v>9.23E8</v>
      </c>
      <c r="I897" s="1">
        <v>5.086E9</v>
      </c>
      <c r="J897" s="1">
        <v>2.141E9</v>
      </c>
      <c r="K897" s="1">
        <v>2.141E9</v>
      </c>
      <c r="L897" s="1">
        <v>-3.85E8</v>
      </c>
      <c r="M897" s="1">
        <v>2.09E8</v>
      </c>
      <c r="N897" s="1">
        <v>1.3311E10</v>
      </c>
      <c r="O897" s="1">
        <v>1.117E10</v>
      </c>
      <c r="P897" s="1">
        <v>8.225E9</v>
      </c>
      <c r="Q897" s="1">
        <v>-1.153E9</v>
      </c>
      <c r="R897" s="1">
        <v>7.79E8</v>
      </c>
      <c r="S897" s="1">
        <v>6.68E8</v>
      </c>
    </row>
    <row r="898">
      <c r="A898" s="1">
        <v>896.0</v>
      </c>
      <c r="B898" s="2">
        <v>44377.0</v>
      </c>
      <c r="C898" s="1" t="s">
        <v>490</v>
      </c>
      <c r="D898" s="1" t="s">
        <v>491</v>
      </c>
      <c r="F898" s="1">
        <v>1.67302E8</v>
      </c>
      <c r="G898" s="1">
        <v>2.7628E8</v>
      </c>
      <c r="H898" s="1">
        <v>2.4088E7</v>
      </c>
      <c r="I898" s="1">
        <v>2.84487E8</v>
      </c>
      <c r="J898" s="1">
        <v>8.894E7</v>
      </c>
      <c r="K898" s="1">
        <v>8.894E7</v>
      </c>
      <c r="L898" s="1">
        <v>-3.8681E7</v>
      </c>
      <c r="M898" s="1">
        <v>-763000.0</v>
      </c>
      <c r="N898" s="1">
        <v>4.76238E8</v>
      </c>
      <c r="O898" s="1">
        <v>3.87298E8</v>
      </c>
      <c r="P898" s="1">
        <v>1.91751E8</v>
      </c>
      <c r="Q898" s="1">
        <v>7.8362E7</v>
      </c>
      <c r="R898" s="1">
        <v>1.68065E8</v>
      </c>
      <c r="S898" s="1">
        <v>2.75993E8</v>
      </c>
    </row>
    <row r="899">
      <c r="A899" s="1">
        <v>897.0</v>
      </c>
      <c r="B899" s="2">
        <v>44286.0</v>
      </c>
      <c r="C899" s="1" t="s">
        <v>490</v>
      </c>
      <c r="D899" s="1" t="s">
        <v>491</v>
      </c>
      <c r="F899" s="1">
        <v>-1.20577E8</v>
      </c>
      <c r="G899" s="1">
        <v>1.45788E8</v>
      </c>
      <c r="H899" s="1">
        <v>2.2439E7</v>
      </c>
      <c r="I899" s="1">
        <v>2.68863E8</v>
      </c>
      <c r="J899" s="1">
        <v>8.8886E7</v>
      </c>
      <c r="K899" s="1">
        <v>8.8886E7</v>
      </c>
      <c r="L899" s="1">
        <v>-4.6843E7</v>
      </c>
      <c r="M899" s="1">
        <v>8000.0</v>
      </c>
      <c r="N899" s="1">
        <v>4.55276E8</v>
      </c>
      <c r="O899" s="1">
        <v>3.6639E8</v>
      </c>
      <c r="P899" s="1">
        <v>1.86413E8</v>
      </c>
      <c r="Q899" s="1">
        <v>-2.09463E8</v>
      </c>
      <c r="R899" s="1">
        <v>-1.20585E8</v>
      </c>
      <c r="S899" s="1">
        <v>1.43337E8</v>
      </c>
    </row>
    <row r="900">
      <c r="A900" s="1">
        <v>898.0</v>
      </c>
      <c r="B900" s="2">
        <v>44196.0</v>
      </c>
      <c r="C900" s="1" t="s">
        <v>490</v>
      </c>
      <c r="D900" s="1" t="s">
        <v>491</v>
      </c>
      <c r="F900" s="1">
        <v>-2.1835E7</v>
      </c>
      <c r="G900" s="1">
        <v>1.46394E8</v>
      </c>
      <c r="H900" s="1">
        <v>2.5507E7</v>
      </c>
      <c r="I900" s="1">
        <v>2.4606E8</v>
      </c>
      <c r="J900" s="1">
        <v>7.3378E7</v>
      </c>
      <c r="K900" s="1">
        <v>7.3378E7</v>
      </c>
      <c r="L900" s="1">
        <v>-5.4088E7</v>
      </c>
      <c r="M900" s="1">
        <v>-2631000.0</v>
      </c>
      <c r="N900" s="1">
        <v>4.31697E8</v>
      </c>
      <c r="O900" s="1">
        <v>3.58319E8</v>
      </c>
      <c r="P900" s="1">
        <v>1.85637E8</v>
      </c>
      <c r="Q900" s="1">
        <v>-9.5213E7</v>
      </c>
      <c r="R900" s="1">
        <v>-1.9204E7</v>
      </c>
      <c r="S900" s="1">
        <v>1.46129E8</v>
      </c>
    </row>
    <row r="901">
      <c r="A901" s="1">
        <v>899.0</v>
      </c>
      <c r="B901" s="2">
        <v>44104.0</v>
      </c>
      <c r="C901" s="1" t="s">
        <v>490</v>
      </c>
      <c r="D901" s="1" t="s">
        <v>491</v>
      </c>
      <c r="F901" s="1">
        <v>-3.5407E7</v>
      </c>
      <c r="G901" s="1">
        <v>-6.3417E7</v>
      </c>
      <c r="H901" s="1">
        <v>2.1661E7</v>
      </c>
      <c r="I901" s="1">
        <v>2.77861E8</v>
      </c>
      <c r="J901" s="1">
        <v>8.257E7</v>
      </c>
      <c r="K901" s="1">
        <v>8.257E7</v>
      </c>
      <c r="L901" s="1">
        <v>-5.6235E7</v>
      </c>
      <c r="M901" s="1">
        <v>2.4174E7</v>
      </c>
      <c r="N901" s="1">
        <v>5.97739E8</v>
      </c>
      <c r="O901" s="1">
        <v>5.15169E8</v>
      </c>
      <c r="P901" s="1">
        <v>3.19878E8</v>
      </c>
      <c r="Q901" s="1">
        <v>-1.17977E8</v>
      </c>
      <c r="R901" s="1">
        <v>-5.9581E7</v>
      </c>
      <c r="S901" s="1">
        <v>-6.3768E7</v>
      </c>
    </row>
    <row r="902">
      <c r="A902" s="1">
        <v>900.0</v>
      </c>
      <c r="B902" s="2">
        <v>44282.0</v>
      </c>
      <c r="C902" s="1" t="s">
        <v>492</v>
      </c>
      <c r="D902" s="1" t="s">
        <v>493</v>
      </c>
      <c r="F902" s="1">
        <v>2.31613E8</v>
      </c>
      <c r="G902" s="1">
        <v>1.65997E8</v>
      </c>
      <c r="H902" s="1">
        <v>6.57992E8</v>
      </c>
      <c r="I902" s="1">
        <v>8.90851E8</v>
      </c>
      <c r="J902" s="1">
        <v>2.32859E8</v>
      </c>
      <c r="K902" s="1">
        <v>2.32859E8</v>
      </c>
      <c r="L902" s="1">
        <v>-6485000.0</v>
      </c>
      <c r="M902" s="1">
        <v>5.6685E7</v>
      </c>
      <c r="N902" s="1">
        <v>2.924961E9</v>
      </c>
      <c r="O902" s="1">
        <v>2.692102E9</v>
      </c>
      <c r="P902" s="1">
        <v>2.03411E9</v>
      </c>
      <c r="Q902" s="1">
        <v>-1246000.0</v>
      </c>
      <c r="R902" s="1">
        <v>1.74928E8</v>
      </c>
      <c r="S902" s="1">
        <v>1.65997E8</v>
      </c>
    </row>
    <row r="903">
      <c r="A903" s="1">
        <v>901.0</v>
      </c>
      <c r="B903" s="2">
        <v>44191.0</v>
      </c>
      <c r="C903" s="1" t="s">
        <v>492</v>
      </c>
      <c r="D903" s="1" t="s">
        <v>493</v>
      </c>
      <c r="F903" s="1">
        <v>1.76038E8</v>
      </c>
      <c r="G903" s="1">
        <v>1.42633E8</v>
      </c>
      <c r="H903" s="1">
        <v>6.95331E8</v>
      </c>
      <c r="I903" s="1">
        <v>8.59711E8</v>
      </c>
      <c r="J903" s="1">
        <v>1.6438E8</v>
      </c>
      <c r="K903" s="1">
        <v>1.6438E8</v>
      </c>
      <c r="L903" s="1">
        <v>-1.1968E7</v>
      </c>
      <c r="M903" s="1">
        <v>2.9409E7</v>
      </c>
      <c r="N903" s="1">
        <v>3.165725E9</v>
      </c>
      <c r="O903" s="1">
        <v>3.001345E9</v>
      </c>
      <c r="P903" s="1">
        <v>2.306014E9</v>
      </c>
      <c r="Q903" s="1">
        <v>1.1658E7</v>
      </c>
      <c r="R903" s="1">
        <v>1.46629E8</v>
      </c>
      <c r="S903" s="1">
        <v>1.42633E8</v>
      </c>
    </row>
    <row r="904">
      <c r="A904" s="1">
        <v>902.0</v>
      </c>
      <c r="B904" s="2">
        <v>44100.0</v>
      </c>
      <c r="C904" s="1" t="s">
        <v>492</v>
      </c>
      <c r="D904" s="1" t="s">
        <v>493</v>
      </c>
      <c r="F904" s="1">
        <v>1.80818E8</v>
      </c>
      <c r="G904" s="1">
        <v>1.41697E8</v>
      </c>
      <c r="H904" s="1">
        <v>5.59636E8</v>
      </c>
      <c r="I904" s="1">
        <v>7.54299E8</v>
      </c>
      <c r="J904" s="1">
        <v>1.94663E8</v>
      </c>
      <c r="K904" s="1">
        <v>1.94663E8</v>
      </c>
      <c r="L904" s="1">
        <v>-1.1111E7</v>
      </c>
      <c r="M904" s="1">
        <v>2.9005E7</v>
      </c>
      <c r="N904" s="1">
        <v>2.840146E9</v>
      </c>
      <c r="O904" s="1">
        <v>2.645483E9</v>
      </c>
      <c r="P904" s="1">
        <v>2.085847E9</v>
      </c>
      <c r="Q904" s="1">
        <v>-1.3845E7</v>
      </c>
      <c r="R904" s="1">
        <v>1.51813E8</v>
      </c>
      <c r="S904" s="1">
        <v>1.41697E8</v>
      </c>
    </row>
    <row r="905">
      <c r="A905" s="1">
        <v>903.0</v>
      </c>
      <c r="B905" s="2">
        <v>44009.0</v>
      </c>
      <c r="C905" s="1" t="s">
        <v>492</v>
      </c>
      <c r="D905" s="1" t="s">
        <v>493</v>
      </c>
      <c r="F905" s="1">
        <v>-1.4802E7</v>
      </c>
      <c r="G905" s="1">
        <v>-1.0797E7</v>
      </c>
      <c r="H905" s="1">
        <v>4.45793E8</v>
      </c>
      <c r="I905" s="1">
        <v>4.54294E8</v>
      </c>
      <c r="J905" s="1">
        <v>8501000.0</v>
      </c>
      <c r="K905" s="1">
        <v>8501000.0</v>
      </c>
      <c r="L905" s="1">
        <v>-1.0486E7</v>
      </c>
      <c r="M905" s="1">
        <v>-950000.0</v>
      </c>
      <c r="N905" s="1">
        <v>1.684399E9</v>
      </c>
      <c r="O905" s="1">
        <v>1.675898E9</v>
      </c>
      <c r="P905" s="1">
        <v>1.230105E9</v>
      </c>
      <c r="Q905" s="1">
        <v>-2.3303E7</v>
      </c>
      <c r="R905" s="1">
        <v>-1.3852E7</v>
      </c>
      <c r="S905" s="1">
        <v>-1.0797E7</v>
      </c>
    </row>
    <row r="906">
      <c r="A906" s="1">
        <v>904.0</v>
      </c>
      <c r="B906" s="2">
        <v>44377.0</v>
      </c>
      <c r="C906" s="1" t="s">
        <v>494</v>
      </c>
      <c r="D906" s="1" t="s">
        <v>495</v>
      </c>
      <c r="F906" s="1">
        <v>1.35E8</v>
      </c>
      <c r="G906" s="1">
        <v>-7.3E7</v>
      </c>
      <c r="H906" s="1">
        <v>3.99E8</v>
      </c>
      <c r="I906" s="1">
        <v>1.213E9</v>
      </c>
      <c r="J906" s="1">
        <v>2.54E8</v>
      </c>
      <c r="K906" s="1">
        <v>2.54E8</v>
      </c>
      <c r="L906" s="1">
        <v>-1.18E8</v>
      </c>
      <c r="M906" s="1">
        <v>1.22E8</v>
      </c>
      <c r="N906" s="1">
        <v>1.535E9</v>
      </c>
      <c r="O906" s="1">
        <v>1.281E9</v>
      </c>
      <c r="P906" s="1">
        <v>3.22E8</v>
      </c>
      <c r="Q906" s="1">
        <v>-1.19E8</v>
      </c>
      <c r="R906" s="1">
        <v>1.3E7</v>
      </c>
      <c r="S906" s="1">
        <v>-7.3E7</v>
      </c>
    </row>
    <row r="907">
      <c r="A907" s="1">
        <v>905.0</v>
      </c>
      <c r="B907" s="2">
        <v>44286.0</v>
      </c>
      <c r="C907" s="1" t="s">
        <v>494</v>
      </c>
      <c r="D907" s="1" t="s">
        <v>495</v>
      </c>
      <c r="F907" s="1">
        <v>4.59E8</v>
      </c>
      <c r="G907" s="1">
        <v>2.52E8</v>
      </c>
      <c r="H907" s="1">
        <v>3.59E8</v>
      </c>
      <c r="I907" s="1">
        <v>1.343E9</v>
      </c>
      <c r="J907" s="1">
        <v>5.77E8</v>
      </c>
      <c r="K907" s="1">
        <v>5.77E8</v>
      </c>
      <c r="L907" s="1">
        <v>-1.17E8</v>
      </c>
      <c r="M907" s="1">
        <v>1.23E8</v>
      </c>
      <c r="N907" s="1">
        <v>1.861E9</v>
      </c>
      <c r="O907" s="1">
        <v>1.284E9</v>
      </c>
      <c r="P907" s="1">
        <v>5.18E8</v>
      </c>
      <c r="Q907" s="1">
        <v>-1.18E8</v>
      </c>
      <c r="R907" s="1">
        <v>3.36E8</v>
      </c>
      <c r="S907" s="1">
        <v>2.52E8</v>
      </c>
    </row>
    <row r="908">
      <c r="A908" s="1">
        <v>906.0</v>
      </c>
      <c r="B908" s="2">
        <v>44196.0</v>
      </c>
      <c r="C908" s="1" t="s">
        <v>494</v>
      </c>
      <c r="D908" s="1" t="s">
        <v>495</v>
      </c>
      <c r="F908" s="1">
        <v>4.5E7</v>
      </c>
      <c r="G908" s="1">
        <v>-9.7E7</v>
      </c>
      <c r="H908" s="1">
        <v>3.28E8</v>
      </c>
      <c r="I908" s="1">
        <v>1.061E9</v>
      </c>
      <c r="J908" s="1">
        <v>1.38E8</v>
      </c>
      <c r="K908" s="1">
        <v>1.38E8</v>
      </c>
      <c r="L908" s="1">
        <v>-1.18E8</v>
      </c>
      <c r="M908" s="1">
        <v>7.2E7</v>
      </c>
      <c r="N908" s="1">
        <v>1.289E9</v>
      </c>
      <c r="O908" s="1">
        <v>1.151E9</v>
      </c>
      <c r="P908" s="1">
        <v>2.28E8</v>
      </c>
      <c r="Q908" s="1">
        <v>-9.3E7</v>
      </c>
      <c r="R908" s="1">
        <v>-2.7E7</v>
      </c>
      <c r="S908" s="1">
        <v>-9.7E7</v>
      </c>
    </row>
    <row r="909">
      <c r="A909" s="1">
        <v>907.0</v>
      </c>
      <c r="B909" s="2">
        <v>44104.0</v>
      </c>
      <c r="C909" s="1" t="s">
        <v>494</v>
      </c>
      <c r="D909" s="1" t="s">
        <v>495</v>
      </c>
      <c r="F909" s="1">
        <v>-1.78E8</v>
      </c>
      <c r="G909" s="1">
        <v>-2.43E8</v>
      </c>
      <c r="H909" s="1">
        <v>3.66E8</v>
      </c>
      <c r="I909" s="1">
        <v>9.04E8</v>
      </c>
      <c r="J909" s="1">
        <v>-3.2E7</v>
      </c>
      <c r="K909" s="1">
        <v>-3.2E7</v>
      </c>
      <c r="L909" s="1">
        <v>-1.18E8</v>
      </c>
      <c r="M909" s="1">
        <v>5000000.0</v>
      </c>
      <c r="N909" s="1">
        <v>1.125E9</v>
      </c>
      <c r="O909" s="1">
        <v>1.157E9</v>
      </c>
      <c r="P909" s="1">
        <v>2.21E8</v>
      </c>
      <c r="Q909" s="1">
        <v>-1.46E8</v>
      </c>
      <c r="R909" s="1">
        <v>-1.83E8</v>
      </c>
      <c r="S909" s="1">
        <v>-2.43E8</v>
      </c>
    </row>
    <row r="910">
      <c r="A910" s="1">
        <v>908.0</v>
      </c>
      <c r="B910" s="2">
        <v>44408.0</v>
      </c>
      <c r="C910" s="1" t="s">
        <v>496</v>
      </c>
      <c r="D910" s="1" t="s">
        <v>497</v>
      </c>
      <c r="E910" s="1">
        <v>5.06E8</v>
      </c>
      <c r="F910" s="1">
        <v>4.06E8</v>
      </c>
      <c r="G910" s="1">
        <v>3.92E8</v>
      </c>
      <c r="H910" s="1">
        <v>1.271E9</v>
      </c>
      <c r="I910" s="1">
        <v>2.382E9</v>
      </c>
      <c r="J910" s="1">
        <v>5.99E8</v>
      </c>
      <c r="K910" s="1">
        <v>5.99E8</v>
      </c>
      <c r="L910" s="1">
        <v>-6.6E7</v>
      </c>
      <c r="M910" s="1">
        <v>1.4E7</v>
      </c>
      <c r="N910" s="1">
        <v>6.897E9</v>
      </c>
      <c r="O910" s="1">
        <v>6.298E9</v>
      </c>
      <c r="P910" s="1">
        <v>4.515E9</v>
      </c>
      <c r="Q910" s="1">
        <v>-1.93E8</v>
      </c>
      <c r="R910" s="1">
        <v>3.92E8</v>
      </c>
      <c r="S910" s="1">
        <v>3.92E8</v>
      </c>
    </row>
    <row r="911">
      <c r="A911" s="1">
        <v>909.0</v>
      </c>
      <c r="B911" s="2">
        <v>44316.0</v>
      </c>
      <c r="C911" s="1" t="s">
        <v>496</v>
      </c>
      <c r="D911" s="1" t="s">
        <v>497</v>
      </c>
      <c r="E911" s="1">
        <v>5.03E8</v>
      </c>
      <c r="F911" s="1">
        <v>2.88E8</v>
      </c>
      <c r="G911" s="1">
        <v>2.59E8</v>
      </c>
      <c r="H911" s="1">
        <v>1.18E9</v>
      </c>
      <c r="I911" s="1">
        <v>2.287E9</v>
      </c>
      <c r="J911" s="1">
        <v>5.13E8</v>
      </c>
      <c r="K911" s="1">
        <v>5.13E8</v>
      </c>
      <c r="L911" s="1">
        <v>-1.01E8</v>
      </c>
      <c r="M911" s="1">
        <v>2.9E7</v>
      </c>
      <c r="N911" s="1">
        <v>6.7E9</v>
      </c>
      <c r="O911" s="1">
        <v>6.187E9</v>
      </c>
      <c r="P911" s="1">
        <v>4.413E9</v>
      </c>
      <c r="Q911" s="1">
        <v>-2.25E8</v>
      </c>
      <c r="R911" s="1">
        <v>2.59E8</v>
      </c>
      <c r="S911" s="1">
        <v>2.59E8</v>
      </c>
    </row>
    <row r="912">
      <c r="A912" s="1">
        <v>910.0</v>
      </c>
      <c r="B912" s="2">
        <v>44227.0</v>
      </c>
      <c r="C912" s="1" t="s">
        <v>496</v>
      </c>
      <c r="D912" s="1" t="s">
        <v>497</v>
      </c>
      <c r="E912" s="1">
        <v>4.68E8</v>
      </c>
      <c r="F912" s="1">
        <v>2.05E8</v>
      </c>
      <c r="G912" s="1">
        <v>2.23E8</v>
      </c>
      <c r="H912" s="1">
        <v>1.142E9</v>
      </c>
      <c r="I912" s="1">
        <v>2.288E9</v>
      </c>
      <c r="J912" s="1">
        <v>5.52E8</v>
      </c>
      <c r="K912" s="1">
        <v>5.52E8</v>
      </c>
      <c r="L912" s="1">
        <v>-1.01E8</v>
      </c>
      <c r="M912" s="1">
        <v>-1.8E7</v>
      </c>
      <c r="N912" s="1">
        <v>6.833E9</v>
      </c>
      <c r="O912" s="1">
        <v>6.281E9</v>
      </c>
      <c r="P912" s="1">
        <v>4.545E9</v>
      </c>
      <c r="Q912" s="1">
        <v>-3.47E8</v>
      </c>
      <c r="R912" s="1">
        <v>2.23E8</v>
      </c>
      <c r="S912" s="1">
        <v>2.23E8</v>
      </c>
    </row>
    <row r="913">
      <c r="A913" s="1">
        <v>911.0</v>
      </c>
      <c r="B913" s="2">
        <v>44135.0</v>
      </c>
      <c r="C913" s="1" t="s">
        <v>496</v>
      </c>
      <c r="D913" s="1" t="s">
        <v>497</v>
      </c>
      <c r="E913" s="1">
        <v>4.84E8</v>
      </c>
      <c r="F913" s="1">
        <v>1.25E8</v>
      </c>
      <c r="G913" s="1">
        <v>1.57E8</v>
      </c>
      <c r="H913" s="1">
        <v>1.126E9</v>
      </c>
      <c r="I913" s="1">
        <v>2.206E9</v>
      </c>
      <c r="J913" s="1">
        <v>5.02E8</v>
      </c>
      <c r="K913" s="1">
        <v>5.02E8</v>
      </c>
      <c r="L913" s="1">
        <v>-1.78E8</v>
      </c>
      <c r="M913" s="1">
        <v>-3.2E7</v>
      </c>
      <c r="N913" s="1">
        <v>7.208E9</v>
      </c>
      <c r="O913" s="1">
        <v>6.706E9</v>
      </c>
      <c r="P913" s="1">
        <v>5.002E9</v>
      </c>
      <c r="Q913" s="1">
        <v>-3.77E8</v>
      </c>
      <c r="R913" s="1">
        <v>1.57E8</v>
      </c>
      <c r="S913" s="1">
        <v>1.57E8</v>
      </c>
    </row>
    <row r="914">
      <c r="A914" s="1">
        <v>912.0</v>
      </c>
      <c r="B914" s="2">
        <v>44286.0</v>
      </c>
      <c r="C914" s="1" t="s">
        <v>498</v>
      </c>
      <c r="D914" s="1" t="s">
        <v>499</v>
      </c>
      <c r="F914" s="1">
        <v>-1.44E8</v>
      </c>
      <c r="G914" s="1">
        <v>-1.08E8</v>
      </c>
      <c r="H914" s="1">
        <v>9.8E7</v>
      </c>
      <c r="I914" s="1">
        <v>2.43E8</v>
      </c>
      <c r="J914" s="1">
        <v>2.0E7</v>
      </c>
      <c r="K914" s="1">
        <v>2.0E7</v>
      </c>
      <c r="L914" s="1">
        <v>-1.03E8</v>
      </c>
      <c r="M914" s="1">
        <v>-3.5E7</v>
      </c>
      <c r="N914" s="1">
        <v>3.53E8</v>
      </c>
      <c r="O914" s="1">
        <v>3.33E8</v>
      </c>
      <c r="P914" s="1">
        <v>1.1E8</v>
      </c>
      <c r="Q914" s="1">
        <v>-1.64E8</v>
      </c>
      <c r="R914" s="1">
        <v>-1.09E8</v>
      </c>
      <c r="S914" s="1">
        <v>-1.08E8</v>
      </c>
    </row>
    <row r="915">
      <c r="A915" s="1">
        <v>913.0</v>
      </c>
      <c r="B915" s="2">
        <v>44196.0</v>
      </c>
      <c r="C915" s="1" t="s">
        <v>498</v>
      </c>
      <c r="D915" s="1" t="s">
        <v>499</v>
      </c>
      <c r="F915" s="1">
        <v>-3.49E8</v>
      </c>
      <c r="G915" s="1">
        <v>-2.24E8</v>
      </c>
      <c r="H915" s="1">
        <v>1.27E8</v>
      </c>
      <c r="I915" s="1">
        <v>2.42E8</v>
      </c>
      <c r="J915" s="1">
        <v>1.02E8</v>
      </c>
      <c r="K915" s="1">
        <v>1.02E8</v>
      </c>
      <c r="L915" s="1">
        <v>-1.13E8</v>
      </c>
      <c r="M915" s="1">
        <v>-1.24E8</v>
      </c>
      <c r="N915" s="1">
        <v>3.84E8</v>
      </c>
      <c r="O915" s="1">
        <v>2.82E8</v>
      </c>
      <c r="P915" s="1">
        <v>1.42E8</v>
      </c>
      <c r="Q915" s="1">
        <v>-4.51E8</v>
      </c>
      <c r="R915" s="1">
        <v>-2.25E8</v>
      </c>
      <c r="S915" s="1">
        <v>-2.24E8</v>
      </c>
    </row>
    <row r="916">
      <c r="A916" s="1">
        <v>914.0</v>
      </c>
      <c r="B916" s="2">
        <v>44104.0</v>
      </c>
      <c r="C916" s="1" t="s">
        <v>498</v>
      </c>
      <c r="D916" s="1" t="s">
        <v>499</v>
      </c>
      <c r="F916" s="1">
        <v>-1.14E8</v>
      </c>
      <c r="G916" s="1">
        <v>-7.9E7</v>
      </c>
      <c r="H916" s="1">
        <v>6.9E7</v>
      </c>
      <c r="I916" s="1">
        <v>2.41E8</v>
      </c>
      <c r="J916" s="1">
        <v>1.7E7</v>
      </c>
      <c r="K916" s="1">
        <v>1.7E7</v>
      </c>
      <c r="L916" s="1">
        <v>-1.16E8</v>
      </c>
      <c r="M916" s="1">
        <v>-3.3E7</v>
      </c>
      <c r="N916" s="1">
        <v>3.85E8</v>
      </c>
      <c r="O916" s="1">
        <v>3.68E8</v>
      </c>
      <c r="P916" s="1">
        <v>1.44E8</v>
      </c>
      <c r="Q916" s="1">
        <v>-1.31E8</v>
      </c>
      <c r="R916" s="1">
        <v>-8.1E7</v>
      </c>
      <c r="S916" s="1">
        <v>-7.9E7</v>
      </c>
    </row>
    <row r="917">
      <c r="A917" s="1">
        <v>915.0</v>
      </c>
      <c r="B917" s="2">
        <v>44012.0</v>
      </c>
      <c r="C917" s="1" t="s">
        <v>498</v>
      </c>
      <c r="D917" s="1" t="s">
        <v>499</v>
      </c>
      <c r="F917" s="1">
        <v>-4.44E8</v>
      </c>
      <c r="G917" s="1">
        <v>-4.3E8</v>
      </c>
      <c r="H917" s="1">
        <v>6.6E7</v>
      </c>
      <c r="I917" s="1">
        <v>8.1E7</v>
      </c>
      <c r="J917" s="1">
        <v>-2.52E8</v>
      </c>
      <c r="K917" s="1">
        <v>-2.52E8</v>
      </c>
      <c r="L917" s="1">
        <v>-1.06E8</v>
      </c>
      <c r="M917" s="1">
        <v>-1.2E7</v>
      </c>
      <c r="N917" s="1">
        <v>1.76E8</v>
      </c>
      <c r="O917" s="1">
        <v>4.28E8</v>
      </c>
      <c r="P917" s="1">
        <v>9.5E7</v>
      </c>
      <c r="Q917" s="1">
        <v>-1.92E8</v>
      </c>
      <c r="R917" s="1">
        <v>-4.32E8</v>
      </c>
      <c r="S917" s="1">
        <v>-4.3E8</v>
      </c>
    </row>
    <row r="918">
      <c r="A918" s="1">
        <v>916.0</v>
      </c>
      <c r="B918" s="2">
        <v>44373.0</v>
      </c>
      <c r="C918" s="1" t="s">
        <v>500</v>
      </c>
      <c r="D918" s="1" t="s">
        <v>501</v>
      </c>
      <c r="E918" s="1">
        <v>6.9E7</v>
      </c>
      <c r="F918" s="1">
        <v>3.375E8</v>
      </c>
      <c r="G918" s="1">
        <v>2.684E8</v>
      </c>
      <c r="H918" s="1">
        <v>2.6E8</v>
      </c>
      <c r="I918" s="1">
        <v>7.697E8</v>
      </c>
      <c r="J918" s="1">
        <v>3.622E8</v>
      </c>
      <c r="K918" s="1">
        <v>3.622E8</v>
      </c>
      <c r="L918" s="1">
        <v>-2.16E7</v>
      </c>
      <c r="M918" s="1">
        <v>6.94E7</v>
      </c>
      <c r="N918" s="1">
        <v>1.1683E9</v>
      </c>
      <c r="O918" s="1">
        <v>8.061E8</v>
      </c>
      <c r="P918" s="1">
        <v>3.986E8</v>
      </c>
      <c r="Q918" s="1">
        <v>-2.47E7</v>
      </c>
      <c r="R918" s="1">
        <v>2.681E8</v>
      </c>
      <c r="S918" s="1">
        <v>2.684E8</v>
      </c>
    </row>
    <row r="919">
      <c r="A919" s="1">
        <v>917.0</v>
      </c>
      <c r="B919" s="2">
        <v>44282.0</v>
      </c>
      <c r="C919" s="1" t="s">
        <v>500</v>
      </c>
      <c r="D919" s="1" t="s">
        <v>501</v>
      </c>
      <c r="E919" s="1">
        <v>7.15E7</v>
      </c>
      <c r="F919" s="1">
        <v>7.805E8</v>
      </c>
      <c r="G919" s="1">
        <v>6.199E8</v>
      </c>
      <c r="H919" s="1">
        <v>2.204E8</v>
      </c>
      <c r="I919" s="1">
        <v>1.1526E9</v>
      </c>
      <c r="J919" s="1">
        <v>7.86E8</v>
      </c>
      <c r="K919" s="1">
        <v>7.86E8</v>
      </c>
      <c r="L919" s="1">
        <v>-2.13E7</v>
      </c>
      <c r="M919" s="1">
        <v>1.611E8</v>
      </c>
      <c r="N919" s="1">
        <v>1.5376E9</v>
      </c>
      <c r="O919" s="1">
        <v>7.516E8</v>
      </c>
      <c r="P919" s="1">
        <v>3.85E8</v>
      </c>
      <c r="Q919" s="1">
        <v>-5500000.0</v>
      </c>
      <c r="R919" s="1">
        <v>6.194E8</v>
      </c>
      <c r="S919" s="1">
        <v>6.199E8</v>
      </c>
    </row>
    <row r="920">
      <c r="A920" s="1">
        <v>918.0</v>
      </c>
      <c r="B920" s="2">
        <v>44191.0</v>
      </c>
      <c r="C920" s="1" t="s">
        <v>500</v>
      </c>
      <c r="D920" s="1" t="s">
        <v>501</v>
      </c>
      <c r="E920" s="1">
        <v>5.93E7</v>
      </c>
      <c r="F920" s="1">
        <v>8.324E8</v>
      </c>
      <c r="G920" s="1">
        <v>6.544E8</v>
      </c>
      <c r="H920" s="1">
        <v>2.195E8</v>
      </c>
      <c r="I920" s="1">
        <v>1.243E9</v>
      </c>
      <c r="J920" s="1">
        <v>8.925E8</v>
      </c>
      <c r="K920" s="1">
        <v>8.925E8</v>
      </c>
      <c r="L920" s="1">
        <v>-2.81E7</v>
      </c>
      <c r="M920" s="1">
        <v>1.79E8</v>
      </c>
      <c r="N920" s="1">
        <v>1.6098E9</v>
      </c>
      <c r="O920" s="1">
        <v>7.173E8</v>
      </c>
      <c r="P920" s="1">
        <v>3.668E8</v>
      </c>
      <c r="Q920" s="1">
        <v>-6.01E7</v>
      </c>
      <c r="R920" s="1">
        <v>6.534E8</v>
      </c>
      <c r="S920" s="1">
        <v>6.544E8</v>
      </c>
    </row>
    <row r="921">
      <c r="A921" s="1">
        <v>919.0</v>
      </c>
      <c r="B921" s="2">
        <v>44100.0</v>
      </c>
      <c r="C921" s="1" t="s">
        <v>500</v>
      </c>
      <c r="D921" s="1" t="s">
        <v>501</v>
      </c>
      <c r="E921" s="1">
        <v>5.7E7</v>
      </c>
      <c r="F921" s="1">
        <v>6.171E8</v>
      </c>
      <c r="G921" s="1">
        <v>4.949E8</v>
      </c>
      <c r="H921" s="1">
        <v>2.242E8</v>
      </c>
      <c r="I921" s="1">
        <v>1.0024E9</v>
      </c>
      <c r="J921" s="1">
        <v>6.501E8</v>
      </c>
      <c r="K921" s="1">
        <v>6.501E8</v>
      </c>
      <c r="L921" s="1">
        <v>-2.5E7</v>
      </c>
      <c r="M921" s="1">
        <v>1.235E8</v>
      </c>
      <c r="N921" s="1">
        <v>1.3469E9</v>
      </c>
      <c r="O921" s="1">
        <v>6.968E8</v>
      </c>
      <c r="P921" s="1">
        <v>3.445E8</v>
      </c>
      <c r="Q921" s="1">
        <v>-3.3E7</v>
      </c>
      <c r="R921" s="1">
        <v>4.936E8</v>
      </c>
      <c r="S921" s="1">
        <v>4.949E8</v>
      </c>
    </row>
    <row r="922">
      <c r="A922" s="1">
        <v>920.0</v>
      </c>
      <c r="B922" s="2">
        <v>44409.0</v>
      </c>
      <c r="C922" s="1" t="s">
        <v>502</v>
      </c>
      <c r="D922" s="1" t="s">
        <v>503</v>
      </c>
      <c r="F922" s="1">
        <v>6.318E9</v>
      </c>
      <c r="G922" s="1">
        <v>4.807E9</v>
      </c>
      <c r="H922" s="1">
        <v>6.409E9</v>
      </c>
      <c r="I922" s="1">
        <v>1.3665E10</v>
      </c>
      <c r="J922" s="1">
        <v>6.663E9</v>
      </c>
      <c r="K922" s="1">
        <v>6.663E9</v>
      </c>
      <c r="L922" s="1">
        <v>-3.26E8</v>
      </c>
      <c r="M922" s="1">
        <v>1.511E9</v>
      </c>
      <c r="N922" s="1">
        <v>4.1118E10</v>
      </c>
      <c r="O922" s="1">
        <v>3.4455E10</v>
      </c>
      <c r="P922" s="1">
        <v>2.7453E10</v>
      </c>
      <c r="Q922" s="1">
        <v>-3.45E8</v>
      </c>
      <c r="R922" s="1">
        <v>4.807E9</v>
      </c>
      <c r="S922" s="1">
        <v>4.807E9</v>
      </c>
    </row>
    <row r="923">
      <c r="A923" s="1">
        <v>921.0</v>
      </c>
      <c r="B923" s="2">
        <v>44318.0</v>
      </c>
      <c r="C923" s="1" t="s">
        <v>502</v>
      </c>
      <c r="D923" s="1" t="s">
        <v>503</v>
      </c>
      <c r="F923" s="1">
        <v>5.448E9</v>
      </c>
      <c r="G923" s="1">
        <v>4.145E9</v>
      </c>
      <c r="H923" s="1">
        <v>6.296E9</v>
      </c>
      <c r="I923" s="1">
        <v>1.2742E10</v>
      </c>
      <c r="J923" s="1">
        <v>5.859E9</v>
      </c>
      <c r="K923" s="1">
        <v>5.859E9</v>
      </c>
      <c r="L923" s="1">
        <v>-3.39E8</v>
      </c>
      <c r="M923" s="1">
        <v>1.303E9</v>
      </c>
      <c r="N923" s="1">
        <v>3.75E10</v>
      </c>
      <c r="O923" s="1">
        <v>3.1641E10</v>
      </c>
      <c r="P923" s="1">
        <v>2.4758E10</v>
      </c>
      <c r="Q923" s="1">
        <v>-4.11E8</v>
      </c>
      <c r="R923" s="1">
        <v>4.145E9</v>
      </c>
      <c r="S923" s="1">
        <v>4.145E9</v>
      </c>
    </row>
    <row r="924">
      <c r="A924" s="1">
        <v>922.0</v>
      </c>
      <c r="B924" s="2">
        <v>44227.0</v>
      </c>
      <c r="C924" s="1" t="s">
        <v>502</v>
      </c>
      <c r="D924" s="1" t="s">
        <v>503</v>
      </c>
      <c r="F924" s="1">
        <v>3.756E9</v>
      </c>
      <c r="G924" s="1">
        <v>2.857E9</v>
      </c>
      <c r="H924" s="1">
        <v>5.722E9</v>
      </c>
      <c r="I924" s="1">
        <v>1.0831E10</v>
      </c>
      <c r="J924" s="1">
        <v>4.548E9</v>
      </c>
      <c r="K924" s="1">
        <v>4.548E9</v>
      </c>
      <c r="L924" s="1">
        <v>-3.37E8</v>
      </c>
      <c r="M924" s="1">
        <v>8.99E8</v>
      </c>
      <c r="N924" s="1">
        <v>3.2261E10</v>
      </c>
      <c r="O924" s="1">
        <v>2.7713E10</v>
      </c>
      <c r="P924" s="1">
        <v>2.143E10</v>
      </c>
      <c r="Q924" s="1">
        <v>-7.92E8</v>
      </c>
      <c r="R924" s="1">
        <v>2.857E9</v>
      </c>
      <c r="S924" s="1">
        <v>2.857E9</v>
      </c>
    </row>
    <row r="925">
      <c r="A925" s="1">
        <v>923.0</v>
      </c>
      <c r="B925" s="2">
        <v>44136.0</v>
      </c>
      <c r="C925" s="1" t="s">
        <v>502</v>
      </c>
      <c r="D925" s="1" t="s">
        <v>503</v>
      </c>
      <c r="F925" s="1">
        <v>4.523E9</v>
      </c>
      <c r="G925" s="1">
        <v>3.432E9</v>
      </c>
      <c r="H925" s="1">
        <v>5.663E9</v>
      </c>
      <c r="I925" s="1">
        <v>1.1456E10</v>
      </c>
      <c r="J925" s="1">
        <v>5.265E9</v>
      </c>
      <c r="K925" s="1">
        <v>5.265E9</v>
      </c>
      <c r="L925" s="1">
        <v>-3.4E8</v>
      </c>
      <c r="M925" s="1">
        <v>1.091E9</v>
      </c>
      <c r="N925" s="1">
        <v>3.3536E10</v>
      </c>
      <c r="O925" s="1">
        <v>2.8271E10</v>
      </c>
      <c r="P925" s="1">
        <v>2.208E10</v>
      </c>
      <c r="Q925" s="1">
        <v>-7.42E8</v>
      </c>
      <c r="R925" s="1">
        <v>3.432E9</v>
      </c>
      <c r="S925" s="1">
        <v>3.432E9</v>
      </c>
    </row>
    <row r="926">
      <c r="A926" s="1">
        <v>924.0</v>
      </c>
      <c r="B926" s="2">
        <v>44377.0</v>
      </c>
      <c r="C926" s="1" t="s">
        <v>504</v>
      </c>
      <c r="D926" s="1" t="s">
        <v>505</v>
      </c>
      <c r="F926" s="1">
        <v>1.881E9</v>
      </c>
      <c r="G926" s="1">
        <v>1.43E9</v>
      </c>
      <c r="H926" s="1">
        <v>8.8E8</v>
      </c>
      <c r="I926" s="1">
        <v>2.805E9</v>
      </c>
      <c r="J926" s="1">
        <v>1.925E9</v>
      </c>
      <c r="K926" s="1">
        <v>1.925E9</v>
      </c>
      <c r="L926" s="1">
        <v>-7.9E7</v>
      </c>
      <c r="M926" s="1">
        <v>4.34E8</v>
      </c>
      <c r="N926" s="1">
        <v>8.808E9</v>
      </c>
      <c r="O926" s="1">
        <v>6.883E9</v>
      </c>
      <c r="P926" s="1">
        <v>6.003E9</v>
      </c>
      <c r="Q926" s="1">
        <v>-4.4E7</v>
      </c>
      <c r="R926" s="1">
        <v>1.447E9</v>
      </c>
      <c r="S926" s="1">
        <v>1.43E9</v>
      </c>
    </row>
    <row r="927">
      <c r="A927" s="1">
        <v>925.0</v>
      </c>
      <c r="B927" s="2">
        <v>44286.0</v>
      </c>
      <c r="C927" s="1" t="s">
        <v>504</v>
      </c>
      <c r="D927" s="1" t="s">
        <v>505</v>
      </c>
      <c r="F927" s="1">
        <v>1.861E9</v>
      </c>
      <c r="G927" s="1">
        <v>1.427E9</v>
      </c>
      <c r="H927" s="1">
        <v>9.09E8</v>
      </c>
      <c r="I927" s="1">
        <v>2.745E9</v>
      </c>
      <c r="J927" s="1">
        <v>1.836E9</v>
      </c>
      <c r="K927" s="1">
        <v>1.836E9</v>
      </c>
      <c r="L927" s="1">
        <v>-9.0E7</v>
      </c>
      <c r="M927" s="1">
        <v>4.13E8</v>
      </c>
      <c r="N927" s="1">
        <v>8.454E9</v>
      </c>
      <c r="O927" s="1">
        <v>6.618E9</v>
      </c>
      <c r="P927" s="1">
        <v>5.709E9</v>
      </c>
      <c r="Q927" s="1">
        <v>2.5E7</v>
      </c>
      <c r="R927" s="1">
        <v>1.448E9</v>
      </c>
      <c r="S927" s="1">
        <v>1.427E9</v>
      </c>
    </row>
    <row r="928">
      <c r="A928" s="1">
        <v>926.0</v>
      </c>
      <c r="B928" s="2">
        <v>44196.0</v>
      </c>
      <c r="C928" s="1" t="s">
        <v>504</v>
      </c>
      <c r="D928" s="1" t="s">
        <v>505</v>
      </c>
      <c r="F928" s="1">
        <v>1.71E9</v>
      </c>
      <c r="G928" s="1">
        <v>1.359E9</v>
      </c>
      <c r="H928" s="1">
        <v>1.041E9</v>
      </c>
      <c r="I928" s="1">
        <v>2.924E9</v>
      </c>
      <c r="J928" s="1">
        <v>1.883E9</v>
      </c>
      <c r="K928" s="1">
        <v>1.883E9</v>
      </c>
      <c r="L928" s="1">
        <v>-9.5E7</v>
      </c>
      <c r="M928" s="1">
        <v>3.31E8</v>
      </c>
      <c r="N928" s="1">
        <v>8.9E9</v>
      </c>
      <c r="O928" s="1">
        <v>7.017E9</v>
      </c>
      <c r="P928" s="1">
        <v>5.976E9</v>
      </c>
      <c r="Q928" s="1">
        <v>-1.73E8</v>
      </c>
      <c r="R928" s="1">
        <v>1.379E9</v>
      </c>
      <c r="S928" s="1">
        <v>1.359E9</v>
      </c>
    </row>
    <row r="929">
      <c r="A929" s="1">
        <v>927.0</v>
      </c>
      <c r="B929" s="2">
        <v>44104.0</v>
      </c>
      <c r="C929" s="1" t="s">
        <v>504</v>
      </c>
      <c r="D929" s="1" t="s">
        <v>505</v>
      </c>
      <c r="F929" s="1">
        <v>1.148E9</v>
      </c>
      <c r="G929" s="1">
        <v>7.58E8</v>
      </c>
      <c r="H929" s="1">
        <v>8.52E8</v>
      </c>
      <c r="I929" s="1">
        <v>2.414E9</v>
      </c>
      <c r="J929" s="1">
        <v>1.562E9</v>
      </c>
      <c r="K929" s="1">
        <v>1.562E9</v>
      </c>
      <c r="L929" s="1">
        <v>-1.01E8</v>
      </c>
      <c r="M929" s="1">
        <v>3.67E8</v>
      </c>
      <c r="N929" s="1">
        <v>7.797E9</v>
      </c>
      <c r="O929" s="1">
        <v>6.235E9</v>
      </c>
      <c r="P929" s="1">
        <v>5.383E9</v>
      </c>
      <c r="Q929" s="1">
        <v>-4.14E8</v>
      </c>
      <c r="R929" s="1">
        <v>7.81E8</v>
      </c>
      <c r="S929" s="1">
        <v>7.58E8</v>
      </c>
    </row>
    <row r="930">
      <c r="A930" s="1">
        <v>928.0</v>
      </c>
      <c r="B930" s="2">
        <v>44402.0</v>
      </c>
      <c r="C930" s="1" t="s">
        <v>506</v>
      </c>
      <c r="D930" s="1" t="s">
        <v>507</v>
      </c>
      <c r="F930" s="1">
        <v>2.04238E8</v>
      </c>
      <c r="G930" s="1">
        <v>1.76917E8</v>
      </c>
      <c r="H930" s="1">
        <v>1.98822E8</v>
      </c>
      <c r="I930" s="1">
        <v>4.38248E8</v>
      </c>
      <c r="J930" s="1">
        <v>2.39426E8</v>
      </c>
      <c r="K930" s="1">
        <v>2.39426E8</v>
      </c>
      <c r="L930" s="1">
        <v>-1.1703E7</v>
      </c>
      <c r="M930" s="1">
        <v>2.7164E7</v>
      </c>
      <c r="N930" s="1">
        <v>2.86367E9</v>
      </c>
      <c r="O930" s="1">
        <v>2.624244E9</v>
      </c>
      <c r="P930" s="1">
        <v>2.425422E9</v>
      </c>
      <c r="Q930" s="1">
        <v>-3.5188E7</v>
      </c>
      <c r="R930" s="1">
        <v>1.77074E8</v>
      </c>
      <c r="S930" s="1">
        <v>1.76917E8</v>
      </c>
    </row>
    <row r="931">
      <c r="A931" s="1">
        <v>929.0</v>
      </c>
      <c r="B931" s="2">
        <v>44311.0</v>
      </c>
      <c r="C931" s="1" t="s">
        <v>506</v>
      </c>
      <c r="D931" s="1" t="s">
        <v>507</v>
      </c>
      <c r="F931" s="1">
        <v>2.92621E8</v>
      </c>
      <c r="G931" s="1">
        <v>2.27901E8</v>
      </c>
      <c r="H931" s="1">
        <v>1.99966E8</v>
      </c>
      <c r="I931" s="1">
        <v>4.82307E8</v>
      </c>
      <c r="J931" s="1">
        <v>2.82341E8</v>
      </c>
      <c r="K931" s="1">
        <v>2.82341E8</v>
      </c>
      <c r="L931" s="1">
        <v>-7788000.0</v>
      </c>
      <c r="M931" s="1">
        <v>6.4699E7</v>
      </c>
      <c r="N931" s="1">
        <v>2.606621E9</v>
      </c>
      <c r="O931" s="1">
        <v>2.32428E9</v>
      </c>
      <c r="P931" s="1">
        <v>2.124314E9</v>
      </c>
      <c r="Q931" s="1">
        <v>1.028E7</v>
      </c>
      <c r="R931" s="1">
        <v>2.27922E8</v>
      </c>
      <c r="S931" s="1">
        <v>2.27901E8</v>
      </c>
    </row>
    <row r="932">
      <c r="A932" s="1">
        <v>930.0</v>
      </c>
      <c r="B932" s="2">
        <v>44220.0</v>
      </c>
      <c r="C932" s="1" t="s">
        <v>506</v>
      </c>
      <c r="D932" s="1" t="s">
        <v>507</v>
      </c>
      <c r="F932" s="1">
        <v>2.77082E8</v>
      </c>
      <c r="G932" s="1">
        <v>2.22283E8</v>
      </c>
      <c r="H932" s="1">
        <v>1.9638E8</v>
      </c>
      <c r="I932" s="1">
        <v>4.6517E8</v>
      </c>
      <c r="J932" s="1">
        <v>2.6879E8</v>
      </c>
      <c r="K932" s="1">
        <v>2.6879E8</v>
      </c>
      <c r="L932" s="1">
        <v>-8227000.0</v>
      </c>
      <c r="M932" s="1">
        <v>5.4687E7</v>
      </c>
      <c r="N932" s="1">
        <v>2.461147E9</v>
      </c>
      <c r="O932" s="1">
        <v>2.192357E9</v>
      </c>
      <c r="P932" s="1">
        <v>1.995977E9</v>
      </c>
      <c r="Q932" s="1">
        <v>8292000.0</v>
      </c>
      <c r="R932" s="1">
        <v>2.22395E8</v>
      </c>
      <c r="S932" s="1">
        <v>2.22283E8</v>
      </c>
    </row>
    <row r="933">
      <c r="A933" s="1">
        <v>931.0</v>
      </c>
      <c r="B933" s="2">
        <v>44129.0</v>
      </c>
      <c r="C933" s="1" t="s">
        <v>506</v>
      </c>
      <c r="D933" s="1" t="s">
        <v>507</v>
      </c>
      <c r="E933" s="1">
        <v>3.19E7</v>
      </c>
      <c r="F933" s="1">
        <v>2.78732E8</v>
      </c>
      <c r="G933" s="1">
        <v>2.34356E8</v>
      </c>
      <c r="H933" s="1">
        <v>1.58897E8</v>
      </c>
      <c r="I933" s="1">
        <v>5.37765E8</v>
      </c>
      <c r="J933" s="1">
        <v>3.46968E8</v>
      </c>
      <c r="K933" s="1">
        <v>3.46968E8</v>
      </c>
      <c r="L933" s="1">
        <v>-8271000.0</v>
      </c>
      <c r="M933" s="1">
        <v>4.4207E7</v>
      </c>
      <c r="N933" s="1">
        <v>2.420105E9</v>
      </c>
      <c r="O933" s="1">
        <v>2.073137E9</v>
      </c>
      <c r="P933" s="1">
        <v>1.88234E9</v>
      </c>
      <c r="Q933" s="1">
        <v>-6.8236E7</v>
      </c>
      <c r="R933" s="1">
        <v>2.34525E8</v>
      </c>
      <c r="S933" s="1">
        <v>2.34356E8</v>
      </c>
    </row>
    <row r="934">
      <c r="A934" s="1">
        <v>932.0</v>
      </c>
      <c r="B934" s="2">
        <v>44286.0</v>
      </c>
      <c r="C934" s="1" t="s">
        <v>508</v>
      </c>
      <c r="D934" s="1" t="s">
        <v>509</v>
      </c>
      <c r="F934" s="1">
        <v>-1.99E8</v>
      </c>
      <c r="G934" s="1">
        <v>-1.52E8</v>
      </c>
      <c r="H934" s="1">
        <v>2.4E7</v>
      </c>
      <c r="I934" s="1">
        <v>3.0E7</v>
      </c>
      <c r="J934" s="1">
        <v>-1.59E8</v>
      </c>
      <c r="K934" s="1">
        <v>-1.59E8</v>
      </c>
      <c r="L934" s="1">
        <v>-4.2E7</v>
      </c>
      <c r="M934" s="1">
        <v>-4.6E7</v>
      </c>
      <c r="N934" s="1">
        <v>4.08E8</v>
      </c>
      <c r="O934" s="1">
        <v>5.67E8</v>
      </c>
      <c r="P934" s="1">
        <v>3.78E8</v>
      </c>
      <c r="Q934" s="1">
        <v>-4.0E7</v>
      </c>
      <c r="R934" s="1">
        <v>-1.53E8</v>
      </c>
      <c r="S934" s="1">
        <v>-1.52E8</v>
      </c>
    </row>
    <row r="935">
      <c r="A935" s="1">
        <v>933.0</v>
      </c>
      <c r="B935" s="2">
        <v>44196.0</v>
      </c>
      <c r="C935" s="1" t="s">
        <v>508</v>
      </c>
      <c r="D935" s="1" t="s">
        <v>509</v>
      </c>
      <c r="F935" s="1">
        <v>-1.3E8</v>
      </c>
      <c r="G935" s="1">
        <v>-6.4E7</v>
      </c>
      <c r="H935" s="1">
        <v>2.1E7</v>
      </c>
      <c r="I935" s="1">
        <v>-6.6E7</v>
      </c>
      <c r="J935" s="1">
        <v>-2.54E8</v>
      </c>
      <c r="K935" s="1">
        <v>-2.54E8</v>
      </c>
      <c r="L935" s="1">
        <v>-5.1E7</v>
      </c>
      <c r="M935" s="1">
        <v>-6.4E7</v>
      </c>
      <c r="N935" s="1">
        <v>2.63E8</v>
      </c>
      <c r="O935" s="1">
        <v>5.17E8</v>
      </c>
      <c r="P935" s="1">
        <v>3.29E8</v>
      </c>
      <c r="Q935" s="1">
        <v>1.24E8</v>
      </c>
      <c r="R935" s="1">
        <v>-6.6E7</v>
      </c>
      <c r="S935" s="1">
        <v>-6.4E7</v>
      </c>
    </row>
    <row r="936">
      <c r="A936" s="1">
        <v>934.0</v>
      </c>
      <c r="B936" s="2">
        <v>44104.0</v>
      </c>
      <c r="C936" s="1" t="s">
        <v>508</v>
      </c>
      <c r="D936" s="1" t="s">
        <v>509</v>
      </c>
      <c r="F936" s="1">
        <v>-3.89E8</v>
      </c>
      <c r="G936" s="1">
        <v>-3.13E8</v>
      </c>
      <c r="H936" s="1">
        <v>1.8E7</v>
      </c>
      <c r="I936" s="1">
        <v>-9.6E7</v>
      </c>
      <c r="J936" s="1">
        <v>-2.8E8</v>
      </c>
      <c r="K936" s="1">
        <v>-2.8E8</v>
      </c>
      <c r="L936" s="1">
        <v>-6.6E7</v>
      </c>
      <c r="M936" s="1">
        <v>-7.3E7</v>
      </c>
      <c r="N936" s="1">
        <v>1.93E8</v>
      </c>
      <c r="O936" s="1">
        <v>4.73E8</v>
      </c>
      <c r="P936" s="1">
        <v>2.89E8</v>
      </c>
      <c r="Q936" s="1">
        <v>-1.09E8</v>
      </c>
      <c r="R936" s="1">
        <v>-3.16E8</v>
      </c>
      <c r="S936" s="1">
        <v>-3.13E8</v>
      </c>
    </row>
    <row r="937">
      <c r="A937" s="1">
        <v>935.0</v>
      </c>
      <c r="B937" s="2">
        <v>44012.0</v>
      </c>
      <c r="C937" s="1" t="s">
        <v>508</v>
      </c>
      <c r="D937" s="1" t="s">
        <v>509</v>
      </c>
      <c r="F937" s="1">
        <v>-4.02E8</v>
      </c>
      <c r="G937" s="1">
        <v>-3.52E8</v>
      </c>
      <c r="H937" s="1">
        <v>2.5E7</v>
      </c>
      <c r="I937" s="1">
        <v>-1.85E8</v>
      </c>
      <c r="J937" s="1">
        <v>-3.78E8</v>
      </c>
      <c r="K937" s="1">
        <v>-3.78E8</v>
      </c>
      <c r="L937" s="1">
        <v>-4.0E7</v>
      </c>
      <c r="M937" s="1">
        <v>-4.6E7</v>
      </c>
      <c r="N937" s="1">
        <v>7.8E7</v>
      </c>
      <c r="O937" s="1">
        <v>4.56E8</v>
      </c>
      <c r="P937" s="1">
        <v>2.63E8</v>
      </c>
      <c r="Q937" s="1">
        <v>-2.4E7</v>
      </c>
      <c r="R937" s="1">
        <v>-3.56E8</v>
      </c>
      <c r="S937" s="1">
        <v>-3.52E8</v>
      </c>
    </row>
    <row r="938">
      <c r="A938" s="1">
        <v>936.0</v>
      </c>
      <c r="B938" s="2">
        <v>44286.0</v>
      </c>
      <c r="C938" s="1" t="s">
        <v>510</v>
      </c>
      <c r="D938" s="1" t="s">
        <v>511</v>
      </c>
      <c r="G938" s="1">
        <v>0.0</v>
      </c>
      <c r="I938" s="1">
        <v>0.0</v>
      </c>
      <c r="J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</row>
    <row r="939">
      <c r="A939" s="1">
        <v>937.0</v>
      </c>
      <c r="B939" s="2">
        <v>44196.0</v>
      </c>
      <c r="C939" s="1" t="s">
        <v>510</v>
      </c>
      <c r="D939" s="1" t="s">
        <v>511</v>
      </c>
      <c r="E939" s="1">
        <v>4000000.0</v>
      </c>
      <c r="F939" s="1">
        <v>7.1E7</v>
      </c>
      <c r="G939" s="1">
        <v>1.06E8</v>
      </c>
      <c r="H939" s="1">
        <v>5.8E7</v>
      </c>
      <c r="I939" s="1">
        <v>4.07E8</v>
      </c>
      <c r="J939" s="1">
        <v>2.78E8</v>
      </c>
      <c r="K939" s="1">
        <v>2.78E8</v>
      </c>
      <c r="L939" s="1">
        <v>-1.56E8</v>
      </c>
      <c r="M939" s="1">
        <v>-3.5E7</v>
      </c>
      <c r="N939" s="1">
        <v>1.238E9</v>
      </c>
      <c r="O939" s="1">
        <v>9.6E8</v>
      </c>
      <c r="P939" s="1">
        <v>8.31E8</v>
      </c>
      <c r="Q939" s="1">
        <v>-2.07E8</v>
      </c>
      <c r="R939" s="1">
        <v>1.06E8</v>
      </c>
      <c r="S939" s="1">
        <v>1.06E8</v>
      </c>
    </row>
    <row r="940">
      <c r="A940" s="1">
        <v>938.0</v>
      </c>
      <c r="B940" s="2">
        <v>44104.0</v>
      </c>
      <c r="C940" s="1" t="s">
        <v>510</v>
      </c>
      <c r="D940" s="1" t="s">
        <v>511</v>
      </c>
      <c r="E940" s="1">
        <v>5000000.0</v>
      </c>
      <c r="F940" s="1">
        <v>-1.2E7</v>
      </c>
      <c r="G940" s="1">
        <v>3.6E7</v>
      </c>
      <c r="H940" s="1">
        <v>7.4E7</v>
      </c>
      <c r="I940" s="1">
        <v>2.41E8</v>
      </c>
      <c r="J940" s="1">
        <v>9.4E7</v>
      </c>
      <c r="K940" s="1">
        <v>9.4E7</v>
      </c>
      <c r="L940" s="1">
        <v>-7.7E7</v>
      </c>
      <c r="M940" s="1">
        <v>-4.8E7</v>
      </c>
      <c r="N940" s="1">
        <v>1.134E9</v>
      </c>
      <c r="O940" s="1">
        <v>1.04E9</v>
      </c>
      <c r="P940" s="1">
        <v>8.93E8</v>
      </c>
      <c r="Q940" s="1">
        <v>-1.06E8</v>
      </c>
      <c r="R940" s="1">
        <v>3.6E7</v>
      </c>
      <c r="S940" s="1">
        <v>3.5E7</v>
      </c>
    </row>
    <row r="941">
      <c r="A941" s="1">
        <v>939.0</v>
      </c>
      <c r="B941" s="2">
        <v>44012.0</v>
      </c>
      <c r="C941" s="1" t="s">
        <v>510</v>
      </c>
      <c r="D941" s="1" t="s">
        <v>511</v>
      </c>
      <c r="E941" s="1">
        <v>4000000.0</v>
      </c>
      <c r="F941" s="1">
        <v>-8.6E7</v>
      </c>
      <c r="G941" s="1">
        <v>-9.6E7</v>
      </c>
      <c r="H941" s="1">
        <v>7.9E7</v>
      </c>
      <c r="I941" s="1">
        <v>3.34E8</v>
      </c>
      <c r="J941" s="1">
        <v>1.78E8</v>
      </c>
      <c r="K941" s="1">
        <v>1.78E8</v>
      </c>
      <c r="L941" s="1">
        <v>-1.44E8</v>
      </c>
      <c r="M941" s="1">
        <v>-2000000.0</v>
      </c>
      <c r="N941" s="1">
        <v>1.253E9</v>
      </c>
      <c r="O941" s="1">
        <v>1.075E9</v>
      </c>
      <c r="P941" s="1">
        <v>9.19E8</v>
      </c>
      <c r="Q941" s="1">
        <v>-2.64E8</v>
      </c>
      <c r="R941" s="1">
        <v>-8.4E7</v>
      </c>
      <c r="S941" s="1">
        <v>-9.6E7</v>
      </c>
    </row>
    <row r="942">
      <c r="A942" s="1">
        <v>940.0</v>
      </c>
      <c r="B942" s="2">
        <v>44408.0</v>
      </c>
      <c r="C942" s="1" t="s">
        <v>512</v>
      </c>
      <c r="D942" s="1" t="s">
        <v>513</v>
      </c>
      <c r="E942" s="1">
        <v>4.77E8</v>
      </c>
      <c r="F942" s="1">
        <v>1.326E9</v>
      </c>
      <c r="G942" s="1">
        <v>1.108E9</v>
      </c>
      <c r="H942" s="1">
        <v>1.408E9</v>
      </c>
      <c r="I942" s="1">
        <v>3.388E9</v>
      </c>
      <c r="J942" s="1">
        <v>1.461E9</v>
      </c>
      <c r="K942" s="1">
        <v>1.461E9</v>
      </c>
      <c r="L942" s="1">
        <v>-5.5E7</v>
      </c>
      <c r="M942" s="1">
        <v>2.18E8</v>
      </c>
      <c r="N942" s="1">
        <v>1.5289E10</v>
      </c>
      <c r="O942" s="1">
        <v>1.3828E10</v>
      </c>
      <c r="P942" s="1">
        <v>1.1901E10</v>
      </c>
      <c r="Q942" s="1">
        <v>-1.35E8</v>
      </c>
      <c r="R942" s="1">
        <v>1.108E9</v>
      </c>
      <c r="S942" s="1">
        <v>1.108E9</v>
      </c>
    </row>
    <row r="943">
      <c r="A943" s="1">
        <v>941.0</v>
      </c>
      <c r="B943" s="2">
        <v>44316.0</v>
      </c>
      <c r="C943" s="1" t="s">
        <v>512</v>
      </c>
      <c r="D943" s="1" t="s">
        <v>513</v>
      </c>
      <c r="E943" s="1">
        <v>5.14E8</v>
      </c>
      <c r="F943" s="1">
        <v>1.336E9</v>
      </c>
      <c r="G943" s="1">
        <v>1.228E9</v>
      </c>
      <c r="H943" s="1">
        <v>1.441E9</v>
      </c>
      <c r="I943" s="1">
        <v>3.44E9</v>
      </c>
      <c r="J943" s="1">
        <v>1.453E9</v>
      </c>
      <c r="K943" s="1">
        <v>1.453E9</v>
      </c>
      <c r="L943" s="1">
        <v>-6.4E7</v>
      </c>
      <c r="M943" s="1">
        <v>1.08E8</v>
      </c>
      <c r="N943" s="1">
        <v>1.5877E10</v>
      </c>
      <c r="O943" s="1">
        <v>1.4424E10</v>
      </c>
      <c r="P943" s="1">
        <v>1.2437E10</v>
      </c>
      <c r="Q943" s="1">
        <v>-1.17E8</v>
      </c>
      <c r="R943" s="1">
        <v>1.228E9</v>
      </c>
      <c r="S943" s="1">
        <v>1.228E9</v>
      </c>
    </row>
    <row r="944">
      <c r="A944" s="1">
        <v>942.0</v>
      </c>
      <c r="B944" s="2">
        <v>44227.0</v>
      </c>
      <c r="C944" s="1" t="s">
        <v>512</v>
      </c>
      <c r="D944" s="1" t="s">
        <v>513</v>
      </c>
      <c r="E944" s="1">
        <v>4.71E8</v>
      </c>
      <c r="F944" s="1">
        <v>1.296E9</v>
      </c>
      <c r="G944" s="1">
        <v>1.068E9</v>
      </c>
      <c r="H944" s="1">
        <v>1.336E9</v>
      </c>
      <c r="I944" s="1">
        <v>3.324E9</v>
      </c>
      <c r="J944" s="1">
        <v>1.488E9</v>
      </c>
      <c r="K944" s="1">
        <v>1.488E9</v>
      </c>
      <c r="L944" s="1">
        <v>-6.3E7</v>
      </c>
      <c r="M944" s="1">
        <v>2.28E8</v>
      </c>
      <c r="N944" s="1">
        <v>1.5646E10</v>
      </c>
      <c r="O944" s="1">
        <v>1.4158E10</v>
      </c>
      <c r="P944" s="1">
        <v>1.2322E10</v>
      </c>
      <c r="Q944" s="1">
        <v>-1.92E8</v>
      </c>
      <c r="R944" s="1">
        <v>1.068E9</v>
      </c>
      <c r="S944" s="1">
        <v>1.068E9</v>
      </c>
    </row>
    <row r="945">
      <c r="A945" s="1">
        <v>943.0</v>
      </c>
      <c r="B945" s="2">
        <v>44135.0</v>
      </c>
      <c r="C945" s="1" t="s">
        <v>512</v>
      </c>
      <c r="D945" s="1" t="s">
        <v>513</v>
      </c>
      <c r="E945" s="1">
        <v>3.81E8</v>
      </c>
      <c r="F945" s="1">
        <v>7.76E8</v>
      </c>
      <c r="G945" s="1">
        <v>6.68E8</v>
      </c>
      <c r="H945" s="1">
        <v>1.263E9</v>
      </c>
      <c r="I945" s="1">
        <v>2.679E9</v>
      </c>
      <c r="J945" s="1">
        <v>1.006E9</v>
      </c>
      <c r="K945" s="1">
        <v>1.006E9</v>
      </c>
      <c r="L945" s="1">
        <v>-1.45E8</v>
      </c>
      <c r="M945" s="1">
        <v>1.08E8</v>
      </c>
      <c r="N945" s="1">
        <v>1.5258E10</v>
      </c>
      <c r="O945" s="1">
        <v>1.4252E10</v>
      </c>
      <c r="P945" s="1">
        <v>1.2579E10</v>
      </c>
      <c r="Q945" s="1">
        <v>-2.3E8</v>
      </c>
      <c r="R945" s="1">
        <v>6.68E8</v>
      </c>
      <c r="S945" s="1">
        <v>6.68E8</v>
      </c>
    </row>
    <row r="946">
      <c r="A946" s="1">
        <v>944.0</v>
      </c>
      <c r="B946" s="2">
        <v>44286.0</v>
      </c>
      <c r="C946" s="1" t="s">
        <v>514</v>
      </c>
      <c r="D946" s="1" t="s">
        <v>515</v>
      </c>
      <c r="F946" s="1">
        <v>1.061E9</v>
      </c>
      <c r="G946" s="1">
        <v>8.28E8</v>
      </c>
      <c r="H946" s="1">
        <v>2.007E9</v>
      </c>
      <c r="I946" s="1">
        <v>3.372E9</v>
      </c>
      <c r="J946" s="1">
        <v>1.223E9</v>
      </c>
      <c r="K946" s="1">
        <v>1.223E9</v>
      </c>
      <c r="L946" s="1">
        <v>-6.8E7</v>
      </c>
      <c r="M946" s="1">
        <v>2.33E8</v>
      </c>
      <c r="N946" s="1">
        <v>2.0668E10</v>
      </c>
      <c r="O946" s="1">
        <v>1.9445E10</v>
      </c>
      <c r="P946" s="1">
        <v>1.7296E10</v>
      </c>
      <c r="Q946" s="1">
        <v>-1.62E8</v>
      </c>
      <c r="R946" s="1">
        <v>8.28E8</v>
      </c>
      <c r="S946" s="1">
        <v>8.28E8</v>
      </c>
    </row>
    <row r="947">
      <c r="A947" s="1">
        <v>945.0</v>
      </c>
      <c r="B947" s="2">
        <v>44196.0</v>
      </c>
      <c r="C947" s="1" t="s">
        <v>514</v>
      </c>
      <c r="D947" s="1" t="s">
        <v>515</v>
      </c>
      <c r="F947" s="1">
        <v>-4.52E8</v>
      </c>
      <c r="G947" s="1">
        <v>-2.74E8</v>
      </c>
      <c r="H947" s="1">
        <v>3.037E9</v>
      </c>
      <c r="I947" s="1">
        <v>2.849E9</v>
      </c>
      <c r="J947" s="1">
        <v>-3.15E8</v>
      </c>
      <c r="K947" s="1">
        <v>-3.15E8</v>
      </c>
      <c r="L947" s="1">
        <v>-7.2E7</v>
      </c>
      <c r="M947" s="1">
        <v>-1.78E8</v>
      </c>
      <c r="N947" s="1">
        <v>1.9062E10</v>
      </c>
      <c r="O947" s="1">
        <v>1.9377E10</v>
      </c>
      <c r="P947" s="1">
        <v>1.6213E10</v>
      </c>
      <c r="Q947" s="1">
        <v>-1.37E8</v>
      </c>
      <c r="R947" s="1">
        <v>-2.74E8</v>
      </c>
      <c r="S947" s="1">
        <v>-2.74E8</v>
      </c>
    </row>
    <row r="948">
      <c r="A948" s="1">
        <v>946.0</v>
      </c>
      <c r="B948" s="2">
        <v>44104.0</v>
      </c>
      <c r="C948" s="1" t="s">
        <v>514</v>
      </c>
      <c r="D948" s="1" t="s">
        <v>515</v>
      </c>
      <c r="F948" s="1">
        <v>1.79E9</v>
      </c>
      <c r="G948" s="1">
        <v>1.34E9</v>
      </c>
      <c r="H948" s="1">
        <v>2.544E9</v>
      </c>
      <c r="I948" s="1">
        <v>4.464E9</v>
      </c>
      <c r="J948" s="1">
        <v>1.792E9</v>
      </c>
      <c r="K948" s="1">
        <v>1.792E9</v>
      </c>
      <c r="L948" s="1">
        <v>-7.5E7</v>
      </c>
      <c r="M948" s="1">
        <v>4.5E8</v>
      </c>
      <c r="N948" s="1">
        <v>2.0075E10</v>
      </c>
      <c r="O948" s="1">
        <v>1.8283E10</v>
      </c>
      <c r="P948" s="1">
        <v>1.5611E10</v>
      </c>
      <c r="Q948" s="1">
        <v>-2000000.0</v>
      </c>
      <c r="R948" s="1">
        <v>1.34E9</v>
      </c>
      <c r="S948" s="1">
        <v>1.34E9</v>
      </c>
    </row>
    <row r="949">
      <c r="A949" s="1">
        <v>947.0</v>
      </c>
      <c r="B949" s="2">
        <v>44012.0</v>
      </c>
      <c r="C949" s="1" t="s">
        <v>514</v>
      </c>
      <c r="D949" s="1" t="s">
        <v>515</v>
      </c>
      <c r="F949" s="1">
        <v>2.611E9</v>
      </c>
      <c r="G949" s="1">
        <v>1.828E9</v>
      </c>
      <c r="H949" s="1">
        <v>2.354E9</v>
      </c>
      <c r="I949" s="1">
        <v>4.908E9</v>
      </c>
      <c r="J949" s="1">
        <v>2.435E9</v>
      </c>
      <c r="K949" s="1">
        <v>2.435E9</v>
      </c>
      <c r="L949" s="1">
        <v>-7.6E7</v>
      </c>
      <c r="M949" s="1">
        <v>7.83E8</v>
      </c>
      <c r="N949" s="1">
        <v>1.9083E10</v>
      </c>
      <c r="O949" s="1">
        <v>1.6648E10</v>
      </c>
      <c r="P949" s="1">
        <v>1.4175E10</v>
      </c>
      <c r="Q949" s="1">
        <v>1.76E8</v>
      </c>
      <c r="R949" s="1">
        <v>1.828E9</v>
      </c>
      <c r="S949" s="1">
        <v>1.828E9</v>
      </c>
    </row>
    <row r="950">
      <c r="A950" s="1">
        <v>948.0</v>
      </c>
      <c r="B950" s="2">
        <v>44377.0</v>
      </c>
      <c r="C950" s="1" t="s">
        <v>516</v>
      </c>
      <c r="D950" s="1" t="s">
        <v>517</v>
      </c>
      <c r="F950" s="1">
        <v>-1000000.0</v>
      </c>
      <c r="G950" s="1">
        <v>-1.5E7</v>
      </c>
      <c r="H950" s="1">
        <v>7.32E8</v>
      </c>
      <c r="I950" s="1">
        <v>1.074E9</v>
      </c>
      <c r="J950" s="1">
        <v>0.0</v>
      </c>
      <c r="K950" s="1">
        <v>2.87E8</v>
      </c>
      <c r="M950" s="1">
        <v>1.4E7</v>
      </c>
      <c r="N950" s="1">
        <v>1.074E9</v>
      </c>
      <c r="O950" s="1">
        <v>7.87E8</v>
      </c>
      <c r="P950" s="1">
        <v>0.0</v>
      </c>
      <c r="Q950" s="1">
        <v>-2.88E8</v>
      </c>
      <c r="R950" s="1">
        <v>-1.5E7</v>
      </c>
      <c r="S950" s="1">
        <v>-5.8E7</v>
      </c>
    </row>
    <row r="951">
      <c r="A951" s="1">
        <v>949.0</v>
      </c>
      <c r="B951" s="2">
        <v>44286.0</v>
      </c>
      <c r="C951" s="1" t="s">
        <v>516</v>
      </c>
      <c r="D951" s="1" t="s">
        <v>517</v>
      </c>
      <c r="F951" s="1">
        <v>6.34E8</v>
      </c>
      <c r="G951" s="1">
        <v>5.32E8</v>
      </c>
      <c r="H951" s="1">
        <v>6.82E8</v>
      </c>
      <c r="I951" s="1">
        <v>1.42E9</v>
      </c>
      <c r="J951" s="1">
        <v>0.0</v>
      </c>
      <c r="K951" s="1">
        <v>6.73E8</v>
      </c>
      <c r="M951" s="1">
        <v>1.02E8</v>
      </c>
      <c r="N951" s="1">
        <v>1.42E9</v>
      </c>
      <c r="O951" s="1">
        <v>7.47E8</v>
      </c>
      <c r="P951" s="1">
        <v>0.0</v>
      </c>
      <c r="Q951" s="1">
        <v>-3.9E7</v>
      </c>
      <c r="R951" s="1">
        <v>5.32E8</v>
      </c>
      <c r="S951" s="1">
        <v>5.01E8</v>
      </c>
    </row>
    <row r="952">
      <c r="A952" s="1">
        <v>950.0</v>
      </c>
      <c r="B952" s="2">
        <v>44196.0</v>
      </c>
      <c r="C952" s="1" t="s">
        <v>516</v>
      </c>
      <c r="D952" s="1" t="s">
        <v>517</v>
      </c>
      <c r="F952" s="1">
        <v>3.75E8</v>
      </c>
      <c r="G952" s="1">
        <v>3.16E8</v>
      </c>
      <c r="H952" s="1">
        <v>6.59E8</v>
      </c>
      <c r="I952" s="1">
        <v>1.13E9</v>
      </c>
      <c r="J952" s="1">
        <v>0.0</v>
      </c>
      <c r="K952" s="1">
        <v>3.86E8</v>
      </c>
      <c r="M952" s="1">
        <v>5.9E7</v>
      </c>
      <c r="N952" s="1">
        <v>1.13E9</v>
      </c>
      <c r="O952" s="1">
        <v>7.44E8</v>
      </c>
      <c r="P952" s="1">
        <v>0.0</v>
      </c>
      <c r="Q952" s="1">
        <v>-1.1E7</v>
      </c>
      <c r="R952" s="1">
        <v>3.16E8</v>
      </c>
      <c r="S952" s="1">
        <v>2.81E8</v>
      </c>
    </row>
    <row r="953">
      <c r="A953" s="1">
        <v>951.0</v>
      </c>
      <c r="B953" s="2">
        <v>44104.0</v>
      </c>
      <c r="C953" s="1" t="s">
        <v>516</v>
      </c>
      <c r="D953" s="1" t="s">
        <v>517</v>
      </c>
      <c r="F953" s="1">
        <v>3.58E8</v>
      </c>
      <c r="G953" s="1">
        <v>3.03E8</v>
      </c>
      <c r="H953" s="1">
        <v>6.56E8</v>
      </c>
      <c r="I953" s="1">
        <v>1.069E9</v>
      </c>
      <c r="J953" s="1">
        <v>0.0</v>
      </c>
      <c r="K953" s="1">
        <v>3.74E8</v>
      </c>
      <c r="M953" s="1">
        <v>5.5E7</v>
      </c>
      <c r="N953" s="1">
        <v>1.069E9</v>
      </c>
      <c r="O953" s="1">
        <v>6.95E8</v>
      </c>
      <c r="P953" s="1">
        <v>0.0</v>
      </c>
      <c r="Q953" s="1">
        <v>-1.6E7</v>
      </c>
      <c r="R953" s="1">
        <v>3.03E8</v>
      </c>
      <c r="S953" s="1">
        <v>2.75E8</v>
      </c>
    </row>
    <row r="954">
      <c r="A954" s="1">
        <v>952.0</v>
      </c>
      <c r="B954" s="2">
        <v>44377.0</v>
      </c>
      <c r="C954" s="1" t="s">
        <v>518</v>
      </c>
      <c r="D954" s="1" t="s">
        <v>519</v>
      </c>
      <c r="F954" s="1">
        <v>1.61E8</v>
      </c>
      <c r="G954" s="1">
        <v>1.29E8</v>
      </c>
      <c r="H954" s="1">
        <v>1.6E8</v>
      </c>
      <c r="I954" s="1">
        <v>3.22E8</v>
      </c>
      <c r="J954" s="1">
        <v>1.62E8</v>
      </c>
      <c r="K954" s="1">
        <v>1.62E8</v>
      </c>
      <c r="L954" s="1">
        <v>-1.8E7</v>
      </c>
      <c r="M954" s="1">
        <v>3.2E7</v>
      </c>
      <c r="N954" s="1">
        <v>2.231E9</v>
      </c>
      <c r="O954" s="1">
        <v>2.069E9</v>
      </c>
      <c r="P954" s="1">
        <v>1.909E9</v>
      </c>
      <c r="Q954" s="1">
        <v>-1000000.0</v>
      </c>
      <c r="R954" s="1">
        <v>1.29E8</v>
      </c>
      <c r="S954" s="1">
        <v>1.29E8</v>
      </c>
    </row>
    <row r="955">
      <c r="A955" s="1">
        <v>953.0</v>
      </c>
      <c r="B955" s="2">
        <v>44286.0</v>
      </c>
      <c r="C955" s="1" t="s">
        <v>518</v>
      </c>
      <c r="D955" s="1" t="s">
        <v>519</v>
      </c>
      <c r="F955" s="1">
        <v>1.73E8</v>
      </c>
      <c r="G955" s="1">
        <v>1.48E8</v>
      </c>
      <c r="H955" s="1">
        <v>1.6E8</v>
      </c>
      <c r="I955" s="1">
        <v>3.42E8</v>
      </c>
      <c r="J955" s="1">
        <v>1.82E8</v>
      </c>
      <c r="K955" s="1">
        <v>1.82E8</v>
      </c>
      <c r="L955" s="1">
        <v>-2.1E7</v>
      </c>
      <c r="M955" s="1">
        <v>2.5E7</v>
      </c>
      <c r="N955" s="1">
        <v>2.278E9</v>
      </c>
      <c r="O955" s="1">
        <v>2.096E9</v>
      </c>
      <c r="P955" s="1">
        <v>1.936E9</v>
      </c>
      <c r="Q955" s="1">
        <v>-9000000.0</v>
      </c>
      <c r="R955" s="1">
        <v>1.48E8</v>
      </c>
      <c r="S955" s="1">
        <v>1.48E8</v>
      </c>
    </row>
    <row r="956">
      <c r="A956" s="1">
        <v>954.0</v>
      </c>
      <c r="B956" s="2">
        <v>44196.0</v>
      </c>
      <c r="C956" s="1" t="s">
        <v>518</v>
      </c>
      <c r="D956" s="1" t="s">
        <v>519</v>
      </c>
      <c r="F956" s="1">
        <v>3.03E8</v>
      </c>
      <c r="G956" s="1">
        <v>2.49E8</v>
      </c>
      <c r="H956" s="1">
        <v>2.26E8</v>
      </c>
      <c r="I956" s="1">
        <v>5.47E8</v>
      </c>
      <c r="J956" s="1">
        <v>3.22E8</v>
      </c>
      <c r="K956" s="1">
        <v>3.22E8</v>
      </c>
      <c r="L956" s="1">
        <v>-4.6E7</v>
      </c>
      <c r="M956" s="1">
        <v>5.4E7</v>
      </c>
      <c r="N956" s="1">
        <v>2.757E9</v>
      </c>
      <c r="O956" s="1">
        <v>2.435E9</v>
      </c>
      <c r="P956" s="1">
        <v>2.21E9</v>
      </c>
      <c r="Q956" s="1">
        <v>-1.9E7</v>
      </c>
      <c r="R956" s="1">
        <v>2.49E8</v>
      </c>
      <c r="S956" s="1">
        <v>2.49E8</v>
      </c>
    </row>
    <row r="957">
      <c r="A957" s="1">
        <v>955.0</v>
      </c>
      <c r="B957" s="2">
        <v>44104.0</v>
      </c>
      <c r="C957" s="1" t="s">
        <v>518</v>
      </c>
      <c r="D957" s="1" t="s">
        <v>519</v>
      </c>
      <c r="F957" s="1">
        <v>2.26E8</v>
      </c>
      <c r="G957" s="1">
        <v>2.22E8</v>
      </c>
      <c r="H957" s="1">
        <v>1.91E8</v>
      </c>
      <c r="I957" s="1">
        <v>4.36E8</v>
      </c>
      <c r="J957" s="1">
        <v>2.45E8</v>
      </c>
      <c r="K957" s="1">
        <v>2.45E8</v>
      </c>
      <c r="L957" s="1">
        <v>-2.7E7</v>
      </c>
      <c r="M957" s="1">
        <v>4000000.0</v>
      </c>
      <c r="N957" s="1">
        <v>2.314E9</v>
      </c>
      <c r="O957" s="1">
        <v>2.069E9</v>
      </c>
      <c r="P957" s="1">
        <v>1.878E9</v>
      </c>
      <c r="Q957" s="1">
        <v>-1.9E7</v>
      </c>
      <c r="R957" s="1">
        <v>2.22E8</v>
      </c>
      <c r="S957" s="1">
        <v>2.22E8</v>
      </c>
    </row>
    <row r="958">
      <c r="A958" s="1">
        <v>956.0</v>
      </c>
      <c r="B958" s="2">
        <v>44377.0</v>
      </c>
      <c r="C958" s="1" t="s">
        <v>520</v>
      </c>
      <c r="D958" s="1" t="s">
        <v>520</v>
      </c>
      <c r="E958" s="1">
        <v>1.657E9</v>
      </c>
      <c r="F958" s="1">
        <v>1.552E9</v>
      </c>
      <c r="G958" s="1">
        <v>1.325E9</v>
      </c>
      <c r="H958" s="1">
        <v>5.433E9</v>
      </c>
      <c r="I958" s="1">
        <v>9.062E9</v>
      </c>
      <c r="J958" s="1">
        <v>2.103E9</v>
      </c>
      <c r="K958" s="1">
        <v>2.103E9</v>
      </c>
      <c r="L958" s="1">
        <v>-2.81E8</v>
      </c>
      <c r="M958" s="1">
        <v>2.27E8</v>
      </c>
      <c r="N958" s="1">
        <v>1.8745E10</v>
      </c>
      <c r="O958" s="1">
        <v>1.6642E10</v>
      </c>
      <c r="P958" s="1">
        <v>9.683E9</v>
      </c>
      <c r="Q958" s="1">
        <v>-5.51E8</v>
      </c>
      <c r="R958" s="1">
        <v>1.325E9</v>
      </c>
      <c r="S958" s="1">
        <v>1.325E9</v>
      </c>
    </row>
    <row r="959">
      <c r="A959" s="1">
        <v>957.0</v>
      </c>
      <c r="B959" s="2">
        <v>44286.0</v>
      </c>
      <c r="C959" s="1" t="s">
        <v>520</v>
      </c>
      <c r="D959" s="1" t="s">
        <v>520</v>
      </c>
      <c r="E959" s="1">
        <v>1.63E9</v>
      </c>
      <c r="F959" s="1">
        <v>9.05E8</v>
      </c>
      <c r="G959" s="1">
        <v>9.55E8</v>
      </c>
      <c r="H959" s="1">
        <v>5.297E9</v>
      </c>
      <c r="I959" s="1">
        <v>8.207E9</v>
      </c>
      <c r="J959" s="1">
        <v>1.421E9</v>
      </c>
      <c r="K959" s="1">
        <v>1.421E9</v>
      </c>
      <c r="L959" s="1">
        <v>-2.8E8</v>
      </c>
      <c r="M959" s="1">
        <v>-5.1E7</v>
      </c>
      <c r="N959" s="1">
        <v>1.7729E10</v>
      </c>
      <c r="O959" s="1">
        <v>1.6308E10</v>
      </c>
      <c r="P959" s="1">
        <v>9.522E9</v>
      </c>
      <c r="Q959" s="1">
        <v>-5.16E8</v>
      </c>
      <c r="R959" s="1">
        <v>9.56E8</v>
      </c>
      <c r="S959" s="1">
        <v>9.55E8</v>
      </c>
    </row>
    <row r="960">
      <c r="A960" s="1">
        <v>958.0</v>
      </c>
      <c r="B960" s="2">
        <v>44196.0</v>
      </c>
      <c r="C960" s="1" t="s">
        <v>520</v>
      </c>
      <c r="D960" s="1" t="s">
        <v>520</v>
      </c>
      <c r="E960" s="1">
        <v>1.611E9</v>
      </c>
      <c r="F960" s="1">
        <v>1.289E9</v>
      </c>
      <c r="G960" s="1">
        <v>1.356E9</v>
      </c>
      <c r="H960" s="1">
        <v>5.45E9</v>
      </c>
      <c r="I960" s="1">
        <v>1.0523E10</v>
      </c>
      <c r="J960" s="1">
        <v>3.612E9</v>
      </c>
      <c r="K960" s="1">
        <v>3.612E9</v>
      </c>
      <c r="L960" s="1">
        <v>-3.17E8</v>
      </c>
      <c r="M960" s="1">
        <v>2.4E7</v>
      </c>
      <c r="N960" s="1">
        <v>2.0368E10</v>
      </c>
      <c r="O960" s="1">
        <v>1.6756E10</v>
      </c>
      <c r="P960" s="1">
        <v>9.845E9</v>
      </c>
      <c r="Q960" s="1">
        <v>-2.323E9</v>
      </c>
      <c r="R960" s="1">
        <v>1.265E9</v>
      </c>
      <c r="S960" s="1">
        <v>1.356E9</v>
      </c>
    </row>
    <row r="961">
      <c r="A961" s="1">
        <v>959.0</v>
      </c>
      <c r="B961" s="2">
        <v>44104.0</v>
      </c>
      <c r="C961" s="1" t="s">
        <v>520</v>
      </c>
      <c r="D961" s="1" t="s">
        <v>520</v>
      </c>
      <c r="E961" s="1">
        <v>1.515E9</v>
      </c>
      <c r="F961" s="1">
        <v>1.827E9</v>
      </c>
      <c r="G961" s="1">
        <v>1.698E9</v>
      </c>
      <c r="H961" s="1">
        <v>4.919E9</v>
      </c>
      <c r="I961" s="1">
        <v>8.431E9</v>
      </c>
      <c r="J961" s="1">
        <v>2.12E9</v>
      </c>
      <c r="K961" s="1">
        <v>2.12E9</v>
      </c>
      <c r="L961" s="1">
        <v>-3.23E8</v>
      </c>
      <c r="M961" s="1">
        <v>1.28E8</v>
      </c>
      <c r="N961" s="1">
        <v>1.7561E10</v>
      </c>
      <c r="O961" s="1">
        <v>1.5441E10</v>
      </c>
      <c r="P961" s="1">
        <v>9.13E9</v>
      </c>
      <c r="Q961" s="1">
        <v>-2.93E8</v>
      </c>
      <c r="R961" s="1">
        <v>1.699E9</v>
      </c>
      <c r="S961" s="1">
        <v>1.698E9</v>
      </c>
    </row>
    <row r="962">
      <c r="A962" s="1">
        <v>960.0</v>
      </c>
      <c r="B962" s="2">
        <v>44377.0</v>
      </c>
      <c r="C962" s="1" t="s">
        <v>521</v>
      </c>
      <c r="D962" s="1" t="s">
        <v>522</v>
      </c>
      <c r="F962" s="1">
        <v>1.29876E8</v>
      </c>
      <c r="G962" s="1">
        <v>1.02195E8</v>
      </c>
      <c r="H962" s="1">
        <v>1.4468E8</v>
      </c>
      <c r="I962" s="1">
        <v>3.06072E8</v>
      </c>
      <c r="J962" s="1">
        <v>1.61392E8</v>
      </c>
      <c r="K962" s="1">
        <v>1.61392E8</v>
      </c>
      <c r="L962" s="1">
        <v>-1.1205E7</v>
      </c>
      <c r="M962" s="1">
        <v>2.7697E7</v>
      </c>
      <c r="N962" s="1">
        <v>6.85947E8</v>
      </c>
      <c r="O962" s="1">
        <v>5.24555E8</v>
      </c>
      <c r="P962" s="1">
        <v>3.79875E8</v>
      </c>
      <c r="Q962" s="1">
        <v>-3.1516E7</v>
      </c>
      <c r="R962" s="1">
        <v>1.02179E8</v>
      </c>
      <c r="S962" s="1">
        <v>1.02195E8</v>
      </c>
    </row>
    <row r="963">
      <c r="A963" s="1">
        <v>961.0</v>
      </c>
      <c r="B963" s="2">
        <v>44286.0</v>
      </c>
      <c r="C963" s="1" t="s">
        <v>521</v>
      </c>
      <c r="D963" s="1" t="s">
        <v>522</v>
      </c>
      <c r="F963" s="1">
        <v>1.45619E8</v>
      </c>
      <c r="G963" s="1">
        <v>1.12708E8</v>
      </c>
      <c r="H963" s="1">
        <v>1.33796E8</v>
      </c>
      <c r="I963" s="1">
        <v>2.93287E8</v>
      </c>
      <c r="J963" s="1">
        <v>1.59491E8</v>
      </c>
      <c r="K963" s="1">
        <v>1.59491E8</v>
      </c>
      <c r="L963" s="1">
        <v>-1.0776E7</v>
      </c>
      <c r="M963" s="1">
        <v>3.2947E7</v>
      </c>
      <c r="N963" s="1">
        <v>6.52036E8</v>
      </c>
      <c r="O963" s="1">
        <v>4.92545E8</v>
      </c>
      <c r="P963" s="1">
        <v>3.58749E8</v>
      </c>
      <c r="Q963" s="1">
        <v>-1.3872E7</v>
      </c>
      <c r="R963" s="1">
        <v>1.12672E8</v>
      </c>
      <c r="S963" s="1">
        <v>1.12708E8</v>
      </c>
    </row>
    <row r="964">
      <c r="A964" s="1">
        <v>962.0</v>
      </c>
      <c r="B964" s="2">
        <v>44196.0</v>
      </c>
      <c r="C964" s="1" t="s">
        <v>521</v>
      </c>
      <c r="D964" s="1" t="s">
        <v>522</v>
      </c>
      <c r="F964" s="1">
        <v>1.29871E8</v>
      </c>
      <c r="G964" s="1">
        <v>1.01068E8</v>
      </c>
      <c r="H964" s="1">
        <v>1.23935E8</v>
      </c>
      <c r="I964" s="1">
        <v>2.69168E8</v>
      </c>
      <c r="J964" s="1">
        <v>1.45233E8</v>
      </c>
      <c r="K964" s="1">
        <v>1.45233E8</v>
      </c>
      <c r="L964" s="1">
        <v>-1.0788E7</v>
      </c>
      <c r="M964" s="1">
        <v>2.8803E7</v>
      </c>
      <c r="N964" s="1">
        <v>6.14822E8</v>
      </c>
      <c r="O964" s="1">
        <v>4.69589E8</v>
      </c>
      <c r="P964" s="1">
        <v>3.45654E8</v>
      </c>
      <c r="Q964" s="1">
        <v>-1.5362E7</v>
      </c>
      <c r="R964" s="1">
        <v>1.01068E8</v>
      </c>
      <c r="S964" s="1">
        <v>1.01068E8</v>
      </c>
    </row>
    <row r="965">
      <c r="A965" s="1">
        <v>963.0</v>
      </c>
      <c r="B965" s="2">
        <v>44104.0</v>
      </c>
      <c r="C965" s="1" t="s">
        <v>521</v>
      </c>
      <c r="D965" s="1" t="s">
        <v>522</v>
      </c>
      <c r="F965" s="1">
        <v>1.21275E8</v>
      </c>
      <c r="G965" s="1">
        <v>1.03848E8</v>
      </c>
      <c r="H965" s="1">
        <v>1.16858E8</v>
      </c>
      <c r="I965" s="1">
        <v>2.515E8</v>
      </c>
      <c r="J965" s="1">
        <v>1.34642E8</v>
      </c>
      <c r="K965" s="1">
        <v>1.34642E8</v>
      </c>
      <c r="L965" s="1">
        <v>-1.0642E7</v>
      </c>
      <c r="M965" s="1">
        <v>1.7427E7</v>
      </c>
      <c r="N965" s="1">
        <v>5.81113E8</v>
      </c>
      <c r="O965" s="1">
        <v>4.46471E8</v>
      </c>
      <c r="P965" s="1">
        <v>3.29613E8</v>
      </c>
      <c r="Q965" s="1">
        <v>-1.3367E7</v>
      </c>
      <c r="R965" s="1">
        <v>1.03848E8</v>
      </c>
      <c r="S965" s="1">
        <v>1.03848E8</v>
      </c>
    </row>
    <row r="966">
      <c r="A966" s="1">
        <v>964.0</v>
      </c>
      <c r="B966" s="2">
        <v>44377.0</v>
      </c>
      <c r="C966" s="1" t="s">
        <v>523</v>
      </c>
      <c r="D966" s="1" t="s">
        <v>524</v>
      </c>
      <c r="E966" s="1">
        <v>3.7697E7</v>
      </c>
      <c r="F966" s="1">
        <v>2.51731E8</v>
      </c>
      <c r="G966" s="1">
        <v>2.02582E8</v>
      </c>
      <c r="H966" s="1">
        <v>1.92358E8</v>
      </c>
      <c r="I966" s="1">
        <v>4.89308E8</v>
      </c>
      <c r="J966" s="1">
        <v>2.59253E8</v>
      </c>
      <c r="K966" s="1">
        <v>2.59253E8</v>
      </c>
      <c r="L966" s="1">
        <v>-7613000.0</v>
      </c>
      <c r="M966" s="1">
        <v>4.9125E7</v>
      </c>
      <c r="N966" s="1">
        <v>8.26142E8</v>
      </c>
      <c r="O966" s="1">
        <v>5.66889E8</v>
      </c>
      <c r="P966" s="1">
        <v>3.36834E8</v>
      </c>
      <c r="Q966" s="1">
        <v>-7522000.0</v>
      </c>
      <c r="R966" s="1">
        <v>2.02606E8</v>
      </c>
      <c r="S966" s="1">
        <v>2.02582E8</v>
      </c>
    </row>
    <row r="967">
      <c r="A967" s="1">
        <v>965.0</v>
      </c>
      <c r="B967" s="2">
        <v>44286.0</v>
      </c>
      <c r="C967" s="1" t="s">
        <v>523</v>
      </c>
      <c r="D967" s="1" t="s">
        <v>524</v>
      </c>
      <c r="E967" s="1">
        <v>3.7579E7</v>
      </c>
      <c r="F967" s="1">
        <v>2.4009E8</v>
      </c>
      <c r="G967" s="1">
        <v>2.04257E8</v>
      </c>
      <c r="H967" s="1">
        <v>1.85581E8</v>
      </c>
      <c r="I967" s="1">
        <v>4.70782E8</v>
      </c>
      <c r="J967" s="1">
        <v>2.47622E8</v>
      </c>
      <c r="K967" s="1">
        <v>2.47622E8</v>
      </c>
      <c r="L967" s="1">
        <v>-7584000.0</v>
      </c>
      <c r="M967" s="1">
        <v>3.5801E7</v>
      </c>
      <c r="N967" s="1">
        <v>7.77707E8</v>
      </c>
      <c r="O967" s="1">
        <v>5.30085E8</v>
      </c>
      <c r="P967" s="1">
        <v>3.06925E8</v>
      </c>
      <c r="Q967" s="1">
        <v>-7532000.0</v>
      </c>
      <c r="R967" s="1">
        <v>2.04289E8</v>
      </c>
      <c r="S967" s="1">
        <v>2.04257E8</v>
      </c>
    </row>
    <row r="968">
      <c r="A968" s="1">
        <v>966.0</v>
      </c>
      <c r="B968" s="2">
        <v>44196.0</v>
      </c>
      <c r="C968" s="1" t="s">
        <v>523</v>
      </c>
      <c r="D968" s="1" t="s">
        <v>524</v>
      </c>
      <c r="E968" s="1">
        <v>3.8777E7</v>
      </c>
      <c r="F968" s="1">
        <v>1.77436E8</v>
      </c>
      <c r="G968" s="1">
        <v>1.7479E8</v>
      </c>
      <c r="H968" s="1">
        <v>1.8563E8</v>
      </c>
      <c r="I968" s="1">
        <v>4.09502E8</v>
      </c>
      <c r="J968" s="1">
        <v>1.85095E8</v>
      </c>
      <c r="K968" s="1">
        <v>1.85095E8</v>
      </c>
      <c r="L968" s="1">
        <v>-7828000.0</v>
      </c>
      <c r="M968" s="1">
        <v>2478000.0</v>
      </c>
      <c r="N968" s="1">
        <v>7.20938E8</v>
      </c>
      <c r="O968" s="1">
        <v>5.35843E8</v>
      </c>
      <c r="P968" s="1">
        <v>3.11436E8</v>
      </c>
      <c r="Q968" s="1">
        <v>-7659000.0</v>
      </c>
      <c r="R968" s="1">
        <v>1.74958E8</v>
      </c>
      <c r="S968" s="1">
        <v>1.7479E8</v>
      </c>
    </row>
    <row r="969">
      <c r="A969" s="1">
        <v>967.0</v>
      </c>
      <c r="B969" s="2">
        <v>44104.0</v>
      </c>
      <c r="C969" s="1" t="s">
        <v>523</v>
      </c>
      <c r="D969" s="1" t="s">
        <v>524</v>
      </c>
      <c r="E969" s="1">
        <v>3.7517E7</v>
      </c>
      <c r="F969" s="1">
        <v>1.63954E8</v>
      </c>
      <c r="G969" s="1">
        <v>1.46219E8</v>
      </c>
      <c r="H969" s="1">
        <v>2.13233E8</v>
      </c>
      <c r="I969" s="1">
        <v>4.22606E8</v>
      </c>
      <c r="J969" s="1">
        <v>1.71856E8</v>
      </c>
      <c r="K969" s="1">
        <v>1.71856E8</v>
      </c>
      <c r="L969" s="1">
        <v>-8110000.0</v>
      </c>
      <c r="M969" s="1">
        <v>1.7633E7</v>
      </c>
      <c r="N969" s="1">
        <v>7.21789E8</v>
      </c>
      <c r="O969" s="1">
        <v>5.49933E8</v>
      </c>
      <c r="P969" s="1">
        <v>2.99183E8</v>
      </c>
      <c r="Q969" s="1">
        <v>-7902000.0</v>
      </c>
      <c r="R969" s="1">
        <v>1.46321E8</v>
      </c>
      <c r="S969" s="1">
        <v>1.46219E8</v>
      </c>
    </row>
    <row r="970">
      <c r="A970" s="1">
        <v>968.0</v>
      </c>
      <c r="B970" s="2">
        <v>44347.0</v>
      </c>
      <c r="C970" s="1" t="s">
        <v>525</v>
      </c>
      <c r="D970" s="1" t="s">
        <v>526</v>
      </c>
      <c r="F970" s="1">
        <v>2.165E8</v>
      </c>
      <c r="G970" s="1">
        <v>1.59E8</v>
      </c>
      <c r="H970" s="1">
        <v>2.833E8</v>
      </c>
      <c r="I970" s="1">
        <v>7.556E8</v>
      </c>
      <c r="J970" s="1">
        <v>3.166E8</v>
      </c>
      <c r="K970" s="1">
        <v>3.166E8</v>
      </c>
      <c r="L970" s="1">
        <v>-5.54E7</v>
      </c>
      <c r="M970" s="1">
        <v>5.76E7</v>
      </c>
      <c r="N970" s="1">
        <v>1.1814E9</v>
      </c>
      <c r="O970" s="1">
        <v>8.648E8</v>
      </c>
      <c r="P970" s="1">
        <v>4.258E8</v>
      </c>
      <c r="Q970" s="1">
        <v>-1.001E8</v>
      </c>
      <c r="R970" s="1">
        <v>1.589E8</v>
      </c>
      <c r="S970" s="1">
        <v>1.59E8</v>
      </c>
    </row>
    <row r="971">
      <c r="A971" s="1">
        <v>969.0</v>
      </c>
      <c r="B971" s="2">
        <v>44255.0</v>
      </c>
      <c r="C971" s="1" t="s">
        <v>525</v>
      </c>
      <c r="D971" s="1" t="s">
        <v>526</v>
      </c>
      <c r="F971" s="1">
        <v>1.79E8</v>
      </c>
      <c r="G971" s="1">
        <v>1.493E8</v>
      </c>
      <c r="H971" s="1">
        <v>3.022E8</v>
      </c>
      <c r="I971" s="1">
        <v>7.047E8</v>
      </c>
      <c r="J971" s="1">
        <v>2.475E8</v>
      </c>
      <c r="K971" s="1">
        <v>2.475E8</v>
      </c>
      <c r="L971" s="1">
        <v>-5.55E7</v>
      </c>
      <c r="M971" s="1">
        <v>3.03E7</v>
      </c>
      <c r="N971" s="1">
        <v>1.1199E9</v>
      </c>
      <c r="O971" s="1">
        <v>8.724E8</v>
      </c>
      <c r="P971" s="1">
        <v>4.152E8</v>
      </c>
      <c r="Q971" s="1">
        <v>-6.85E7</v>
      </c>
      <c r="R971" s="1">
        <v>1.487E8</v>
      </c>
      <c r="S971" s="1">
        <v>1.493E8</v>
      </c>
    </row>
    <row r="972">
      <c r="A972" s="1">
        <v>970.0</v>
      </c>
      <c r="B972" s="2">
        <v>44165.0</v>
      </c>
      <c r="C972" s="1" t="s">
        <v>525</v>
      </c>
      <c r="D972" s="1" t="s">
        <v>526</v>
      </c>
      <c r="F972" s="1">
        <v>1.153E8</v>
      </c>
      <c r="G972" s="1">
        <v>1.511E8</v>
      </c>
      <c r="H972" s="1">
        <v>2.962E8</v>
      </c>
      <c r="I972" s="1">
        <v>7.069E8</v>
      </c>
      <c r="J972" s="1">
        <v>2.604E8</v>
      </c>
      <c r="K972" s="1">
        <v>2.604E8</v>
      </c>
      <c r="L972" s="1">
        <v>-5.77E7</v>
      </c>
      <c r="M972" s="1">
        <v>-3.56E7</v>
      </c>
      <c r="N972" s="1">
        <v>1.1072E9</v>
      </c>
      <c r="O972" s="1">
        <v>8.468E8</v>
      </c>
      <c r="P972" s="1">
        <v>4.003E8</v>
      </c>
      <c r="Q972" s="1">
        <v>-1.451E8</v>
      </c>
      <c r="R972" s="1">
        <v>1.509E8</v>
      </c>
      <c r="S972" s="1">
        <v>1.511E8</v>
      </c>
    </row>
    <row r="973">
      <c r="A973" s="1">
        <v>971.0</v>
      </c>
      <c r="B973" s="2">
        <v>44074.0</v>
      </c>
      <c r="C973" s="1" t="s">
        <v>525</v>
      </c>
      <c r="D973" s="1" t="s">
        <v>526</v>
      </c>
      <c r="F973" s="1">
        <v>2.036E8</v>
      </c>
      <c r="G973" s="1">
        <v>1.629E8</v>
      </c>
      <c r="H973" s="1">
        <v>2.587E8</v>
      </c>
      <c r="I973" s="1">
        <v>6.876E8</v>
      </c>
      <c r="J973" s="1">
        <v>2.82E8</v>
      </c>
      <c r="K973" s="1">
        <v>2.82E8</v>
      </c>
      <c r="L973" s="1">
        <v>-5.77E7</v>
      </c>
      <c r="M973" s="1">
        <v>3.99E7</v>
      </c>
      <c r="N973" s="1">
        <v>1.0732E9</v>
      </c>
      <c r="O973" s="1">
        <v>7.912E8</v>
      </c>
      <c r="P973" s="1">
        <v>3.856E8</v>
      </c>
      <c r="Q973" s="1">
        <v>-7.84E7</v>
      </c>
      <c r="R973" s="1">
        <v>1.637E8</v>
      </c>
      <c r="S973" s="1">
        <v>1.629E8</v>
      </c>
    </row>
    <row r="974">
      <c r="A974" s="1">
        <v>972.0</v>
      </c>
      <c r="B974" s="2">
        <v>44286.0</v>
      </c>
      <c r="C974" s="1" t="s">
        <v>527</v>
      </c>
      <c r="D974" s="1" t="s">
        <v>528</v>
      </c>
      <c r="F974" s="1">
        <v>8.65E8</v>
      </c>
      <c r="G974" s="1">
        <v>6.71E8</v>
      </c>
      <c r="H974" s="1">
        <v>5.6E8</v>
      </c>
      <c r="I974" s="1">
        <v>1.505E9</v>
      </c>
      <c r="J974" s="1">
        <v>9.11E8</v>
      </c>
      <c r="K974" s="1">
        <v>9.11E8</v>
      </c>
      <c r="L974" s="1">
        <v>-5.2E7</v>
      </c>
      <c r="M974" s="1">
        <v>1.94E8</v>
      </c>
      <c r="N974" s="1">
        <v>3.544E9</v>
      </c>
      <c r="O974" s="1">
        <v>2.633E9</v>
      </c>
      <c r="P974" s="1">
        <v>2.039E9</v>
      </c>
      <c r="Q974" s="1">
        <v>-4.6E7</v>
      </c>
      <c r="R974" s="1">
        <v>6.71E8</v>
      </c>
      <c r="S974" s="1">
        <v>6.71E8</v>
      </c>
    </row>
    <row r="975">
      <c r="A975" s="1">
        <v>973.0</v>
      </c>
      <c r="B975" s="2">
        <v>44196.0</v>
      </c>
      <c r="C975" s="1" t="s">
        <v>527</v>
      </c>
      <c r="D975" s="1" t="s">
        <v>528</v>
      </c>
      <c r="F975" s="1">
        <v>8.24E8</v>
      </c>
      <c r="G975" s="1">
        <v>6.42E8</v>
      </c>
      <c r="H975" s="1">
        <v>5.53E8</v>
      </c>
      <c r="I975" s="1">
        <v>1.475E9</v>
      </c>
      <c r="J975" s="1">
        <v>8.87E8</v>
      </c>
      <c r="K975" s="1">
        <v>8.87E8</v>
      </c>
      <c r="L975" s="1">
        <v>-5.2E7</v>
      </c>
      <c r="M975" s="1">
        <v>1.82E8</v>
      </c>
      <c r="N975" s="1">
        <v>3.475E9</v>
      </c>
      <c r="O975" s="1">
        <v>2.588E9</v>
      </c>
      <c r="P975" s="1">
        <v>2.0E9</v>
      </c>
      <c r="Q975" s="1">
        <v>-6.3E7</v>
      </c>
      <c r="R975" s="1">
        <v>6.42E8</v>
      </c>
      <c r="S975" s="1">
        <v>6.42E8</v>
      </c>
    </row>
    <row r="976">
      <c r="A976" s="1">
        <v>974.0</v>
      </c>
      <c r="B976" s="2">
        <v>44104.0</v>
      </c>
      <c r="C976" s="1" t="s">
        <v>527</v>
      </c>
      <c r="D976" s="1" t="s">
        <v>528</v>
      </c>
      <c r="F976" s="1">
        <v>7.39E8</v>
      </c>
      <c r="G976" s="1">
        <v>5.82E8</v>
      </c>
      <c r="H976" s="1">
        <v>5.57E8</v>
      </c>
      <c r="I976" s="1">
        <v>1.397E9</v>
      </c>
      <c r="J976" s="1">
        <v>7.92E8</v>
      </c>
      <c r="K976" s="1">
        <v>7.92E8</v>
      </c>
      <c r="L976" s="1">
        <v>-5.2E7</v>
      </c>
      <c r="M976" s="1">
        <v>1.57E8</v>
      </c>
      <c r="N976" s="1">
        <v>3.307E9</v>
      </c>
      <c r="O976" s="1">
        <v>2.515E9</v>
      </c>
      <c r="P976" s="1">
        <v>1.91E9</v>
      </c>
      <c r="Q976" s="1">
        <v>-5.3E7</v>
      </c>
      <c r="R976" s="1">
        <v>5.82E8</v>
      </c>
      <c r="S976" s="1">
        <v>5.82E8</v>
      </c>
    </row>
    <row r="977">
      <c r="A977" s="1">
        <v>975.0</v>
      </c>
      <c r="B977" s="2">
        <v>44012.0</v>
      </c>
      <c r="C977" s="1" t="s">
        <v>527</v>
      </c>
      <c r="D977" s="1" t="s">
        <v>528</v>
      </c>
      <c r="F977" s="1">
        <v>4.06E8</v>
      </c>
      <c r="G977" s="1">
        <v>3.19E8</v>
      </c>
      <c r="H977" s="1">
        <v>4.83E8</v>
      </c>
      <c r="I977" s="1">
        <v>9.7E8</v>
      </c>
      <c r="J977" s="1">
        <v>4.52E8</v>
      </c>
      <c r="K977" s="1">
        <v>4.52E8</v>
      </c>
      <c r="L977" s="1">
        <v>-5.1E7</v>
      </c>
      <c r="M977" s="1">
        <v>8.7E7</v>
      </c>
      <c r="N977" s="1">
        <v>2.564E9</v>
      </c>
      <c r="O977" s="1">
        <v>2.112E9</v>
      </c>
      <c r="P977" s="1">
        <v>1.594E9</v>
      </c>
      <c r="Q977" s="1">
        <v>-4.6E7</v>
      </c>
      <c r="R977" s="1">
        <v>3.19E8</v>
      </c>
      <c r="S977" s="1">
        <v>3.19E8</v>
      </c>
    </row>
    <row r="978">
      <c r="A978" s="1">
        <v>976.0</v>
      </c>
      <c r="B978" s="2">
        <v>44290.0</v>
      </c>
      <c r="C978" s="1" t="s">
        <v>529</v>
      </c>
      <c r="D978" s="1" t="s">
        <v>530</v>
      </c>
      <c r="E978" s="1">
        <v>1.97E8</v>
      </c>
      <c r="F978" s="1">
        <v>1.69E8</v>
      </c>
      <c r="G978" s="1">
        <v>1.47E8</v>
      </c>
      <c r="H978" s="1">
        <v>3.74E8</v>
      </c>
      <c r="I978" s="1">
        <v>7.7E8</v>
      </c>
      <c r="J978" s="1">
        <v>1.93E8</v>
      </c>
      <c r="K978" s="1">
        <v>1.93E8</v>
      </c>
      <c r="L978" s="1">
        <v>-1.9E7</v>
      </c>
      <c r="M978" s="1">
        <v>2.2E7</v>
      </c>
      <c r="N978" s="1">
        <v>1.093E9</v>
      </c>
      <c r="O978" s="1">
        <v>9.0E8</v>
      </c>
      <c r="P978" s="1">
        <v>3.23E8</v>
      </c>
      <c r="Q978" s="1">
        <v>-2.4E7</v>
      </c>
      <c r="R978" s="1">
        <v>1.47E8</v>
      </c>
      <c r="S978" s="1">
        <v>1.47E8</v>
      </c>
    </row>
    <row r="979">
      <c r="A979" s="1">
        <v>977.0</v>
      </c>
      <c r="B979" s="2">
        <v>44199.0</v>
      </c>
      <c r="C979" s="1" t="s">
        <v>529</v>
      </c>
      <c r="D979" s="1" t="s">
        <v>530</v>
      </c>
      <c r="E979" s="1">
        <v>1.26E8</v>
      </c>
      <c r="F979" s="1">
        <v>2.99E8</v>
      </c>
      <c r="G979" s="1">
        <v>2.57E8</v>
      </c>
      <c r="H979" s="1">
        <v>3.73E8</v>
      </c>
      <c r="I979" s="1">
        <v>6.37E8</v>
      </c>
      <c r="J979" s="1">
        <v>1.31E8</v>
      </c>
      <c r="K979" s="1">
        <v>1.31E8</v>
      </c>
      <c r="L979" s="1">
        <v>-1.6E7</v>
      </c>
      <c r="M979" s="1">
        <v>4.2E7</v>
      </c>
      <c r="N979" s="1">
        <v>9.53E8</v>
      </c>
      <c r="O979" s="1">
        <v>8.22E8</v>
      </c>
      <c r="P979" s="1">
        <v>3.16E8</v>
      </c>
      <c r="Q979" s="1">
        <v>1.68E8</v>
      </c>
      <c r="R979" s="1">
        <v>2.57E8</v>
      </c>
      <c r="S979" s="1">
        <v>2.57E8</v>
      </c>
    </row>
    <row r="980">
      <c r="A980" s="1">
        <v>978.0</v>
      </c>
      <c r="B980" s="2">
        <v>44101.0</v>
      </c>
      <c r="C980" s="1" t="s">
        <v>529</v>
      </c>
      <c r="D980" s="1" t="s">
        <v>530</v>
      </c>
      <c r="E980" s="1">
        <v>1.72E8</v>
      </c>
      <c r="F980" s="1">
        <v>2.15E8</v>
      </c>
      <c r="G980" s="1">
        <v>1.79E8</v>
      </c>
      <c r="H980" s="1">
        <v>2.17E8</v>
      </c>
      <c r="I980" s="1">
        <v>5.33E8</v>
      </c>
      <c r="J980" s="1">
        <v>1.37E8</v>
      </c>
      <c r="K980" s="1">
        <v>1.37E8</v>
      </c>
      <c r="L980" s="1">
        <v>-1.1E7</v>
      </c>
      <c r="M980" s="1">
        <v>3.6E7</v>
      </c>
      <c r="N980" s="1">
        <v>7.94E8</v>
      </c>
      <c r="O980" s="1">
        <v>6.57E8</v>
      </c>
      <c r="P980" s="1">
        <v>2.61E8</v>
      </c>
      <c r="Q980" s="1">
        <v>7.8E7</v>
      </c>
      <c r="R980" s="1">
        <v>1.79E8</v>
      </c>
      <c r="S980" s="1">
        <v>1.79E8</v>
      </c>
    </row>
    <row r="981">
      <c r="A981" s="1">
        <v>979.0</v>
      </c>
      <c r="B981" s="2">
        <v>44010.0</v>
      </c>
      <c r="C981" s="1" t="s">
        <v>529</v>
      </c>
      <c r="D981" s="1" t="s">
        <v>530</v>
      </c>
      <c r="E981" s="1">
        <v>1.55E8</v>
      </c>
      <c r="F981" s="1">
        <v>1.65E8</v>
      </c>
      <c r="G981" s="1">
        <v>4.7E7</v>
      </c>
      <c r="H981" s="1">
        <v>1.77E8</v>
      </c>
      <c r="I981" s="1">
        <v>4.35E8</v>
      </c>
      <c r="J981" s="1">
        <v>9.6E7</v>
      </c>
      <c r="K981" s="1">
        <v>9.6E7</v>
      </c>
      <c r="L981" s="1">
        <v>-1.1E7</v>
      </c>
      <c r="M981" s="1">
        <v>1.18E8</v>
      </c>
      <c r="N981" s="1">
        <v>6.33E8</v>
      </c>
      <c r="O981" s="1">
        <v>5.37E8</v>
      </c>
      <c r="P981" s="1">
        <v>1.98E8</v>
      </c>
      <c r="Q981" s="1">
        <v>6.9E7</v>
      </c>
      <c r="R981" s="1">
        <v>4.7E7</v>
      </c>
      <c r="S981" s="1">
        <v>4.7E7</v>
      </c>
    </row>
    <row r="982">
      <c r="A982" s="1">
        <v>980.0</v>
      </c>
      <c r="B982" s="2">
        <v>44377.0</v>
      </c>
      <c r="C982" s="1" t="s">
        <v>531</v>
      </c>
      <c r="D982" s="1" t="s">
        <v>532</v>
      </c>
      <c r="F982" s="1">
        <v>1.71633E8</v>
      </c>
      <c r="G982" s="1">
        <v>1.49456E8</v>
      </c>
      <c r="H982" s="1">
        <v>1.68859E8</v>
      </c>
      <c r="I982" s="1">
        <v>3.14327E8</v>
      </c>
      <c r="J982" s="1">
        <v>1.45468E8</v>
      </c>
      <c r="K982" s="1">
        <v>1.45468E8</v>
      </c>
      <c r="L982" s="1">
        <v>-358000.0</v>
      </c>
      <c r="M982" s="1">
        <v>2.2177E7</v>
      </c>
      <c r="N982" s="1">
        <v>7.05709E8</v>
      </c>
      <c r="O982" s="1">
        <v>5.60241E8</v>
      </c>
      <c r="P982" s="1">
        <v>3.91382E8</v>
      </c>
      <c r="Q982" s="1">
        <v>2.6165E7</v>
      </c>
      <c r="R982" s="1">
        <v>1.49456E8</v>
      </c>
      <c r="S982" s="1">
        <v>1.49456E8</v>
      </c>
    </row>
    <row r="983">
      <c r="A983" s="1">
        <v>981.0</v>
      </c>
      <c r="B983" s="2">
        <v>44286.0</v>
      </c>
      <c r="C983" s="1" t="s">
        <v>531</v>
      </c>
      <c r="D983" s="1" t="s">
        <v>532</v>
      </c>
      <c r="F983" s="1">
        <v>6.9322E7</v>
      </c>
      <c r="G983" s="1">
        <v>5.3535E7</v>
      </c>
      <c r="H983" s="1">
        <v>1.54144E8</v>
      </c>
      <c r="I983" s="1">
        <v>2.58118E8</v>
      </c>
      <c r="J983" s="1">
        <v>1.03974E8</v>
      </c>
      <c r="K983" s="1">
        <v>1.03974E8</v>
      </c>
      <c r="L983" s="1">
        <v>-359000.0</v>
      </c>
      <c r="M983" s="1">
        <v>1.5787E7</v>
      </c>
      <c r="N983" s="1">
        <v>6.04718E8</v>
      </c>
      <c r="O983" s="1">
        <v>5.00744E8</v>
      </c>
      <c r="P983" s="1">
        <v>3.466E8</v>
      </c>
      <c r="Q983" s="1">
        <v>-3.4652E7</v>
      </c>
      <c r="R983" s="1">
        <v>5.3535E7</v>
      </c>
      <c r="S983" s="1">
        <v>5.3535E7</v>
      </c>
    </row>
    <row r="984">
      <c r="A984" s="1">
        <v>982.0</v>
      </c>
      <c r="B984" s="2">
        <v>44196.0</v>
      </c>
      <c r="C984" s="1" t="s">
        <v>531</v>
      </c>
      <c r="D984" s="1" t="s">
        <v>532</v>
      </c>
      <c r="F984" s="1">
        <v>1.68102E8</v>
      </c>
      <c r="G984" s="1">
        <v>1.4985E8</v>
      </c>
      <c r="H984" s="1">
        <v>1.67228E8</v>
      </c>
      <c r="I984" s="1">
        <v>3.34812E8</v>
      </c>
      <c r="J984" s="1">
        <v>1.67584E8</v>
      </c>
      <c r="K984" s="1">
        <v>1.67584E8</v>
      </c>
      <c r="L984" s="1">
        <v>-428000.0</v>
      </c>
      <c r="M984" s="1">
        <v>1.8252E7</v>
      </c>
      <c r="N984" s="1">
        <v>7.89509E8</v>
      </c>
      <c r="O984" s="1">
        <v>6.21925E8</v>
      </c>
      <c r="P984" s="1">
        <v>4.54697E8</v>
      </c>
      <c r="Q984" s="1">
        <v>518000.0</v>
      </c>
      <c r="R984" s="1">
        <v>1.4985E8</v>
      </c>
      <c r="S984" s="1">
        <v>1.4985E8</v>
      </c>
    </row>
    <row r="985">
      <c r="A985" s="1">
        <v>983.0</v>
      </c>
      <c r="B985" s="2">
        <v>44104.0</v>
      </c>
      <c r="C985" s="1" t="s">
        <v>531</v>
      </c>
      <c r="D985" s="1" t="s">
        <v>532</v>
      </c>
      <c r="F985" s="1">
        <v>-3508000.0</v>
      </c>
      <c r="G985" s="1">
        <v>-1.5203E7</v>
      </c>
      <c r="H985" s="1">
        <v>1.21025E8</v>
      </c>
      <c r="I985" s="1">
        <v>1.33223E8</v>
      </c>
      <c r="J985" s="1">
        <v>1.2198E7</v>
      </c>
      <c r="K985" s="1">
        <v>1.2198E7</v>
      </c>
      <c r="L985" s="1">
        <v>-544000.0</v>
      </c>
      <c r="M985" s="1">
        <v>1.1695E7</v>
      </c>
      <c r="N985" s="1">
        <v>6.20643E8</v>
      </c>
      <c r="O985" s="1">
        <v>6.08445E8</v>
      </c>
      <c r="P985" s="1">
        <v>4.8742E8</v>
      </c>
      <c r="Q985" s="1">
        <v>-1.5706E7</v>
      </c>
      <c r="R985" s="1">
        <v>-1.5203E7</v>
      </c>
      <c r="S985" s="1">
        <v>-1.5203E7</v>
      </c>
    </row>
    <row r="986">
      <c r="A986" s="1">
        <v>984.0</v>
      </c>
      <c r="B986" s="2">
        <v>44377.0</v>
      </c>
      <c r="C986" s="1" t="s">
        <v>533</v>
      </c>
      <c r="D986" s="1" t="s">
        <v>534</v>
      </c>
      <c r="F986" s="1">
        <v>1.508E8</v>
      </c>
      <c r="G986" s="1">
        <v>2.339E8</v>
      </c>
      <c r="H986" s="1">
        <v>2.663E8</v>
      </c>
      <c r="I986" s="1">
        <v>5.127E8</v>
      </c>
      <c r="J986" s="1">
        <v>1.665E8</v>
      </c>
      <c r="K986" s="1">
        <v>1.665E8</v>
      </c>
      <c r="L986" s="1">
        <v>-2.27E7</v>
      </c>
      <c r="M986" s="1">
        <v>1.25E7</v>
      </c>
      <c r="N986" s="1">
        <v>1.2791E9</v>
      </c>
      <c r="O986" s="1">
        <v>1.1126E9</v>
      </c>
      <c r="P986" s="1">
        <v>7.664E8</v>
      </c>
      <c r="Q986" s="1">
        <v>-1.57E7</v>
      </c>
      <c r="R986" s="1">
        <v>1.383E8</v>
      </c>
      <c r="S986" s="1">
        <v>2.339E8</v>
      </c>
    </row>
    <row r="987">
      <c r="A987" s="1">
        <v>985.0</v>
      </c>
      <c r="B987" s="2">
        <v>44286.0</v>
      </c>
      <c r="C987" s="1" t="s">
        <v>533</v>
      </c>
      <c r="D987" s="1" t="s">
        <v>534</v>
      </c>
      <c r="F987" s="1">
        <v>1.007E8</v>
      </c>
      <c r="G987" s="1">
        <v>-9.04E7</v>
      </c>
      <c r="H987" s="1">
        <v>2.515E8</v>
      </c>
      <c r="I987" s="1">
        <v>4.521E8</v>
      </c>
      <c r="J987" s="1">
        <v>1.147E8</v>
      </c>
      <c r="K987" s="1">
        <v>1.147E8</v>
      </c>
      <c r="L987" s="1">
        <v>-2.31E7</v>
      </c>
      <c r="M987" s="1">
        <v>1.06E7</v>
      </c>
      <c r="N987" s="1">
        <v>1.1295E9</v>
      </c>
      <c r="O987" s="1">
        <v>1.0148E9</v>
      </c>
      <c r="P987" s="1">
        <v>6.774E8</v>
      </c>
      <c r="Q987" s="1">
        <v>-1.4E7</v>
      </c>
      <c r="R987" s="1">
        <v>9.01E7</v>
      </c>
      <c r="S987" s="1">
        <v>-9.04E7</v>
      </c>
    </row>
    <row r="988">
      <c r="A988" s="1">
        <v>986.0</v>
      </c>
      <c r="B988" s="2">
        <v>44196.0</v>
      </c>
      <c r="C988" s="1" t="s">
        <v>533</v>
      </c>
      <c r="D988" s="1" t="s">
        <v>534</v>
      </c>
      <c r="F988" s="1">
        <v>1.089E8</v>
      </c>
      <c r="G988" s="1">
        <v>1.516E8</v>
      </c>
      <c r="H988" s="1">
        <v>2.452E8</v>
      </c>
      <c r="I988" s="1">
        <v>5.269E8</v>
      </c>
      <c r="J988" s="1">
        <v>1.67E8</v>
      </c>
      <c r="K988" s="1">
        <v>1.67E8</v>
      </c>
      <c r="L988" s="1">
        <v>-2.44E7</v>
      </c>
      <c r="M988" s="1">
        <v>-4.22E7</v>
      </c>
      <c r="N988" s="1">
        <v>1.5107E9</v>
      </c>
      <c r="O988" s="1">
        <v>1.3437E9</v>
      </c>
      <c r="P988" s="1">
        <v>9.838E8</v>
      </c>
      <c r="Q988" s="1">
        <v>-5.81E7</v>
      </c>
      <c r="R988" s="1">
        <v>1.511E8</v>
      </c>
      <c r="S988" s="1">
        <v>1.516E8</v>
      </c>
    </row>
    <row r="989">
      <c r="A989" s="1">
        <v>987.0</v>
      </c>
      <c r="B989" s="2">
        <v>44104.0</v>
      </c>
      <c r="C989" s="1" t="s">
        <v>533</v>
      </c>
      <c r="D989" s="1" t="s">
        <v>534</v>
      </c>
      <c r="F989" s="1">
        <v>4.81E7</v>
      </c>
      <c r="G989" s="1">
        <v>2.95E7</v>
      </c>
      <c r="H989" s="1">
        <v>2.442E8</v>
      </c>
      <c r="I989" s="1">
        <v>4.82E8</v>
      </c>
      <c r="J989" s="1">
        <v>1.23E8</v>
      </c>
      <c r="K989" s="1">
        <v>1.23E8</v>
      </c>
      <c r="L989" s="1">
        <v>-2.88E7</v>
      </c>
      <c r="M989" s="1">
        <v>1.82E7</v>
      </c>
      <c r="N989" s="1">
        <v>1.3352E9</v>
      </c>
      <c r="O989" s="1">
        <v>1.2122E9</v>
      </c>
      <c r="P989" s="1">
        <v>8.532E8</v>
      </c>
      <c r="Q989" s="1">
        <v>-7.49E7</v>
      </c>
      <c r="R989" s="1">
        <v>2.99E7</v>
      </c>
      <c r="S989" s="1">
        <v>2.95E7</v>
      </c>
    </row>
    <row r="990">
      <c r="A990" s="1">
        <v>988.0</v>
      </c>
      <c r="B990" s="2">
        <v>44373.0</v>
      </c>
      <c r="C990" s="1" t="s">
        <v>535</v>
      </c>
      <c r="D990" s="1" t="s">
        <v>536</v>
      </c>
      <c r="E990" s="1">
        <v>3.715E9</v>
      </c>
      <c r="F990" s="1">
        <v>5.745E9</v>
      </c>
      <c r="G990" s="1">
        <v>5.061E9</v>
      </c>
      <c r="H990" s="1">
        <v>1.599E9</v>
      </c>
      <c r="I990" s="1">
        <v>1.1206E10</v>
      </c>
      <c r="J990" s="1">
        <v>5.892E9</v>
      </c>
      <c r="K990" s="1">
        <v>5.892E9</v>
      </c>
      <c r="L990" s="1">
        <v>-1.29E8</v>
      </c>
      <c r="M990" s="1">
        <v>6.84E8</v>
      </c>
      <c r="N990" s="1">
        <v>1.9631E10</v>
      </c>
      <c r="O990" s="1">
        <v>1.3739E10</v>
      </c>
      <c r="P990" s="1">
        <v>8.425E9</v>
      </c>
      <c r="Q990" s="1">
        <v>-1.47E8</v>
      </c>
      <c r="R990" s="1">
        <v>5.061E9</v>
      </c>
      <c r="S990" s="1">
        <v>5.061E9</v>
      </c>
    </row>
    <row r="991">
      <c r="A991" s="1">
        <v>989.0</v>
      </c>
      <c r="B991" s="2">
        <v>44282.0</v>
      </c>
      <c r="C991" s="1" t="s">
        <v>535</v>
      </c>
      <c r="D991" s="1" t="s">
        <v>536</v>
      </c>
      <c r="E991" s="1">
        <v>3.623E9</v>
      </c>
      <c r="F991" s="1">
        <v>3.906E9</v>
      </c>
      <c r="G991" s="1">
        <v>3.361E9</v>
      </c>
      <c r="H991" s="1">
        <v>1.328E9</v>
      </c>
      <c r="I991" s="1">
        <v>1.0854E10</v>
      </c>
      <c r="J991" s="1">
        <v>5.903E9</v>
      </c>
      <c r="K991" s="1">
        <v>5.903E9</v>
      </c>
      <c r="L991" s="1">
        <v>-1.9E8</v>
      </c>
      <c r="M991" s="1">
        <v>5.45E8</v>
      </c>
      <c r="N991" s="1">
        <v>1.9673E10</v>
      </c>
      <c r="O991" s="1">
        <v>1.377E10</v>
      </c>
      <c r="P991" s="1">
        <v>8.819E9</v>
      </c>
      <c r="Q991" s="1">
        <v>-1.997E9</v>
      </c>
      <c r="R991" s="1">
        <v>3.361E9</v>
      </c>
      <c r="S991" s="1">
        <v>3.361E9</v>
      </c>
    </row>
    <row r="992">
      <c r="A992" s="1">
        <v>990.0</v>
      </c>
      <c r="B992" s="2">
        <v>44191.0</v>
      </c>
      <c r="C992" s="1" t="s">
        <v>535</v>
      </c>
      <c r="D992" s="1" t="s">
        <v>536</v>
      </c>
      <c r="E992" s="1">
        <v>3.655E9</v>
      </c>
      <c r="F992" s="1">
        <v>7.488E9</v>
      </c>
      <c r="G992" s="1">
        <v>5.857E9</v>
      </c>
      <c r="H992" s="1">
        <v>1.757E9</v>
      </c>
      <c r="I992" s="1">
        <v>1.1348E10</v>
      </c>
      <c r="J992" s="1">
        <v>5.936E9</v>
      </c>
      <c r="K992" s="1">
        <v>5.936E9</v>
      </c>
      <c r="L992" s="1">
        <v>-1.48E8</v>
      </c>
      <c r="M992" s="1">
        <v>1.631E9</v>
      </c>
      <c r="N992" s="1">
        <v>1.9978E10</v>
      </c>
      <c r="O992" s="1">
        <v>1.4042E10</v>
      </c>
      <c r="P992" s="1">
        <v>8.63E9</v>
      </c>
      <c r="Q992" s="1">
        <v>1.552E9</v>
      </c>
      <c r="R992" s="1">
        <v>5.857E9</v>
      </c>
      <c r="S992" s="1">
        <v>5.857E9</v>
      </c>
    </row>
    <row r="993">
      <c r="A993" s="1">
        <v>991.0</v>
      </c>
      <c r="B993" s="2">
        <v>44100.0</v>
      </c>
      <c r="C993" s="1" t="s">
        <v>535</v>
      </c>
      <c r="D993" s="1" t="s">
        <v>536</v>
      </c>
      <c r="E993" s="1">
        <v>3.272E9</v>
      </c>
      <c r="F993" s="1">
        <v>5.041E9</v>
      </c>
      <c r="G993" s="1">
        <v>4.276E9</v>
      </c>
      <c r="H993" s="1">
        <v>1.435E9</v>
      </c>
      <c r="I993" s="1">
        <v>9.741E9</v>
      </c>
      <c r="J993" s="1">
        <v>5.034E9</v>
      </c>
      <c r="K993" s="1">
        <v>5.034E9</v>
      </c>
      <c r="L993" s="1">
        <v>-1.6E8</v>
      </c>
      <c r="M993" s="1">
        <v>7.65E8</v>
      </c>
      <c r="N993" s="1">
        <v>1.8333E10</v>
      </c>
      <c r="O993" s="1">
        <v>1.3299E10</v>
      </c>
      <c r="P993" s="1">
        <v>8.592E9</v>
      </c>
      <c r="Q993" s="1">
        <v>7000000.0</v>
      </c>
      <c r="R993" s="1">
        <v>4.276E9</v>
      </c>
      <c r="S993" s="1">
        <v>4.276E9</v>
      </c>
    </row>
    <row r="994">
      <c r="A994" s="1">
        <v>992.0</v>
      </c>
      <c r="B994" s="2">
        <v>44377.0</v>
      </c>
      <c r="C994" s="1" t="s">
        <v>537</v>
      </c>
      <c r="D994" s="1" t="s">
        <v>538</v>
      </c>
      <c r="F994" s="1">
        <v>1.932E9</v>
      </c>
      <c r="G994" s="1">
        <v>1.252E9</v>
      </c>
      <c r="H994" s="1">
        <v>6.47E8</v>
      </c>
      <c r="I994" s="1">
        <v>1.707E9</v>
      </c>
      <c r="J994" s="1">
        <v>8.09E8</v>
      </c>
      <c r="K994" s="1">
        <v>8.09E8</v>
      </c>
      <c r="L994" s="1">
        <v>-1.06E8</v>
      </c>
      <c r="M994" s="1">
        <v>6.79E8</v>
      </c>
      <c r="N994" s="1">
        <v>1.707E9</v>
      </c>
      <c r="O994" s="1">
        <v>8.98E8</v>
      </c>
      <c r="P994" s="1">
        <v>0.0</v>
      </c>
      <c r="Q994" s="1">
        <v>1.123E9</v>
      </c>
      <c r="R994" s="1">
        <v>1.253E9</v>
      </c>
      <c r="S994" s="1">
        <v>1.252E9</v>
      </c>
    </row>
    <row r="995">
      <c r="A995" s="1">
        <v>993.0</v>
      </c>
      <c r="B995" s="2">
        <v>44286.0</v>
      </c>
      <c r="C995" s="1" t="s">
        <v>537</v>
      </c>
      <c r="D995" s="1" t="s">
        <v>538</v>
      </c>
      <c r="F995" s="1">
        <v>8.33E8</v>
      </c>
      <c r="G995" s="1">
        <v>6.46E8</v>
      </c>
      <c r="H995" s="1">
        <v>6.32E8</v>
      </c>
      <c r="I995" s="1">
        <v>1.797E9</v>
      </c>
      <c r="J995" s="1">
        <v>9.1E8</v>
      </c>
      <c r="K995" s="1">
        <v>9.1E8</v>
      </c>
      <c r="L995" s="1">
        <v>-1.07E8</v>
      </c>
      <c r="M995" s="1">
        <v>1.83E8</v>
      </c>
      <c r="N995" s="1">
        <v>1.797E9</v>
      </c>
      <c r="O995" s="1">
        <v>8.87E8</v>
      </c>
      <c r="P995" s="1">
        <v>0.0</v>
      </c>
      <c r="Q995" s="1">
        <v>-7.7E7</v>
      </c>
      <c r="R995" s="1">
        <v>6.5E8</v>
      </c>
      <c r="S995" s="1">
        <v>6.46E8</v>
      </c>
    </row>
    <row r="996">
      <c r="A996" s="1">
        <v>994.0</v>
      </c>
      <c r="B996" s="2">
        <v>44196.0</v>
      </c>
      <c r="C996" s="1" t="s">
        <v>537</v>
      </c>
      <c r="D996" s="1" t="s">
        <v>538</v>
      </c>
      <c r="F996" s="1">
        <v>6.74E8</v>
      </c>
      <c r="G996" s="1">
        <v>5.26E8</v>
      </c>
      <c r="H996" s="1">
        <v>6.25E8</v>
      </c>
      <c r="I996" s="1">
        <v>1.671E9</v>
      </c>
      <c r="J996" s="1">
        <v>8.0E8</v>
      </c>
      <c r="K996" s="1">
        <v>8.0E8</v>
      </c>
      <c r="L996" s="1">
        <v>-1.12E8</v>
      </c>
      <c r="M996" s="1">
        <v>1.46E8</v>
      </c>
      <c r="N996" s="1">
        <v>1.671E9</v>
      </c>
      <c r="O996" s="1">
        <v>8.71E8</v>
      </c>
      <c r="P996" s="1">
        <v>0.0</v>
      </c>
      <c r="Q996" s="1">
        <v>-1.26E8</v>
      </c>
      <c r="R996" s="1">
        <v>5.28E8</v>
      </c>
      <c r="S996" s="1">
        <v>5.26E8</v>
      </c>
    </row>
    <row r="997">
      <c r="A997" s="1">
        <v>995.0</v>
      </c>
      <c r="B997" s="2">
        <v>44104.0</v>
      </c>
      <c r="C997" s="1" t="s">
        <v>537</v>
      </c>
      <c r="D997" s="1" t="s">
        <v>538</v>
      </c>
      <c r="F997" s="1">
        <v>5.83E8</v>
      </c>
      <c r="G997" s="1">
        <v>3.9E8</v>
      </c>
      <c r="H997" s="1">
        <v>5.28E8</v>
      </c>
      <c r="I997" s="1">
        <v>1.411E9</v>
      </c>
      <c r="J997" s="1">
        <v>7.03E8</v>
      </c>
      <c r="K997" s="1">
        <v>7.03E8</v>
      </c>
      <c r="L997" s="1">
        <v>-8.9E7</v>
      </c>
      <c r="M997" s="1">
        <v>1.89E8</v>
      </c>
      <c r="N997" s="1">
        <v>1.411E9</v>
      </c>
      <c r="O997" s="1">
        <v>7.08E8</v>
      </c>
      <c r="P997" s="1">
        <v>0.0</v>
      </c>
      <c r="Q997" s="1">
        <v>-1.2E8</v>
      </c>
      <c r="R997" s="1">
        <v>3.94E8</v>
      </c>
      <c r="S997" s="1">
        <v>3.9E8</v>
      </c>
    </row>
    <row r="998">
      <c r="A998" s="1">
        <v>996.0</v>
      </c>
      <c r="B998" s="2">
        <v>44377.0</v>
      </c>
      <c r="C998" s="1" t="s">
        <v>539</v>
      </c>
      <c r="D998" s="1" t="s">
        <v>540</v>
      </c>
      <c r="E998" s="1">
        <v>1.64E8</v>
      </c>
      <c r="F998" s="1">
        <v>4.4E7</v>
      </c>
      <c r="G998" s="1">
        <v>2.8E7</v>
      </c>
      <c r="H998" s="1">
        <v>3.85E8</v>
      </c>
      <c r="I998" s="1">
        <v>1.105E9</v>
      </c>
      <c r="J998" s="1">
        <v>3.56E8</v>
      </c>
      <c r="K998" s="1">
        <v>3.56E8</v>
      </c>
      <c r="L998" s="1">
        <v>-7.7E7</v>
      </c>
      <c r="M998" s="1">
        <v>1.4E7</v>
      </c>
      <c r="N998" s="1">
        <v>3.089E9</v>
      </c>
      <c r="O998" s="1">
        <v>2.733E9</v>
      </c>
      <c r="P998" s="1">
        <v>1.984E9</v>
      </c>
      <c r="Q998" s="1">
        <v>-3.12E8</v>
      </c>
      <c r="R998" s="1">
        <v>3.0E7</v>
      </c>
      <c r="S998" s="1">
        <v>2.9E7</v>
      </c>
    </row>
    <row r="999">
      <c r="A999" s="1">
        <v>997.0</v>
      </c>
      <c r="B999" s="2">
        <v>44286.0</v>
      </c>
      <c r="C999" s="1" t="s">
        <v>539</v>
      </c>
      <c r="D999" s="1" t="s">
        <v>540</v>
      </c>
      <c r="E999" s="1">
        <v>1.43E8</v>
      </c>
      <c r="F999" s="1">
        <v>-5.4E7</v>
      </c>
      <c r="G999" s="1">
        <v>-4.2E7</v>
      </c>
      <c r="H999" s="1">
        <v>3.09E8</v>
      </c>
      <c r="I999" s="1">
        <v>9.36E8</v>
      </c>
      <c r="J999" s="1">
        <v>3.32E8</v>
      </c>
      <c r="K999" s="1">
        <v>3.32E8</v>
      </c>
      <c r="L999" s="1">
        <v>-6.5E7</v>
      </c>
      <c r="M999" s="1">
        <v>-1.4E7</v>
      </c>
      <c r="N999" s="1">
        <v>2.465E9</v>
      </c>
      <c r="O999" s="1">
        <v>2.133E9</v>
      </c>
      <c r="P999" s="1">
        <v>1.529E9</v>
      </c>
      <c r="Q999" s="1">
        <v>-3.86E8</v>
      </c>
      <c r="R999" s="1">
        <v>-4.0E7</v>
      </c>
      <c r="S999" s="1">
        <v>-4.3E7</v>
      </c>
    </row>
    <row r="1000">
      <c r="A1000" s="1">
        <v>998.0</v>
      </c>
      <c r="B1000" s="2">
        <v>44196.0</v>
      </c>
      <c r="C1000" s="1" t="s">
        <v>539</v>
      </c>
      <c r="D1000" s="1" t="s">
        <v>540</v>
      </c>
      <c r="E1000" s="1">
        <v>1.00038E8</v>
      </c>
      <c r="F1000" s="1">
        <v>7.9298E7</v>
      </c>
      <c r="G1000" s="1">
        <v>6.7589E7</v>
      </c>
      <c r="H1000" s="1">
        <v>2.14333E8</v>
      </c>
      <c r="I1000" s="1">
        <v>5.13819E8</v>
      </c>
      <c r="J1000" s="1">
        <v>1.49063E8</v>
      </c>
      <c r="K1000" s="1">
        <v>1.49063E8</v>
      </c>
      <c r="L1000" s="1">
        <v>-3.2756E7</v>
      </c>
      <c r="M1000" s="1">
        <v>1.2734E7</v>
      </c>
      <c r="N1000" s="1">
        <v>1.270073E9</v>
      </c>
      <c r="O1000" s="1">
        <v>1.12101E9</v>
      </c>
      <c r="P1000" s="1">
        <v>7.56254E8</v>
      </c>
      <c r="Q1000" s="1">
        <v>-6.9765E7</v>
      </c>
      <c r="R1000" s="1">
        <v>6.6564E7</v>
      </c>
      <c r="S1000" s="1">
        <v>6.3928E7</v>
      </c>
    </row>
    <row r="1001">
      <c r="A1001" s="1">
        <v>999.0</v>
      </c>
      <c r="B1001" s="2">
        <v>44104.0</v>
      </c>
      <c r="C1001" s="1" t="s">
        <v>539</v>
      </c>
      <c r="D1001" s="1" t="s">
        <v>540</v>
      </c>
      <c r="E1001" s="1">
        <v>8.9968E7</v>
      </c>
      <c r="F1001" s="1">
        <v>1.055E8</v>
      </c>
      <c r="G1001" s="1">
        <v>8.4828E7</v>
      </c>
      <c r="H1001" s="1">
        <v>1.8813E8</v>
      </c>
      <c r="I1001" s="1">
        <v>5.2453E8</v>
      </c>
      <c r="J1001" s="1">
        <v>1.98694E8</v>
      </c>
      <c r="K1001" s="1">
        <v>1.98694E8</v>
      </c>
      <c r="L1001" s="1">
        <v>-3.4844E7</v>
      </c>
      <c r="M1001" s="1">
        <v>1.9269E7</v>
      </c>
      <c r="N1001" s="1">
        <v>1.268076E9</v>
      </c>
      <c r="O1001" s="1">
        <v>1.069382E9</v>
      </c>
      <c r="P1001" s="1">
        <v>7.43546E8</v>
      </c>
      <c r="Q1001" s="1">
        <v>-9.3194E7</v>
      </c>
      <c r="R1001" s="1">
        <v>8.6231E7</v>
      </c>
      <c r="S1001" s="1">
        <v>8.5592E7</v>
      </c>
    </row>
    <row r="1002">
      <c r="A1002" s="1">
        <v>1000.0</v>
      </c>
      <c r="B1002" s="2">
        <v>44377.0</v>
      </c>
      <c r="C1002" s="1" t="s">
        <v>541</v>
      </c>
      <c r="D1002" s="1" t="s">
        <v>542</v>
      </c>
      <c r="F1002" s="1">
        <v>5.36E8</v>
      </c>
      <c r="G1002" s="1">
        <v>4.32E8</v>
      </c>
      <c r="H1002" s="1">
        <v>8.28E8</v>
      </c>
      <c r="I1002" s="1">
        <v>1.703E9</v>
      </c>
      <c r="J1002" s="1">
        <v>5.24E8</v>
      </c>
      <c r="K1002" s="1">
        <v>5.24E8</v>
      </c>
      <c r="L1002" s="1">
        <v>-1.17E8</v>
      </c>
      <c r="M1002" s="1">
        <v>1.02E8</v>
      </c>
      <c r="N1002" s="1">
        <v>5.616E9</v>
      </c>
      <c r="O1002" s="1">
        <v>5.092E9</v>
      </c>
      <c r="P1002" s="1">
        <v>3.913E9</v>
      </c>
      <c r="Q1002" s="1">
        <v>1.2E7</v>
      </c>
      <c r="R1002" s="1">
        <v>4.34E8</v>
      </c>
      <c r="S1002" s="1">
        <v>4.32E8</v>
      </c>
    </row>
    <row r="1003">
      <c r="A1003" s="1">
        <v>1001.0</v>
      </c>
      <c r="B1003" s="2">
        <v>44286.0</v>
      </c>
      <c r="C1003" s="1" t="s">
        <v>541</v>
      </c>
      <c r="D1003" s="1" t="s">
        <v>542</v>
      </c>
      <c r="F1003" s="1">
        <v>4.48E8</v>
      </c>
      <c r="G1003" s="1">
        <v>3.49E8</v>
      </c>
      <c r="H1003" s="1">
        <v>7.14E8</v>
      </c>
      <c r="I1003" s="1">
        <v>1.516E9</v>
      </c>
      <c r="J1003" s="1">
        <v>4.49E8</v>
      </c>
      <c r="K1003" s="1">
        <v>4.49E8</v>
      </c>
      <c r="L1003" s="1">
        <v>-1.24E8</v>
      </c>
      <c r="M1003" s="1">
        <v>9.9E7</v>
      </c>
      <c r="N1003" s="1">
        <v>5.363E9</v>
      </c>
      <c r="O1003" s="1">
        <v>4.914E9</v>
      </c>
      <c r="P1003" s="1">
        <v>3.847E9</v>
      </c>
      <c r="Q1003" s="1">
        <v>-1000000.0</v>
      </c>
      <c r="R1003" s="1">
        <v>3.49E8</v>
      </c>
      <c r="S1003" s="1">
        <v>3.49E8</v>
      </c>
    </row>
    <row r="1004">
      <c r="A1004" s="1">
        <v>1002.0</v>
      </c>
      <c r="B1004" s="2">
        <v>44196.0</v>
      </c>
      <c r="C1004" s="1" t="s">
        <v>541</v>
      </c>
      <c r="D1004" s="1" t="s">
        <v>542</v>
      </c>
      <c r="F1004" s="1">
        <v>1.87E8</v>
      </c>
      <c r="G1004" s="1">
        <v>1.53E8</v>
      </c>
      <c r="H1004" s="1">
        <v>8.02E8</v>
      </c>
      <c r="I1004" s="1">
        <v>1.58E9</v>
      </c>
      <c r="J1004" s="1">
        <v>4.04E8</v>
      </c>
      <c r="K1004" s="1">
        <v>4.04E8</v>
      </c>
      <c r="L1004" s="1">
        <v>-1.33E8</v>
      </c>
      <c r="M1004" s="1">
        <v>3.4E7</v>
      </c>
      <c r="N1004" s="1">
        <v>5.239E9</v>
      </c>
      <c r="O1004" s="1">
        <v>4.835E9</v>
      </c>
      <c r="P1004" s="1">
        <v>3.659E9</v>
      </c>
      <c r="Q1004" s="1">
        <v>-2.17E8</v>
      </c>
      <c r="R1004" s="1">
        <v>1.53E8</v>
      </c>
      <c r="S1004" s="1">
        <v>1.53E8</v>
      </c>
    </row>
    <row r="1005">
      <c r="A1005" s="1">
        <v>1003.0</v>
      </c>
      <c r="B1005" s="2">
        <v>44104.0</v>
      </c>
      <c r="C1005" s="1" t="s">
        <v>541</v>
      </c>
      <c r="D1005" s="1" t="s">
        <v>542</v>
      </c>
      <c r="F1005" s="1">
        <v>2.54E8</v>
      </c>
      <c r="G1005" s="1">
        <v>2.04E8</v>
      </c>
      <c r="H1005" s="1">
        <v>7.26E8</v>
      </c>
      <c r="I1005" s="1">
        <v>1.582E9</v>
      </c>
      <c r="J1005" s="1">
        <v>4.92E8</v>
      </c>
      <c r="K1005" s="1">
        <v>4.92E8</v>
      </c>
      <c r="L1005" s="1">
        <v>-1.48E8</v>
      </c>
      <c r="M1005" s="1">
        <v>5.0E7</v>
      </c>
      <c r="N1005" s="1">
        <v>5.123E9</v>
      </c>
      <c r="O1005" s="1">
        <v>4.631E9</v>
      </c>
      <c r="P1005" s="1">
        <v>3.541E9</v>
      </c>
      <c r="Q1005" s="1">
        <v>-2.38E8</v>
      </c>
      <c r="R1005" s="1">
        <v>2.04E8</v>
      </c>
      <c r="S1005" s="1">
        <v>2.04E8</v>
      </c>
    </row>
    <row r="1006">
      <c r="A1006" s="1">
        <v>1004.0</v>
      </c>
      <c r="B1006" s="2">
        <v>44377.0</v>
      </c>
      <c r="C1006" s="1" t="s">
        <v>543</v>
      </c>
      <c r="D1006" s="1" t="s">
        <v>544</v>
      </c>
      <c r="F1006" s="1">
        <v>3.545E8</v>
      </c>
      <c r="G1006" s="1">
        <v>2.633E8</v>
      </c>
      <c r="H1006" s="1">
        <v>2.94E7</v>
      </c>
      <c r="I1006" s="1">
        <v>4.85E8</v>
      </c>
      <c r="J1006" s="1">
        <v>3.855E8</v>
      </c>
      <c r="K1006" s="1">
        <v>3.855E8</v>
      </c>
      <c r="L1006" s="1">
        <v>-4.26E7</v>
      </c>
      <c r="M1006" s="1">
        <v>8.67E7</v>
      </c>
      <c r="N1006" s="1">
        <v>2.2696E9</v>
      </c>
      <c r="O1006" s="1">
        <v>1.8841E9</v>
      </c>
      <c r="P1006" s="1">
        <v>1.7846E9</v>
      </c>
      <c r="Q1006" s="1">
        <v>-3.1E7</v>
      </c>
      <c r="R1006" s="1">
        <v>2.678E8</v>
      </c>
      <c r="S1006" s="1">
        <v>2.633E8</v>
      </c>
    </row>
    <row r="1007">
      <c r="A1007" s="1">
        <v>1005.0</v>
      </c>
      <c r="B1007" s="2">
        <v>44286.0</v>
      </c>
      <c r="C1007" s="1" t="s">
        <v>543</v>
      </c>
      <c r="D1007" s="1" t="s">
        <v>544</v>
      </c>
      <c r="F1007" s="1">
        <v>1.162E8</v>
      </c>
      <c r="G1007" s="1">
        <v>9.17E7</v>
      </c>
      <c r="H1007" s="1">
        <v>2.82E7</v>
      </c>
      <c r="I1007" s="1">
        <v>3.431E8</v>
      </c>
      <c r="J1007" s="1">
        <v>2.457E8</v>
      </c>
      <c r="K1007" s="1">
        <v>2.457E8</v>
      </c>
      <c r="L1007" s="1">
        <v>-4.96E7</v>
      </c>
      <c r="M1007" s="1">
        <v>2.38E7</v>
      </c>
      <c r="N1007" s="1">
        <v>2.0277E9</v>
      </c>
      <c r="O1007" s="1">
        <v>1.782E9</v>
      </c>
      <c r="P1007" s="1">
        <v>1.6846E9</v>
      </c>
      <c r="Q1007" s="1">
        <v>-1.295E8</v>
      </c>
      <c r="R1007" s="1">
        <v>9.24E7</v>
      </c>
      <c r="S1007" s="1">
        <v>9.17E7</v>
      </c>
    </row>
    <row r="1008">
      <c r="A1008" s="1">
        <v>1006.0</v>
      </c>
      <c r="B1008" s="2">
        <v>44196.0</v>
      </c>
      <c r="C1008" s="1" t="s">
        <v>543</v>
      </c>
      <c r="D1008" s="1" t="s">
        <v>544</v>
      </c>
      <c r="F1008" s="1">
        <v>1.751E8</v>
      </c>
      <c r="G1008" s="1">
        <v>1.123E8</v>
      </c>
      <c r="H1008" s="1">
        <v>3.357E8</v>
      </c>
      <c r="I1008" s="1">
        <v>8.877E8</v>
      </c>
      <c r="J1008" s="1">
        <v>4.783E8</v>
      </c>
      <c r="K1008" s="1">
        <v>4.783E8</v>
      </c>
      <c r="L1008" s="1">
        <v>-4.68E7</v>
      </c>
      <c r="M1008" s="1">
        <v>5.81E7</v>
      </c>
      <c r="N1008" s="1">
        <v>2.2844E9</v>
      </c>
      <c r="O1008" s="1">
        <v>1.8061E9</v>
      </c>
      <c r="P1008" s="1">
        <v>1.3967E9</v>
      </c>
      <c r="Q1008" s="1">
        <v>-3.032E8</v>
      </c>
      <c r="R1008" s="1">
        <v>1.17E8</v>
      </c>
      <c r="S1008" s="1">
        <v>1.123E8</v>
      </c>
    </row>
    <row r="1009">
      <c r="A1009" s="1">
        <v>1007.0</v>
      </c>
      <c r="B1009" s="2">
        <v>44104.0</v>
      </c>
      <c r="C1009" s="1" t="s">
        <v>543</v>
      </c>
      <c r="D1009" s="1" t="s">
        <v>544</v>
      </c>
      <c r="F1009" s="1">
        <v>1.922E8</v>
      </c>
      <c r="G1009" s="1">
        <v>2.797E8</v>
      </c>
      <c r="H1009" s="1">
        <v>9900000.0</v>
      </c>
      <c r="I1009" s="1">
        <v>3.776E8</v>
      </c>
      <c r="J1009" s="1">
        <v>2.967E8</v>
      </c>
      <c r="K1009" s="1">
        <v>2.967E8</v>
      </c>
      <c r="L1009" s="1">
        <v>-5.08E7</v>
      </c>
      <c r="M1009" s="1">
        <v>-8.63E7</v>
      </c>
      <c r="N1009" s="1">
        <v>1.9546E9</v>
      </c>
      <c r="O1009" s="1">
        <v>1.6579E9</v>
      </c>
      <c r="P1009" s="1">
        <v>1.577E9</v>
      </c>
      <c r="Q1009" s="1">
        <v>-1.045E8</v>
      </c>
      <c r="R1009" s="1">
        <v>2.785E8</v>
      </c>
      <c r="S1009" s="1">
        <v>2.797E8</v>
      </c>
    </row>
    <row r="1010">
      <c r="A1010" s="1">
        <v>1008.0</v>
      </c>
      <c r="B1010" s="2">
        <v>44316.0</v>
      </c>
      <c r="C1010" s="1" t="s">
        <v>545</v>
      </c>
      <c r="D1010" s="1" t="s">
        <v>546</v>
      </c>
      <c r="E1010" s="1">
        <v>4.64E8</v>
      </c>
      <c r="F1010" s="1">
        <v>1.921E9</v>
      </c>
      <c r="G1010" s="1">
        <v>1.464E9</v>
      </c>
      <c r="H1010" s="1">
        <v>1.146E9</v>
      </c>
      <c r="I1010" s="1">
        <v>3.592E9</v>
      </c>
      <c r="J1010" s="1">
        <v>1.914E9</v>
      </c>
      <c r="K1010" s="1">
        <v>1.914E9</v>
      </c>
      <c r="L1010" s="1">
        <v>-7000000.0</v>
      </c>
      <c r="M1010" s="1">
        <v>4.57E8</v>
      </c>
      <c r="N1010" s="1">
        <v>4.173E9</v>
      </c>
      <c r="O1010" s="1">
        <v>2.259E9</v>
      </c>
      <c r="P1010" s="1">
        <v>5.81E8</v>
      </c>
      <c r="Q1010" s="1">
        <v>7000000.0</v>
      </c>
      <c r="R1010" s="1">
        <v>1.464E9</v>
      </c>
      <c r="S1010" s="1">
        <v>1.464E9</v>
      </c>
    </row>
    <row r="1011">
      <c r="A1011" s="1">
        <v>1009.0</v>
      </c>
      <c r="B1011" s="2">
        <v>44227.0</v>
      </c>
      <c r="C1011" s="1" t="s">
        <v>545</v>
      </c>
      <c r="D1011" s="1" t="s">
        <v>546</v>
      </c>
      <c r="E1011" s="1">
        <v>3.68E8</v>
      </c>
      <c r="F1011" s="1">
        <v>2.2E7</v>
      </c>
      <c r="G1011" s="1">
        <v>2.0E7</v>
      </c>
      <c r="H1011" s="1">
        <v>8.04E8</v>
      </c>
      <c r="I1011" s="1">
        <v>1.223E9</v>
      </c>
      <c r="J1011" s="1">
        <v>1000000.0</v>
      </c>
      <c r="K1011" s="1">
        <v>1000000.0</v>
      </c>
      <c r="L1011" s="1">
        <v>-7000000.0</v>
      </c>
      <c r="M1011" s="1">
        <v>2000000.0</v>
      </c>
      <c r="N1011" s="1">
        <v>1.576E9</v>
      </c>
      <c r="O1011" s="1">
        <v>1.575E9</v>
      </c>
      <c r="P1011" s="1">
        <v>3.53E8</v>
      </c>
      <c r="Q1011" s="1">
        <v>2.1E7</v>
      </c>
      <c r="R1011" s="1">
        <v>2.0E7</v>
      </c>
      <c r="S1011" s="1">
        <v>2.0E7</v>
      </c>
    </row>
    <row r="1012">
      <c r="A1012" s="1">
        <v>1010.0</v>
      </c>
      <c r="B1012" s="2">
        <v>44135.0</v>
      </c>
      <c r="C1012" s="1" t="s">
        <v>545</v>
      </c>
      <c r="D1012" s="1" t="s">
        <v>546</v>
      </c>
      <c r="E1012" s="1">
        <v>3.25E8</v>
      </c>
      <c r="F1012" s="1">
        <v>2.1E8</v>
      </c>
      <c r="G1012" s="1">
        <v>1.98E8</v>
      </c>
      <c r="H1012" s="1">
        <v>5.31E8</v>
      </c>
      <c r="I1012" s="1">
        <v>1.074E9</v>
      </c>
      <c r="J1012" s="1">
        <v>2.09E8</v>
      </c>
      <c r="K1012" s="1">
        <v>2.09E8</v>
      </c>
      <c r="L1012" s="1">
        <v>-8000000.0</v>
      </c>
      <c r="M1012" s="1">
        <v>1.2E7</v>
      </c>
      <c r="N1012" s="1">
        <v>1.323E9</v>
      </c>
      <c r="O1012" s="1">
        <v>1.114E9</v>
      </c>
      <c r="P1012" s="1">
        <v>2.49E8</v>
      </c>
      <c r="Q1012" s="1">
        <v>1000000.0</v>
      </c>
      <c r="R1012" s="1">
        <v>1.98E8</v>
      </c>
      <c r="S1012" s="1">
        <v>1.98E8</v>
      </c>
    </row>
    <row r="1013">
      <c r="A1013" s="1">
        <v>1011.0</v>
      </c>
      <c r="B1013" s="2">
        <v>44043.0</v>
      </c>
      <c r="C1013" s="1" t="s">
        <v>545</v>
      </c>
      <c r="D1013" s="1" t="s">
        <v>546</v>
      </c>
      <c r="E1013" s="1">
        <v>3.93E8</v>
      </c>
      <c r="F1013" s="1">
        <v>4.86E8</v>
      </c>
      <c r="G1013" s="1">
        <v>4.45E8</v>
      </c>
      <c r="H1013" s="1">
        <v>6.17E8</v>
      </c>
      <c r="I1013" s="1">
        <v>1.499E9</v>
      </c>
      <c r="J1013" s="1">
        <v>4.83E8</v>
      </c>
      <c r="K1013" s="1">
        <v>4.83E8</v>
      </c>
      <c r="L1013" s="1">
        <v>-7000000.0</v>
      </c>
      <c r="M1013" s="1">
        <v>4.1E7</v>
      </c>
      <c r="N1013" s="1">
        <v>1.816E9</v>
      </c>
      <c r="O1013" s="1">
        <v>1.333E9</v>
      </c>
      <c r="P1013" s="1">
        <v>3.17E8</v>
      </c>
      <c r="Q1013" s="1">
        <v>3000000.0</v>
      </c>
      <c r="R1013" s="1">
        <v>4.45E8</v>
      </c>
      <c r="S1013" s="1">
        <v>4.45E8</v>
      </c>
    </row>
    <row r="1014">
      <c r="A1014" s="1">
        <v>1012.0</v>
      </c>
      <c r="B1014" s="2">
        <v>44286.0</v>
      </c>
      <c r="C1014" s="1" t="s">
        <v>547</v>
      </c>
      <c r="D1014" s="1" t="s">
        <v>548</v>
      </c>
      <c r="E1014" s="1">
        <v>1.598E8</v>
      </c>
      <c r="F1014" s="1">
        <v>4.488E8</v>
      </c>
      <c r="G1014" s="1">
        <v>4.263E8</v>
      </c>
      <c r="H1014" s="1">
        <v>3.26E8</v>
      </c>
      <c r="I1014" s="1">
        <v>9.026E8</v>
      </c>
      <c r="J1014" s="1">
        <v>4.168E8</v>
      </c>
      <c r="K1014" s="1">
        <v>4.168E8</v>
      </c>
      <c r="M1014" s="1">
        <v>1.36E7</v>
      </c>
      <c r="N1014" s="1">
        <v>1.2921E9</v>
      </c>
      <c r="O1014" s="1">
        <v>8.753E8</v>
      </c>
      <c r="P1014" s="1">
        <v>3.895E8</v>
      </c>
      <c r="Q1014" s="1">
        <v>3.2E7</v>
      </c>
      <c r="R1014" s="1">
        <v>4.352E8</v>
      </c>
      <c r="S1014" s="1">
        <v>4.263E8</v>
      </c>
    </row>
    <row r="1015">
      <c r="A1015" s="1">
        <v>1013.0</v>
      </c>
      <c r="B1015" s="2">
        <v>44196.0</v>
      </c>
      <c r="C1015" s="1" t="s">
        <v>547</v>
      </c>
      <c r="D1015" s="1" t="s">
        <v>548</v>
      </c>
      <c r="E1015" s="1">
        <v>1.498E8</v>
      </c>
      <c r="F1015" s="1">
        <v>4.365E8</v>
      </c>
      <c r="G1015" s="1">
        <v>3.652E8</v>
      </c>
      <c r="H1015" s="1">
        <v>3.314E8</v>
      </c>
      <c r="I1015" s="1">
        <v>8.958E8</v>
      </c>
      <c r="J1015" s="1">
        <v>4.146E8</v>
      </c>
      <c r="K1015" s="1">
        <v>4.146E8</v>
      </c>
      <c r="M1015" s="1">
        <v>7.29E7</v>
      </c>
      <c r="N1015" s="1">
        <v>1.3291E9</v>
      </c>
      <c r="O1015" s="1">
        <v>9.145E8</v>
      </c>
      <c r="P1015" s="1">
        <v>4.333E8</v>
      </c>
      <c r="Q1015" s="1">
        <v>2.19E7</v>
      </c>
      <c r="R1015" s="1">
        <v>3.636E8</v>
      </c>
      <c r="S1015" s="1">
        <v>3.652E8</v>
      </c>
    </row>
    <row r="1016">
      <c r="A1016" s="1">
        <v>1014.0</v>
      </c>
      <c r="B1016" s="2">
        <v>44104.0</v>
      </c>
      <c r="C1016" s="1" t="s">
        <v>547</v>
      </c>
      <c r="D1016" s="1" t="s">
        <v>548</v>
      </c>
      <c r="E1016" s="1">
        <v>1.55E8</v>
      </c>
      <c r="F1016" s="1">
        <v>3.552E8</v>
      </c>
      <c r="G1016" s="1">
        <v>3.139E8</v>
      </c>
      <c r="H1016" s="1">
        <v>2.989E8</v>
      </c>
      <c r="I1016" s="1">
        <v>7.243E8</v>
      </c>
      <c r="J1016" s="1">
        <v>2.704E8</v>
      </c>
      <c r="K1016" s="1">
        <v>2.704E8</v>
      </c>
      <c r="M1016" s="1">
        <v>3.84E7</v>
      </c>
      <c r="N1016" s="1">
        <v>1.0777E9</v>
      </c>
      <c r="O1016" s="1">
        <v>8.073E8</v>
      </c>
      <c r="P1016" s="1">
        <v>3.534E8</v>
      </c>
      <c r="Q1016" s="1">
        <v>8.48E7</v>
      </c>
      <c r="R1016" s="1">
        <v>3.168E8</v>
      </c>
      <c r="S1016" s="1">
        <v>3.139E8</v>
      </c>
    </row>
    <row r="1017">
      <c r="A1017" s="1">
        <v>1015.0</v>
      </c>
      <c r="B1017" s="2">
        <v>44012.0</v>
      </c>
      <c r="C1017" s="1" t="s">
        <v>547</v>
      </c>
      <c r="D1017" s="1" t="s">
        <v>548</v>
      </c>
      <c r="E1017" s="1">
        <v>1.432E8</v>
      </c>
      <c r="F1017" s="1">
        <v>1.072E8</v>
      </c>
      <c r="G1017" s="1">
        <v>6.8E7</v>
      </c>
      <c r="H1017" s="1">
        <v>2.791E8</v>
      </c>
      <c r="I1017" s="1">
        <v>5.029E8</v>
      </c>
      <c r="J1017" s="1">
        <v>8.06E7</v>
      </c>
      <c r="K1017" s="1">
        <v>8.06E7</v>
      </c>
      <c r="M1017" s="1">
        <v>3.7E7</v>
      </c>
      <c r="N1017" s="1">
        <v>8.521E8</v>
      </c>
      <c r="O1017" s="1">
        <v>7.715E8</v>
      </c>
      <c r="P1017" s="1">
        <v>3.492E8</v>
      </c>
      <c r="Q1017" s="1">
        <v>2.66E7</v>
      </c>
      <c r="R1017" s="1">
        <v>7.02E7</v>
      </c>
      <c r="S1017" s="1">
        <v>6.8E7</v>
      </c>
    </row>
    <row r="1018">
      <c r="A1018" s="1">
        <v>1016.0</v>
      </c>
      <c r="B1018" s="2">
        <v>44377.0</v>
      </c>
      <c r="C1018" s="1" t="s">
        <v>549</v>
      </c>
      <c r="D1018" s="1" t="s">
        <v>550</v>
      </c>
      <c r="F1018" s="1">
        <v>6.493E8</v>
      </c>
      <c r="G1018" s="1">
        <v>4.275E8</v>
      </c>
      <c r="H1018" s="1">
        <v>1.278E8</v>
      </c>
      <c r="I1018" s="1">
        <v>5.632E8</v>
      </c>
      <c r="J1018" s="1">
        <v>4.194E8</v>
      </c>
      <c r="K1018" s="1">
        <v>4.194E8</v>
      </c>
      <c r="L1018" s="1">
        <v>-6.3E7</v>
      </c>
      <c r="M1018" s="1">
        <v>1.542E8</v>
      </c>
      <c r="N1018" s="1">
        <v>1.7214E9</v>
      </c>
      <c r="O1018" s="1">
        <v>1.302E9</v>
      </c>
      <c r="P1018" s="1">
        <v>1.1582E9</v>
      </c>
      <c r="Q1018" s="1">
        <v>2.299E8</v>
      </c>
      <c r="R1018" s="1">
        <v>4.951E8</v>
      </c>
      <c r="S1018" s="1">
        <v>3.683E8</v>
      </c>
    </row>
    <row r="1019">
      <c r="A1019" s="1">
        <v>1017.0</v>
      </c>
      <c r="B1019" s="2">
        <v>44286.0</v>
      </c>
      <c r="C1019" s="1" t="s">
        <v>549</v>
      </c>
      <c r="D1019" s="1" t="s">
        <v>550</v>
      </c>
      <c r="F1019" s="1">
        <v>4.781E8</v>
      </c>
      <c r="G1019" s="1">
        <v>3.27E8</v>
      </c>
      <c r="H1019" s="1">
        <v>1.124E8</v>
      </c>
      <c r="I1019" s="1">
        <v>5.206E8</v>
      </c>
      <c r="J1019" s="1">
        <v>3.923E8</v>
      </c>
      <c r="K1019" s="1">
        <v>3.923E8</v>
      </c>
      <c r="L1019" s="1">
        <v>-6.47E7</v>
      </c>
      <c r="M1019" s="1">
        <v>1.065E8</v>
      </c>
      <c r="N1019" s="1">
        <v>1.6597E9</v>
      </c>
      <c r="O1019" s="1">
        <v>1.2674E9</v>
      </c>
      <c r="P1019" s="1">
        <v>1.1391E9</v>
      </c>
      <c r="Q1019" s="1">
        <v>8.58E7</v>
      </c>
      <c r="R1019" s="1">
        <v>3.716E8</v>
      </c>
      <c r="S1019" s="1">
        <v>2.678E8</v>
      </c>
    </row>
    <row r="1020">
      <c r="A1020" s="1">
        <v>1018.0</v>
      </c>
      <c r="B1020" s="2">
        <v>44196.0</v>
      </c>
      <c r="C1020" s="1" t="s">
        <v>549</v>
      </c>
      <c r="D1020" s="1" t="s">
        <v>550</v>
      </c>
      <c r="F1020" s="1">
        <v>3.997E8</v>
      </c>
      <c r="G1020" s="1">
        <v>2.703E8</v>
      </c>
      <c r="H1020" s="1">
        <v>1.165E8</v>
      </c>
      <c r="I1020" s="1">
        <v>5.073E8</v>
      </c>
      <c r="J1020" s="1">
        <v>3.908E8</v>
      </c>
      <c r="K1020" s="1">
        <v>3.908E8</v>
      </c>
      <c r="L1020" s="1">
        <v>-6.77E7</v>
      </c>
      <c r="M1020" s="1">
        <v>6.89E7</v>
      </c>
      <c r="N1020" s="1">
        <v>1.6301E9</v>
      </c>
      <c r="O1020" s="1">
        <v>1.2393E9</v>
      </c>
      <c r="P1020" s="1">
        <v>1.1228E9</v>
      </c>
      <c r="Q1020" s="1">
        <v>8900000.0</v>
      </c>
      <c r="R1020" s="1">
        <v>3.308E8</v>
      </c>
      <c r="S1020" s="1">
        <v>2.111E8</v>
      </c>
    </row>
    <row r="1021">
      <c r="A1021" s="1">
        <v>1019.0</v>
      </c>
      <c r="B1021" s="2">
        <v>44104.0</v>
      </c>
      <c r="C1021" s="1" t="s">
        <v>549</v>
      </c>
      <c r="D1021" s="1" t="s">
        <v>550</v>
      </c>
      <c r="F1021" s="1">
        <v>3.866E8</v>
      </c>
      <c r="G1021" s="1">
        <v>2.509E8</v>
      </c>
      <c r="H1021" s="1">
        <v>1.053E8</v>
      </c>
      <c r="I1021" s="1">
        <v>4.473E8</v>
      </c>
      <c r="J1021" s="1">
        <v>3.42E8</v>
      </c>
      <c r="K1021" s="1">
        <v>3.42E8</v>
      </c>
      <c r="L1021" s="1">
        <v>-7.56E7</v>
      </c>
      <c r="M1021" s="1">
        <v>9.19E7</v>
      </c>
      <c r="N1021" s="1">
        <v>1.4976E9</v>
      </c>
      <c r="O1021" s="1">
        <v>1.1556E9</v>
      </c>
      <c r="P1021" s="1">
        <v>1.0503E9</v>
      </c>
      <c r="Q1021" s="1">
        <v>4.46E7</v>
      </c>
      <c r="R1021" s="1">
        <v>2.947E8</v>
      </c>
      <c r="S1021" s="1">
        <v>1.917E8</v>
      </c>
    </row>
    <row r="1022">
      <c r="A1022" s="1">
        <v>1020.0</v>
      </c>
      <c r="B1022" s="2">
        <v>44196.0</v>
      </c>
      <c r="C1022" s="1" t="s">
        <v>551</v>
      </c>
      <c r="D1022" s="1" t="s">
        <v>552</v>
      </c>
      <c r="E1022" s="1">
        <v>3.1766E7</v>
      </c>
      <c r="F1022" s="1">
        <v>6.5596E7</v>
      </c>
      <c r="G1022" s="1">
        <v>4.9339E7</v>
      </c>
      <c r="H1022" s="1">
        <v>4.4686E7</v>
      </c>
      <c r="I1022" s="1">
        <v>1.46879E8</v>
      </c>
      <c r="J1022" s="1">
        <v>7.0427E7</v>
      </c>
      <c r="K1022" s="1">
        <v>7.0427E7</v>
      </c>
      <c r="M1022" s="1">
        <v>1.592E7</v>
      </c>
      <c r="N1022" s="1">
        <v>3.3663E8</v>
      </c>
      <c r="O1022" s="1">
        <v>2.66203E8</v>
      </c>
      <c r="P1022" s="1">
        <v>1.89751E8</v>
      </c>
      <c r="Q1022" s="1">
        <v>-4831000.0</v>
      </c>
      <c r="R1022" s="1">
        <v>4.9676E7</v>
      </c>
      <c r="S1022" s="1">
        <v>4.9339E7</v>
      </c>
    </row>
    <row r="1023">
      <c r="A1023" s="1">
        <v>1021.0</v>
      </c>
      <c r="B1023" s="2">
        <v>44104.0</v>
      </c>
      <c r="C1023" s="1" t="s">
        <v>551</v>
      </c>
      <c r="D1023" s="1" t="s">
        <v>552</v>
      </c>
      <c r="E1023" s="1">
        <v>3.171E7</v>
      </c>
      <c r="F1023" s="1">
        <v>4.2522E7</v>
      </c>
      <c r="G1023" s="1">
        <v>3.5604E7</v>
      </c>
      <c r="H1023" s="1">
        <v>4.637E7</v>
      </c>
      <c r="I1023" s="1">
        <v>1.52792E8</v>
      </c>
      <c r="J1023" s="1">
        <v>7.4712E7</v>
      </c>
      <c r="K1023" s="1">
        <v>7.4712E7</v>
      </c>
      <c r="M1023" s="1">
        <v>6992000.0</v>
      </c>
      <c r="N1023" s="1">
        <v>3.18441E8</v>
      </c>
      <c r="O1023" s="1">
        <v>2.43729E8</v>
      </c>
      <c r="P1023" s="1">
        <v>1.65649E8</v>
      </c>
      <c r="Q1023" s="1">
        <v>-3.219E7</v>
      </c>
      <c r="R1023" s="1">
        <v>3.553E7</v>
      </c>
      <c r="S1023" s="1">
        <v>3.5604E7</v>
      </c>
    </row>
    <row r="1024">
      <c r="A1024" s="1">
        <v>1022.0</v>
      </c>
      <c r="B1024" s="2">
        <v>44012.0</v>
      </c>
      <c r="C1024" s="1" t="s">
        <v>551</v>
      </c>
      <c r="D1024" s="1" t="s">
        <v>552</v>
      </c>
      <c r="E1024" s="1">
        <v>3.1584E7</v>
      </c>
      <c r="F1024" s="1">
        <v>4.9514E7</v>
      </c>
      <c r="G1024" s="1">
        <v>3.8226E7</v>
      </c>
      <c r="H1024" s="1">
        <v>4.3725E7</v>
      </c>
      <c r="I1024" s="1">
        <v>1.36449E8</v>
      </c>
      <c r="J1024" s="1">
        <v>6.114E7</v>
      </c>
      <c r="K1024" s="1">
        <v>6.114E7</v>
      </c>
      <c r="M1024" s="1">
        <v>1.1148E7</v>
      </c>
      <c r="N1024" s="1">
        <v>2.96411E8</v>
      </c>
      <c r="O1024" s="1">
        <v>2.35271E8</v>
      </c>
      <c r="P1024" s="1">
        <v>1.59962E8</v>
      </c>
      <c r="Q1024" s="1">
        <v>-1.1626E7</v>
      </c>
      <c r="R1024" s="1">
        <v>3.8366E7</v>
      </c>
      <c r="S1024" s="1">
        <v>3.8226E7</v>
      </c>
    </row>
    <row r="1025">
      <c r="A1025" s="1">
        <v>1023.0</v>
      </c>
      <c r="B1025" s="2">
        <v>43921.0</v>
      </c>
      <c r="C1025" s="1" t="s">
        <v>551</v>
      </c>
      <c r="D1025" s="1" t="s">
        <v>552</v>
      </c>
      <c r="E1025" s="1">
        <v>3.1838E7</v>
      </c>
      <c r="F1025" s="1">
        <v>4.806E7</v>
      </c>
      <c r="G1025" s="1">
        <v>3.6403E7</v>
      </c>
      <c r="H1025" s="1">
        <v>4.5807E7</v>
      </c>
      <c r="I1025" s="1">
        <v>1.02876E8</v>
      </c>
      <c r="J1025" s="1">
        <v>2.5231E7</v>
      </c>
      <c r="K1025" s="1">
        <v>2.5231E7</v>
      </c>
      <c r="M1025" s="1">
        <v>1.1294E7</v>
      </c>
      <c r="N1025" s="1">
        <v>2.49242E8</v>
      </c>
      <c r="O1025" s="1">
        <v>2.24011E8</v>
      </c>
      <c r="P1025" s="1">
        <v>1.46366E8</v>
      </c>
      <c r="Q1025" s="1">
        <v>2.2829E7</v>
      </c>
      <c r="R1025" s="1">
        <v>3.6766E7</v>
      </c>
      <c r="S1025" s="1">
        <v>3.6403E7</v>
      </c>
    </row>
    <row r="1026">
      <c r="A1026" s="1">
        <v>1024.0</v>
      </c>
      <c r="B1026" s="2">
        <v>44377.0</v>
      </c>
      <c r="C1026" s="1" t="s">
        <v>553</v>
      </c>
      <c r="D1026" s="1" t="s">
        <v>554</v>
      </c>
      <c r="F1026" s="1">
        <v>2.23E8</v>
      </c>
      <c r="G1026" s="1">
        <v>1.75E8</v>
      </c>
      <c r="H1026" s="1">
        <v>4.82E8</v>
      </c>
      <c r="I1026" s="1">
        <v>1.115E9</v>
      </c>
      <c r="J1026" s="1">
        <v>2.9E8</v>
      </c>
      <c r="K1026" s="1">
        <v>2.9E8</v>
      </c>
      <c r="L1026" s="1">
        <v>-9.4E7</v>
      </c>
      <c r="M1026" s="1">
        <v>4.8E7</v>
      </c>
      <c r="N1026" s="1">
        <v>3.438E9</v>
      </c>
      <c r="O1026" s="1">
        <v>3.148E9</v>
      </c>
      <c r="P1026" s="1">
        <v>2.323E9</v>
      </c>
      <c r="Q1026" s="1">
        <v>-6.7E7</v>
      </c>
      <c r="R1026" s="1">
        <v>1.75E8</v>
      </c>
      <c r="S1026" s="1">
        <v>1.75E8</v>
      </c>
    </row>
    <row r="1027">
      <c r="A1027" s="1">
        <v>1025.0</v>
      </c>
      <c r="B1027" s="2">
        <v>44286.0</v>
      </c>
      <c r="C1027" s="1" t="s">
        <v>553</v>
      </c>
      <c r="D1027" s="1" t="s">
        <v>554</v>
      </c>
      <c r="F1027" s="1">
        <v>2.61E8</v>
      </c>
      <c r="G1027" s="1">
        <v>2.12E8</v>
      </c>
      <c r="H1027" s="1">
        <v>4.42E8</v>
      </c>
      <c r="I1027" s="1">
        <v>1.116E9</v>
      </c>
      <c r="J1027" s="1">
        <v>3.51E8</v>
      </c>
      <c r="K1027" s="1">
        <v>3.51E8</v>
      </c>
      <c r="L1027" s="1">
        <v>-9.9E7</v>
      </c>
      <c r="M1027" s="1">
        <v>4.4E7</v>
      </c>
      <c r="N1027" s="1">
        <v>3.409E9</v>
      </c>
      <c r="O1027" s="1">
        <v>3.058E9</v>
      </c>
      <c r="P1027" s="1">
        <v>2.293E9</v>
      </c>
      <c r="Q1027" s="1">
        <v>-9.0E7</v>
      </c>
      <c r="R1027" s="1">
        <v>2.17E8</v>
      </c>
      <c r="S1027" s="1">
        <v>2.12E8</v>
      </c>
    </row>
    <row r="1028">
      <c r="A1028" s="1">
        <v>1026.0</v>
      </c>
      <c r="B1028" s="2">
        <v>44196.0</v>
      </c>
      <c r="C1028" s="1" t="s">
        <v>553</v>
      </c>
      <c r="D1028" s="1" t="s">
        <v>554</v>
      </c>
      <c r="F1028" s="1">
        <v>1.93E8</v>
      </c>
      <c r="G1028" s="1">
        <v>1.19E8</v>
      </c>
      <c r="H1028" s="1">
        <v>4.64E8</v>
      </c>
      <c r="I1028" s="1">
        <v>1.126E9</v>
      </c>
      <c r="J1028" s="1">
        <v>3.18E8</v>
      </c>
      <c r="K1028" s="1">
        <v>3.18E8</v>
      </c>
      <c r="L1028" s="1">
        <v>-1.02E8</v>
      </c>
      <c r="M1028" s="1">
        <v>6.3E7</v>
      </c>
      <c r="N1028" s="1">
        <v>3.298E9</v>
      </c>
      <c r="O1028" s="1">
        <v>2.98E9</v>
      </c>
      <c r="P1028" s="1">
        <v>2.172E9</v>
      </c>
      <c r="Q1028" s="1">
        <v>-1.25E8</v>
      </c>
      <c r="R1028" s="1">
        <v>1.3E8</v>
      </c>
      <c r="S1028" s="1">
        <v>1.19E8</v>
      </c>
    </row>
    <row r="1029">
      <c r="A1029" s="1">
        <v>1027.0</v>
      </c>
      <c r="B1029" s="2">
        <v>44104.0</v>
      </c>
      <c r="C1029" s="1" t="s">
        <v>553</v>
      </c>
      <c r="D1029" s="1" t="s">
        <v>554</v>
      </c>
      <c r="F1029" s="1">
        <v>1.05E8</v>
      </c>
      <c r="G1029" s="1">
        <v>1.01E8</v>
      </c>
      <c r="H1029" s="1">
        <v>4.6E8</v>
      </c>
      <c r="I1029" s="1">
        <v>9.86E8</v>
      </c>
      <c r="J1029" s="1">
        <v>2.07E8</v>
      </c>
      <c r="K1029" s="1">
        <v>2.07E8</v>
      </c>
      <c r="L1029" s="1">
        <v>-1.0E8</v>
      </c>
      <c r="M1029" s="1">
        <v>-3000000.0</v>
      </c>
      <c r="N1029" s="1">
        <v>2.786E9</v>
      </c>
      <c r="O1029" s="1">
        <v>2.579E9</v>
      </c>
      <c r="P1029" s="1">
        <v>1.8E9</v>
      </c>
      <c r="Q1029" s="1">
        <v>-1.02E8</v>
      </c>
      <c r="R1029" s="1">
        <v>1.08E8</v>
      </c>
      <c r="S1029" s="1">
        <v>1.01E8</v>
      </c>
    </row>
    <row r="1030">
      <c r="A1030" s="1">
        <v>1028.0</v>
      </c>
      <c r="B1030" s="2">
        <v>44286.0</v>
      </c>
      <c r="C1030" s="1" t="s">
        <v>555</v>
      </c>
      <c r="D1030" s="1" t="s">
        <v>556</v>
      </c>
      <c r="F1030" s="1">
        <v>6.1271E7</v>
      </c>
      <c r="G1030" s="1">
        <v>4.5603E7</v>
      </c>
      <c r="H1030" s="1">
        <v>2.58723E8</v>
      </c>
      <c r="I1030" s="1">
        <v>6.30131E8</v>
      </c>
      <c r="J1030" s="1">
        <v>2.05766E8</v>
      </c>
      <c r="K1030" s="1">
        <v>2.05766E8</v>
      </c>
      <c r="L1030" s="1">
        <v>-1.06993E8</v>
      </c>
      <c r="M1030" s="1">
        <v>1.464E7</v>
      </c>
      <c r="N1030" s="1">
        <v>1.08204E9</v>
      </c>
      <c r="O1030" s="1">
        <v>8.76274E8</v>
      </c>
      <c r="P1030" s="1">
        <v>4.51909E8</v>
      </c>
      <c r="Q1030" s="1">
        <v>-1.44495E8</v>
      </c>
      <c r="R1030" s="1">
        <v>4.6631E7</v>
      </c>
      <c r="S1030" s="1">
        <v>4.5603E7</v>
      </c>
    </row>
    <row r="1031">
      <c r="A1031" s="1">
        <v>1029.0</v>
      </c>
      <c r="B1031" s="2">
        <v>44196.0</v>
      </c>
      <c r="C1031" s="1" t="s">
        <v>555</v>
      </c>
      <c r="D1031" s="1" t="s">
        <v>556</v>
      </c>
      <c r="F1031" s="1">
        <v>2.4306E8</v>
      </c>
      <c r="G1031" s="1">
        <v>2.4741E8</v>
      </c>
      <c r="H1031" s="1">
        <v>2.3644E8</v>
      </c>
      <c r="I1031" s="1">
        <v>6.1043E8</v>
      </c>
      <c r="J1031" s="1">
        <v>2.05607E8</v>
      </c>
      <c r="K1031" s="1">
        <v>2.05607E8</v>
      </c>
      <c r="L1031" s="1">
        <v>-1.06948E8</v>
      </c>
      <c r="M1031" s="1">
        <v>-3695000.0</v>
      </c>
      <c r="N1031" s="1">
        <v>1.059653E9</v>
      </c>
      <c r="O1031" s="1">
        <v>8.54046E8</v>
      </c>
      <c r="P1031" s="1">
        <v>4.49223E8</v>
      </c>
      <c r="Q1031" s="1">
        <v>3.7453E7</v>
      </c>
      <c r="R1031" s="1">
        <v>2.46755E8</v>
      </c>
      <c r="S1031" s="1">
        <v>2.4741E8</v>
      </c>
    </row>
    <row r="1032">
      <c r="A1032" s="1">
        <v>1030.0</v>
      </c>
      <c r="B1032" s="2">
        <v>44104.0</v>
      </c>
      <c r="C1032" s="1" t="s">
        <v>555</v>
      </c>
      <c r="D1032" s="1" t="s">
        <v>556</v>
      </c>
      <c r="F1032" s="1">
        <v>5.2496E7</v>
      </c>
      <c r="G1032" s="1">
        <v>3.8394E7</v>
      </c>
      <c r="H1032" s="1">
        <v>2.32095E8</v>
      </c>
      <c r="I1032" s="1">
        <v>6.02142E8</v>
      </c>
      <c r="J1032" s="1">
        <v>2.12795E8</v>
      </c>
      <c r="K1032" s="1">
        <v>2.12795E8</v>
      </c>
      <c r="L1032" s="1">
        <v>-1.06779E8</v>
      </c>
      <c r="M1032" s="1">
        <v>1.3934E7</v>
      </c>
      <c r="N1032" s="1">
        <v>1.036647E9</v>
      </c>
      <c r="O1032" s="1">
        <v>8.23852E8</v>
      </c>
      <c r="P1032" s="1">
        <v>4.34505E8</v>
      </c>
      <c r="Q1032" s="1">
        <v>-1.60299E8</v>
      </c>
      <c r="R1032" s="1">
        <v>3.8562E7</v>
      </c>
      <c r="S1032" s="1">
        <v>3.8394E7</v>
      </c>
    </row>
    <row r="1033">
      <c r="A1033" s="1">
        <v>1031.0</v>
      </c>
      <c r="B1033" s="2">
        <v>44012.0</v>
      </c>
      <c r="C1033" s="1" t="s">
        <v>555</v>
      </c>
      <c r="D1033" s="1" t="s">
        <v>556</v>
      </c>
      <c r="F1033" s="1">
        <v>2570000.0</v>
      </c>
      <c r="G1033" s="1">
        <v>-7086000.0</v>
      </c>
      <c r="H1033" s="1">
        <v>2.4031E8</v>
      </c>
      <c r="I1033" s="1">
        <v>5.83194E8</v>
      </c>
      <c r="J1033" s="1">
        <v>1.79034E8</v>
      </c>
      <c r="K1033" s="1">
        <v>1.79034E8</v>
      </c>
      <c r="L1033" s="1">
        <v>-1.06023E8</v>
      </c>
      <c r="M1033" s="1">
        <v>9683000.0</v>
      </c>
      <c r="N1033" s="1">
        <v>9.82239E8</v>
      </c>
      <c r="O1033" s="1">
        <v>8.03205E8</v>
      </c>
      <c r="P1033" s="1">
        <v>3.99045E8</v>
      </c>
      <c r="Q1033" s="1">
        <v>-1.76464E8</v>
      </c>
      <c r="R1033" s="1">
        <v>-7113000.0</v>
      </c>
      <c r="S1033" s="1">
        <v>-7086000.0</v>
      </c>
    </row>
    <row r="1034">
      <c r="A1034" s="1">
        <v>1032.0</v>
      </c>
      <c r="B1034" s="2">
        <v>44377.0</v>
      </c>
      <c r="C1034" s="1" t="s">
        <v>557</v>
      </c>
      <c r="D1034" s="1" t="s">
        <v>558</v>
      </c>
      <c r="F1034" s="1">
        <v>2.29487E8</v>
      </c>
      <c r="G1034" s="1">
        <v>1.72162E8</v>
      </c>
      <c r="H1034" s="1">
        <v>8.3013E7</v>
      </c>
      <c r="I1034" s="1">
        <v>4.78139E8</v>
      </c>
      <c r="J1034" s="1">
        <v>2.41546E8</v>
      </c>
      <c r="K1034" s="1">
        <v>2.41546E8</v>
      </c>
      <c r="L1034" s="1">
        <v>-1.2059E7</v>
      </c>
      <c r="M1034" s="1">
        <v>5.7325E7</v>
      </c>
      <c r="N1034" s="1">
        <v>2.90837E9</v>
      </c>
      <c r="O1034" s="1">
        <v>2.666824E9</v>
      </c>
      <c r="P1034" s="1">
        <v>2.430231E9</v>
      </c>
      <c r="Q1034" s="1">
        <v>-1.2059E7</v>
      </c>
      <c r="R1034" s="1">
        <v>1.72162E8</v>
      </c>
      <c r="S1034" s="1">
        <v>1.72162E8</v>
      </c>
    </row>
    <row r="1035">
      <c r="A1035" s="1">
        <v>1033.0</v>
      </c>
      <c r="B1035" s="2">
        <v>44286.0</v>
      </c>
      <c r="C1035" s="1" t="s">
        <v>557</v>
      </c>
      <c r="D1035" s="1" t="s">
        <v>558</v>
      </c>
      <c r="F1035" s="1">
        <v>1.95628E8</v>
      </c>
      <c r="G1035" s="1">
        <v>1.46606E8</v>
      </c>
      <c r="H1035" s="1">
        <v>8.2921E7</v>
      </c>
      <c r="I1035" s="1">
        <v>4.41932E8</v>
      </c>
      <c r="J1035" s="1">
        <v>2.07652E8</v>
      </c>
      <c r="K1035" s="1">
        <v>2.07652E8</v>
      </c>
      <c r="L1035" s="1">
        <v>-1.2024E7</v>
      </c>
      <c r="M1035" s="1">
        <v>4.9022E7</v>
      </c>
      <c r="N1035" s="1">
        <v>2.618149E9</v>
      </c>
      <c r="O1035" s="1">
        <v>2.410497E9</v>
      </c>
      <c r="P1035" s="1">
        <v>2.176217E9</v>
      </c>
      <c r="Q1035" s="1">
        <v>-1.2024E7</v>
      </c>
      <c r="R1035" s="1">
        <v>1.46606E8</v>
      </c>
      <c r="S1035" s="1">
        <v>1.46606E8</v>
      </c>
    </row>
    <row r="1036">
      <c r="A1036" s="1">
        <v>1034.0</v>
      </c>
      <c r="B1036" s="2">
        <v>44196.0</v>
      </c>
      <c r="C1036" s="1" t="s">
        <v>557</v>
      </c>
      <c r="D1036" s="1" t="s">
        <v>558</v>
      </c>
      <c r="F1036" s="1">
        <v>1.97347E8</v>
      </c>
      <c r="G1036" s="1">
        <v>1.54007E8</v>
      </c>
      <c r="H1036" s="1">
        <v>9.2439E7</v>
      </c>
      <c r="I1036" s="1">
        <v>4.40276E8</v>
      </c>
      <c r="J1036" s="1">
        <v>1.99492E8</v>
      </c>
      <c r="K1036" s="1">
        <v>1.99492E8</v>
      </c>
      <c r="L1036" s="1">
        <v>-1.0831E7</v>
      </c>
      <c r="M1036" s="1">
        <v>4.334E7</v>
      </c>
      <c r="N1036" s="1">
        <v>2.737652E9</v>
      </c>
      <c r="O1036" s="1">
        <v>2.53816E9</v>
      </c>
      <c r="P1036" s="1">
        <v>2.297376E9</v>
      </c>
      <c r="Q1036" s="1">
        <v>-2145000.0</v>
      </c>
      <c r="R1036" s="1">
        <v>1.54007E8</v>
      </c>
      <c r="S1036" s="1">
        <v>1.54007E8</v>
      </c>
    </row>
    <row r="1037">
      <c r="A1037" s="1">
        <v>1035.0</v>
      </c>
      <c r="B1037" s="2">
        <v>44104.0</v>
      </c>
      <c r="C1037" s="1" t="s">
        <v>557</v>
      </c>
      <c r="D1037" s="1" t="s">
        <v>558</v>
      </c>
      <c r="F1037" s="1">
        <v>1.63608E8</v>
      </c>
      <c r="G1037" s="1">
        <v>1.25496E8</v>
      </c>
      <c r="H1037" s="1">
        <v>7.7306E7</v>
      </c>
      <c r="I1037" s="1">
        <v>3.98897E8</v>
      </c>
      <c r="J1037" s="1">
        <v>1.75503E8</v>
      </c>
      <c r="K1037" s="1">
        <v>1.75503E8</v>
      </c>
      <c r="L1037" s="1">
        <v>-1.1895E7</v>
      </c>
      <c r="M1037" s="1">
        <v>3.8112E7</v>
      </c>
      <c r="N1037" s="1">
        <v>2.472523E9</v>
      </c>
      <c r="O1037" s="1">
        <v>2.29702E9</v>
      </c>
      <c r="P1037" s="1">
        <v>2.073626E9</v>
      </c>
      <c r="Q1037" s="1">
        <v>-1.1895E7</v>
      </c>
      <c r="R1037" s="1">
        <v>1.25496E8</v>
      </c>
      <c r="S1037" s="1">
        <v>1.25496E8</v>
      </c>
    </row>
    <row r="1038">
      <c r="A1038" s="1">
        <v>1036.0</v>
      </c>
      <c r="B1038" s="2">
        <v>44377.0</v>
      </c>
      <c r="C1038" s="1" t="s">
        <v>559</v>
      </c>
      <c r="D1038" s="1" t="s">
        <v>560</v>
      </c>
      <c r="E1038" s="1">
        <v>2.8814E7</v>
      </c>
      <c r="F1038" s="1">
        <v>9.5683E7</v>
      </c>
      <c r="G1038" s="1">
        <v>7.6862E7</v>
      </c>
      <c r="H1038" s="1">
        <v>5.0259E7</v>
      </c>
      <c r="I1038" s="1">
        <v>1.75369E8</v>
      </c>
      <c r="J1038" s="1">
        <v>9.6296E7</v>
      </c>
      <c r="K1038" s="1">
        <v>9.6296E7</v>
      </c>
      <c r="L1038" s="1">
        <v>-619000.0</v>
      </c>
      <c r="M1038" s="1">
        <v>1.8821E7</v>
      </c>
      <c r="N1038" s="1">
        <v>4.50287E8</v>
      </c>
      <c r="O1038" s="1">
        <v>3.53991E8</v>
      </c>
      <c r="P1038" s="1">
        <v>2.74918E8</v>
      </c>
      <c r="Q1038" s="1">
        <v>-613000.0</v>
      </c>
      <c r="R1038" s="1">
        <v>7.6862E7</v>
      </c>
      <c r="S1038" s="1">
        <v>7.6862E7</v>
      </c>
    </row>
    <row r="1039">
      <c r="A1039" s="1">
        <v>1037.0</v>
      </c>
      <c r="B1039" s="2">
        <v>44286.0</v>
      </c>
      <c r="C1039" s="1" t="s">
        <v>559</v>
      </c>
      <c r="D1039" s="1" t="s">
        <v>560</v>
      </c>
      <c r="E1039" s="1">
        <v>2.7395E7</v>
      </c>
      <c r="F1039" s="1">
        <v>9.0937E7</v>
      </c>
      <c r="G1039" s="1">
        <v>7.1409E7</v>
      </c>
      <c r="H1039" s="1">
        <v>4.7408E7</v>
      </c>
      <c r="I1039" s="1">
        <v>1.66006E8</v>
      </c>
      <c r="J1039" s="1">
        <v>9.1203E7</v>
      </c>
      <c r="K1039" s="1">
        <v>9.1203E7</v>
      </c>
      <c r="L1039" s="1">
        <v>-290000.0</v>
      </c>
      <c r="M1039" s="1">
        <v>1.9528E7</v>
      </c>
      <c r="N1039" s="1">
        <v>4.33776E8</v>
      </c>
      <c r="O1039" s="1">
        <v>3.42573E8</v>
      </c>
      <c r="P1039" s="1">
        <v>2.6777E8</v>
      </c>
      <c r="Q1039" s="1">
        <v>-266000.0</v>
      </c>
      <c r="R1039" s="1">
        <v>7.1409E7</v>
      </c>
      <c r="S1039" s="1">
        <v>7.1409E7</v>
      </c>
    </row>
    <row r="1040">
      <c r="A1040" s="1">
        <v>1038.0</v>
      </c>
      <c r="B1040" s="2">
        <v>44196.0</v>
      </c>
      <c r="C1040" s="1" t="s">
        <v>559</v>
      </c>
      <c r="D1040" s="1" t="s">
        <v>560</v>
      </c>
      <c r="E1040" s="1">
        <v>2.678E7</v>
      </c>
      <c r="F1040" s="1">
        <v>9.3567E7</v>
      </c>
      <c r="G1040" s="1">
        <v>7.1982E7</v>
      </c>
      <c r="H1040" s="1">
        <v>4.4167E7</v>
      </c>
      <c r="I1040" s="1">
        <v>1.64579E8</v>
      </c>
      <c r="J1040" s="1">
        <v>9.3632E7</v>
      </c>
      <c r="K1040" s="1">
        <v>9.3632E7</v>
      </c>
      <c r="L1040" s="1">
        <v>-117000.0</v>
      </c>
      <c r="M1040" s="1">
        <v>2.1585E7</v>
      </c>
      <c r="N1040" s="1">
        <v>4.22361E8</v>
      </c>
      <c r="O1040" s="1">
        <v>3.28729E8</v>
      </c>
      <c r="P1040" s="1">
        <v>2.57782E8</v>
      </c>
      <c r="Q1040" s="1">
        <v>-65000.0</v>
      </c>
      <c r="R1040" s="1">
        <v>7.1982E7</v>
      </c>
      <c r="S1040" s="1">
        <v>7.1982E7</v>
      </c>
    </row>
    <row r="1041">
      <c r="A1041" s="1">
        <v>1039.0</v>
      </c>
      <c r="B1041" s="2">
        <v>44104.0</v>
      </c>
      <c r="C1041" s="1" t="s">
        <v>559</v>
      </c>
      <c r="D1041" s="1" t="s">
        <v>560</v>
      </c>
      <c r="E1041" s="1">
        <v>2.6057E7</v>
      </c>
      <c r="F1041" s="1">
        <v>1.17539E8</v>
      </c>
      <c r="G1041" s="1">
        <v>9.1216E7</v>
      </c>
      <c r="H1041" s="1">
        <v>4.5226E7</v>
      </c>
      <c r="I1041" s="1">
        <v>1.88871E8</v>
      </c>
      <c r="J1041" s="1">
        <v>1.17588E8</v>
      </c>
      <c r="K1041" s="1">
        <v>1.17588E8</v>
      </c>
      <c r="L1041" s="1">
        <v>-117000.0</v>
      </c>
      <c r="M1041" s="1">
        <v>2.6323E7</v>
      </c>
      <c r="N1041" s="1">
        <v>4.518E8</v>
      </c>
      <c r="O1041" s="1">
        <v>3.34212E8</v>
      </c>
      <c r="P1041" s="1">
        <v>2.62929E8</v>
      </c>
      <c r="Q1041" s="1">
        <v>-49000.0</v>
      </c>
      <c r="R1041" s="1">
        <v>9.1216E7</v>
      </c>
      <c r="S1041" s="1">
        <v>9.1216E7</v>
      </c>
    </row>
    <row r="1042">
      <c r="A1042" s="1">
        <v>1040.0</v>
      </c>
      <c r="B1042" s="2">
        <v>44379.0</v>
      </c>
      <c r="C1042" s="1" t="s">
        <v>561</v>
      </c>
      <c r="D1042" s="1" t="s">
        <v>562</v>
      </c>
      <c r="F1042" s="1">
        <v>2.83394E8</v>
      </c>
      <c r="G1042" s="1">
        <v>1.65794E8</v>
      </c>
      <c r="H1042" s="1">
        <v>5.64711E8</v>
      </c>
      <c r="I1042" s="1">
        <v>8.16935E8</v>
      </c>
      <c r="J1042" s="1">
        <v>2.52224E8</v>
      </c>
      <c r="K1042" s="1">
        <v>2.52224E8</v>
      </c>
      <c r="L1042" s="1">
        <v>-2.0011E7</v>
      </c>
      <c r="M1042" s="1">
        <v>1.09186E8</v>
      </c>
      <c r="N1042" s="1">
        <v>3.576436E9</v>
      </c>
      <c r="O1042" s="1">
        <v>3.324212E9</v>
      </c>
      <c r="P1042" s="1">
        <v>2.759501E9</v>
      </c>
      <c r="Q1042" s="1">
        <v>3.117E7</v>
      </c>
      <c r="R1042" s="1">
        <v>1.74208E8</v>
      </c>
      <c r="S1042" s="1">
        <v>1.08487E8</v>
      </c>
    </row>
    <row r="1043">
      <c r="A1043" s="1">
        <v>1041.0</v>
      </c>
      <c r="B1043" s="2">
        <v>44288.0</v>
      </c>
      <c r="C1043" s="1" t="s">
        <v>561</v>
      </c>
      <c r="D1043" s="1" t="s">
        <v>562</v>
      </c>
      <c r="F1043" s="1">
        <v>-1.12281E8</v>
      </c>
      <c r="G1043" s="1">
        <v>1.1045E7</v>
      </c>
      <c r="H1043" s="1">
        <v>5.2075E8</v>
      </c>
      <c r="I1043" s="1">
        <v>7.67013E8</v>
      </c>
      <c r="J1043" s="1">
        <v>2.46263E8</v>
      </c>
      <c r="K1043" s="1">
        <v>2.46263E8</v>
      </c>
      <c r="L1043" s="1">
        <v>-1.5464E7</v>
      </c>
      <c r="M1043" s="1">
        <v>-2.0772E7</v>
      </c>
      <c r="N1043" s="1">
        <v>3.547873E9</v>
      </c>
      <c r="O1043" s="1">
        <v>3.30161E9</v>
      </c>
      <c r="P1043" s="1">
        <v>2.78086E9</v>
      </c>
      <c r="Q1043" s="1">
        <v>-3.58544E8</v>
      </c>
      <c r="R1043" s="1">
        <v>-9.1509E7</v>
      </c>
      <c r="S1043" s="1">
        <v>1.1045E7</v>
      </c>
    </row>
    <row r="1044">
      <c r="A1044" s="1">
        <v>1042.0</v>
      </c>
      <c r="B1044" s="2">
        <v>44197.0</v>
      </c>
      <c r="C1044" s="1" t="s">
        <v>561</v>
      </c>
      <c r="D1044" s="1" t="s">
        <v>562</v>
      </c>
      <c r="F1044" s="1">
        <v>3.54111E8</v>
      </c>
      <c r="G1044" s="1">
        <v>2.57048E8</v>
      </c>
      <c r="H1044" s="1">
        <v>3.86419E8</v>
      </c>
      <c r="I1044" s="1">
        <v>6.3206E8</v>
      </c>
      <c r="J1044" s="1">
        <v>2.45641E8</v>
      </c>
      <c r="K1044" s="1">
        <v>2.45641E8</v>
      </c>
      <c r="L1044" s="1">
        <v>-1.7313E7</v>
      </c>
      <c r="M1044" s="1">
        <v>8.7023E7</v>
      </c>
      <c r="N1044" s="1">
        <v>3.381836E9</v>
      </c>
      <c r="O1044" s="1">
        <v>3.136195E9</v>
      </c>
      <c r="P1044" s="1">
        <v>2.749776E9</v>
      </c>
      <c r="Q1044" s="1">
        <v>1.0847E8</v>
      </c>
      <c r="R1044" s="1">
        <v>2.67088E8</v>
      </c>
      <c r="S1044" s="1">
        <v>2.57048E8</v>
      </c>
    </row>
    <row r="1045">
      <c r="A1045" s="1">
        <v>1043.0</v>
      </c>
      <c r="B1045" s="2">
        <v>44106.0</v>
      </c>
      <c r="C1045" s="1" t="s">
        <v>561</v>
      </c>
      <c r="D1045" s="1" t="s">
        <v>562</v>
      </c>
      <c r="F1045" s="1">
        <v>6.0156E7</v>
      </c>
      <c r="G1045" s="1">
        <v>8.199E7</v>
      </c>
      <c r="H1045" s="1">
        <v>3.43176E8</v>
      </c>
      <c r="I1045" s="1">
        <v>6.67249E8</v>
      </c>
      <c r="J1045" s="1">
        <v>3.24073E8</v>
      </c>
      <c r="K1045" s="1">
        <v>3.24073E8</v>
      </c>
      <c r="L1045" s="1">
        <v>-1.4043E7</v>
      </c>
      <c r="M1045" s="1">
        <v>-1.9721E7</v>
      </c>
      <c r="N1045" s="1">
        <v>3.519689E9</v>
      </c>
      <c r="O1045" s="1">
        <v>3.195616E9</v>
      </c>
      <c r="P1045" s="1">
        <v>2.85244E9</v>
      </c>
      <c r="Q1045" s="1">
        <v>-2.63917E8</v>
      </c>
      <c r="R1045" s="1">
        <v>7.9877E7</v>
      </c>
      <c r="S1045" s="1">
        <v>8.2001E7</v>
      </c>
    </row>
    <row r="1046">
      <c r="A1046" s="1">
        <v>1044.0</v>
      </c>
      <c r="B1046" s="2">
        <v>44408.0</v>
      </c>
      <c r="C1046" s="1" t="s">
        <v>563</v>
      </c>
      <c r="D1046" s="1" t="s">
        <v>564</v>
      </c>
      <c r="F1046" s="1">
        <v>2.052E8</v>
      </c>
      <c r="G1046" s="1">
        <v>1.539E8</v>
      </c>
      <c r="H1046" s="1">
        <v>3.293E8</v>
      </c>
      <c r="I1046" s="1">
        <v>6.44E8</v>
      </c>
      <c r="J1046" s="1">
        <v>2.605E8</v>
      </c>
      <c r="K1046" s="1">
        <v>2.605E8</v>
      </c>
      <c r="L1046" s="1">
        <v>-4.31E7</v>
      </c>
      <c r="M1046" s="1">
        <v>5.13E7</v>
      </c>
      <c r="N1046" s="1">
        <v>1.858E9</v>
      </c>
      <c r="O1046" s="1">
        <v>1.5975E9</v>
      </c>
      <c r="P1046" s="1">
        <v>1.214E9</v>
      </c>
      <c r="Q1046" s="1">
        <v>-5.53E7</v>
      </c>
      <c r="R1046" s="1">
        <v>1.539E8</v>
      </c>
      <c r="S1046" s="1">
        <v>1.539E8</v>
      </c>
    </row>
    <row r="1047">
      <c r="A1047" s="1">
        <v>1045.0</v>
      </c>
      <c r="B1047" s="2">
        <v>44316.0</v>
      </c>
      <c r="C1047" s="1" t="s">
        <v>563</v>
      </c>
      <c r="D1047" s="1" t="s">
        <v>564</v>
      </c>
      <c r="F1047" s="1">
        <v>1.933E8</v>
      </c>
      <c r="G1047" s="1">
        <v>1.47E8</v>
      </c>
      <c r="H1047" s="1">
        <v>4.167E8</v>
      </c>
      <c r="I1047" s="1">
        <v>7.391E8</v>
      </c>
      <c r="J1047" s="1">
        <v>2.612E8</v>
      </c>
      <c r="K1047" s="1">
        <v>2.612E8</v>
      </c>
      <c r="L1047" s="1">
        <v>-4.24E7</v>
      </c>
      <c r="M1047" s="1">
        <v>4.63E7</v>
      </c>
      <c r="N1047" s="1">
        <v>1.9202E9</v>
      </c>
      <c r="O1047" s="1">
        <v>1.659E9</v>
      </c>
      <c r="P1047" s="1">
        <v>1.1811E9</v>
      </c>
      <c r="Q1047" s="1">
        <v>-6.79E7</v>
      </c>
      <c r="R1047" s="1">
        <v>1.47E8</v>
      </c>
      <c r="S1047" s="1">
        <v>1.47E8</v>
      </c>
    </row>
    <row r="1048">
      <c r="A1048" s="1">
        <v>1046.0</v>
      </c>
      <c r="B1048" s="2">
        <v>44227.0</v>
      </c>
      <c r="C1048" s="1" t="s">
        <v>563</v>
      </c>
      <c r="D1048" s="1" t="s">
        <v>564</v>
      </c>
      <c r="F1048" s="1">
        <v>3.615E8</v>
      </c>
      <c r="G1048" s="1">
        <v>2.615E8</v>
      </c>
      <c r="H1048" s="1">
        <v>3.744E8</v>
      </c>
      <c r="I1048" s="1">
        <v>8.094E8</v>
      </c>
      <c r="J1048" s="1">
        <v>3.78E8</v>
      </c>
      <c r="K1048" s="1">
        <v>3.78E8</v>
      </c>
      <c r="L1048" s="1">
        <v>-4.35E7</v>
      </c>
      <c r="M1048" s="1">
        <v>1.0E8</v>
      </c>
      <c r="N1048" s="1">
        <v>2.0767E9</v>
      </c>
      <c r="O1048" s="1">
        <v>1.6987E9</v>
      </c>
      <c r="P1048" s="1">
        <v>1.2673E9</v>
      </c>
      <c r="Q1048" s="1">
        <v>-1.65E7</v>
      </c>
      <c r="R1048" s="1">
        <v>2.615E8</v>
      </c>
      <c r="S1048" s="1">
        <v>2.615E8</v>
      </c>
    </row>
    <row r="1049">
      <c r="A1049" s="1">
        <v>1047.0</v>
      </c>
      <c r="B1049" s="2">
        <v>44135.0</v>
      </c>
      <c r="C1049" s="1" t="s">
        <v>563</v>
      </c>
      <c r="D1049" s="1" t="s">
        <v>564</v>
      </c>
      <c r="F1049" s="1">
        <v>3.035E8</v>
      </c>
      <c r="G1049" s="1">
        <v>2.308E8</v>
      </c>
      <c r="H1049" s="1">
        <v>3.88E8</v>
      </c>
      <c r="I1049" s="1">
        <v>8.182E8</v>
      </c>
      <c r="J1049" s="1">
        <v>3.756E8</v>
      </c>
      <c r="K1049" s="1">
        <v>3.756E8</v>
      </c>
      <c r="L1049" s="1">
        <v>-4.51E7</v>
      </c>
      <c r="M1049" s="1">
        <v>7.27E7</v>
      </c>
      <c r="N1049" s="1">
        <v>2.034E9</v>
      </c>
      <c r="O1049" s="1">
        <v>1.6584E9</v>
      </c>
      <c r="P1049" s="1">
        <v>1.2158E9</v>
      </c>
      <c r="Q1049" s="1">
        <v>-7.21E7</v>
      </c>
      <c r="R1049" s="1">
        <v>2.308E8</v>
      </c>
      <c r="S1049" s="1">
        <v>2.308E8</v>
      </c>
    </row>
    <row r="1050">
      <c r="A1050" s="1">
        <v>1048.0</v>
      </c>
      <c r="B1050" s="2">
        <v>44381.0</v>
      </c>
      <c r="C1050" s="1" t="s">
        <v>565</v>
      </c>
      <c r="D1050" s="1" t="s">
        <v>566</v>
      </c>
      <c r="E1050" s="1">
        <v>3.394E9</v>
      </c>
      <c r="F1050" s="1">
        <v>6.662E9</v>
      </c>
      <c r="G1050" s="1">
        <v>6.278E9</v>
      </c>
      <c r="H1050" s="1">
        <v>5.939E9</v>
      </c>
      <c r="I1050" s="1">
        <v>1.5745E10</v>
      </c>
      <c r="J1050" s="1">
        <v>6.412E9</v>
      </c>
      <c r="K1050" s="1">
        <v>6.412E9</v>
      </c>
      <c r="L1050" s="1">
        <v>-4.0E7</v>
      </c>
      <c r="M1050" s="1">
        <v>3.84E8</v>
      </c>
      <c r="N1050" s="1">
        <v>2.3312E10</v>
      </c>
      <c r="O1050" s="1">
        <v>1.69E10</v>
      </c>
      <c r="P1050" s="1">
        <v>7.567E9</v>
      </c>
      <c r="Q1050" s="1">
        <v>2.5E8</v>
      </c>
      <c r="R1050" s="1">
        <v>6.278E9</v>
      </c>
      <c r="S1050" s="1">
        <v>6.278E9</v>
      </c>
    </row>
    <row r="1051">
      <c r="A1051" s="1">
        <v>1049.0</v>
      </c>
      <c r="B1051" s="2">
        <v>44290.0</v>
      </c>
      <c r="C1051" s="1" t="s">
        <v>565</v>
      </c>
      <c r="D1051" s="1" t="s">
        <v>566</v>
      </c>
      <c r="E1051" s="1">
        <v>3.178E9</v>
      </c>
      <c r="F1051" s="1">
        <v>7.429E9</v>
      </c>
      <c r="G1051" s="1">
        <v>6.197E9</v>
      </c>
      <c r="H1051" s="1">
        <v>5.263E9</v>
      </c>
      <c r="I1051" s="1">
        <v>1.5285E10</v>
      </c>
      <c r="J1051" s="1">
        <v>6.844E9</v>
      </c>
      <c r="K1051" s="1">
        <v>6.844E9</v>
      </c>
      <c r="L1051" s="1">
        <v>-6.3E7</v>
      </c>
      <c r="M1051" s="1">
        <v>1.232E9</v>
      </c>
      <c r="N1051" s="1">
        <v>2.2321E10</v>
      </c>
      <c r="O1051" s="1">
        <v>1.5477E10</v>
      </c>
      <c r="P1051" s="1">
        <v>7.036E9</v>
      </c>
      <c r="Q1051" s="1">
        <v>5.85E8</v>
      </c>
      <c r="R1051" s="1">
        <v>6.197E9</v>
      </c>
      <c r="S1051" s="1">
        <v>6.197E9</v>
      </c>
    </row>
    <row r="1052">
      <c r="A1052" s="1">
        <v>1050.0</v>
      </c>
      <c r="B1052" s="2">
        <v>44199.0</v>
      </c>
      <c r="C1052" s="1" t="s">
        <v>565</v>
      </c>
      <c r="D1052" s="1" t="s">
        <v>566</v>
      </c>
      <c r="E1052" s="1">
        <v>4.032E9</v>
      </c>
      <c r="F1052" s="1">
        <v>1.647E9</v>
      </c>
      <c r="G1052" s="1">
        <v>1.738E9</v>
      </c>
      <c r="H1052" s="1">
        <v>6.714E9</v>
      </c>
      <c r="I1052" s="1">
        <v>1.4692E10</v>
      </c>
      <c r="J1052" s="1">
        <v>3.946E9</v>
      </c>
      <c r="K1052" s="1">
        <v>3.946E9</v>
      </c>
      <c r="L1052" s="1">
        <v>-8.7E7</v>
      </c>
      <c r="M1052" s="1">
        <v>-9.1E7</v>
      </c>
      <c r="N1052" s="1">
        <v>2.2475E10</v>
      </c>
      <c r="O1052" s="1">
        <v>1.8529E10</v>
      </c>
      <c r="P1052" s="1">
        <v>7.783E9</v>
      </c>
      <c r="Q1052" s="1">
        <v>-2.299E9</v>
      </c>
      <c r="R1052" s="1">
        <v>1.738E9</v>
      </c>
      <c r="S1052" s="1">
        <v>1.738E9</v>
      </c>
    </row>
    <row r="1053">
      <c r="A1053" s="1">
        <v>1051.0</v>
      </c>
      <c r="B1053" s="2">
        <v>44101.0</v>
      </c>
      <c r="C1053" s="1" t="s">
        <v>565</v>
      </c>
      <c r="D1053" s="1" t="s">
        <v>566</v>
      </c>
      <c r="E1053" s="1">
        <v>2.84E9</v>
      </c>
      <c r="F1053" s="1">
        <v>4.401E9</v>
      </c>
      <c r="G1053" s="1">
        <v>3.554E9</v>
      </c>
      <c r="H1053" s="1">
        <v>5.336E9</v>
      </c>
      <c r="I1053" s="1">
        <v>1.4142E10</v>
      </c>
      <c r="J1053" s="1">
        <v>5.966E9</v>
      </c>
      <c r="K1053" s="1">
        <v>5.966E9</v>
      </c>
      <c r="L1053" s="1">
        <v>-4.4E7</v>
      </c>
      <c r="M1053" s="1">
        <v>8.47E8</v>
      </c>
      <c r="N1053" s="1">
        <v>2.1082E10</v>
      </c>
      <c r="O1053" s="1">
        <v>1.5116E10</v>
      </c>
      <c r="P1053" s="1">
        <v>6.94E9</v>
      </c>
      <c r="Q1053" s="1">
        <v>-1.565E9</v>
      </c>
      <c r="R1053" s="1">
        <v>3.554E9</v>
      </c>
      <c r="S1053" s="1">
        <v>3.554E9</v>
      </c>
    </row>
    <row r="1054">
      <c r="A1054" s="1">
        <v>1052.0</v>
      </c>
      <c r="B1054" s="2">
        <v>44377.0</v>
      </c>
      <c r="C1054" s="1" t="s">
        <v>567</v>
      </c>
      <c r="D1054" s="1" t="s">
        <v>568</v>
      </c>
      <c r="F1054" s="1">
        <v>7.69E8</v>
      </c>
      <c r="G1054" s="1">
        <v>5.74E8</v>
      </c>
      <c r="H1054" s="1">
        <v>1.152E9</v>
      </c>
      <c r="I1054" s="1">
        <v>2.197E9</v>
      </c>
      <c r="J1054" s="1">
        <v>1.045E9</v>
      </c>
      <c r="K1054" s="1">
        <v>1.045E9</v>
      </c>
      <c r="L1054" s="1">
        <v>-5.5E7</v>
      </c>
      <c r="M1054" s="1">
        <v>1.08E8</v>
      </c>
      <c r="N1054" s="1">
        <v>6.341E9</v>
      </c>
      <c r="O1054" s="1">
        <v>5.296E9</v>
      </c>
      <c r="P1054" s="1">
        <v>4.144E9</v>
      </c>
      <c r="Q1054" s="1">
        <v>-2.76E8</v>
      </c>
      <c r="R1054" s="1">
        <v>6.61E8</v>
      </c>
      <c r="S1054" s="1">
        <v>5.74E8</v>
      </c>
    </row>
    <row r="1055">
      <c r="A1055" s="1">
        <v>1053.0</v>
      </c>
      <c r="B1055" s="2">
        <v>44286.0</v>
      </c>
      <c r="C1055" s="1" t="s">
        <v>567</v>
      </c>
      <c r="D1055" s="1" t="s">
        <v>568</v>
      </c>
      <c r="F1055" s="1">
        <v>6.06E8</v>
      </c>
      <c r="G1055" s="1">
        <v>3.43E8</v>
      </c>
      <c r="H1055" s="1">
        <v>1.274E9</v>
      </c>
      <c r="I1055" s="1">
        <v>1.943E9</v>
      </c>
      <c r="J1055" s="1">
        <v>6.69E8</v>
      </c>
      <c r="K1055" s="1">
        <v>6.69E8</v>
      </c>
      <c r="L1055" s="1">
        <v>-5.3E7</v>
      </c>
      <c r="M1055" s="1">
        <v>2.09E8</v>
      </c>
      <c r="N1055" s="1">
        <v>5.594E9</v>
      </c>
      <c r="O1055" s="1">
        <v>4.925E9</v>
      </c>
      <c r="P1055" s="1">
        <v>3.651E9</v>
      </c>
      <c r="Q1055" s="1">
        <v>-6.3E7</v>
      </c>
      <c r="R1055" s="1">
        <v>3.97E8</v>
      </c>
      <c r="S1055" s="1">
        <v>3.43E8</v>
      </c>
    </row>
    <row r="1056">
      <c r="A1056" s="1">
        <v>1054.0</v>
      </c>
      <c r="B1056" s="2">
        <v>44196.0</v>
      </c>
      <c r="C1056" s="1" t="s">
        <v>567</v>
      </c>
      <c r="D1056" s="1" t="s">
        <v>568</v>
      </c>
      <c r="F1056" s="1">
        <v>4.33E8</v>
      </c>
      <c r="G1056" s="1">
        <v>4.51E8</v>
      </c>
      <c r="H1056" s="1">
        <v>1.298E9</v>
      </c>
      <c r="I1056" s="1">
        <v>1.728E9</v>
      </c>
      <c r="J1056" s="1">
        <v>4.3E8</v>
      </c>
      <c r="K1056" s="1">
        <v>4.3E8</v>
      </c>
      <c r="L1056" s="1">
        <v>-5.9E7</v>
      </c>
      <c r="M1056" s="1">
        <v>6.1E7</v>
      </c>
      <c r="N1056" s="1">
        <v>5.341E9</v>
      </c>
      <c r="O1056" s="1">
        <v>4.911E9</v>
      </c>
      <c r="P1056" s="1">
        <v>3.613E9</v>
      </c>
      <c r="Q1056" s="1">
        <v>3000000.0</v>
      </c>
      <c r="R1056" s="1">
        <v>3.72E8</v>
      </c>
      <c r="S1056" s="1">
        <v>4.51E8</v>
      </c>
    </row>
    <row r="1057">
      <c r="A1057" s="1">
        <v>1055.0</v>
      </c>
      <c r="B1057" s="2">
        <v>44104.0</v>
      </c>
      <c r="C1057" s="1" t="s">
        <v>567</v>
      </c>
      <c r="D1057" s="1" t="s">
        <v>568</v>
      </c>
      <c r="E1057" s="1">
        <v>2.74E8</v>
      </c>
      <c r="F1057" s="1">
        <v>5.21E8</v>
      </c>
      <c r="G1057" s="1">
        <v>4.41E8</v>
      </c>
      <c r="H1057" s="1">
        <v>8.19E8</v>
      </c>
      <c r="I1057" s="1">
        <v>1.975E9</v>
      </c>
      <c r="J1057" s="1">
        <v>8.82E8</v>
      </c>
      <c r="K1057" s="1">
        <v>8.82E8</v>
      </c>
      <c r="L1057" s="1">
        <v>-5.8E7</v>
      </c>
      <c r="M1057" s="1">
        <v>3.1E7</v>
      </c>
      <c r="N1057" s="1">
        <v>5.954E9</v>
      </c>
      <c r="O1057" s="1">
        <v>5.072E9</v>
      </c>
      <c r="P1057" s="1">
        <v>3.979E9</v>
      </c>
      <c r="Q1057" s="1">
        <v>-3.61E8</v>
      </c>
      <c r="R1057" s="1">
        <v>4.9E8</v>
      </c>
      <c r="S1057" s="1">
        <v>4.41E8</v>
      </c>
    </row>
    <row r="1058">
      <c r="A1058" s="1">
        <v>1056.0</v>
      </c>
      <c r="B1058" s="2">
        <v>44377.0</v>
      </c>
      <c r="C1058" s="1" t="s">
        <v>569</v>
      </c>
      <c r="D1058" s="1" t="s">
        <v>570</v>
      </c>
      <c r="F1058" s="1">
        <v>1.5097E10</v>
      </c>
      <c r="G1058" s="1">
        <v>1.1948E10</v>
      </c>
      <c r="H1058" s="1">
        <v>1.6403E10</v>
      </c>
      <c r="I1058" s="1">
        <v>3.2764E10</v>
      </c>
      <c r="J1058" s="1">
        <v>0.0</v>
      </c>
      <c r="K1058" s="1">
        <v>1.5282E10</v>
      </c>
      <c r="M1058" s="1">
        <v>3.149E9</v>
      </c>
      <c r="N1058" s="1">
        <v>3.2764E10</v>
      </c>
      <c r="O1058" s="1">
        <v>1.7482E10</v>
      </c>
      <c r="P1058" s="1">
        <v>0.0</v>
      </c>
      <c r="Q1058" s="1">
        <v>-1.85E8</v>
      </c>
      <c r="R1058" s="1">
        <v>1.1948E10</v>
      </c>
      <c r="S1058" s="1">
        <v>1.1496E10</v>
      </c>
    </row>
    <row r="1059">
      <c r="A1059" s="1">
        <v>1057.0</v>
      </c>
      <c r="B1059" s="2">
        <v>44286.0</v>
      </c>
      <c r="C1059" s="1" t="s">
        <v>569</v>
      </c>
      <c r="D1059" s="1" t="s">
        <v>570</v>
      </c>
      <c r="F1059" s="1">
        <v>1.7697E10</v>
      </c>
      <c r="G1059" s="1">
        <v>1.43E10</v>
      </c>
      <c r="H1059" s="1">
        <v>1.7189E10</v>
      </c>
      <c r="I1059" s="1">
        <v>3.6422E10</v>
      </c>
      <c r="J1059" s="1">
        <v>0.0</v>
      </c>
      <c r="K1059" s="1">
        <v>1.7725E10</v>
      </c>
      <c r="M1059" s="1">
        <v>3.397E9</v>
      </c>
      <c r="N1059" s="1">
        <v>3.6422E10</v>
      </c>
      <c r="O1059" s="1">
        <v>1.8697E10</v>
      </c>
      <c r="P1059" s="1">
        <v>0.0</v>
      </c>
      <c r="Q1059" s="1">
        <v>-2.8E7</v>
      </c>
      <c r="R1059" s="1">
        <v>1.43E10</v>
      </c>
      <c r="S1059" s="1">
        <v>1.3851E10</v>
      </c>
    </row>
    <row r="1060">
      <c r="A1060" s="1">
        <v>1058.0</v>
      </c>
      <c r="B1060" s="2">
        <v>44196.0</v>
      </c>
      <c r="C1060" s="1" t="s">
        <v>569</v>
      </c>
      <c r="D1060" s="1" t="s">
        <v>570</v>
      </c>
      <c r="F1060" s="1">
        <v>1.5065E10</v>
      </c>
      <c r="G1060" s="1">
        <v>1.2136E10</v>
      </c>
      <c r="H1060" s="1">
        <v>1.4705E10</v>
      </c>
      <c r="I1060" s="1">
        <v>3.1113E10</v>
      </c>
      <c r="J1060" s="1">
        <v>0.0</v>
      </c>
      <c r="K1060" s="1">
        <v>1.5341E10</v>
      </c>
      <c r="M1060" s="1">
        <v>2.929E9</v>
      </c>
      <c r="N1060" s="1">
        <v>3.1113E10</v>
      </c>
      <c r="O1060" s="1">
        <v>1.5772E10</v>
      </c>
      <c r="P1060" s="1">
        <v>0.0</v>
      </c>
      <c r="Q1060" s="1">
        <v>-2.76E8</v>
      </c>
      <c r="R1060" s="1">
        <v>1.2136E10</v>
      </c>
      <c r="S1060" s="1">
        <v>1.1698E10</v>
      </c>
    </row>
    <row r="1061">
      <c r="A1061" s="1">
        <v>1059.0</v>
      </c>
      <c r="B1061" s="2">
        <v>44104.0</v>
      </c>
      <c r="C1061" s="1" t="s">
        <v>569</v>
      </c>
      <c r="D1061" s="1" t="s">
        <v>570</v>
      </c>
      <c r="F1061" s="1">
        <v>1.1661E10</v>
      </c>
      <c r="G1061" s="1">
        <v>9.443E9</v>
      </c>
      <c r="H1061" s="1">
        <v>1.4984E10</v>
      </c>
      <c r="I1061" s="1">
        <v>2.8536E10</v>
      </c>
      <c r="J1061" s="1">
        <v>0.0</v>
      </c>
      <c r="K1061" s="1">
        <v>1.2185E10</v>
      </c>
      <c r="M1061" s="1">
        <v>2.218E9</v>
      </c>
      <c r="N1061" s="1">
        <v>2.8536E10</v>
      </c>
      <c r="O1061" s="1">
        <v>1.6351E10</v>
      </c>
      <c r="P1061" s="1">
        <v>0.0</v>
      </c>
      <c r="Q1061" s="1">
        <v>-5.24E8</v>
      </c>
      <c r="R1061" s="1">
        <v>9.443E9</v>
      </c>
      <c r="S1061" s="1">
        <v>9.015E9</v>
      </c>
    </row>
    <row r="1062">
      <c r="A1062" s="1">
        <v>1060.0</v>
      </c>
      <c r="B1062" s="2">
        <v>44377.0</v>
      </c>
      <c r="C1062" s="1" t="s">
        <v>571</v>
      </c>
      <c r="D1062" s="1" t="s">
        <v>572</v>
      </c>
      <c r="E1062" s="1">
        <v>2.458E8</v>
      </c>
      <c r="F1062" s="1">
        <v>7.48E7</v>
      </c>
      <c r="G1062" s="1">
        <v>6.2E7</v>
      </c>
      <c r="H1062" s="1">
        <v>3.288E8</v>
      </c>
      <c r="I1062" s="1">
        <v>6.819E8</v>
      </c>
      <c r="J1062" s="1">
        <v>1.073E8</v>
      </c>
      <c r="K1062" s="1">
        <v>1.073E8</v>
      </c>
      <c r="L1062" s="1">
        <v>-1.26E7</v>
      </c>
      <c r="M1062" s="1">
        <v>1.28E7</v>
      </c>
      <c r="N1062" s="1">
        <v>1.1723E9</v>
      </c>
      <c r="O1062" s="1">
        <v>1.065E9</v>
      </c>
      <c r="P1062" s="1">
        <v>4.904E8</v>
      </c>
      <c r="Q1062" s="1">
        <v>-3.25E7</v>
      </c>
      <c r="R1062" s="1">
        <v>6.2E7</v>
      </c>
      <c r="S1062" s="1">
        <v>6.2E7</v>
      </c>
    </row>
    <row r="1063">
      <c r="A1063" s="1">
        <v>1061.0</v>
      </c>
      <c r="B1063" s="2">
        <v>44286.0</v>
      </c>
      <c r="C1063" s="1" t="s">
        <v>571</v>
      </c>
      <c r="D1063" s="1" t="s">
        <v>572</v>
      </c>
      <c r="E1063" s="1">
        <v>2.547E8</v>
      </c>
      <c r="F1063" s="1">
        <v>-3.78E7</v>
      </c>
      <c r="G1063" s="1">
        <v>-3.11E7</v>
      </c>
      <c r="H1063" s="1">
        <v>3.138E8</v>
      </c>
      <c r="I1063" s="1">
        <v>6.156E8</v>
      </c>
      <c r="J1063" s="1">
        <v>4.71E7</v>
      </c>
      <c r="K1063" s="1">
        <v>4.71E7</v>
      </c>
      <c r="L1063" s="1">
        <v>-1.37E7</v>
      </c>
      <c r="M1063" s="1">
        <v>-6700000.0</v>
      </c>
      <c r="N1063" s="1">
        <v>1.0744E9</v>
      </c>
      <c r="O1063" s="1">
        <v>1.0273E9</v>
      </c>
      <c r="P1063" s="1">
        <v>4.588E8</v>
      </c>
      <c r="Q1063" s="1">
        <v>-8.49E7</v>
      </c>
      <c r="R1063" s="1">
        <v>-3.11E7</v>
      </c>
      <c r="S1063" s="1">
        <v>-3.11E7</v>
      </c>
    </row>
    <row r="1064">
      <c r="A1064" s="1">
        <v>1062.0</v>
      </c>
      <c r="B1064" s="2">
        <v>44196.0</v>
      </c>
      <c r="C1064" s="1" t="s">
        <v>571</v>
      </c>
      <c r="D1064" s="1" t="s">
        <v>572</v>
      </c>
      <c r="E1064" s="1">
        <v>2.425E8</v>
      </c>
      <c r="F1064" s="1">
        <v>3.92E7</v>
      </c>
      <c r="G1064" s="1">
        <v>3.08E7</v>
      </c>
      <c r="H1064" s="1">
        <v>2.987E8</v>
      </c>
      <c r="I1064" s="1">
        <v>7.17E8</v>
      </c>
      <c r="J1064" s="1">
        <v>1.758E8</v>
      </c>
      <c r="K1064" s="1">
        <v>1.758E8</v>
      </c>
      <c r="L1064" s="1">
        <v>-1.85E7</v>
      </c>
      <c r="M1064" s="1">
        <v>8400000.0</v>
      </c>
      <c r="N1064" s="1">
        <v>1.2226E9</v>
      </c>
      <c r="O1064" s="1">
        <v>1.0468E9</v>
      </c>
      <c r="P1064" s="1">
        <v>5.056E8</v>
      </c>
      <c r="Q1064" s="1">
        <v>-1.366E8</v>
      </c>
      <c r="R1064" s="1">
        <v>3.08E7</v>
      </c>
      <c r="S1064" s="1">
        <v>3.08E7</v>
      </c>
    </row>
    <row r="1065">
      <c r="A1065" s="1">
        <v>1063.0</v>
      </c>
      <c r="B1065" s="2">
        <v>44104.0</v>
      </c>
      <c r="C1065" s="1" t="s">
        <v>571</v>
      </c>
      <c r="D1065" s="1" t="s">
        <v>572</v>
      </c>
      <c r="E1065" s="1">
        <v>2.424E8</v>
      </c>
      <c r="F1065" s="1">
        <v>1.116E8</v>
      </c>
      <c r="G1065" s="1">
        <v>1.454E8</v>
      </c>
      <c r="H1065" s="1">
        <v>2.891E8</v>
      </c>
      <c r="I1065" s="1">
        <v>6.578E8</v>
      </c>
      <c r="J1065" s="1">
        <v>1.263E8</v>
      </c>
      <c r="K1065" s="1">
        <v>1.263E8</v>
      </c>
      <c r="L1065" s="1">
        <v>-1.91E7</v>
      </c>
      <c r="M1065" s="1">
        <v>-3.38E7</v>
      </c>
      <c r="N1065" s="1">
        <v>1.1382E9</v>
      </c>
      <c r="O1065" s="1">
        <v>1.0119E9</v>
      </c>
      <c r="P1065" s="1">
        <v>4.804E8</v>
      </c>
      <c r="Q1065" s="1">
        <v>-1.47E7</v>
      </c>
      <c r="R1065" s="1">
        <v>1.454E8</v>
      </c>
      <c r="S1065" s="1">
        <v>1.454E8</v>
      </c>
    </row>
    <row r="1066">
      <c r="A1066" s="1">
        <v>1064.0</v>
      </c>
      <c r="B1066" s="2">
        <v>44377.0</v>
      </c>
      <c r="C1066" s="1" t="s">
        <v>573</v>
      </c>
      <c r="D1066" s="1" t="s">
        <v>574</v>
      </c>
      <c r="F1066" s="1">
        <v>-4.596E8</v>
      </c>
      <c r="G1066" s="1">
        <v>-3.785E8</v>
      </c>
      <c r="I1066" s="1">
        <v>3.803E8</v>
      </c>
      <c r="J1066" s="1">
        <v>2.891E8</v>
      </c>
      <c r="K1066" s="1">
        <v>2.891E8</v>
      </c>
      <c r="L1066" s="1">
        <v>-3.91E7</v>
      </c>
      <c r="M1066" s="1">
        <v>-8.16E7</v>
      </c>
      <c r="N1066" s="1">
        <v>7.495E8</v>
      </c>
      <c r="O1066" s="1">
        <v>4.604E8</v>
      </c>
      <c r="P1066" s="1">
        <v>3.692E8</v>
      </c>
      <c r="Q1066" s="1">
        <v>-7.487E8</v>
      </c>
      <c r="R1066" s="1">
        <v>-3.78E8</v>
      </c>
      <c r="S1066" s="1">
        <v>-3.786E8</v>
      </c>
    </row>
    <row r="1067">
      <c r="A1067" s="1">
        <v>1065.0</v>
      </c>
      <c r="B1067" s="2">
        <v>44286.0</v>
      </c>
      <c r="C1067" s="1" t="s">
        <v>573</v>
      </c>
      <c r="D1067" s="1" t="s">
        <v>574</v>
      </c>
      <c r="F1067" s="1">
        <v>2.119E8</v>
      </c>
      <c r="G1067" s="1">
        <v>1.53E8</v>
      </c>
      <c r="I1067" s="1">
        <v>3.688E8</v>
      </c>
      <c r="J1067" s="1">
        <v>2.723E8</v>
      </c>
      <c r="K1067" s="1">
        <v>2.723E8</v>
      </c>
      <c r="L1067" s="1">
        <v>-3.9E7</v>
      </c>
      <c r="M1067" s="1">
        <v>5.85E7</v>
      </c>
      <c r="N1067" s="1">
        <v>7.06E8</v>
      </c>
      <c r="O1067" s="1">
        <v>4.337E8</v>
      </c>
      <c r="P1067" s="1">
        <v>3.372E8</v>
      </c>
      <c r="Q1067" s="1">
        <v>-6.04E7</v>
      </c>
      <c r="R1067" s="1">
        <v>1.534E8</v>
      </c>
      <c r="S1067" s="1">
        <v>1.53E8</v>
      </c>
    </row>
    <row r="1068">
      <c r="A1068" s="1">
        <v>1066.0</v>
      </c>
      <c r="B1068" s="2">
        <v>44196.0</v>
      </c>
      <c r="C1068" s="1" t="s">
        <v>573</v>
      </c>
      <c r="D1068" s="1" t="s">
        <v>574</v>
      </c>
      <c r="F1068" s="1">
        <v>2.359E8</v>
      </c>
      <c r="G1068" s="1">
        <v>1.657E8</v>
      </c>
      <c r="I1068" s="1">
        <v>3.843E8</v>
      </c>
      <c r="J1068" s="1">
        <v>2.769E8</v>
      </c>
      <c r="K1068" s="1">
        <v>2.769E8</v>
      </c>
      <c r="L1068" s="1">
        <v>-3.91E7</v>
      </c>
      <c r="M1068" s="1">
        <v>6.96E7</v>
      </c>
      <c r="N1068" s="1">
        <v>6.934E8</v>
      </c>
      <c r="O1068" s="1">
        <v>4.165E8</v>
      </c>
      <c r="P1068" s="1">
        <v>3.091E8</v>
      </c>
      <c r="Q1068" s="1">
        <v>-4.1E7</v>
      </c>
      <c r="R1068" s="1">
        <v>1.663E8</v>
      </c>
      <c r="S1068" s="1">
        <v>1.657E8</v>
      </c>
    </row>
    <row r="1069">
      <c r="A1069" s="1">
        <v>1067.0</v>
      </c>
      <c r="B1069" s="2">
        <v>44104.0</v>
      </c>
      <c r="C1069" s="1" t="s">
        <v>573</v>
      </c>
      <c r="D1069" s="1" t="s">
        <v>574</v>
      </c>
      <c r="F1069" s="1">
        <v>2.387E8</v>
      </c>
      <c r="G1069" s="1">
        <v>1.898E8</v>
      </c>
      <c r="I1069" s="1">
        <v>3.632E8</v>
      </c>
      <c r="J1069" s="1">
        <v>2.74E8</v>
      </c>
      <c r="K1069" s="1">
        <v>2.74E8</v>
      </c>
      <c r="L1069" s="1">
        <v>-3.95E7</v>
      </c>
      <c r="M1069" s="1">
        <v>4.85E7</v>
      </c>
      <c r="N1069" s="1">
        <v>6.596E8</v>
      </c>
      <c r="O1069" s="1">
        <v>3.856E8</v>
      </c>
      <c r="P1069" s="1">
        <v>2.964E8</v>
      </c>
      <c r="Q1069" s="1">
        <v>-3.53E7</v>
      </c>
      <c r="R1069" s="1">
        <v>1.902E8</v>
      </c>
      <c r="S1069" s="1">
        <v>1.897E8</v>
      </c>
    </row>
    <row r="1070">
      <c r="A1070" s="1">
        <v>1068.0</v>
      </c>
      <c r="B1070" s="2">
        <v>44289.0</v>
      </c>
      <c r="C1070" s="1" t="s">
        <v>575</v>
      </c>
      <c r="D1070" s="1" t="s">
        <v>576</v>
      </c>
      <c r="F1070" s="1">
        <v>4.8E8</v>
      </c>
      <c r="G1070" s="1">
        <v>3.68E8</v>
      </c>
      <c r="H1070" s="1">
        <v>6.07E8</v>
      </c>
      <c r="I1070" s="1">
        <v>1.167E9</v>
      </c>
      <c r="J1070" s="1">
        <v>5.6E8</v>
      </c>
      <c r="K1070" s="1">
        <v>5.6E8</v>
      </c>
      <c r="L1070" s="1">
        <v>-5.9E7</v>
      </c>
      <c r="M1070" s="1">
        <v>1.09E8</v>
      </c>
      <c r="N1070" s="1">
        <v>3.584E9</v>
      </c>
      <c r="O1070" s="1">
        <v>3.024E9</v>
      </c>
      <c r="P1070" s="1">
        <v>2.417E9</v>
      </c>
      <c r="Q1070" s="1">
        <v>-8.0E7</v>
      </c>
      <c r="R1070" s="1">
        <v>3.71E8</v>
      </c>
      <c r="S1070" s="1">
        <v>3.68E8</v>
      </c>
    </row>
    <row r="1071">
      <c r="A1071" s="1">
        <v>1069.0</v>
      </c>
      <c r="B1071" s="2">
        <v>44198.0</v>
      </c>
      <c r="C1071" s="1" t="s">
        <v>575</v>
      </c>
      <c r="D1071" s="1" t="s">
        <v>576</v>
      </c>
      <c r="F1071" s="1">
        <v>2.63E8</v>
      </c>
      <c r="G1071" s="1">
        <v>2.05E8</v>
      </c>
      <c r="H1071" s="1">
        <v>7.49E8</v>
      </c>
      <c r="I1071" s="1">
        <v>1.188E9</v>
      </c>
      <c r="J1071" s="1">
        <v>4.39E8</v>
      </c>
      <c r="K1071" s="1">
        <v>4.39E8</v>
      </c>
      <c r="L1071" s="1">
        <v>-8.5E7</v>
      </c>
      <c r="M1071" s="1">
        <v>5.5E7</v>
      </c>
      <c r="N1071" s="1">
        <v>3.464E9</v>
      </c>
      <c r="O1071" s="1">
        <v>3.025E9</v>
      </c>
      <c r="P1071" s="1">
        <v>2.276E9</v>
      </c>
      <c r="Q1071" s="1">
        <v>-1.76E8</v>
      </c>
      <c r="R1071" s="1">
        <v>2.08E8</v>
      </c>
      <c r="S1071" s="1">
        <v>2.05E8</v>
      </c>
    </row>
    <row r="1072">
      <c r="A1072" s="1">
        <v>1070.0</v>
      </c>
      <c r="B1072" s="2">
        <v>44100.0</v>
      </c>
      <c r="C1072" s="1" t="s">
        <v>575</v>
      </c>
      <c r="D1072" s="1" t="s">
        <v>576</v>
      </c>
      <c r="F1072" s="1">
        <v>4.17E8</v>
      </c>
      <c r="G1072" s="1">
        <v>3.48E8</v>
      </c>
      <c r="H1072" s="1">
        <v>7.9E8</v>
      </c>
      <c r="I1072" s="1">
        <v>1.201E9</v>
      </c>
      <c r="J1072" s="1">
        <v>4.11E8</v>
      </c>
      <c r="K1072" s="1">
        <v>4.11E8</v>
      </c>
      <c r="L1072" s="1">
        <v>-6.3E7</v>
      </c>
      <c r="M1072" s="1">
        <v>6.5E7</v>
      </c>
      <c r="N1072" s="1">
        <v>3.429E9</v>
      </c>
      <c r="O1072" s="1">
        <v>3.018E9</v>
      </c>
      <c r="P1072" s="1">
        <v>2.228E9</v>
      </c>
      <c r="Q1072" s="1">
        <v>6000000.0</v>
      </c>
      <c r="R1072" s="1">
        <v>3.52E8</v>
      </c>
      <c r="S1072" s="1">
        <v>3.48E8</v>
      </c>
    </row>
    <row r="1073">
      <c r="A1073" s="1">
        <v>1071.0</v>
      </c>
      <c r="B1073" s="2">
        <v>44009.0</v>
      </c>
      <c r="C1073" s="1" t="s">
        <v>575</v>
      </c>
      <c r="D1073" s="1" t="s">
        <v>576</v>
      </c>
      <c r="F1073" s="1">
        <v>4.63E8</v>
      </c>
      <c r="G1073" s="1">
        <v>3.51E8</v>
      </c>
      <c r="H1073" s="1">
        <v>6.69E8</v>
      </c>
      <c r="I1073" s="1">
        <v>1.207E9</v>
      </c>
      <c r="J1073" s="1">
        <v>5.38E8</v>
      </c>
      <c r="K1073" s="1">
        <v>5.38E8</v>
      </c>
      <c r="L1073" s="1">
        <v>-6.9E7</v>
      </c>
      <c r="M1073" s="1">
        <v>1.09E8</v>
      </c>
      <c r="N1073" s="1">
        <v>3.465E9</v>
      </c>
      <c r="O1073" s="1">
        <v>2.927E9</v>
      </c>
      <c r="P1073" s="1">
        <v>2.258E9</v>
      </c>
      <c r="Q1073" s="1">
        <v>-7.5E7</v>
      </c>
      <c r="R1073" s="1">
        <v>3.54E8</v>
      </c>
      <c r="S1073" s="1">
        <v>3.51E8</v>
      </c>
    </row>
    <row r="1074">
      <c r="A1074" s="1">
        <v>1072.0</v>
      </c>
      <c r="B1074" s="2">
        <v>44377.0</v>
      </c>
      <c r="C1074" s="1" t="s">
        <v>577</v>
      </c>
      <c r="D1074" s="1" t="s">
        <v>578</v>
      </c>
      <c r="F1074" s="1">
        <v>9.13E8</v>
      </c>
      <c r="G1074" s="1">
        <v>7.29E8</v>
      </c>
      <c r="H1074" s="1">
        <v>9.07E8</v>
      </c>
      <c r="I1074" s="1">
        <v>1.989E9</v>
      </c>
      <c r="J1074" s="1">
        <v>0.0</v>
      </c>
      <c r="K1074" s="1">
        <v>9.27E8</v>
      </c>
      <c r="M1074" s="1">
        <v>1.89E8</v>
      </c>
      <c r="N1074" s="1">
        <v>1.989E9</v>
      </c>
      <c r="O1074" s="1">
        <v>1.062E9</v>
      </c>
      <c r="P1074" s="1">
        <v>0.0</v>
      </c>
      <c r="Q1074" s="1">
        <v>-1.4E7</v>
      </c>
      <c r="R1074" s="1">
        <v>7.24E8</v>
      </c>
      <c r="S1074" s="1">
        <v>7.03E8</v>
      </c>
    </row>
    <row r="1075">
      <c r="A1075" s="1">
        <v>1073.0</v>
      </c>
      <c r="B1075" s="2">
        <v>44286.0</v>
      </c>
      <c r="C1075" s="1" t="s">
        <v>577</v>
      </c>
      <c r="D1075" s="1" t="s">
        <v>578</v>
      </c>
      <c r="F1075" s="1">
        <v>7.65E8</v>
      </c>
      <c r="G1075" s="1">
        <v>6.22E8</v>
      </c>
      <c r="H1075" s="1">
        <v>9.08E8</v>
      </c>
      <c r="I1075" s="1">
        <v>1.836E9</v>
      </c>
      <c r="J1075" s="1">
        <v>0.0</v>
      </c>
      <c r="K1075" s="1">
        <v>7.8E8</v>
      </c>
      <c r="M1075" s="1">
        <v>1.47E8</v>
      </c>
      <c r="N1075" s="1">
        <v>1.836E9</v>
      </c>
      <c r="O1075" s="1">
        <v>1.056E9</v>
      </c>
      <c r="P1075" s="1">
        <v>0.0</v>
      </c>
      <c r="Q1075" s="1">
        <v>-1.6E7</v>
      </c>
      <c r="R1075" s="1">
        <v>6.18E8</v>
      </c>
      <c r="S1075" s="1">
        <v>5.95E8</v>
      </c>
    </row>
    <row r="1076">
      <c r="A1076" s="1">
        <v>1074.0</v>
      </c>
      <c r="B1076" s="2">
        <v>44196.0</v>
      </c>
      <c r="C1076" s="1" t="s">
        <v>577</v>
      </c>
      <c r="D1076" s="1" t="s">
        <v>578</v>
      </c>
      <c r="F1076" s="1">
        <v>6.89E8</v>
      </c>
      <c r="G1076" s="1">
        <v>5.82E8</v>
      </c>
      <c r="H1076" s="1">
        <v>9.13E8</v>
      </c>
      <c r="I1076" s="1">
        <v>1.817E9</v>
      </c>
      <c r="J1076" s="1">
        <v>0.0</v>
      </c>
      <c r="K1076" s="1">
        <v>7.43E8</v>
      </c>
      <c r="M1076" s="1">
        <v>1.14E8</v>
      </c>
      <c r="N1076" s="1">
        <v>1.817E9</v>
      </c>
      <c r="O1076" s="1">
        <v>1.074E9</v>
      </c>
      <c r="P1076" s="1">
        <v>0.0</v>
      </c>
      <c r="Q1076" s="1">
        <v>-5.4E7</v>
      </c>
      <c r="R1076" s="1">
        <v>5.75E8</v>
      </c>
      <c r="S1076" s="1">
        <v>5.56E8</v>
      </c>
    </row>
    <row r="1077">
      <c r="A1077" s="1">
        <v>1075.0</v>
      </c>
      <c r="B1077" s="2">
        <v>44104.0</v>
      </c>
      <c r="C1077" s="1" t="s">
        <v>577</v>
      </c>
      <c r="D1077" s="1" t="s">
        <v>578</v>
      </c>
      <c r="F1077" s="1">
        <v>4.84E8</v>
      </c>
      <c r="G1077" s="1">
        <v>4.28E8</v>
      </c>
      <c r="H1077" s="1">
        <v>8.52E8</v>
      </c>
      <c r="I1077" s="1">
        <v>1.521E9</v>
      </c>
      <c r="J1077" s="1">
        <v>0.0</v>
      </c>
      <c r="K1077" s="1">
        <v>5.04E8</v>
      </c>
      <c r="M1077" s="1">
        <v>6.0E7</v>
      </c>
      <c r="N1077" s="1">
        <v>1.521E9</v>
      </c>
      <c r="O1077" s="1">
        <v>1.017E9</v>
      </c>
      <c r="P1077" s="1">
        <v>0.0</v>
      </c>
      <c r="Q1077" s="1">
        <v>-2.0E7</v>
      </c>
      <c r="R1077" s="1">
        <v>4.24E8</v>
      </c>
      <c r="S1077" s="1">
        <v>4.01E8</v>
      </c>
    </row>
    <row r="1078">
      <c r="A1078" s="1">
        <v>1076.0</v>
      </c>
      <c r="B1078" s="2">
        <v>44316.0</v>
      </c>
      <c r="C1078" s="1" t="s">
        <v>579</v>
      </c>
      <c r="D1078" s="1" t="s">
        <v>580</v>
      </c>
      <c r="E1078" s="1">
        <v>2.09E8</v>
      </c>
      <c r="F1078" s="1">
        <v>2.08E8</v>
      </c>
      <c r="G1078" s="1">
        <v>1.86E8</v>
      </c>
      <c r="H1078" s="1">
        <v>3.08E8</v>
      </c>
      <c r="I1078" s="1">
        <v>7.37E8</v>
      </c>
      <c r="J1078" s="1">
        <v>2.24E8</v>
      </c>
      <c r="K1078" s="1">
        <v>2.24E8</v>
      </c>
      <c r="L1078" s="1">
        <v>-1.9E7</v>
      </c>
      <c r="M1078" s="1">
        <v>2.2E7</v>
      </c>
      <c r="N1078" s="1">
        <v>1.221E9</v>
      </c>
      <c r="O1078" s="1">
        <v>9.97E8</v>
      </c>
      <c r="P1078" s="1">
        <v>4.84E8</v>
      </c>
      <c r="Q1078" s="1">
        <v>-1.6E7</v>
      </c>
      <c r="R1078" s="1">
        <v>1.86E8</v>
      </c>
      <c r="S1078" s="1">
        <v>1.86E8</v>
      </c>
    </row>
    <row r="1079">
      <c r="A1079" s="1">
        <v>1077.0</v>
      </c>
      <c r="B1079" s="2">
        <v>44227.0</v>
      </c>
      <c r="C1079" s="1" t="s">
        <v>579</v>
      </c>
      <c r="D1079" s="1" t="s">
        <v>580</v>
      </c>
      <c r="E1079" s="1">
        <v>1.99E8</v>
      </c>
      <c r="F1079" s="1">
        <v>1.95E8</v>
      </c>
      <c r="G1079" s="1">
        <v>1.72E8</v>
      </c>
      <c r="H1079" s="1">
        <v>2.94E8</v>
      </c>
      <c r="I1079" s="1">
        <v>7.07E8</v>
      </c>
      <c r="J1079" s="1">
        <v>2.19E8</v>
      </c>
      <c r="K1079" s="1">
        <v>2.19E8</v>
      </c>
      <c r="L1079" s="1">
        <v>-2.0E7</v>
      </c>
      <c r="M1079" s="1">
        <v>2.3E7</v>
      </c>
      <c r="N1079" s="1">
        <v>1.18E9</v>
      </c>
      <c r="O1079" s="1">
        <v>9.61E8</v>
      </c>
      <c r="P1079" s="1">
        <v>4.73E8</v>
      </c>
      <c r="Q1079" s="1">
        <v>-2.4E7</v>
      </c>
      <c r="R1079" s="1">
        <v>1.72E8</v>
      </c>
      <c r="S1079" s="1">
        <v>1.72E8</v>
      </c>
    </row>
    <row r="1080">
      <c r="A1080" s="1">
        <v>1078.0</v>
      </c>
      <c r="B1080" s="2">
        <v>44135.0</v>
      </c>
      <c r="C1080" s="1" t="s">
        <v>579</v>
      </c>
      <c r="D1080" s="1" t="s">
        <v>580</v>
      </c>
      <c r="E1080" s="1">
        <v>1.93E8</v>
      </c>
      <c r="F1080" s="1">
        <v>2.66E8</v>
      </c>
      <c r="G1080" s="1">
        <v>2.17E8</v>
      </c>
      <c r="H1080" s="1">
        <v>2.87E8</v>
      </c>
      <c r="I1080" s="1">
        <v>7.56E8</v>
      </c>
      <c r="J1080" s="1">
        <v>2.78E8</v>
      </c>
      <c r="K1080" s="1">
        <v>2.78E8</v>
      </c>
      <c r="L1080" s="1">
        <v>-1.9E7</v>
      </c>
      <c r="M1080" s="1">
        <v>4.9E7</v>
      </c>
      <c r="N1080" s="1">
        <v>1.22E9</v>
      </c>
      <c r="O1080" s="1">
        <v>9.42E8</v>
      </c>
      <c r="P1080" s="1">
        <v>4.64E8</v>
      </c>
      <c r="Q1080" s="1">
        <v>-1.2E7</v>
      </c>
      <c r="R1080" s="1">
        <v>2.17E8</v>
      </c>
      <c r="S1080" s="1">
        <v>2.17E8</v>
      </c>
    </row>
    <row r="1081">
      <c r="A1081" s="1">
        <v>1079.0</v>
      </c>
      <c r="B1081" s="2">
        <v>44043.0</v>
      </c>
      <c r="C1081" s="1" t="s">
        <v>579</v>
      </c>
      <c r="D1081" s="1" t="s">
        <v>580</v>
      </c>
      <c r="E1081" s="1">
        <v>1.69E8</v>
      </c>
      <c r="F1081" s="1">
        <v>1.85E8</v>
      </c>
      <c r="G1081" s="1">
        <v>1.76E8</v>
      </c>
      <c r="H1081" s="1">
        <v>2.41E8</v>
      </c>
      <c r="I1081" s="1">
        <v>6.06E8</v>
      </c>
      <c r="J1081" s="1">
        <v>2.0E8</v>
      </c>
      <c r="K1081" s="1">
        <v>2.0E8</v>
      </c>
      <c r="L1081" s="1">
        <v>-2.0E7</v>
      </c>
      <c r="M1081" s="1">
        <v>9000000.0</v>
      </c>
      <c r="N1081" s="1">
        <v>1.011E9</v>
      </c>
      <c r="O1081" s="1">
        <v>8.11E8</v>
      </c>
      <c r="P1081" s="1">
        <v>4.05E8</v>
      </c>
      <c r="Q1081" s="1">
        <v>-1.5E7</v>
      </c>
      <c r="R1081" s="1">
        <v>1.76E8</v>
      </c>
      <c r="S1081" s="1">
        <v>1.76E8</v>
      </c>
    </row>
    <row r="1082">
      <c r="A1082" s="1">
        <v>1080.0</v>
      </c>
      <c r="B1082" s="2">
        <v>44286.0</v>
      </c>
      <c r="C1082" s="1" t="s">
        <v>581</v>
      </c>
      <c r="D1082" s="1" t="s">
        <v>582</v>
      </c>
      <c r="F1082" s="1">
        <v>7.41E8</v>
      </c>
      <c r="G1082" s="1">
        <v>5.84E8</v>
      </c>
      <c r="H1082" s="1">
        <v>8.06E8</v>
      </c>
      <c r="I1082" s="1">
        <v>1.614E9</v>
      </c>
      <c r="J1082" s="1">
        <v>8.13E8</v>
      </c>
      <c r="K1082" s="1">
        <v>8.13E8</v>
      </c>
      <c r="L1082" s="1">
        <v>-6.3E7</v>
      </c>
      <c r="M1082" s="1">
        <v>1.47E8</v>
      </c>
      <c r="N1082" s="1">
        <v>4.743E9</v>
      </c>
      <c r="O1082" s="1">
        <v>3.93E9</v>
      </c>
      <c r="P1082" s="1">
        <v>3.129E9</v>
      </c>
      <c r="Q1082" s="1">
        <v>-7.2E7</v>
      </c>
      <c r="R1082" s="1">
        <v>5.94E8</v>
      </c>
      <c r="S1082" s="1">
        <v>5.84E8</v>
      </c>
    </row>
    <row r="1083">
      <c r="A1083" s="1">
        <v>1081.0</v>
      </c>
      <c r="B1083" s="2">
        <v>44196.0</v>
      </c>
      <c r="C1083" s="1" t="s">
        <v>581</v>
      </c>
      <c r="D1083" s="1" t="s">
        <v>582</v>
      </c>
      <c r="F1083" s="1">
        <v>7.12E8</v>
      </c>
      <c r="G1083" s="1">
        <v>5.39E8</v>
      </c>
      <c r="H1083" s="1">
        <v>9.6E8</v>
      </c>
      <c r="I1083" s="1">
        <v>1.71E9</v>
      </c>
      <c r="J1083" s="1">
        <v>8.15E8</v>
      </c>
      <c r="K1083" s="1">
        <v>8.15E8</v>
      </c>
      <c r="L1083" s="1">
        <v>-6.4E7</v>
      </c>
      <c r="M1083" s="1">
        <v>1.66E8</v>
      </c>
      <c r="N1083" s="1">
        <v>4.836E9</v>
      </c>
      <c r="O1083" s="1">
        <v>4.021E9</v>
      </c>
      <c r="P1083" s="1">
        <v>3.126E9</v>
      </c>
      <c r="Q1083" s="1">
        <v>-1.03E8</v>
      </c>
      <c r="R1083" s="1">
        <v>5.46E8</v>
      </c>
      <c r="S1083" s="1">
        <v>5.39E8</v>
      </c>
    </row>
    <row r="1084">
      <c r="A1084" s="1">
        <v>1082.0</v>
      </c>
      <c r="B1084" s="2">
        <v>44104.0</v>
      </c>
      <c r="C1084" s="1" t="s">
        <v>581</v>
      </c>
      <c r="D1084" s="1" t="s">
        <v>582</v>
      </c>
      <c r="F1084" s="1">
        <v>5.97E8</v>
      </c>
      <c r="G1084" s="1">
        <v>4.72E8</v>
      </c>
      <c r="H1084" s="1">
        <v>8.85E8</v>
      </c>
      <c r="I1084" s="1">
        <v>1.697E9</v>
      </c>
      <c r="J1084" s="1">
        <v>7.83E8</v>
      </c>
      <c r="K1084" s="1">
        <v>7.83E8</v>
      </c>
      <c r="L1084" s="1">
        <v>-6.2E7</v>
      </c>
      <c r="M1084" s="1">
        <v>1.14E8</v>
      </c>
      <c r="N1084" s="1">
        <v>4.683E9</v>
      </c>
      <c r="O1084" s="1">
        <v>3.9E9</v>
      </c>
      <c r="P1084" s="1">
        <v>2.986E9</v>
      </c>
      <c r="Q1084" s="1">
        <v>-1.86E8</v>
      </c>
      <c r="R1084" s="1">
        <v>4.83E8</v>
      </c>
      <c r="S1084" s="1">
        <v>4.72E8</v>
      </c>
    </row>
    <row r="1085">
      <c r="A1085" s="1">
        <v>1083.0</v>
      </c>
      <c r="B1085" s="2">
        <v>44012.0</v>
      </c>
      <c r="C1085" s="1" t="s">
        <v>581</v>
      </c>
      <c r="D1085" s="1" t="s">
        <v>582</v>
      </c>
      <c r="F1085" s="1">
        <v>8.91E8</v>
      </c>
      <c r="G1085" s="1">
        <v>6.81E8</v>
      </c>
      <c r="H1085" s="1">
        <v>8.17E8</v>
      </c>
      <c r="I1085" s="1">
        <v>1.837E9</v>
      </c>
      <c r="J1085" s="1">
        <v>1.0E9</v>
      </c>
      <c r="K1085" s="1">
        <v>1.0E9</v>
      </c>
      <c r="L1085" s="1">
        <v>-6.5E7</v>
      </c>
      <c r="M1085" s="1">
        <v>1.99E8</v>
      </c>
      <c r="N1085" s="1">
        <v>4.612E9</v>
      </c>
      <c r="O1085" s="1">
        <v>3.612E9</v>
      </c>
      <c r="P1085" s="1">
        <v>2.775E9</v>
      </c>
      <c r="Q1085" s="1">
        <v>-1.09E8</v>
      </c>
      <c r="R1085" s="1">
        <v>6.92E8</v>
      </c>
      <c r="S1085" s="1">
        <v>6.81E8</v>
      </c>
    </row>
    <row r="1086">
      <c r="A1086" s="1">
        <v>1084.0</v>
      </c>
      <c r="B1086" s="2">
        <v>44377.0</v>
      </c>
      <c r="C1086" s="1" t="s">
        <v>583</v>
      </c>
      <c r="D1086" s="1" t="s">
        <v>584</v>
      </c>
      <c r="F1086" s="1">
        <v>1.18393E8</v>
      </c>
      <c r="G1086" s="1">
        <v>1.16697E8</v>
      </c>
      <c r="H1086" s="1">
        <v>2.4754E7</v>
      </c>
      <c r="I1086" s="1">
        <v>1.99532E8</v>
      </c>
      <c r="J1086" s="1">
        <v>1.02205E8</v>
      </c>
      <c r="K1086" s="1">
        <v>1.02205E8</v>
      </c>
      <c r="L1086" s="1">
        <v>-4.6812E7</v>
      </c>
      <c r="M1086" s="1">
        <v>1275000.0</v>
      </c>
      <c r="N1086" s="1">
        <v>2.89016E8</v>
      </c>
      <c r="O1086" s="1">
        <v>1.86811E8</v>
      </c>
      <c r="P1086" s="1">
        <v>8.9484E7</v>
      </c>
      <c r="Q1086" s="1">
        <v>1.6188E7</v>
      </c>
      <c r="R1086" s="1">
        <v>1.17118E8</v>
      </c>
      <c r="S1086" s="1">
        <v>1.09671E8</v>
      </c>
    </row>
    <row r="1087">
      <c r="A1087" s="1">
        <v>1085.0</v>
      </c>
      <c r="B1087" s="2">
        <v>44286.0</v>
      </c>
      <c r="C1087" s="1" t="s">
        <v>583</v>
      </c>
      <c r="D1087" s="1" t="s">
        <v>584</v>
      </c>
      <c r="F1087" s="1">
        <v>1.42733E8</v>
      </c>
      <c r="G1087" s="1">
        <v>1.37942E8</v>
      </c>
      <c r="H1087" s="1">
        <v>2.4478E7</v>
      </c>
      <c r="I1087" s="1">
        <v>1.93817E8</v>
      </c>
      <c r="J1087" s="1">
        <v>9.4463E7</v>
      </c>
      <c r="K1087" s="1">
        <v>9.4463E7</v>
      </c>
      <c r="L1087" s="1">
        <v>-4.7716E7</v>
      </c>
      <c r="M1087" s="1">
        <v>1308000.0</v>
      </c>
      <c r="N1087" s="1">
        <v>2.82308E8</v>
      </c>
      <c r="O1087" s="1">
        <v>1.87845E8</v>
      </c>
      <c r="P1087" s="1">
        <v>8.8491E7</v>
      </c>
      <c r="Q1087" s="1">
        <v>4.827E7</v>
      </c>
      <c r="R1087" s="1">
        <v>1.41425E8</v>
      </c>
      <c r="S1087" s="1">
        <v>1.30796E8</v>
      </c>
    </row>
    <row r="1088">
      <c r="A1088" s="1">
        <v>1086.0</v>
      </c>
      <c r="B1088" s="2">
        <v>44196.0</v>
      </c>
      <c r="C1088" s="1" t="s">
        <v>583</v>
      </c>
      <c r="D1088" s="1" t="s">
        <v>584</v>
      </c>
      <c r="F1088" s="1">
        <v>2.02295E8</v>
      </c>
      <c r="G1088" s="1">
        <v>2.01234E8</v>
      </c>
      <c r="H1088" s="1">
        <v>1.2201E7</v>
      </c>
      <c r="I1088" s="1">
        <v>1.77826E8</v>
      </c>
      <c r="J1088" s="1">
        <v>9.133E7</v>
      </c>
      <c r="K1088" s="1">
        <v>9.133E7</v>
      </c>
      <c r="L1088" s="1">
        <v>-4.5887E7</v>
      </c>
      <c r="M1088" s="1">
        <v>496000.0</v>
      </c>
      <c r="N1088" s="1">
        <v>2.69441E8</v>
      </c>
      <c r="O1088" s="1">
        <v>1.78111E8</v>
      </c>
      <c r="P1088" s="1">
        <v>9.1615E7</v>
      </c>
      <c r="Q1088" s="1">
        <v>1.10965E8</v>
      </c>
      <c r="R1088" s="1">
        <v>2.01799E8</v>
      </c>
      <c r="S1088" s="1">
        <v>1.95952E8</v>
      </c>
    </row>
    <row r="1089">
      <c r="A1089" s="1">
        <v>1087.0</v>
      </c>
      <c r="B1089" s="2">
        <v>44104.0</v>
      </c>
      <c r="C1089" s="1" t="s">
        <v>583</v>
      </c>
      <c r="D1089" s="1" t="s">
        <v>584</v>
      </c>
      <c r="F1089" s="1">
        <v>-3.7041E7</v>
      </c>
      <c r="G1089" s="1">
        <v>-3.8394E7</v>
      </c>
      <c r="H1089" s="1">
        <v>2.8795E7</v>
      </c>
      <c r="I1089" s="1">
        <v>1.73778E8</v>
      </c>
      <c r="J1089" s="1">
        <v>7.3279E7</v>
      </c>
      <c r="K1089" s="1">
        <v>7.3279E7</v>
      </c>
      <c r="L1089" s="1">
        <v>-4.6942E7</v>
      </c>
      <c r="M1089" s="1">
        <v>388000.0</v>
      </c>
      <c r="N1089" s="1">
        <v>2.59792E8</v>
      </c>
      <c r="O1089" s="1">
        <v>1.86513E8</v>
      </c>
      <c r="P1089" s="1">
        <v>8.6014E7</v>
      </c>
      <c r="Q1089" s="1">
        <v>-1.1032E8</v>
      </c>
      <c r="R1089" s="1">
        <v>-3.7429E7</v>
      </c>
      <c r="S1089" s="1">
        <v>-4.4999E7</v>
      </c>
    </row>
    <row r="1090">
      <c r="A1090" s="1">
        <v>1088.0</v>
      </c>
      <c r="B1090" s="2">
        <v>44286.0</v>
      </c>
      <c r="C1090" s="1" t="s">
        <v>585</v>
      </c>
      <c r="D1090" s="1" t="s">
        <v>586</v>
      </c>
      <c r="F1090" s="1">
        <v>1.776E9</v>
      </c>
      <c r="G1090" s="1">
        <v>1.409E9</v>
      </c>
      <c r="H1090" s="1">
        <v>1.56E8</v>
      </c>
      <c r="I1090" s="1">
        <v>2.688E9</v>
      </c>
      <c r="J1090" s="1">
        <v>1.882E9</v>
      </c>
      <c r="K1090" s="1">
        <v>1.882E9</v>
      </c>
      <c r="L1090" s="1">
        <v>-3.77E8</v>
      </c>
      <c r="M1090" s="1">
        <v>3.51E8</v>
      </c>
      <c r="N1090" s="1">
        <v>5.211E9</v>
      </c>
      <c r="O1090" s="1">
        <v>3.329E9</v>
      </c>
      <c r="P1090" s="1">
        <v>2.523E9</v>
      </c>
      <c r="Q1090" s="1">
        <v>-1.06E8</v>
      </c>
      <c r="R1090" s="1">
        <v>1.425E9</v>
      </c>
      <c r="S1090" s="1">
        <v>1.402E9</v>
      </c>
    </row>
    <row r="1091">
      <c r="A1091" s="1">
        <v>1089.0</v>
      </c>
      <c r="B1091" s="2">
        <v>44196.0</v>
      </c>
      <c r="C1091" s="1" t="s">
        <v>585</v>
      </c>
      <c r="D1091" s="1" t="s">
        <v>586</v>
      </c>
      <c r="F1091" s="1">
        <v>8.0E8</v>
      </c>
      <c r="G1091" s="1">
        <v>6.07E8</v>
      </c>
      <c r="H1091" s="1">
        <v>1.87E8</v>
      </c>
      <c r="I1091" s="1">
        <v>1.723E9</v>
      </c>
      <c r="J1091" s="1">
        <v>9.25E8</v>
      </c>
      <c r="K1091" s="1">
        <v>9.25E8</v>
      </c>
      <c r="L1091" s="1">
        <v>-3.81E8</v>
      </c>
      <c r="M1091" s="1">
        <v>1.77E8</v>
      </c>
      <c r="N1091" s="1">
        <v>3.115E9</v>
      </c>
      <c r="O1091" s="1">
        <v>2.19E9</v>
      </c>
      <c r="P1091" s="1">
        <v>1.392E9</v>
      </c>
      <c r="Q1091" s="1">
        <v>-1.25E8</v>
      </c>
      <c r="R1091" s="1">
        <v>6.23E8</v>
      </c>
      <c r="S1091" s="1">
        <v>6.03E8</v>
      </c>
    </row>
    <row r="1092">
      <c r="A1092" s="1">
        <v>1090.0</v>
      </c>
      <c r="B1092" s="2">
        <v>44104.0</v>
      </c>
      <c r="C1092" s="1" t="s">
        <v>585</v>
      </c>
      <c r="D1092" s="1" t="s">
        <v>586</v>
      </c>
      <c r="F1092" s="1">
        <v>6.12E8</v>
      </c>
      <c r="G1092" s="1">
        <v>4.55E8</v>
      </c>
      <c r="H1092" s="1">
        <v>1.53E8</v>
      </c>
      <c r="I1092" s="1">
        <v>1.621E9</v>
      </c>
      <c r="J1092" s="1">
        <v>8.3E8</v>
      </c>
      <c r="K1092" s="1">
        <v>8.3E8</v>
      </c>
      <c r="L1092" s="1">
        <v>-3.83E8</v>
      </c>
      <c r="M1092" s="1">
        <v>1.4E8</v>
      </c>
      <c r="N1092" s="1">
        <v>2.919E9</v>
      </c>
      <c r="O1092" s="1">
        <v>2.089E9</v>
      </c>
      <c r="P1092" s="1">
        <v>1.298E9</v>
      </c>
      <c r="Q1092" s="1">
        <v>-2.18E8</v>
      </c>
      <c r="R1092" s="1">
        <v>4.72E8</v>
      </c>
      <c r="S1092" s="1">
        <v>4.52E8</v>
      </c>
    </row>
    <row r="1093">
      <c r="A1093" s="1">
        <v>1091.0</v>
      </c>
      <c r="B1093" s="2">
        <v>44012.0</v>
      </c>
      <c r="C1093" s="1" t="s">
        <v>585</v>
      </c>
      <c r="D1093" s="1" t="s">
        <v>586</v>
      </c>
      <c r="F1093" s="1">
        <v>-5.2E8</v>
      </c>
      <c r="G1093" s="1">
        <v>-6.37E8</v>
      </c>
      <c r="H1093" s="1">
        <v>1.55E8</v>
      </c>
      <c r="I1093" s="1">
        <v>1.513E9</v>
      </c>
      <c r="J1093" s="1">
        <v>7.23E8</v>
      </c>
      <c r="K1093" s="1">
        <v>7.23E8</v>
      </c>
      <c r="L1093" s="1">
        <v>-3.95E8</v>
      </c>
      <c r="M1093" s="1">
        <v>1.04E8</v>
      </c>
      <c r="N1093" s="1">
        <v>2.56E9</v>
      </c>
      <c r="O1093" s="1">
        <v>1.837E9</v>
      </c>
      <c r="P1093" s="1">
        <v>1.047E9</v>
      </c>
      <c r="Q1093" s="1">
        <v>-1.243E9</v>
      </c>
      <c r="R1093" s="1">
        <v>-6.24E8</v>
      </c>
      <c r="S1093" s="1">
        <v>-6.4E8</v>
      </c>
    </row>
    <row r="1094">
      <c r="A1094" s="1">
        <v>1092.0</v>
      </c>
      <c r="B1094" s="2">
        <v>44377.0</v>
      </c>
      <c r="C1094" s="1" t="s">
        <v>587</v>
      </c>
      <c r="D1094" s="1" t="s">
        <v>588</v>
      </c>
      <c r="E1094" s="1">
        <v>2.41428E8</v>
      </c>
      <c r="F1094" s="1">
        <v>7.08843E8</v>
      </c>
      <c r="G1094" s="1">
        <v>6.32978E8</v>
      </c>
      <c r="H1094" s="1">
        <v>1.93861E8</v>
      </c>
      <c r="I1094" s="1">
        <v>1.15323E9</v>
      </c>
      <c r="J1094" s="1">
        <v>7.17941E8</v>
      </c>
      <c r="K1094" s="1">
        <v>7.17941E8</v>
      </c>
      <c r="L1094" s="1">
        <v>-3.997E7</v>
      </c>
      <c r="M1094" s="1">
        <v>7.5785E7</v>
      </c>
      <c r="N1094" s="1">
        <v>1.925471E9</v>
      </c>
      <c r="O1094" s="1">
        <v>1.20753E9</v>
      </c>
      <c r="P1094" s="1">
        <v>7.72241E8</v>
      </c>
      <c r="Q1094" s="1">
        <v>-9098000.0</v>
      </c>
      <c r="R1094" s="1">
        <v>6.33058E8</v>
      </c>
      <c r="S1094" s="1">
        <v>6.32978E8</v>
      </c>
    </row>
    <row r="1095">
      <c r="A1095" s="1">
        <v>1093.0</v>
      </c>
      <c r="B1095" s="2">
        <v>44286.0</v>
      </c>
      <c r="C1095" s="1" t="s">
        <v>587</v>
      </c>
      <c r="D1095" s="1" t="s">
        <v>588</v>
      </c>
      <c r="E1095" s="1">
        <v>2.38957E8</v>
      </c>
      <c r="F1095" s="1">
        <v>6.40403E8</v>
      </c>
      <c r="G1095" s="1">
        <v>5.67496E8</v>
      </c>
      <c r="H1095" s="1">
        <v>1.8304E8</v>
      </c>
      <c r="I1095" s="1">
        <v>1.094144E9</v>
      </c>
      <c r="J1095" s="1">
        <v>6.72147E8</v>
      </c>
      <c r="K1095" s="1">
        <v>6.72147E8</v>
      </c>
      <c r="L1095" s="1">
        <v>-3.9092E7</v>
      </c>
      <c r="M1095" s="1">
        <v>7.3233E7</v>
      </c>
      <c r="N1095" s="1">
        <v>1.803773E9</v>
      </c>
      <c r="O1095" s="1">
        <v>1.131626E9</v>
      </c>
      <c r="P1095" s="1">
        <v>7.09629E8</v>
      </c>
      <c r="Q1095" s="1">
        <v>-3.1744E7</v>
      </c>
      <c r="R1095" s="1">
        <v>5.6717E8</v>
      </c>
      <c r="S1095" s="1">
        <v>5.67496E8</v>
      </c>
    </row>
    <row r="1096">
      <c r="A1096" s="1">
        <v>1094.0</v>
      </c>
      <c r="B1096" s="2">
        <v>44196.0</v>
      </c>
      <c r="C1096" s="1" t="s">
        <v>587</v>
      </c>
      <c r="D1096" s="1" t="s">
        <v>588</v>
      </c>
      <c r="E1096" s="1">
        <v>2.29064E8</v>
      </c>
      <c r="F1096" s="1">
        <v>5.27402E8</v>
      </c>
      <c r="G1096" s="1">
        <v>4.57251E8</v>
      </c>
      <c r="H1096" s="1">
        <v>1.81909E8</v>
      </c>
      <c r="I1096" s="1">
        <v>9.81137E8</v>
      </c>
      <c r="J1096" s="1">
        <v>5.70164E8</v>
      </c>
      <c r="K1096" s="1">
        <v>5.70164E8</v>
      </c>
      <c r="L1096" s="1">
        <v>-3.888E7</v>
      </c>
      <c r="M1096" s="1">
        <v>7.0419E7</v>
      </c>
      <c r="N1096" s="1">
        <v>1.65087E9</v>
      </c>
      <c r="O1096" s="1">
        <v>1.080706E9</v>
      </c>
      <c r="P1096" s="1">
        <v>6.69733E8</v>
      </c>
      <c r="Q1096" s="1">
        <v>-4.2762E7</v>
      </c>
      <c r="R1096" s="1">
        <v>4.56983E8</v>
      </c>
      <c r="S1096" s="1">
        <v>4.57251E8</v>
      </c>
    </row>
    <row r="1097">
      <c r="A1097" s="1">
        <v>1095.0</v>
      </c>
      <c r="B1097" s="2">
        <v>44104.0</v>
      </c>
      <c r="C1097" s="1" t="s">
        <v>587</v>
      </c>
      <c r="D1097" s="1" t="s">
        <v>588</v>
      </c>
      <c r="E1097" s="1">
        <v>2.19038E8</v>
      </c>
      <c r="F1097" s="1">
        <v>4.83806E8</v>
      </c>
      <c r="G1097" s="1">
        <v>4.20567E8</v>
      </c>
      <c r="H1097" s="1">
        <v>1.72631E8</v>
      </c>
      <c r="I1097" s="1">
        <v>9.18058E8</v>
      </c>
      <c r="J1097" s="1">
        <v>5.26389E8</v>
      </c>
      <c r="K1097" s="1">
        <v>5.26389E8</v>
      </c>
      <c r="L1097" s="1">
        <v>-3.9386E7</v>
      </c>
      <c r="M1097" s="1">
        <v>6.3664E7</v>
      </c>
      <c r="N1097" s="1">
        <v>1.53862E9</v>
      </c>
      <c r="O1097" s="1">
        <v>1.012231E9</v>
      </c>
      <c r="P1097" s="1">
        <v>6.20562E8</v>
      </c>
      <c r="Q1097" s="1">
        <v>-4.2583E7</v>
      </c>
      <c r="R1097" s="1">
        <v>4.20142E8</v>
      </c>
      <c r="S1097" s="1">
        <v>4.20567E8</v>
      </c>
    </row>
    <row r="1098">
      <c r="A1098" s="1">
        <v>1096.0</v>
      </c>
      <c r="B1098" s="2">
        <v>44373.0</v>
      </c>
      <c r="C1098" s="1" t="s">
        <v>589</v>
      </c>
      <c r="D1098" s="1" t="s">
        <v>590</v>
      </c>
      <c r="F1098" s="1">
        <v>6.45E8</v>
      </c>
      <c r="G1098" s="1">
        <v>-2.7E7</v>
      </c>
      <c r="H1098" s="1">
        <v>8.66E8</v>
      </c>
      <c r="I1098" s="1">
        <v>2.292E9</v>
      </c>
      <c r="J1098" s="1">
        <v>1.426E9</v>
      </c>
      <c r="K1098" s="1">
        <v>1.426E9</v>
      </c>
      <c r="L1098" s="1">
        <v>-6.13E8</v>
      </c>
      <c r="M1098" s="1">
        <v>6.7E8</v>
      </c>
      <c r="N1098" s="1">
        <v>6.615E9</v>
      </c>
      <c r="O1098" s="1">
        <v>5.189E9</v>
      </c>
      <c r="P1098" s="1">
        <v>4.323E9</v>
      </c>
      <c r="Q1098" s="1">
        <v>-7.81E8</v>
      </c>
      <c r="R1098" s="1">
        <v>-2.5E7</v>
      </c>
      <c r="S1098" s="1">
        <v>-2.7E7</v>
      </c>
    </row>
    <row r="1099">
      <c r="A1099" s="1">
        <v>1097.0</v>
      </c>
      <c r="B1099" s="2">
        <v>44282.0</v>
      </c>
      <c r="C1099" s="1" t="s">
        <v>589</v>
      </c>
      <c r="D1099" s="1" t="s">
        <v>590</v>
      </c>
      <c r="F1099" s="1">
        <v>7.04E8</v>
      </c>
      <c r="G1099" s="1">
        <v>5.63E8</v>
      </c>
      <c r="H1099" s="1">
        <v>8.15E8</v>
      </c>
      <c r="I1099" s="1">
        <v>2.204E9</v>
      </c>
      <c r="J1099" s="1">
        <v>1.389E9</v>
      </c>
      <c r="K1099" s="1">
        <v>1.389E9</v>
      </c>
      <c r="L1099" s="1">
        <v>-4.15E8</v>
      </c>
      <c r="M1099" s="1">
        <v>1.36E8</v>
      </c>
      <c r="N1099" s="1">
        <v>6.394E9</v>
      </c>
      <c r="O1099" s="1">
        <v>5.005E9</v>
      </c>
      <c r="P1099" s="1">
        <v>4.19E9</v>
      </c>
      <c r="Q1099" s="1">
        <v>-6.85E8</v>
      </c>
      <c r="R1099" s="1">
        <v>5.68E8</v>
      </c>
      <c r="S1099" s="1">
        <v>5.63E8</v>
      </c>
    </row>
    <row r="1100">
      <c r="A1100" s="1">
        <v>1098.0</v>
      </c>
      <c r="B1100" s="2">
        <v>44191.0</v>
      </c>
      <c r="C1100" s="1" t="s">
        <v>589</v>
      </c>
      <c r="D1100" s="1" t="s">
        <v>590</v>
      </c>
      <c r="E1100" s="1">
        <v>1.19E8</v>
      </c>
      <c r="F1100" s="1">
        <v>1.286E9</v>
      </c>
      <c r="G1100" s="1">
        <v>1.032E9</v>
      </c>
      <c r="H1100" s="1">
        <v>6.22E8</v>
      </c>
      <c r="I1100" s="1">
        <v>2.521E9</v>
      </c>
      <c r="J1100" s="1">
        <v>1.78E9</v>
      </c>
      <c r="K1100" s="1">
        <v>1.78E9</v>
      </c>
      <c r="L1100" s="1">
        <v>-3.28E8</v>
      </c>
      <c r="M1100" s="1">
        <v>2.52E8</v>
      </c>
      <c r="N1100" s="1">
        <v>6.939E9</v>
      </c>
      <c r="O1100" s="1">
        <v>5.159E9</v>
      </c>
      <c r="P1100" s="1">
        <v>4.418E9</v>
      </c>
      <c r="Q1100" s="1">
        <v>-4.94E8</v>
      </c>
      <c r="R1100" s="1">
        <v>1.034E9</v>
      </c>
      <c r="S1100" s="1">
        <v>1.032E9</v>
      </c>
    </row>
    <row r="1101">
      <c r="A1101" s="1">
        <v>1099.0</v>
      </c>
      <c r="B1101" s="2">
        <v>44100.0</v>
      </c>
      <c r="C1101" s="1" t="s">
        <v>589</v>
      </c>
      <c r="D1101" s="1" t="s">
        <v>590</v>
      </c>
      <c r="E1101" s="1">
        <v>1.19E8</v>
      </c>
      <c r="F1101" s="1">
        <v>9.06E8</v>
      </c>
      <c r="G1101" s="1">
        <v>5.97E8</v>
      </c>
      <c r="H1101" s="1">
        <v>8.39E8</v>
      </c>
      <c r="I1101" s="1">
        <v>2.341E9</v>
      </c>
      <c r="J1101" s="1">
        <v>1.502E9</v>
      </c>
      <c r="K1101" s="1">
        <v>1.502E9</v>
      </c>
      <c r="L1101" s="1">
        <v>-3.14E8</v>
      </c>
      <c r="M1101" s="1">
        <v>3.08E8</v>
      </c>
      <c r="N1101" s="1">
        <v>6.441E9</v>
      </c>
      <c r="O1101" s="1">
        <v>4.939E9</v>
      </c>
      <c r="P1101" s="1">
        <v>4.1E9</v>
      </c>
      <c r="Q1101" s="1">
        <v>-5.96E8</v>
      </c>
      <c r="R1101" s="1">
        <v>5.98E8</v>
      </c>
      <c r="S1101" s="1">
        <v>5.97E8</v>
      </c>
    </row>
    <row r="1102">
      <c r="A1102" s="1">
        <v>1100.0</v>
      </c>
      <c r="B1102" s="2">
        <v>44330.0</v>
      </c>
      <c r="C1102" s="1" t="s">
        <v>591</v>
      </c>
      <c r="D1102" s="1" t="s">
        <v>592</v>
      </c>
      <c r="F1102" s="1">
        <v>1.79E8</v>
      </c>
      <c r="G1102" s="1">
        <v>1.4E8</v>
      </c>
      <c r="H1102" s="1">
        <v>7.58E9</v>
      </c>
      <c r="I1102" s="1">
        <v>9.351E9</v>
      </c>
      <c r="J1102" s="1">
        <v>9.1E8</v>
      </c>
      <c r="K1102" s="1">
        <v>9.1E8</v>
      </c>
      <c r="L1102" s="1">
        <v>-1.65E8</v>
      </c>
      <c r="M1102" s="1">
        <v>3.6E7</v>
      </c>
      <c r="N1102" s="1">
        <v>4.1298E10</v>
      </c>
      <c r="O1102" s="1">
        <v>4.0388E10</v>
      </c>
      <c r="P1102" s="1">
        <v>3.1947E10</v>
      </c>
      <c r="Q1102" s="1">
        <v>-7.31E8</v>
      </c>
      <c r="R1102" s="1">
        <v>1.43E8</v>
      </c>
      <c r="S1102" s="1">
        <v>1.39E8</v>
      </c>
    </row>
    <row r="1103">
      <c r="A1103" s="1">
        <v>1101.0</v>
      </c>
      <c r="B1103" s="2">
        <v>44226.0</v>
      </c>
      <c r="C1103" s="1" t="s">
        <v>591</v>
      </c>
      <c r="D1103" s="1" t="s">
        <v>592</v>
      </c>
      <c r="F1103" s="1">
        <v>-1.1E8</v>
      </c>
      <c r="G1103" s="1">
        <v>-7.7E7</v>
      </c>
      <c r="H1103" s="1">
        <v>7.256E9</v>
      </c>
      <c r="I1103" s="1">
        <v>7.934E9</v>
      </c>
      <c r="J1103" s="1">
        <v>4000000.0</v>
      </c>
      <c r="K1103" s="1">
        <v>4000000.0</v>
      </c>
      <c r="L1103" s="1">
        <v>-1.06E8</v>
      </c>
      <c r="M1103" s="1">
        <v>-3.4E7</v>
      </c>
      <c r="N1103" s="1">
        <v>3.0737E10</v>
      </c>
      <c r="O1103" s="1">
        <v>3.0733E10</v>
      </c>
      <c r="P1103" s="1">
        <v>2.2803E10</v>
      </c>
      <c r="Q1103" s="1">
        <v>-1.14E8</v>
      </c>
      <c r="R1103" s="1">
        <v>-7.6E7</v>
      </c>
      <c r="S1103" s="1">
        <v>-7.5E7</v>
      </c>
    </row>
    <row r="1104">
      <c r="A1104" s="1">
        <v>1102.0</v>
      </c>
      <c r="B1104" s="2">
        <v>44142.0</v>
      </c>
      <c r="C1104" s="1" t="s">
        <v>591</v>
      </c>
      <c r="D1104" s="1" t="s">
        <v>592</v>
      </c>
      <c r="F1104" s="1">
        <v>8.34E8</v>
      </c>
      <c r="G1104" s="1">
        <v>6.31E8</v>
      </c>
      <c r="H1104" s="1">
        <v>5.333E9</v>
      </c>
      <c r="I1104" s="1">
        <v>6.822E9</v>
      </c>
      <c r="J1104" s="1">
        <v>8.58E8</v>
      </c>
      <c r="K1104" s="1">
        <v>8.58E8</v>
      </c>
      <c r="L1104" s="1">
        <v>-1.29E8</v>
      </c>
      <c r="M1104" s="1">
        <v>2.02E8</v>
      </c>
      <c r="N1104" s="1">
        <v>2.9723E10</v>
      </c>
      <c r="O1104" s="1">
        <v>2.8865E10</v>
      </c>
      <c r="P1104" s="1">
        <v>2.2901E10</v>
      </c>
      <c r="Q1104" s="1">
        <v>-2.4E7</v>
      </c>
      <c r="R1104" s="1">
        <v>6.32E8</v>
      </c>
      <c r="S1104" s="1">
        <v>6.25E8</v>
      </c>
    </row>
    <row r="1105">
      <c r="A1105" s="1">
        <v>1103.0</v>
      </c>
      <c r="B1105" s="2">
        <v>44058.0</v>
      </c>
      <c r="C1105" s="1" t="s">
        <v>591</v>
      </c>
      <c r="D1105" s="1" t="s">
        <v>592</v>
      </c>
      <c r="F1105" s="1">
        <v>1.061E9</v>
      </c>
      <c r="G1105" s="1">
        <v>8.19E8</v>
      </c>
      <c r="H1105" s="1">
        <v>5.439E9</v>
      </c>
      <c r="I1105" s="1">
        <v>6.938E9</v>
      </c>
      <c r="J1105" s="1">
        <v>8.82E8</v>
      </c>
      <c r="K1105" s="1">
        <v>8.82E8</v>
      </c>
      <c r="L1105" s="1">
        <v>-1.35E8</v>
      </c>
      <c r="M1105" s="1">
        <v>2.41E8</v>
      </c>
      <c r="N1105" s="1">
        <v>3.0489E10</v>
      </c>
      <c r="O1105" s="1">
        <v>2.9607E10</v>
      </c>
      <c r="P1105" s="1">
        <v>2.3551E10</v>
      </c>
      <c r="Q1105" s="1">
        <v>1.79E8</v>
      </c>
      <c r="R1105" s="1">
        <v>8.2E8</v>
      </c>
      <c r="S1105" s="1">
        <v>8.09E8</v>
      </c>
    </row>
    <row r="1106">
      <c r="A1106" s="1">
        <v>1104.0</v>
      </c>
      <c r="B1106" s="2">
        <v>44379.0</v>
      </c>
      <c r="C1106" s="1" t="s">
        <v>593</v>
      </c>
      <c r="D1106" s="1" t="s">
        <v>594</v>
      </c>
      <c r="F1106" s="1">
        <v>5.82E8</v>
      </c>
      <c r="G1106" s="1">
        <v>4.13E8</v>
      </c>
      <c r="H1106" s="1">
        <v>7.57E8</v>
      </c>
      <c r="I1106" s="1">
        <v>1.417E9</v>
      </c>
      <c r="J1106" s="1">
        <v>6.6E8</v>
      </c>
      <c r="K1106" s="1">
        <v>6.6E8</v>
      </c>
      <c r="L1106" s="1">
        <v>-6.5E7</v>
      </c>
      <c r="M1106" s="1">
        <v>1.69E8</v>
      </c>
      <c r="N1106" s="1">
        <v>4.668E9</v>
      </c>
      <c r="O1106" s="1">
        <v>4.008E9</v>
      </c>
      <c r="P1106" s="1">
        <v>3.251E9</v>
      </c>
      <c r="Q1106" s="1">
        <v>-7.8E7</v>
      </c>
      <c r="R1106" s="1">
        <v>4.13E8</v>
      </c>
      <c r="S1106" s="1">
        <v>4.13E8</v>
      </c>
    </row>
    <row r="1107">
      <c r="A1107" s="1">
        <v>1105.0</v>
      </c>
      <c r="B1107" s="2">
        <v>44288.0</v>
      </c>
      <c r="C1107" s="1" t="s">
        <v>593</v>
      </c>
      <c r="D1107" s="1" t="s">
        <v>594</v>
      </c>
      <c r="F1107" s="1">
        <v>5.27E8</v>
      </c>
      <c r="G1107" s="1">
        <v>4.68E8</v>
      </c>
      <c r="H1107" s="1">
        <v>6.69E8</v>
      </c>
      <c r="I1107" s="1">
        <v>1.354E9</v>
      </c>
      <c r="J1107" s="1">
        <v>6.85E8</v>
      </c>
      <c r="K1107" s="1">
        <v>6.85E8</v>
      </c>
      <c r="L1107" s="1">
        <v>-6.9E7</v>
      </c>
      <c r="M1107" s="1">
        <v>6.0E7</v>
      </c>
      <c r="N1107" s="1">
        <v>4.567E9</v>
      </c>
      <c r="O1107" s="1">
        <v>3.882E9</v>
      </c>
      <c r="P1107" s="1">
        <v>3.213E9</v>
      </c>
      <c r="Q1107" s="1">
        <v>-1.58E8</v>
      </c>
      <c r="R1107" s="1">
        <v>4.67E8</v>
      </c>
      <c r="S1107" s="1">
        <v>4.68E8</v>
      </c>
    </row>
    <row r="1108">
      <c r="A1108" s="1">
        <v>1106.0</v>
      </c>
      <c r="B1108" s="2">
        <v>44197.0</v>
      </c>
      <c r="C1108" s="1" t="s">
        <v>593</v>
      </c>
      <c r="D1108" s="1" t="s">
        <v>594</v>
      </c>
      <c r="F1108" s="1">
        <v>2.47E8</v>
      </c>
      <c r="G1108" s="1">
        <v>1.93E8</v>
      </c>
      <c r="H1108" s="1">
        <v>7.13E8</v>
      </c>
      <c r="I1108" s="1">
        <v>1.399E9</v>
      </c>
      <c r="J1108" s="1">
        <v>6.86E8</v>
      </c>
      <c r="K1108" s="1">
        <v>6.86E8</v>
      </c>
      <c r="L1108" s="1">
        <v>-6.8E7</v>
      </c>
      <c r="M1108" s="1">
        <v>6.3E7</v>
      </c>
      <c r="N1108" s="1">
        <v>4.66E9</v>
      </c>
      <c r="O1108" s="1">
        <v>3.974E9</v>
      </c>
      <c r="P1108" s="1">
        <v>3.261E9</v>
      </c>
      <c r="Q1108" s="1">
        <v>-4.39E8</v>
      </c>
      <c r="R1108" s="1">
        <v>1.84E8</v>
      </c>
      <c r="S1108" s="1">
        <v>1.93E8</v>
      </c>
    </row>
    <row r="1109">
      <c r="A1109" s="1">
        <v>1107.0</v>
      </c>
      <c r="B1109" s="2">
        <v>44106.0</v>
      </c>
      <c r="C1109" s="1" t="s">
        <v>593</v>
      </c>
      <c r="D1109" s="1" t="s">
        <v>594</v>
      </c>
      <c r="F1109" s="1">
        <v>5.18E8</v>
      </c>
      <c r="G1109" s="1">
        <v>4.26E8</v>
      </c>
      <c r="H1109" s="1">
        <v>6.91E8</v>
      </c>
      <c r="I1109" s="1">
        <v>1.311E9</v>
      </c>
      <c r="J1109" s="1">
        <v>6.2E8</v>
      </c>
      <c r="K1109" s="1">
        <v>6.2E8</v>
      </c>
      <c r="L1109" s="1">
        <v>-6.6E7</v>
      </c>
      <c r="M1109" s="1">
        <v>8.7E7</v>
      </c>
      <c r="N1109" s="1">
        <v>4.463E9</v>
      </c>
      <c r="O1109" s="1">
        <v>3.843E9</v>
      </c>
      <c r="P1109" s="1">
        <v>3.152E9</v>
      </c>
      <c r="Q1109" s="1">
        <v>-1.02E8</v>
      </c>
      <c r="R1109" s="1">
        <v>4.31E8</v>
      </c>
      <c r="S1109" s="1">
        <v>4.26E8</v>
      </c>
    </row>
    <row r="1110">
      <c r="A1110" s="1">
        <v>1108.0</v>
      </c>
      <c r="B1110" s="2">
        <v>44286.0</v>
      </c>
      <c r="C1110" s="1" t="s">
        <v>595</v>
      </c>
      <c r="D1110" s="1" t="s">
        <v>596</v>
      </c>
      <c r="F1110" s="1">
        <v>1.0218E9</v>
      </c>
      <c r="G1110" s="1">
        <v>7.696E8</v>
      </c>
      <c r="H1110" s="1">
        <v>4.183E8</v>
      </c>
      <c r="I1110" s="1">
        <v>1.599E9</v>
      </c>
      <c r="J1110" s="1">
        <v>1.1178E9</v>
      </c>
      <c r="K1110" s="1">
        <v>1.1178E9</v>
      </c>
      <c r="L1110" s="1">
        <v>-4.85E7</v>
      </c>
      <c r="M1110" s="1">
        <v>2.517E8</v>
      </c>
      <c r="N1110" s="1">
        <v>4.1615E9</v>
      </c>
      <c r="O1110" s="1">
        <v>3.0437E9</v>
      </c>
      <c r="P1110" s="1">
        <v>2.5625E9</v>
      </c>
      <c r="Q1110" s="1">
        <v>-9.6E7</v>
      </c>
      <c r="R1110" s="1">
        <v>7.701E8</v>
      </c>
      <c r="S1110" s="1">
        <v>7.696E8</v>
      </c>
    </row>
    <row r="1111">
      <c r="A1111" s="1">
        <v>1109.0</v>
      </c>
      <c r="B1111" s="2">
        <v>44196.0</v>
      </c>
      <c r="C1111" s="1" t="s">
        <v>595</v>
      </c>
      <c r="D1111" s="1" t="s">
        <v>596</v>
      </c>
      <c r="F1111" s="1">
        <v>1.2427E9</v>
      </c>
      <c r="G1111" s="1">
        <v>9.383E8</v>
      </c>
      <c r="H1111" s="1">
        <v>4.955E8</v>
      </c>
      <c r="I1111" s="1">
        <v>1.9614E9</v>
      </c>
      <c r="J1111" s="1">
        <v>1.4026E9</v>
      </c>
      <c r="K1111" s="1">
        <v>1.4026E9</v>
      </c>
      <c r="L1111" s="1">
        <v>-4.83E7</v>
      </c>
      <c r="M1111" s="1">
        <v>3.041E8</v>
      </c>
      <c r="N1111" s="1">
        <v>4.4898E9</v>
      </c>
      <c r="O1111" s="1">
        <v>3.0872E9</v>
      </c>
      <c r="P1111" s="1">
        <v>2.5284E9</v>
      </c>
      <c r="Q1111" s="1">
        <v>-1.599E8</v>
      </c>
      <c r="R1111" s="1">
        <v>9.386E8</v>
      </c>
      <c r="S1111" s="1">
        <v>9.383E8</v>
      </c>
    </row>
    <row r="1112">
      <c r="A1112" s="1">
        <v>1110.0</v>
      </c>
      <c r="B1112" s="2">
        <v>44104.0</v>
      </c>
      <c r="C1112" s="1" t="s">
        <v>595</v>
      </c>
      <c r="D1112" s="1" t="s">
        <v>596</v>
      </c>
      <c r="F1112" s="1">
        <v>9.471E8</v>
      </c>
      <c r="G1112" s="1">
        <v>7.034E8</v>
      </c>
      <c r="H1112" s="1">
        <v>4.132E8</v>
      </c>
      <c r="I1112" s="1">
        <v>1.5594E9</v>
      </c>
      <c r="J1112" s="1">
        <v>1.084E9</v>
      </c>
      <c r="K1112" s="1">
        <v>1.084E9</v>
      </c>
      <c r="L1112" s="1">
        <v>-5.14E7</v>
      </c>
      <c r="M1112" s="1">
        <v>2.434E8</v>
      </c>
      <c r="N1112" s="1">
        <v>3.8961E9</v>
      </c>
      <c r="O1112" s="1">
        <v>2.8121E9</v>
      </c>
      <c r="P1112" s="1">
        <v>2.3367E9</v>
      </c>
      <c r="Q1112" s="1">
        <v>-1.369E8</v>
      </c>
      <c r="R1112" s="1">
        <v>7.037E8</v>
      </c>
      <c r="S1112" s="1">
        <v>7.034E8</v>
      </c>
    </row>
    <row r="1113">
      <c r="A1113" s="1">
        <v>1111.0</v>
      </c>
      <c r="B1113" s="2">
        <v>44012.0</v>
      </c>
      <c r="C1113" s="1" t="s">
        <v>595</v>
      </c>
      <c r="D1113" s="1" t="s">
        <v>596</v>
      </c>
      <c r="F1113" s="1">
        <v>2.97E8</v>
      </c>
      <c r="G1113" s="1">
        <v>2.316E8</v>
      </c>
      <c r="H1113" s="1">
        <v>3.837E8</v>
      </c>
      <c r="I1113" s="1">
        <v>7.605E8</v>
      </c>
      <c r="J1113" s="1">
        <v>3.167E8</v>
      </c>
      <c r="K1113" s="1">
        <v>3.167E8</v>
      </c>
      <c r="L1113" s="1">
        <v>-5.27E7</v>
      </c>
      <c r="M1113" s="1">
        <v>6.54E7</v>
      </c>
      <c r="N1113" s="1">
        <v>2.7688E9</v>
      </c>
      <c r="O1113" s="1">
        <v>2.4521E9</v>
      </c>
      <c r="P1113" s="1">
        <v>2.0083E9</v>
      </c>
      <c r="Q1113" s="1">
        <v>-1.97E7</v>
      </c>
      <c r="R1113" s="1">
        <v>2.316E8</v>
      </c>
      <c r="S1113" s="1">
        <v>2.316E8</v>
      </c>
    </row>
    <row r="1114">
      <c r="A1114" s="1">
        <v>1112.0</v>
      </c>
      <c r="B1114" s="2">
        <v>44374.0</v>
      </c>
      <c r="C1114" s="1" t="s">
        <v>597</v>
      </c>
      <c r="D1114" s="1" t="s">
        <v>598</v>
      </c>
      <c r="E1114" s="1">
        <v>3.81749E8</v>
      </c>
      <c r="F1114" s="1">
        <v>1.308761E9</v>
      </c>
      <c r="G1114" s="1">
        <v>1.144657E9</v>
      </c>
      <c r="H1114" s="1">
        <v>2.17525E8</v>
      </c>
      <c r="I1114" s="1">
        <v>1.915201E9</v>
      </c>
      <c r="J1114" s="1">
        <v>1.315927E9</v>
      </c>
      <c r="K1114" s="1">
        <v>1.315927E9</v>
      </c>
      <c r="L1114" s="1">
        <v>-5.1695E7</v>
      </c>
      <c r="M1114" s="1">
        <v>1.64104E8</v>
      </c>
      <c r="N1114" s="1">
        <v>4.145179E9</v>
      </c>
      <c r="O1114" s="1">
        <v>2.829252E9</v>
      </c>
      <c r="P1114" s="1">
        <v>2.229978E9</v>
      </c>
      <c r="Q1114" s="1">
        <v>-7166000.0</v>
      </c>
      <c r="R1114" s="1">
        <v>1.144657E9</v>
      </c>
      <c r="S1114" s="1">
        <v>1.144657E9</v>
      </c>
    </row>
    <row r="1115">
      <c r="A1115" s="1">
        <v>1113.0</v>
      </c>
      <c r="B1115" s="2">
        <v>44283.0</v>
      </c>
      <c r="C1115" s="1" t="s">
        <v>597</v>
      </c>
      <c r="D1115" s="1" t="s">
        <v>598</v>
      </c>
      <c r="E1115" s="1">
        <v>3.8112E8</v>
      </c>
      <c r="F1115" s="1">
        <v>1.159988E9</v>
      </c>
      <c r="G1115" s="1">
        <v>1.071121E9</v>
      </c>
      <c r="H1115" s="1">
        <v>2.03703E8</v>
      </c>
      <c r="I1115" s="1">
        <v>1.780131E9</v>
      </c>
      <c r="J1115" s="1">
        <v>1.195308E9</v>
      </c>
      <c r="K1115" s="1">
        <v>1.195308E9</v>
      </c>
      <c r="L1115" s="1">
        <v>-5.2236E7</v>
      </c>
      <c r="M1115" s="1">
        <v>8.8867E7</v>
      </c>
      <c r="N1115" s="1">
        <v>3.847654E9</v>
      </c>
      <c r="O1115" s="1">
        <v>2.652346E9</v>
      </c>
      <c r="P1115" s="1">
        <v>2.067523E9</v>
      </c>
      <c r="Q1115" s="1">
        <v>-3.532E7</v>
      </c>
      <c r="R1115" s="1">
        <v>1.071121E9</v>
      </c>
      <c r="S1115" s="1">
        <v>1.071121E9</v>
      </c>
    </row>
    <row r="1116">
      <c r="A1116" s="1">
        <v>1114.0</v>
      </c>
      <c r="B1116" s="2">
        <v>44192.0</v>
      </c>
      <c r="C1116" s="1" t="s">
        <v>597</v>
      </c>
      <c r="D1116" s="1" t="s">
        <v>598</v>
      </c>
      <c r="E1116" s="1">
        <v>3.75172E8</v>
      </c>
      <c r="F1116" s="1">
        <v>9.79783E8</v>
      </c>
      <c r="G1116" s="1">
        <v>8.69229E8</v>
      </c>
      <c r="H1116" s="1">
        <v>2.18899E8</v>
      </c>
      <c r="I1116" s="1">
        <v>1.603795E9</v>
      </c>
      <c r="J1116" s="1">
        <v>1.009724E9</v>
      </c>
      <c r="K1116" s="1">
        <v>1.009724E9</v>
      </c>
      <c r="L1116" s="1">
        <v>-5.2551E7</v>
      </c>
      <c r="M1116" s="1">
        <v>1.10554E8</v>
      </c>
      <c r="N1116" s="1">
        <v>3.456237E9</v>
      </c>
      <c r="O1116" s="1">
        <v>2.446513E9</v>
      </c>
      <c r="P1116" s="1">
        <v>1.852442E9</v>
      </c>
      <c r="Q1116" s="1">
        <v>-2.9941E7</v>
      </c>
      <c r="R1116" s="1">
        <v>8.69229E8</v>
      </c>
      <c r="S1116" s="1">
        <v>8.69229E8</v>
      </c>
    </row>
    <row r="1117">
      <c r="A1117" s="1">
        <v>1115.0</v>
      </c>
      <c r="B1117" s="2">
        <v>44101.0</v>
      </c>
      <c r="C1117" s="1" t="s">
        <v>597</v>
      </c>
      <c r="D1117" s="1" t="s">
        <v>598</v>
      </c>
      <c r="E1117" s="1">
        <v>3.55367E8</v>
      </c>
      <c r="F1117" s="1">
        <v>9.22272E8</v>
      </c>
      <c r="G1117" s="1">
        <v>8.23451E8</v>
      </c>
      <c r="H1117" s="1">
        <v>1.89748E8</v>
      </c>
      <c r="I1117" s="1">
        <v>1.506179E9</v>
      </c>
      <c r="J1117" s="1">
        <v>9.61064E8</v>
      </c>
      <c r="K1117" s="1">
        <v>9.61064E8</v>
      </c>
      <c r="L1117" s="1">
        <v>-5.2115E7</v>
      </c>
      <c r="M1117" s="1">
        <v>9.8821E7</v>
      </c>
      <c r="N1117" s="1">
        <v>3.17708E9</v>
      </c>
      <c r="O1117" s="1">
        <v>2.216016E9</v>
      </c>
      <c r="P1117" s="1">
        <v>1.670901E9</v>
      </c>
      <c r="Q1117" s="1">
        <v>-3.8792E7</v>
      </c>
      <c r="R1117" s="1">
        <v>8.23451E8</v>
      </c>
      <c r="S1117" s="1">
        <v>8.23451E8</v>
      </c>
    </row>
    <row r="1118">
      <c r="A1118" s="1">
        <v>1116.0</v>
      </c>
      <c r="B1118" s="2">
        <v>44346.0</v>
      </c>
      <c r="C1118" s="1" t="s">
        <v>599</v>
      </c>
      <c r="D1118" s="1" t="s">
        <v>600</v>
      </c>
      <c r="E1118" s="1">
        <v>1.29E7</v>
      </c>
      <c r="F1118" s="1">
        <v>7.98E7</v>
      </c>
      <c r="G1118" s="1">
        <v>6.55E7</v>
      </c>
      <c r="H1118" s="1">
        <v>8.55E7</v>
      </c>
      <c r="I1118" s="1">
        <v>1.98E8</v>
      </c>
      <c r="J1118" s="1">
        <v>9.96E7</v>
      </c>
      <c r="K1118" s="1">
        <v>9.96E7</v>
      </c>
      <c r="L1118" s="1">
        <v>-2.87E7</v>
      </c>
      <c r="M1118" s="1">
        <v>1.43E7</v>
      </c>
      <c r="N1118" s="1">
        <v>1.0075E9</v>
      </c>
      <c r="O1118" s="1">
        <v>9.079E8</v>
      </c>
      <c r="P1118" s="1">
        <v>8.095E8</v>
      </c>
      <c r="Q1118" s="1">
        <v>-1.98E7</v>
      </c>
      <c r="R1118" s="1">
        <v>6.55E7</v>
      </c>
      <c r="S1118" s="1">
        <v>6.55E7</v>
      </c>
    </row>
    <row r="1119">
      <c r="A1119" s="1">
        <v>1117.0</v>
      </c>
      <c r="B1119" s="2">
        <v>44255.0</v>
      </c>
      <c r="C1119" s="1" t="s">
        <v>599</v>
      </c>
      <c r="D1119" s="1" t="s">
        <v>600</v>
      </c>
      <c r="E1119" s="1">
        <v>1.29E7</v>
      </c>
      <c r="F1119" s="1">
        <v>8.24E7</v>
      </c>
      <c r="G1119" s="1">
        <v>6.61E7</v>
      </c>
      <c r="H1119" s="1">
        <v>9.51E7</v>
      </c>
      <c r="I1119" s="1">
        <v>1.967E8</v>
      </c>
      <c r="J1119" s="1">
        <v>1.016E8</v>
      </c>
      <c r="K1119" s="1">
        <v>1.016E8</v>
      </c>
      <c r="L1119" s="1">
        <v>-2.93E7</v>
      </c>
      <c r="M1119" s="1">
        <v>1.63E7</v>
      </c>
      <c r="N1119" s="1">
        <v>8.958E8</v>
      </c>
      <c r="O1119" s="1">
        <v>7.942E8</v>
      </c>
      <c r="P1119" s="1">
        <v>6.991E8</v>
      </c>
      <c r="Q1119" s="1">
        <v>-1.92E7</v>
      </c>
      <c r="R1119" s="1">
        <v>6.61E7</v>
      </c>
      <c r="S1119" s="1">
        <v>6.61E7</v>
      </c>
    </row>
    <row r="1120">
      <c r="A1120" s="1">
        <v>1118.0</v>
      </c>
      <c r="B1120" s="2">
        <v>44164.0</v>
      </c>
      <c r="C1120" s="1" t="s">
        <v>599</v>
      </c>
      <c r="D1120" s="1" t="s">
        <v>600</v>
      </c>
      <c r="E1120" s="1">
        <v>1.29E7</v>
      </c>
      <c r="F1120" s="1">
        <v>1.288E8</v>
      </c>
      <c r="G1120" s="1">
        <v>9.69E7</v>
      </c>
      <c r="H1120" s="1">
        <v>7.89E7</v>
      </c>
      <c r="I1120" s="1">
        <v>2.235E8</v>
      </c>
      <c r="J1120" s="1">
        <v>1.446E8</v>
      </c>
      <c r="K1120" s="1">
        <v>1.446E8</v>
      </c>
      <c r="L1120" s="1">
        <v>-3.0E7</v>
      </c>
      <c r="M1120" s="1">
        <v>3.19E7</v>
      </c>
      <c r="N1120" s="1">
        <v>8.961E8</v>
      </c>
      <c r="O1120" s="1">
        <v>7.515E8</v>
      </c>
      <c r="P1120" s="1">
        <v>6.726E8</v>
      </c>
      <c r="Q1120" s="1">
        <v>-1.58E7</v>
      </c>
      <c r="R1120" s="1">
        <v>9.69E7</v>
      </c>
      <c r="S1120" s="1">
        <v>9.69E7</v>
      </c>
    </row>
    <row r="1121">
      <c r="A1121" s="1">
        <v>1119.0</v>
      </c>
      <c r="B1121" s="2">
        <v>44073.0</v>
      </c>
      <c r="C1121" s="1" t="s">
        <v>599</v>
      </c>
      <c r="D1121" s="1" t="s">
        <v>600</v>
      </c>
      <c r="E1121" s="1">
        <v>1.29E7</v>
      </c>
      <c r="F1121" s="1">
        <v>1.173E8</v>
      </c>
      <c r="G1121" s="1">
        <v>8.93E7</v>
      </c>
      <c r="H1121" s="1">
        <v>7.41E7</v>
      </c>
      <c r="I1121" s="1">
        <v>2.298E8</v>
      </c>
      <c r="J1121" s="1">
        <v>1.557E8</v>
      </c>
      <c r="K1121" s="1">
        <v>1.557E8</v>
      </c>
      <c r="L1121" s="1">
        <v>-3.03E7</v>
      </c>
      <c r="M1121" s="1">
        <v>2.8E7</v>
      </c>
      <c r="N1121" s="1">
        <v>8.715E8</v>
      </c>
      <c r="O1121" s="1">
        <v>7.158E8</v>
      </c>
      <c r="P1121" s="1">
        <v>6.417E8</v>
      </c>
      <c r="Q1121" s="1">
        <v>-3.84E7</v>
      </c>
      <c r="R1121" s="1">
        <v>8.93E7</v>
      </c>
      <c r="S1121" s="1">
        <v>8.93E7</v>
      </c>
    </row>
    <row r="1122">
      <c r="A1122" s="1">
        <v>1120.0</v>
      </c>
      <c r="B1122" s="2">
        <v>44286.0</v>
      </c>
      <c r="C1122" s="1" t="s">
        <v>601</v>
      </c>
      <c r="D1122" s="1" t="s">
        <v>602</v>
      </c>
      <c r="F1122" s="1">
        <v>-2.66E8</v>
      </c>
      <c r="G1122" s="1">
        <v>-2.78E8</v>
      </c>
      <c r="H1122" s="1">
        <v>2.97E8</v>
      </c>
      <c r="I1122" s="1">
        <v>4.68E8</v>
      </c>
      <c r="J1122" s="1">
        <v>-9.3E7</v>
      </c>
      <c r="K1122" s="1">
        <v>-9.3E7</v>
      </c>
      <c r="L1122" s="1">
        <v>-1.54E8</v>
      </c>
      <c r="M1122" s="1">
        <v>1.4E7</v>
      </c>
      <c r="N1122" s="1">
        <v>1.196E9</v>
      </c>
      <c r="O1122" s="1">
        <v>1.289E9</v>
      </c>
      <c r="P1122" s="1">
        <v>7.28E8</v>
      </c>
      <c r="Q1122" s="1">
        <v>-1.73E8</v>
      </c>
      <c r="R1122" s="1">
        <v>-2.8E8</v>
      </c>
      <c r="S1122" s="1">
        <v>-2.78E8</v>
      </c>
    </row>
    <row r="1123">
      <c r="A1123" s="1">
        <v>1121.0</v>
      </c>
      <c r="B1123" s="2">
        <v>44196.0</v>
      </c>
      <c r="C1123" s="1" t="s">
        <v>601</v>
      </c>
      <c r="D1123" s="1" t="s">
        <v>602</v>
      </c>
      <c r="F1123" s="1">
        <v>-3.68E8</v>
      </c>
      <c r="G1123" s="1">
        <v>-2.99E8</v>
      </c>
      <c r="H1123" s="1">
        <v>2.86E8</v>
      </c>
      <c r="I1123" s="1">
        <v>1.258E9</v>
      </c>
      <c r="J1123" s="1">
        <v>-1.99E8</v>
      </c>
      <c r="K1123" s="1">
        <v>-1.99E8</v>
      </c>
      <c r="L1123" s="1">
        <v>-1.5E8</v>
      </c>
      <c r="M1123" s="1">
        <v>8000000.0</v>
      </c>
      <c r="N1123" s="1">
        <v>1.146E9</v>
      </c>
      <c r="O1123" s="1">
        <v>1.345E9</v>
      </c>
      <c r="P1123" s="1">
        <v>-1.12E8</v>
      </c>
      <c r="Q1123" s="1">
        <v>-1.69E8</v>
      </c>
      <c r="R1123" s="1">
        <v>-3.76E8</v>
      </c>
      <c r="S1123" s="1">
        <v>-2.99E8</v>
      </c>
    </row>
    <row r="1124">
      <c r="A1124" s="1">
        <v>1122.0</v>
      </c>
      <c r="B1124" s="2">
        <v>44104.0</v>
      </c>
      <c r="C1124" s="1" t="s">
        <v>601</v>
      </c>
      <c r="D1124" s="1" t="s">
        <v>602</v>
      </c>
      <c r="F1124" s="1">
        <v>-7.48E8</v>
      </c>
      <c r="G1124" s="1">
        <v>-5.65E8</v>
      </c>
      <c r="H1124" s="1">
        <v>3.13E8</v>
      </c>
      <c r="I1124" s="1">
        <v>8.3E7</v>
      </c>
      <c r="J1124" s="1">
        <v>-5.52E8</v>
      </c>
      <c r="K1124" s="1">
        <v>-5.52E8</v>
      </c>
      <c r="L1124" s="1">
        <v>-1.37E8</v>
      </c>
      <c r="M1124" s="1">
        <v>-1.7E7</v>
      </c>
      <c r="N1124" s="1">
        <v>5.86E8</v>
      </c>
      <c r="O1124" s="1">
        <v>1.138E9</v>
      </c>
      <c r="P1124" s="1">
        <v>5.03E8</v>
      </c>
      <c r="Q1124" s="1">
        <v>-1.96E8</v>
      </c>
      <c r="R1124" s="1">
        <v>-7.31E8</v>
      </c>
      <c r="S1124" s="1">
        <v>-5.65E8</v>
      </c>
    </row>
    <row r="1125">
      <c r="A1125" s="1">
        <v>1123.0</v>
      </c>
      <c r="B1125" s="2">
        <v>44012.0</v>
      </c>
      <c r="C1125" s="1" t="s">
        <v>601</v>
      </c>
      <c r="D1125" s="1" t="s">
        <v>602</v>
      </c>
      <c r="F1125" s="1">
        <v>-1.039E9</v>
      </c>
      <c r="G1125" s="1">
        <v>-8.2E8</v>
      </c>
      <c r="H1125" s="1">
        <v>3.37E8</v>
      </c>
      <c r="I1125" s="1">
        <v>-2.74E8</v>
      </c>
      <c r="J1125" s="1">
        <v>-9.17E8</v>
      </c>
      <c r="K1125" s="1">
        <v>-9.17E8</v>
      </c>
      <c r="L1125" s="1">
        <v>-1.18E8</v>
      </c>
      <c r="M1125" s="1">
        <v>-5.4E7</v>
      </c>
      <c r="N1125" s="1">
        <v>9.8E7</v>
      </c>
      <c r="O1125" s="1">
        <v>1.015E9</v>
      </c>
      <c r="P1125" s="1">
        <v>3.72E8</v>
      </c>
      <c r="Q1125" s="1">
        <v>-1.22E8</v>
      </c>
      <c r="R1125" s="1">
        <v>-9.85E8</v>
      </c>
      <c r="S1125" s="1">
        <v>-8.2E8</v>
      </c>
    </row>
    <row r="1126">
      <c r="A1126" s="1">
        <v>1124.0</v>
      </c>
      <c r="B1126" s="2">
        <v>44286.0</v>
      </c>
      <c r="C1126" s="1" t="s">
        <v>603</v>
      </c>
      <c r="D1126" s="1" t="s">
        <v>604</v>
      </c>
      <c r="F1126" s="1">
        <v>1.093E8</v>
      </c>
      <c r="G1126" s="1">
        <v>8.75E7</v>
      </c>
      <c r="H1126" s="1">
        <v>1.06E8</v>
      </c>
      <c r="I1126" s="1">
        <v>2.475E8</v>
      </c>
      <c r="J1126" s="1">
        <v>1.257E8</v>
      </c>
      <c r="K1126" s="1">
        <v>1.257E8</v>
      </c>
      <c r="L1126" s="1">
        <v>-1.93E7</v>
      </c>
      <c r="M1126" s="1">
        <v>2.18E7</v>
      </c>
      <c r="N1126" s="1">
        <v>1.1509E9</v>
      </c>
      <c r="O1126" s="1">
        <v>1.0252E9</v>
      </c>
      <c r="P1126" s="1">
        <v>9.034E8</v>
      </c>
      <c r="Q1126" s="1">
        <v>-1.64E7</v>
      </c>
      <c r="R1126" s="1">
        <v>8.75E7</v>
      </c>
      <c r="S1126" s="1">
        <v>8.75E7</v>
      </c>
    </row>
    <row r="1127">
      <c r="A1127" s="1">
        <v>1125.0</v>
      </c>
      <c r="B1127" s="2">
        <v>44196.0</v>
      </c>
      <c r="C1127" s="1" t="s">
        <v>603</v>
      </c>
      <c r="D1127" s="1" t="s">
        <v>604</v>
      </c>
      <c r="F1127" s="1">
        <v>1.309E8</v>
      </c>
      <c r="G1127" s="1">
        <v>1.032E8</v>
      </c>
      <c r="H1127" s="1">
        <v>1.032E8</v>
      </c>
      <c r="I1127" s="1">
        <v>2.581E8</v>
      </c>
      <c r="J1127" s="1">
        <v>1.386E8</v>
      </c>
      <c r="K1127" s="1">
        <v>1.386E8</v>
      </c>
      <c r="L1127" s="1">
        <v>-1.95E7</v>
      </c>
      <c r="M1127" s="1">
        <v>2.77E7</v>
      </c>
      <c r="N1127" s="1">
        <v>1.182E9</v>
      </c>
      <c r="O1127" s="1">
        <v>1.0434E9</v>
      </c>
      <c r="P1127" s="1">
        <v>9.239E8</v>
      </c>
      <c r="Q1127" s="1">
        <v>-7700000.0</v>
      </c>
      <c r="R1127" s="1">
        <v>1.032E8</v>
      </c>
      <c r="S1127" s="1">
        <v>1.032E8</v>
      </c>
    </row>
    <row r="1128">
      <c r="A1128" s="1">
        <v>1126.0</v>
      </c>
      <c r="B1128" s="2">
        <v>44104.0</v>
      </c>
      <c r="C1128" s="1" t="s">
        <v>603</v>
      </c>
      <c r="D1128" s="1" t="s">
        <v>604</v>
      </c>
      <c r="F1128" s="1">
        <v>1.269E8</v>
      </c>
      <c r="G1128" s="1">
        <v>1.048E8</v>
      </c>
      <c r="H1128" s="1">
        <v>1.053E8</v>
      </c>
      <c r="I1128" s="1">
        <v>2.674E8</v>
      </c>
      <c r="J1128" s="1">
        <v>1.459E8</v>
      </c>
      <c r="K1128" s="1">
        <v>1.459E8</v>
      </c>
      <c r="L1128" s="1">
        <v>-2.09E7</v>
      </c>
      <c r="M1128" s="1">
        <v>2.2E7</v>
      </c>
      <c r="N1128" s="1">
        <v>1.2076E9</v>
      </c>
      <c r="O1128" s="1">
        <v>1.0617E9</v>
      </c>
      <c r="P1128" s="1">
        <v>9.402E8</v>
      </c>
      <c r="Q1128" s="1">
        <v>-1.9E7</v>
      </c>
      <c r="R1128" s="1">
        <v>1.049E8</v>
      </c>
      <c r="S1128" s="1">
        <v>1.048E8</v>
      </c>
    </row>
    <row r="1129">
      <c r="A1129" s="1">
        <v>1127.0</v>
      </c>
      <c r="B1129" s="2">
        <v>44012.0</v>
      </c>
      <c r="C1129" s="1" t="s">
        <v>603</v>
      </c>
      <c r="D1129" s="1" t="s">
        <v>604</v>
      </c>
      <c r="F1129" s="1">
        <v>2400000.0</v>
      </c>
      <c r="G1129" s="1">
        <v>-6100000.0</v>
      </c>
      <c r="H1129" s="1">
        <v>9.71E7</v>
      </c>
      <c r="I1129" s="1">
        <v>1.463E8</v>
      </c>
      <c r="J1129" s="1">
        <v>3.29E7</v>
      </c>
      <c r="K1129" s="1">
        <v>3.29E7</v>
      </c>
      <c r="L1129" s="1">
        <v>-2.14E7</v>
      </c>
      <c r="M1129" s="1">
        <v>8500000.0</v>
      </c>
      <c r="N1129" s="1">
        <v>8.451E8</v>
      </c>
      <c r="O1129" s="1">
        <v>8.122E8</v>
      </c>
      <c r="P1129" s="1">
        <v>6.988E8</v>
      </c>
      <c r="Q1129" s="1">
        <v>-3.05E7</v>
      </c>
      <c r="R1129" s="1">
        <v>-6100000.0</v>
      </c>
      <c r="S1129" s="1">
        <v>-6100000.0</v>
      </c>
    </row>
    <row r="1130">
      <c r="A1130" s="1">
        <v>1128.0</v>
      </c>
      <c r="B1130" s="2">
        <v>44379.0</v>
      </c>
      <c r="C1130" s="1" t="s">
        <v>605</v>
      </c>
      <c r="D1130" s="1" t="s">
        <v>606</v>
      </c>
      <c r="F1130" s="1">
        <v>2.23E8</v>
      </c>
      <c r="G1130" s="1">
        <v>1.69E8</v>
      </c>
      <c r="H1130" s="1">
        <v>2.24E8</v>
      </c>
      <c r="I1130" s="1">
        <v>4.98E8</v>
      </c>
      <c r="J1130" s="1">
        <v>2.75E8</v>
      </c>
      <c r="K1130" s="1">
        <v>2.75E8</v>
      </c>
      <c r="L1130" s="1">
        <v>-4.6E7</v>
      </c>
      <c r="M1130" s="1">
        <v>5.3E7</v>
      </c>
      <c r="N1130" s="1">
        <v>3.448E9</v>
      </c>
      <c r="O1130" s="1">
        <v>3.173E9</v>
      </c>
      <c r="P1130" s="1">
        <v>2.95E9</v>
      </c>
      <c r="Q1130" s="1">
        <v>-5.2E7</v>
      </c>
      <c r="R1130" s="1">
        <v>1.7E8</v>
      </c>
      <c r="S1130" s="1">
        <v>1.69E8</v>
      </c>
    </row>
    <row r="1131">
      <c r="A1131" s="1">
        <v>1129.0</v>
      </c>
      <c r="B1131" s="2">
        <v>44288.0</v>
      </c>
      <c r="C1131" s="1" t="s">
        <v>605</v>
      </c>
      <c r="D1131" s="1" t="s">
        <v>606</v>
      </c>
      <c r="F1131" s="1">
        <v>2.62E8</v>
      </c>
      <c r="G1131" s="1">
        <v>2.05E8</v>
      </c>
      <c r="H1131" s="1">
        <v>1.59E8</v>
      </c>
      <c r="I1131" s="1">
        <v>4.67E8</v>
      </c>
      <c r="J1131" s="1">
        <v>3.08E8</v>
      </c>
      <c r="K1131" s="1">
        <v>3.08E8</v>
      </c>
      <c r="L1131" s="1">
        <v>-4.5E7</v>
      </c>
      <c r="M1131" s="1">
        <v>5.7E7</v>
      </c>
      <c r="N1131" s="1">
        <v>3.315E9</v>
      </c>
      <c r="O1131" s="1">
        <v>3.007E9</v>
      </c>
      <c r="P1131" s="1">
        <v>2.848E9</v>
      </c>
      <c r="Q1131" s="1">
        <v>-4.6E7</v>
      </c>
      <c r="R1131" s="1">
        <v>2.05E8</v>
      </c>
      <c r="S1131" s="1">
        <v>2.05E8</v>
      </c>
    </row>
    <row r="1132">
      <c r="A1132" s="1">
        <v>1130.0</v>
      </c>
      <c r="B1132" s="2">
        <v>44197.0</v>
      </c>
      <c r="C1132" s="1" t="s">
        <v>605</v>
      </c>
      <c r="D1132" s="1" t="s">
        <v>606</v>
      </c>
      <c r="F1132" s="1">
        <v>2.45E8</v>
      </c>
      <c r="G1132" s="1">
        <v>1.97E8</v>
      </c>
      <c r="H1132" s="1">
        <v>1.87E8</v>
      </c>
      <c r="I1132" s="1">
        <v>4.91E8</v>
      </c>
      <c r="J1132" s="1">
        <v>3.02E8</v>
      </c>
      <c r="K1132" s="1">
        <v>3.02E8</v>
      </c>
      <c r="L1132" s="1">
        <v>-4.9E7</v>
      </c>
      <c r="M1132" s="1">
        <v>4.8E7</v>
      </c>
      <c r="N1132" s="1">
        <v>3.252E9</v>
      </c>
      <c r="O1132" s="1">
        <v>2.95E9</v>
      </c>
      <c r="P1132" s="1">
        <v>2.761E9</v>
      </c>
      <c r="Q1132" s="1">
        <v>-5.7E7</v>
      </c>
      <c r="R1132" s="1">
        <v>1.97E8</v>
      </c>
      <c r="S1132" s="1">
        <v>1.97E8</v>
      </c>
    </row>
    <row r="1133">
      <c r="A1133" s="1">
        <v>1131.0</v>
      </c>
      <c r="B1133" s="2">
        <v>44106.0</v>
      </c>
      <c r="C1133" s="1" t="s">
        <v>605</v>
      </c>
      <c r="D1133" s="1" t="s">
        <v>606</v>
      </c>
      <c r="F1133" s="1">
        <v>2.14E8</v>
      </c>
      <c r="G1133" s="1">
        <v>1.63E8</v>
      </c>
      <c r="H1133" s="1">
        <v>2.0E8</v>
      </c>
      <c r="I1133" s="1">
        <v>4.68E8</v>
      </c>
      <c r="J1133" s="1">
        <v>2.66E8</v>
      </c>
      <c r="K1133" s="1">
        <v>2.66E8</v>
      </c>
      <c r="L1133" s="1">
        <v>-4.4E7</v>
      </c>
      <c r="M1133" s="1">
        <v>5.1E7</v>
      </c>
      <c r="N1133" s="1">
        <v>3.242E9</v>
      </c>
      <c r="O1133" s="1">
        <v>2.976E9</v>
      </c>
      <c r="P1133" s="1">
        <v>2.774E9</v>
      </c>
      <c r="Q1133" s="1">
        <v>-5.2E7</v>
      </c>
      <c r="R1133" s="1">
        <v>1.63E8</v>
      </c>
      <c r="S1133" s="1">
        <v>1.63E8</v>
      </c>
    </row>
    <row r="1134">
      <c r="A1134" s="1">
        <v>1132.0</v>
      </c>
      <c r="B1134" s="2">
        <v>44347.0</v>
      </c>
      <c r="C1134" s="1" t="s">
        <v>607</v>
      </c>
      <c r="D1134" s="1" t="s">
        <v>608</v>
      </c>
      <c r="F1134" s="1">
        <v>1.096885E9</v>
      </c>
      <c r="G1134" s="1">
        <v>8.31363E8</v>
      </c>
      <c r="H1134" s="1">
        <v>5.45881E8</v>
      </c>
      <c r="I1134" s="1">
        <v>1.703804E9</v>
      </c>
      <c r="J1134" s="1">
        <v>1.035991E9</v>
      </c>
      <c r="K1134" s="1">
        <v>1.035991E9</v>
      </c>
      <c r="M1134" s="1">
        <v>2.60113E8</v>
      </c>
      <c r="N1134" s="1">
        <v>6.430245E9</v>
      </c>
      <c r="O1134" s="1">
        <v>5.394254E9</v>
      </c>
      <c r="P1134" s="1">
        <v>4.726441E9</v>
      </c>
      <c r="Q1134" s="1">
        <v>6.0894E7</v>
      </c>
      <c r="R1134" s="1">
        <v>8.36772E8</v>
      </c>
      <c r="S1134" s="1">
        <v>8.20279E8</v>
      </c>
    </row>
    <row r="1135">
      <c r="A1135" s="1">
        <v>1133.0</v>
      </c>
      <c r="B1135" s="2">
        <v>44255.0</v>
      </c>
      <c r="C1135" s="1" t="s">
        <v>607</v>
      </c>
      <c r="D1135" s="1" t="s">
        <v>608</v>
      </c>
      <c r="F1135" s="1">
        <v>1.327014E9</v>
      </c>
      <c r="G1135" s="1">
        <v>1.001369E9</v>
      </c>
      <c r="H1135" s="1">
        <v>5.20767E8</v>
      </c>
      <c r="I1135" s="1">
        <v>1.384255E9</v>
      </c>
      <c r="J1135" s="1">
        <v>8.76463E8</v>
      </c>
      <c r="K1135" s="1">
        <v>8.76463E8</v>
      </c>
      <c r="M1135" s="1">
        <v>3.10105E8</v>
      </c>
      <c r="N1135" s="1">
        <v>5.325468E9</v>
      </c>
      <c r="O1135" s="1">
        <v>4.449005E9</v>
      </c>
      <c r="P1135" s="1">
        <v>3.941213E9</v>
      </c>
      <c r="Q1135" s="1">
        <v>4.50551E8</v>
      </c>
      <c r="R1135" s="1">
        <v>1.016909E9</v>
      </c>
      <c r="S1135" s="1">
        <v>9.89115E8</v>
      </c>
    </row>
    <row r="1136">
      <c r="A1136" s="1">
        <v>1134.0</v>
      </c>
      <c r="B1136" s="2">
        <v>44165.0</v>
      </c>
      <c r="C1136" s="1" t="s">
        <v>607</v>
      </c>
      <c r="D1136" s="1" t="s">
        <v>608</v>
      </c>
      <c r="F1136" s="1">
        <v>1.164646E9</v>
      </c>
      <c r="G1136" s="1">
        <v>8.8276E8</v>
      </c>
      <c r="H1136" s="1">
        <v>5.70522E8</v>
      </c>
      <c r="I1136" s="1">
        <v>1.717361E9</v>
      </c>
      <c r="J1136" s="1">
        <v>1.156899E9</v>
      </c>
      <c r="K1136" s="1">
        <v>1.156899E9</v>
      </c>
      <c r="L1136" s="1">
        <v>-2.2401E7</v>
      </c>
      <c r="M1136" s="1">
        <v>2.73737E8</v>
      </c>
      <c r="N1136" s="1">
        <v>6.82589E9</v>
      </c>
      <c r="O1136" s="1">
        <v>5.668991E9</v>
      </c>
      <c r="P1136" s="1">
        <v>5.108529E9</v>
      </c>
      <c r="Q1136" s="1">
        <v>7747000.0</v>
      </c>
      <c r="R1136" s="1">
        <v>8.90909E8</v>
      </c>
      <c r="S1136" s="1">
        <v>8.72818E8</v>
      </c>
    </row>
    <row r="1137">
      <c r="A1137" s="1">
        <v>1135.0</v>
      </c>
      <c r="B1137" s="2">
        <v>44074.0</v>
      </c>
      <c r="C1137" s="1" t="s">
        <v>607</v>
      </c>
      <c r="D1137" s="1" t="s">
        <v>608</v>
      </c>
      <c r="F1137" s="1">
        <v>8.59013E8</v>
      </c>
      <c r="G1137" s="1">
        <v>6.66418E8</v>
      </c>
      <c r="H1137" s="1">
        <v>5.2861E8</v>
      </c>
      <c r="I1137" s="1">
        <v>1.410208E9</v>
      </c>
      <c r="J1137" s="1">
        <v>8.69165E8</v>
      </c>
      <c r="K1137" s="1">
        <v>8.69165E8</v>
      </c>
      <c r="L1137" s="1">
        <v>-2.2401E7</v>
      </c>
      <c r="M1137" s="1">
        <v>1.8969E8</v>
      </c>
      <c r="N1137" s="1">
        <v>5.870254E9</v>
      </c>
      <c r="O1137" s="1">
        <v>5.001089E9</v>
      </c>
      <c r="P1137" s="1">
        <v>4.460046E9</v>
      </c>
      <c r="Q1137" s="1">
        <v>-1.0152E7</v>
      </c>
      <c r="R1137" s="1">
        <v>6.69323E8</v>
      </c>
      <c r="S1137" s="1">
        <v>6.5862E8</v>
      </c>
    </row>
    <row r="1138">
      <c r="A1138" s="1">
        <v>1136.0</v>
      </c>
      <c r="B1138" s="2">
        <v>44377.0</v>
      </c>
      <c r="C1138" s="1" t="s">
        <v>609</v>
      </c>
      <c r="D1138" s="1" t="s">
        <v>610</v>
      </c>
      <c r="F1138" s="1">
        <v>7.72E8</v>
      </c>
      <c r="G1138" s="1">
        <v>6.42E8</v>
      </c>
      <c r="I1138" s="1">
        <v>8.58E8</v>
      </c>
      <c r="J1138" s="1">
        <v>8.58E8</v>
      </c>
      <c r="K1138" s="1">
        <v>8.58E8</v>
      </c>
      <c r="L1138" s="1">
        <v>-6.5E7</v>
      </c>
      <c r="M1138" s="1">
        <v>1.3E8</v>
      </c>
      <c r="N1138" s="1">
        <v>4.851E9</v>
      </c>
      <c r="O1138" s="1">
        <v>3.993E9</v>
      </c>
      <c r="P1138" s="1">
        <v>3.993E9</v>
      </c>
      <c r="Q1138" s="1">
        <v>-8.6E7</v>
      </c>
      <c r="R1138" s="1">
        <v>6.42E8</v>
      </c>
      <c r="S1138" s="1">
        <v>6.42E8</v>
      </c>
    </row>
    <row r="1139">
      <c r="A1139" s="1">
        <v>1137.0</v>
      </c>
      <c r="B1139" s="2">
        <v>44286.0</v>
      </c>
      <c r="C1139" s="1" t="s">
        <v>609</v>
      </c>
      <c r="D1139" s="1" t="s">
        <v>610</v>
      </c>
      <c r="F1139" s="1">
        <v>2.62E8</v>
      </c>
      <c r="G1139" s="1">
        <v>2.25E8</v>
      </c>
      <c r="I1139" s="1">
        <v>3.4E8</v>
      </c>
      <c r="J1139" s="1">
        <v>3.4E8</v>
      </c>
      <c r="K1139" s="1">
        <v>3.4E8</v>
      </c>
      <c r="L1139" s="1">
        <v>-6.5E7</v>
      </c>
      <c r="M1139" s="1">
        <v>3.7E7</v>
      </c>
      <c r="N1139" s="1">
        <v>4.534E9</v>
      </c>
      <c r="O1139" s="1">
        <v>4.194E9</v>
      </c>
      <c r="P1139" s="1">
        <v>4.194E9</v>
      </c>
      <c r="Q1139" s="1">
        <v>-7.8E7</v>
      </c>
      <c r="R1139" s="1">
        <v>2.25E8</v>
      </c>
      <c r="S1139" s="1">
        <v>2.25E8</v>
      </c>
    </row>
    <row r="1140">
      <c r="A1140" s="1">
        <v>1138.0</v>
      </c>
      <c r="B1140" s="2">
        <v>44196.0</v>
      </c>
      <c r="C1140" s="1" t="s">
        <v>609</v>
      </c>
      <c r="D1140" s="1" t="s">
        <v>610</v>
      </c>
      <c r="F1140" s="1">
        <v>8.9E7</v>
      </c>
      <c r="G1140" s="1">
        <v>1.43E8</v>
      </c>
      <c r="H1140" s="1">
        <v>2.565E9</v>
      </c>
      <c r="I1140" s="1">
        <v>3.215E9</v>
      </c>
      <c r="J1140" s="1">
        <v>1.98E8</v>
      </c>
      <c r="K1140" s="1">
        <v>1.98E8</v>
      </c>
      <c r="L1140" s="1">
        <v>-6.6E7</v>
      </c>
      <c r="M1140" s="1">
        <v>-5.4E7</v>
      </c>
      <c r="N1140" s="1">
        <v>4.136E9</v>
      </c>
      <c r="O1140" s="1">
        <v>3.938E9</v>
      </c>
      <c r="P1140" s="1">
        <v>9.21E8</v>
      </c>
      <c r="Q1140" s="1">
        <v>-1.09E8</v>
      </c>
      <c r="R1140" s="1">
        <v>1.43E8</v>
      </c>
      <c r="S1140" s="1">
        <v>1.43E8</v>
      </c>
    </row>
    <row r="1141">
      <c r="A1141" s="1">
        <v>1139.0</v>
      </c>
      <c r="B1141" s="2">
        <v>44104.0</v>
      </c>
      <c r="C1141" s="1" t="s">
        <v>609</v>
      </c>
      <c r="D1141" s="1" t="s">
        <v>610</v>
      </c>
      <c r="F1141" s="1">
        <v>4.6E8</v>
      </c>
      <c r="G1141" s="1">
        <v>3.98E8</v>
      </c>
      <c r="H1141" s="1">
        <v>2.565E9</v>
      </c>
      <c r="I1141" s="1">
        <v>5.46E8</v>
      </c>
      <c r="J1141" s="1">
        <v>5.46E8</v>
      </c>
      <c r="K1141" s="1">
        <v>5.46E8</v>
      </c>
      <c r="L1141" s="1">
        <v>-6.6E7</v>
      </c>
      <c r="M1141" s="1">
        <v>6.2E7</v>
      </c>
      <c r="N1141" s="1">
        <v>5.361E9</v>
      </c>
      <c r="O1141" s="1">
        <v>4.815E9</v>
      </c>
      <c r="P1141" s="1">
        <v>4.815E9</v>
      </c>
      <c r="Q1141" s="1">
        <v>-8.6E7</v>
      </c>
      <c r="R1141" s="1">
        <v>3.98E8</v>
      </c>
      <c r="S1141" s="1">
        <v>3.98E8</v>
      </c>
    </row>
    <row r="1142">
      <c r="A1142" s="1">
        <v>1140.0</v>
      </c>
      <c r="B1142" s="2">
        <v>44377.0</v>
      </c>
      <c r="C1142" s="1" t="s">
        <v>611</v>
      </c>
      <c r="D1142" s="1" t="s">
        <v>612</v>
      </c>
      <c r="E1142" s="1">
        <v>3.4E7</v>
      </c>
      <c r="F1142" s="1">
        <v>1.21E9</v>
      </c>
      <c r="G1142" s="1">
        <v>8.41E8</v>
      </c>
      <c r="H1142" s="1">
        <v>7.73E8</v>
      </c>
      <c r="I1142" s="1">
        <v>3.39E9</v>
      </c>
      <c r="J1142" s="1">
        <v>1.392E9</v>
      </c>
      <c r="K1142" s="1">
        <v>1.392E9</v>
      </c>
      <c r="L1142" s="1">
        <v>-1.8E7</v>
      </c>
      <c r="M1142" s="1">
        <v>3.34E8</v>
      </c>
      <c r="N1142" s="1">
        <v>7.584E9</v>
      </c>
      <c r="O1142" s="1">
        <v>6.192E9</v>
      </c>
      <c r="P1142" s="1">
        <v>4.194E9</v>
      </c>
      <c r="Q1142" s="1">
        <v>-1.82E8</v>
      </c>
      <c r="R1142" s="1">
        <v>8.76E8</v>
      </c>
      <c r="S1142" s="1">
        <v>8.41E8</v>
      </c>
    </row>
    <row r="1143">
      <c r="A1143" s="1">
        <v>1141.0</v>
      </c>
      <c r="B1143" s="2">
        <v>44286.0</v>
      </c>
      <c r="C1143" s="1" t="s">
        <v>611</v>
      </c>
      <c r="D1143" s="1" t="s">
        <v>612</v>
      </c>
      <c r="E1143" s="1">
        <v>3.5E7</v>
      </c>
      <c r="F1143" s="1">
        <v>1.285E9</v>
      </c>
      <c r="G1143" s="1">
        <v>9.8E8</v>
      </c>
      <c r="H1143" s="1">
        <v>7.38E8</v>
      </c>
      <c r="I1143" s="1">
        <v>3.189E9</v>
      </c>
      <c r="J1143" s="1">
        <v>1.25E9</v>
      </c>
      <c r="K1143" s="1">
        <v>1.25E9</v>
      </c>
      <c r="L1143" s="1">
        <v>-1.8E7</v>
      </c>
      <c r="M1143" s="1">
        <v>2.68E8</v>
      </c>
      <c r="N1143" s="1">
        <v>7.243E9</v>
      </c>
      <c r="O1143" s="1">
        <v>5.993E9</v>
      </c>
      <c r="P1143" s="1">
        <v>4.054E9</v>
      </c>
      <c r="Q1143" s="1">
        <v>3.5E7</v>
      </c>
      <c r="R1143" s="1">
        <v>1.017E9</v>
      </c>
      <c r="S1143" s="1">
        <v>9.8E8</v>
      </c>
    </row>
    <row r="1144">
      <c r="A1144" s="1">
        <v>1142.0</v>
      </c>
      <c r="B1144" s="2">
        <v>44196.0</v>
      </c>
      <c r="C1144" s="1" t="s">
        <v>611</v>
      </c>
      <c r="D1144" s="1" t="s">
        <v>612</v>
      </c>
      <c r="E1144" s="1">
        <v>3.8E7</v>
      </c>
      <c r="F1144" s="1">
        <v>1.056E9</v>
      </c>
      <c r="G1144" s="1">
        <v>7.7E8</v>
      </c>
      <c r="H1144" s="1">
        <v>7.56E8</v>
      </c>
      <c r="I1144" s="1">
        <v>3.186E9</v>
      </c>
      <c r="J1144" s="1">
        <v>1.206E9</v>
      </c>
      <c r="K1144" s="1">
        <v>1.206E9</v>
      </c>
      <c r="L1144" s="1">
        <v>-1.56E8</v>
      </c>
      <c r="M1144" s="1">
        <v>2.53E8</v>
      </c>
      <c r="N1144" s="1">
        <v>7.272E9</v>
      </c>
      <c r="O1144" s="1">
        <v>6.066E9</v>
      </c>
      <c r="P1144" s="1">
        <v>4.086E9</v>
      </c>
      <c r="Q1144" s="1">
        <v>-1.5E8</v>
      </c>
      <c r="R1144" s="1">
        <v>8.03E8</v>
      </c>
      <c r="S1144" s="1">
        <v>7.7E8</v>
      </c>
    </row>
    <row r="1145">
      <c r="A1145" s="1">
        <v>1143.0</v>
      </c>
      <c r="B1145" s="2">
        <v>44104.0</v>
      </c>
      <c r="C1145" s="1" t="s">
        <v>611</v>
      </c>
      <c r="D1145" s="1" t="s">
        <v>612</v>
      </c>
      <c r="E1145" s="1">
        <v>3.6E7</v>
      </c>
      <c r="F1145" s="1">
        <v>9.95E8</v>
      </c>
      <c r="G1145" s="1">
        <v>7.0E8</v>
      </c>
      <c r="H1145" s="1">
        <v>7.29E8</v>
      </c>
      <c r="I1145" s="1">
        <v>3.02E9</v>
      </c>
      <c r="J1145" s="1">
        <v>1.055E9</v>
      </c>
      <c r="K1145" s="1">
        <v>1.055E9</v>
      </c>
      <c r="L1145" s="1">
        <v>-3.8E7</v>
      </c>
      <c r="M1145" s="1">
        <v>2.65E8</v>
      </c>
      <c r="N1145" s="1">
        <v>6.855E9</v>
      </c>
      <c r="O1145" s="1">
        <v>5.8E9</v>
      </c>
      <c r="P1145" s="1">
        <v>3.835E9</v>
      </c>
      <c r="Q1145" s="1">
        <v>-6.0E7</v>
      </c>
      <c r="R1145" s="1">
        <v>7.3E8</v>
      </c>
      <c r="S1145" s="1">
        <v>7.0E8</v>
      </c>
    </row>
    <row r="1146">
      <c r="A1146" s="1">
        <v>1144.0</v>
      </c>
      <c r="B1146" s="2">
        <v>44377.0</v>
      </c>
      <c r="C1146" s="1" t="s">
        <v>613</v>
      </c>
      <c r="D1146" s="1" t="s">
        <v>614</v>
      </c>
      <c r="F1146" s="1">
        <v>-2.08175E8</v>
      </c>
      <c r="G1146" s="1">
        <v>-1.95665E8</v>
      </c>
      <c r="H1146" s="1">
        <v>3.56492E8</v>
      </c>
      <c r="I1146" s="1">
        <v>3.32826E8</v>
      </c>
      <c r="J1146" s="1">
        <v>-1.27313E8</v>
      </c>
      <c r="K1146" s="1">
        <v>-1.27313E8</v>
      </c>
      <c r="L1146" s="1">
        <v>-6.8909E7</v>
      </c>
      <c r="M1146" s="1">
        <v>2285000.0</v>
      </c>
      <c r="N1146" s="1">
        <v>5.75946E8</v>
      </c>
      <c r="O1146" s="1">
        <v>7.03259E8</v>
      </c>
      <c r="P1146" s="1">
        <v>2.4312E8</v>
      </c>
      <c r="Q1146" s="1">
        <v>-8.0862E7</v>
      </c>
      <c r="R1146" s="1">
        <v>-2.1046E8</v>
      </c>
      <c r="S1146" s="1">
        <v>-1.94714E8</v>
      </c>
    </row>
    <row r="1147">
      <c r="A1147" s="1">
        <v>1145.0</v>
      </c>
      <c r="B1147" s="2">
        <v>44286.0</v>
      </c>
      <c r="C1147" s="1" t="s">
        <v>613</v>
      </c>
      <c r="D1147" s="1" t="s">
        <v>614</v>
      </c>
      <c r="F1147" s="1">
        <v>-3.16333E8</v>
      </c>
      <c r="G1147" s="1">
        <v>-3.07193E8</v>
      </c>
      <c r="H1147" s="1">
        <v>3.50801E8</v>
      </c>
      <c r="I1147" s="1">
        <v>1.56643E8</v>
      </c>
      <c r="J1147" s="1">
        <v>-3.03034E8</v>
      </c>
      <c r="K1147" s="1">
        <v>-3.03034E8</v>
      </c>
      <c r="L1147" s="1">
        <v>-7.083E7</v>
      </c>
      <c r="M1147" s="1">
        <v>6389000.0</v>
      </c>
      <c r="N1147" s="1">
        <v>2.90609E8</v>
      </c>
      <c r="O1147" s="1">
        <v>5.93643E8</v>
      </c>
      <c r="P1147" s="1">
        <v>1.33966E8</v>
      </c>
      <c r="Q1147" s="1">
        <v>-1.3299E7</v>
      </c>
      <c r="R1147" s="1">
        <v>-3.22722E8</v>
      </c>
      <c r="S1147" s="1">
        <v>-3.08109E8</v>
      </c>
    </row>
    <row r="1148">
      <c r="A1148" s="1">
        <v>1146.0</v>
      </c>
      <c r="B1148" s="2">
        <v>44196.0</v>
      </c>
      <c r="C1148" s="1" t="s">
        <v>613</v>
      </c>
      <c r="D1148" s="1" t="s">
        <v>614</v>
      </c>
      <c r="F1148" s="1">
        <v>-4.43284E8</v>
      </c>
      <c r="G1148" s="1">
        <v>-4.43332E8</v>
      </c>
      <c r="H1148" s="1">
        <v>3.26725E8</v>
      </c>
      <c r="I1148" s="1">
        <v>3.4109E7</v>
      </c>
      <c r="J1148" s="1">
        <v>-4.0449E8</v>
      </c>
      <c r="K1148" s="1">
        <v>-4.0449E8</v>
      </c>
      <c r="L1148" s="1">
        <v>-6.4051E7</v>
      </c>
      <c r="M1148" s="1">
        <v>2.0542E7</v>
      </c>
      <c r="N1148" s="1">
        <v>2.37383E8</v>
      </c>
      <c r="O1148" s="1">
        <v>6.41873E8</v>
      </c>
      <c r="P1148" s="1">
        <v>2.03274E8</v>
      </c>
      <c r="Q1148" s="1">
        <v>-3.8794E7</v>
      </c>
      <c r="R1148" s="1">
        <v>-4.63826E8</v>
      </c>
      <c r="S1148" s="1">
        <v>-4.36197E8</v>
      </c>
    </row>
    <row r="1149">
      <c r="A1149" s="1">
        <v>1147.0</v>
      </c>
      <c r="B1149" s="2">
        <v>44104.0</v>
      </c>
      <c r="C1149" s="1" t="s">
        <v>613</v>
      </c>
      <c r="D1149" s="1" t="s">
        <v>614</v>
      </c>
      <c r="F1149" s="1">
        <v>-5.59362E8</v>
      </c>
      <c r="G1149" s="1">
        <v>-5.28902E8</v>
      </c>
      <c r="H1149" s="1">
        <v>4.37564E8</v>
      </c>
      <c r="I1149" s="1">
        <v>5.3269E7</v>
      </c>
      <c r="J1149" s="1">
        <v>-5.04233E8</v>
      </c>
      <c r="K1149" s="1">
        <v>-5.04233E8</v>
      </c>
      <c r="L1149" s="1">
        <v>-6.6093E7</v>
      </c>
      <c r="M1149" s="1">
        <v>-1.6904E7</v>
      </c>
      <c r="N1149" s="1">
        <v>1.84018E8</v>
      </c>
      <c r="O1149" s="1">
        <v>6.88251E8</v>
      </c>
      <c r="P1149" s="1">
        <v>1.30749E8</v>
      </c>
      <c r="Q1149" s="1">
        <v>-5.5129E7</v>
      </c>
      <c r="R1149" s="1">
        <v>-5.42458E8</v>
      </c>
      <c r="S1149" s="1">
        <v>-5.21912E8</v>
      </c>
    </row>
    <row r="1150">
      <c r="A1150" s="1">
        <v>1148.0</v>
      </c>
      <c r="B1150" s="2">
        <v>44286.0</v>
      </c>
      <c r="C1150" s="1" t="s">
        <v>615</v>
      </c>
      <c r="D1150" s="1" t="s">
        <v>616</v>
      </c>
      <c r="F1150" s="1">
        <v>3.59301E8</v>
      </c>
      <c r="G1150" s="1">
        <v>2.65913E8</v>
      </c>
      <c r="H1150" s="1">
        <v>8.57921E8</v>
      </c>
      <c r="I1150" s="1">
        <v>1.293551E9</v>
      </c>
      <c r="J1150" s="1">
        <v>3.69829E8</v>
      </c>
      <c r="K1150" s="1">
        <v>3.69829E8</v>
      </c>
      <c r="L1150" s="1">
        <v>-2.4718E7</v>
      </c>
      <c r="M1150" s="1">
        <v>9.2969E7</v>
      </c>
      <c r="N1150" s="1">
        <v>3.170786E9</v>
      </c>
      <c r="O1150" s="1">
        <v>2.800957E9</v>
      </c>
      <c r="P1150" s="1">
        <v>1.877235E9</v>
      </c>
      <c r="Q1150" s="1">
        <v>-1.0528E7</v>
      </c>
      <c r="R1150" s="1">
        <v>2.66332E8</v>
      </c>
      <c r="S1150" s="1">
        <v>2.65913E8</v>
      </c>
    </row>
    <row r="1151">
      <c r="A1151" s="1">
        <v>1149.0</v>
      </c>
      <c r="B1151" s="2">
        <v>44196.0</v>
      </c>
      <c r="C1151" s="1" t="s">
        <v>615</v>
      </c>
      <c r="D1151" s="1" t="s">
        <v>616</v>
      </c>
      <c r="F1151" s="1">
        <v>2.49899E8</v>
      </c>
      <c r="G1151" s="1">
        <v>1.81012E8</v>
      </c>
      <c r="H1151" s="1">
        <v>8.15386E8</v>
      </c>
      <c r="I1151" s="1">
        <v>1.170496E9</v>
      </c>
      <c r="J1151" s="1">
        <v>2.82715E8</v>
      </c>
      <c r="K1151" s="1">
        <v>2.82715E8</v>
      </c>
      <c r="L1151" s="1">
        <v>-1.9012E7</v>
      </c>
      <c r="M1151" s="1">
        <v>6.8708E7</v>
      </c>
      <c r="N1151" s="1">
        <v>2.953888E9</v>
      </c>
      <c r="O1151" s="1">
        <v>2.671173E9</v>
      </c>
      <c r="P1151" s="1">
        <v>1.783392E9</v>
      </c>
      <c r="Q1151" s="1">
        <v>-3.2816E7</v>
      </c>
      <c r="R1151" s="1">
        <v>1.81191E8</v>
      </c>
      <c r="S1151" s="1">
        <v>1.81012E8</v>
      </c>
    </row>
    <row r="1152">
      <c r="A1152" s="1">
        <v>1150.0</v>
      </c>
      <c r="B1152" s="2">
        <v>44104.0</v>
      </c>
      <c r="C1152" s="1" t="s">
        <v>615</v>
      </c>
      <c r="D1152" s="1" t="s">
        <v>616</v>
      </c>
      <c r="F1152" s="1">
        <v>2.72441E8</v>
      </c>
      <c r="G1152" s="1">
        <v>1.93483E8</v>
      </c>
      <c r="H1152" s="1">
        <v>8.17958E8</v>
      </c>
      <c r="I1152" s="1">
        <v>1.199375E9</v>
      </c>
      <c r="J1152" s="1">
        <v>3.12762E8</v>
      </c>
      <c r="K1152" s="1">
        <v>3.12762E8</v>
      </c>
      <c r="L1152" s="1">
        <v>-2.7878E7</v>
      </c>
      <c r="M1152" s="1">
        <v>7.851E7</v>
      </c>
      <c r="N1152" s="1">
        <v>3.047684E9</v>
      </c>
      <c r="O1152" s="1">
        <v>2.734922E9</v>
      </c>
      <c r="P1152" s="1">
        <v>1.848309E9</v>
      </c>
      <c r="Q1152" s="1">
        <v>-4.0321E7</v>
      </c>
      <c r="R1152" s="1">
        <v>1.93931E8</v>
      </c>
      <c r="S1152" s="1">
        <v>1.93483E8</v>
      </c>
    </row>
    <row r="1153">
      <c r="A1153" s="1">
        <v>1151.0</v>
      </c>
      <c r="B1153" s="2">
        <v>44012.0</v>
      </c>
      <c r="C1153" s="1" t="s">
        <v>615</v>
      </c>
      <c r="D1153" s="1" t="s">
        <v>616</v>
      </c>
      <c r="F1153" s="1">
        <v>1.60362E8</v>
      </c>
      <c r="G1153" s="1">
        <v>1.18792E8</v>
      </c>
      <c r="H1153" s="1">
        <v>7.40093E8</v>
      </c>
      <c r="I1153" s="1">
        <v>1.016669E9</v>
      </c>
      <c r="J1153" s="1">
        <v>2.10829E8</v>
      </c>
      <c r="K1153" s="1">
        <v>2.10829E8</v>
      </c>
      <c r="L1153" s="1">
        <v>-2.8412E7</v>
      </c>
      <c r="M1153" s="1">
        <v>4.1869E7</v>
      </c>
      <c r="N1153" s="1">
        <v>2.626323E9</v>
      </c>
      <c r="O1153" s="1">
        <v>2.415494E9</v>
      </c>
      <c r="P1153" s="1">
        <v>1.609654E9</v>
      </c>
      <c r="Q1153" s="1">
        <v>-5.0467E7</v>
      </c>
      <c r="R1153" s="1">
        <v>1.18493E8</v>
      </c>
      <c r="S1153" s="1">
        <v>1.18792E8</v>
      </c>
    </row>
    <row r="1154">
      <c r="A1154" s="1">
        <v>1152.0</v>
      </c>
      <c r="B1154" s="2">
        <v>44374.0</v>
      </c>
      <c r="C1154" s="1" t="s">
        <v>617</v>
      </c>
      <c r="D1154" s="1" t="s">
        <v>618</v>
      </c>
      <c r="F1154" s="1">
        <v>2.17E9</v>
      </c>
      <c r="G1154" s="1">
        <v>1.815E9</v>
      </c>
      <c r="H1154" s="1">
        <v>-1.07E8</v>
      </c>
      <c r="I1154" s="1">
        <v>2.151E9</v>
      </c>
      <c r="J1154" s="1">
        <v>2.254E9</v>
      </c>
      <c r="K1154" s="1">
        <v>2.254E9</v>
      </c>
      <c r="L1154" s="1">
        <v>-1.42E8</v>
      </c>
      <c r="M1154" s="1">
        <v>3.55E8</v>
      </c>
      <c r="N1154" s="1">
        <v>1.7029E10</v>
      </c>
      <c r="O1154" s="1">
        <v>1.4775E10</v>
      </c>
      <c r="P1154" s="1">
        <v>1.4878E10</v>
      </c>
      <c r="Q1154" s="1">
        <v>-8.4E7</v>
      </c>
      <c r="R1154" s="1">
        <v>1.815E9</v>
      </c>
      <c r="S1154" s="1">
        <v>1.815E9</v>
      </c>
    </row>
    <row r="1155">
      <c r="A1155" s="1">
        <v>1153.0</v>
      </c>
      <c r="B1155" s="2">
        <v>44283.0</v>
      </c>
      <c r="C1155" s="1" t="s">
        <v>617</v>
      </c>
      <c r="D1155" s="1" t="s">
        <v>618</v>
      </c>
      <c r="F1155" s="1">
        <v>2.211E9</v>
      </c>
      <c r="G1155" s="1">
        <v>1.837E9</v>
      </c>
      <c r="H1155" s="1">
        <v>-1.06E8</v>
      </c>
      <c r="I1155" s="1">
        <v>2.222E9</v>
      </c>
      <c r="J1155" s="1">
        <v>2.329E9</v>
      </c>
      <c r="K1155" s="1">
        <v>2.329E9</v>
      </c>
      <c r="L1155" s="1">
        <v>-1.4E8</v>
      </c>
      <c r="M1155" s="1">
        <v>3.74E8</v>
      </c>
      <c r="N1155" s="1">
        <v>1.6258E10</v>
      </c>
      <c r="O1155" s="1">
        <v>1.3929E10</v>
      </c>
      <c r="P1155" s="1">
        <v>1.4036E10</v>
      </c>
      <c r="Q1155" s="1">
        <v>-1.18E8</v>
      </c>
      <c r="R1155" s="1">
        <v>1.837E9</v>
      </c>
      <c r="S1155" s="1">
        <v>1.837E9</v>
      </c>
    </row>
    <row r="1156">
      <c r="A1156" s="1">
        <v>1154.0</v>
      </c>
      <c r="B1156" s="2">
        <v>44196.0</v>
      </c>
      <c r="C1156" s="1" t="s">
        <v>617</v>
      </c>
      <c r="D1156" s="1" t="s">
        <v>618</v>
      </c>
      <c r="F1156" s="1">
        <v>2.187E9</v>
      </c>
      <c r="G1156" s="1">
        <v>1.792E9</v>
      </c>
      <c r="H1156" s="1">
        <v>-6.0E7</v>
      </c>
      <c r="I1156" s="1">
        <v>2.241E9</v>
      </c>
      <c r="J1156" s="1">
        <v>2.258E9</v>
      </c>
      <c r="K1156" s="1">
        <v>2.258E9</v>
      </c>
      <c r="L1156" s="1">
        <v>-1.49E8</v>
      </c>
      <c r="M1156" s="1">
        <v>3.95E8</v>
      </c>
      <c r="N1156" s="1">
        <v>1.7032E10</v>
      </c>
      <c r="O1156" s="1">
        <v>1.4774E10</v>
      </c>
      <c r="P1156" s="1">
        <v>1.4791E10</v>
      </c>
      <c r="Q1156" s="1">
        <v>-7.1E7</v>
      </c>
      <c r="R1156" s="1">
        <v>1.792E9</v>
      </c>
      <c r="S1156" s="1">
        <v>1.792E9</v>
      </c>
    </row>
    <row r="1157">
      <c r="A1157" s="1">
        <v>1155.0</v>
      </c>
      <c r="B1157" s="2">
        <v>44101.0</v>
      </c>
      <c r="C1157" s="1" t="s">
        <v>617</v>
      </c>
      <c r="D1157" s="1" t="s">
        <v>618</v>
      </c>
      <c r="F1157" s="1">
        <v>2.056E9</v>
      </c>
      <c r="G1157" s="1">
        <v>1.698E9</v>
      </c>
      <c r="H1157" s="1">
        <v>-5.9E7</v>
      </c>
      <c r="I1157" s="1">
        <v>2.136E9</v>
      </c>
      <c r="J1157" s="1">
        <v>2.201E9</v>
      </c>
      <c r="K1157" s="1">
        <v>2.201E9</v>
      </c>
      <c r="L1157" s="1">
        <v>-1.45E8</v>
      </c>
      <c r="M1157" s="1">
        <v>3.03E8</v>
      </c>
      <c r="N1157" s="1">
        <v>1.6495E10</v>
      </c>
      <c r="O1157" s="1">
        <v>1.4294E10</v>
      </c>
      <c r="P1157" s="1">
        <v>1.4359E10</v>
      </c>
      <c r="Q1157" s="1">
        <v>-1.45E8</v>
      </c>
      <c r="R1157" s="1">
        <v>1.753E9</v>
      </c>
      <c r="S1157" s="1">
        <v>1.698E9</v>
      </c>
    </row>
    <row r="1158">
      <c r="A1158" s="1">
        <v>1156.0</v>
      </c>
      <c r="B1158" s="2">
        <v>44377.0</v>
      </c>
      <c r="C1158" s="1" t="s">
        <v>619</v>
      </c>
      <c r="D1158" s="1" t="s">
        <v>620</v>
      </c>
      <c r="F1158" s="1">
        <v>1.012E9</v>
      </c>
      <c r="G1158" s="1">
        <v>7.54E8</v>
      </c>
      <c r="H1158" s="1">
        <v>6.56E8</v>
      </c>
      <c r="I1158" s="1">
        <v>1.768E9</v>
      </c>
      <c r="J1158" s="1">
        <v>1.112E9</v>
      </c>
      <c r="K1158" s="1">
        <v>1.112E9</v>
      </c>
      <c r="L1158" s="1">
        <v>-1.0E8</v>
      </c>
      <c r="M1158" s="1">
        <v>2.19E8</v>
      </c>
      <c r="N1158" s="1">
        <v>4.003E9</v>
      </c>
      <c r="O1158" s="1">
        <v>2.891E9</v>
      </c>
      <c r="P1158" s="1">
        <v>2.235E9</v>
      </c>
      <c r="Q1158" s="1">
        <v>-1.0E8</v>
      </c>
      <c r="R1158" s="1">
        <v>7.93E8</v>
      </c>
      <c r="S1158" s="1">
        <v>7.54E8</v>
      </c>
    </row>
    <row r="1159">
      <c r="A1159" s="1">
        <v>1157.0</v>
      </c>
      <c r="B1159" s="2">
        <v>44286.0</v>
      </c>
      <c r="C1159" s="1" t="s">
        <v>619</v>
      </c>
      <c r="D1159" s="1" t="s">
        <v>620</v>
      </c>
      <c r="F1159" s="1">
        <v>4.07E8</v>
      </c>
      <c r="G1159" s="1">
        <v>2.61E8</v>
      </c>
      <c r="H1159" s="1">
        <v>9.14E8</v>
      </c>
      <c r="I1159" s="1">
        <v>1.446E9</v>
      </c>
      <c r="J1159" s="1">
        <v>5.32E8</v>
      </c>
      <c r="K1159" s="1">
        <v>5.32E8</v>
      </c>
      <c r="L1159" s="1">
        <v>-1.25E8</v>
      </c>
      <c r="M1159" s="1">
        <v>1.14E8</v>
      </c>
      <c r="N1159" s="1">
        <v>3.622E9</v>
      </c>
      <c r="O1159" s="1">
        <v>3.09E9</v>
      </c>
      <c r="P1159" s="1">
        <v>2.176E9</v>
      </c>
      <c r="Q1159" s="1">
        <v>-1.25E8</v>
      </c>
      <c r="R1159" s="1">
        <v>2.93E8</v>
      </c>
      <c r="S1159" s="1">
        <v>2.61E8</v>
      </c>
    </row>
    <row r="1160">
      <c r="A1160" s="1">
        <v>1158.0</v>
      </c>
      <c r="B1160" s="2">
        <v>44196.0</v>
      </c>
      <c r="C1160" s="1" t="s">
        <v>619</v>
      </c>
      <c r="D1160" s="1" t="s">
        <v>620</v>
      </c>
      <c r="F1160" s="1">
        <v>5.48E8</v>
      </c>
      <c r="G1160" s="1">
        <v>3.97E8</v>
      </c>
      <c r="H1160" s="1">
        <v>8.93E8</v>
      </c>
      <c r="I1160" s="1">
        <v>1.524E9</v>
      </c>
      <c r="J1160" s="1">
        <v>6.31E8</v>
      </c>
      <c r="K1160" s="1">
        <v>6.31E8</v>
      </c>
      <c r="L1160" s="1">
        <v>-1.11E8</v>
      </c>
      <c r="M1160" s="1">
        <v>1.11E8</v>
      </c>
      <c r="N1160" s="1">
        <v>3.675E9</v>
      </c>
      <c r="O1160" s="1">
        <v>3.044E9</v>
      </c>
      <c r="P1160" s="1">
        <v>2.151E9</v>
      </c>
      <c r="Q1160" s="1">
        <v>-8.3E7</v>
      </c>
      <c r="R1160" s="1">
        <v>4.37E8</v>
      </c>
      <c r="S1160" s="1">
        <v>3.97E8</v>
      </c>
    </row>
    <row r="1161">
      <c r="A1161" s="1">
        <v>1159.0</v>
      </c>
      <c r="B1161" s="2">
        <v>44104.0</v>
      </c>
      <c r="C1161" s="1" t="s">
        <v>619</v>
      </c>
      <c r="D1161" s="1" t="s">
        <v>620</v>
      </c>
      <c r="F1161" s="1">
        <v>1.83E8</v>
      </c>
      <c r="G1161" s="1">
        <v>1.39E8</v>
      </c>
      <c r="H1161" s="1">
        <v>8.66E8</v>
      </c>
      <c r="I1161" s="1">
        <v>1.196E9</v>
      </c>
      <c r="J1161" s="1">
        <v>3.3E8</v>
      </c>
      <c r="K1161" s="1">
        <v>3.3E8</v>
      </c>
      <c r="L1161" s="1">
        <v>-1.37E8</v>
      </c>
      <c r="M1161" s="1">
        <v>2.1E7</v>
      </c>
      <c r="N1161" s="1">
        <v>3.465E9</v>
      </c>
      <c r="O1161" s="1">
        <v>3.135E9</v>
      </c>
      <c r="P1161" s="1">
        <v>2.269E9</v>
      </c>
      <c r="Q1161" s="1">
        <v>-1.47E8</v>
      </c>
      <c r="R1161" s="1">
        <v>1.62E8</v>
      </c>
      <c r="S1161" s="1">
        <v>1.39E8</v>
      </c>
    </row>
    <row r="1162">
      <c r="A1162" s="1">
        <v>1160.0</v>
      </c>
      <c r="B1162" s="2">
        <v>44407.0</v>
      </c>
      <c r="C1162" s="1" t="s">
        <v>621</v>
      </c>
      <c r="D1162" s="1" t="s">
        <v>622</v>
      </c>
      <c r="F1162" s="1">
        <v>3.994E9</v>
      </c>
      <c r="G1162" s="1">
        <v>3.018E9</v>
      </c>
      <c r="H1162" s="1">
        <v>4.666E9</v>
      </c>
      <c r="I1162" s="1">
        <v>9.312E9</v>
      </c>
      <c r="J1162" s="1">
        <v>4.237E9</v>
      </c>
      <c r="K1162" s="1">
        <v>4.237E9</v>
      </c>
      <c r="L1162" s="1">
        <v>-2.2E8</v>
      </c>
      <c r="M1162" s="1">
        <v>9.76E8</v>
      </c>
      <c r="N1162" s="1">
        <v>2.757E10</v>
      </c>
      <c r="O1162" s="1">
        <v>2.3333E10</v>
      </c>
      <c r="P1162" s="1">
        <v>1.8258E10</v>
      </c>
      <c r="Q1162" s="1">
        <v>-2.43E8</v>
      </c>
      <c r="R1162" s="1">
        <v>3.018E9</v>
      </c>
      <c r="S1162" s="1">
        <v>3.007E9</v>
      </c>
    </row>
    <row r="1163">
      <c r="A1163" s="1">
        <v>1161.0</v>
      </c>
      <c r="B1163" s="2">
        <v>44316.0</v>
      </c>
      <c r="C1163" s="1" t="s">
        <v>621</v>
      </c>
      <c r="D1163" s="1" t="s">
        <v>622</v>
      </c>
      <c r="F1163" s="1">
        <v>3.034E9</v>
      </c>
      <c r="G1163" s="1">
        <v>2.321E9</v>
      </c>
      <c r="H1163" s="1">
        <v>4.494E9</v>
      </c>
      <c r="I1163" s="1">
        <v>8.13E9</v>
      </c>
      <c r="J1163" s="1">
        <v>3.245E9</v>
      </c>
      <c r="K1163" s="1">
        <v>3.245E9</v>
      </c>
      <c r="L1163" s="1">
        <v>-2.14E8</v>
      </c>
      <c r="M1163" s="1">
        <v>7.13E8</v>
      </c>
      <c r="N1163" s="1">
        <v>2.4422E10</v>
      </c>
      <c r="O1163" s="1">
        <v>2.1177E10</v>
      </c>
      <c r="P1163" s="1">
        <v>1.6292E10</v>
      </c>
      <c r="Q1163" s="1">
        <v>-2.11E8</v>
      </c>
      <c r="R1163" s="1">
        <v>2.321E9</v>
      </c>
      <c r="S1163" s="1">
        <v>2.312E9</v>
      </c>
    </row>
    <row r="1164">
      <c r="A1164" s="1">
        <v>1162.0</v>
      </c>
      <c r="B1164" s="2">
        <v>44225.0</v>
      </c>
      <c r="C1164" s="1" t="s">
        <v>621</v>
      </c>
      <c r="D1164" s="1" t="s">
        <v>622</v>
      </c>
      <c r="F1164" s="1">
        <v>1.32E9</v>
      </c>
      <c r="G1164" s="1">
        <v>9.78E8</v>
      </c>
      <c r="H1164" s="1">
        <v>3.307E9</v>
      </c>
      <c r="I1164" s="1">
        <v>6.466E9</v>
      </c>
      <c r="J1164" s="1">
        <v>2.769E9</v>
      </c>
      <c r="K1164" s="1">
        <v>2.769E9</v>
      </c>
      <c r="L1164" s="1">
        <v>-2.1E8</v>
      </c>
      <c r="M1164" s="1">
        <v>3.42E8</v>
      </c>
      <c r="N1164" s="1">
        <v>2.0311E10</v>
      </c>
      <c r="O1164" s="1">
        <v>1.7542E10</v>
      </c>
      <c r="P1164" s="1">
        <v>1.3845E10</v>
      </c>
      <c r="Q1164" s="1">
        <v>-1.449E9</v>
      </c>
      <c r="R1164" s="1">
        <v>9.78E8</v>
      </c>
      <c r="S1164" s="1">
        <v>9.74E8</v>
      </c>
    </row>
    <row r="1165">
      <c r="A1165" s="1">
        <v>1163.0</v>
      </c>
      <c r="B1165" s="2">
        <v>44134.0</v>
      </c>
      <c r="C1165" s="1" t="s">
        <v>621</v>
      </c>
      <c r="D1165" s="1" t="s">
        <v>622</v>
      </c>
      <c r="F1165" s="1">
        <v>8.94E8</v>
      </c>
      <c r="G1165" s="1">
        <v>6.92E8</v>
      </c>
      <c r="H1165" s="1">
        <v>4.77E9</v>
      </c>
      <c r="I1165" s="1">
        <v>7.3E9</v>
      </c>
      <c r="J1165" s="1">
        <v>2.175E9</v>
      </c>
      <c r="K1165" s="1">
        <v>2.175E9</v>
      </c>
      <c r="L1165" s="1">
        <v>-2.27E8</v>
      </c>
      <c r="M1165" s="1">
        <v>2.02E8</v>
      </c>
      <c r="N1165" s="1">
        <v>2.2309E10</v>
      </c>
      <c r="O1165" s="1">
        <v>2.0134E10</v>
      </c>
      <c r="P1165" s="1">
        <v>1.5009E10</v>
      </c>
      <c r="Q1165" s="1">
        <v>-1.281E9</v>
      </c>
      <c r="R1165" s="1">
        <v>6.92E8</v>
      </c>
      <c r="S1165" s="1">
        <v>6.89E8</v>
      </c>
    </row>
    <row r="1166">
      <c r="A1166" s="1">
        <v>1164.0</v>
      </c>
      <c r="B1166" s="2">
        <v>44377.0</v>
      </c>
      <c r="C1166" s="1" t="s">
        <v>623</v>
      </c>
      <c r="D1166" s="1" t="s">
        <v>624</v>
      </c>
      <c r="F1166" s="1">
        <v>6.74E8</v>
      </c>
      <c r="G1166" s="1">
        <v>5.06E8</v>
      </c>
      <c r="H1166" s="1">
        <v>7.35E8</v>
      </c>
      <c r="I1166" s="1">
        <v>2.809E9</v>
      </c>
      <c r="J1166" s="1">
        <v>1.043E9</v>
      </c>
      <c r="K1166" s="1">
        <v>1.043E9</v>
      </c>
      <c r="L1166" s="1">
        <v>-3.84E8</v>
      </c>
      <c r="M1166" s="1">
        <v>1.68E8</v>
      </c>
      <c r="N1166" s="1">
        <v>4.924E9</v>
      </c>
      <c r="O1166" s="1">
        <v>3.881E9</v>
      </c>
      <c r="P1166" s="1">
        <v>2.115E9</v>
      </c>
      <c r="Q1166" s="1">
        <v>-3.69E8</v>
      </c>
      <c r="R1166" s="1">
        <v>5.06E8</v>
      </c>
      <c r="S1166" s="1">
        <v>5.06E8</v>
      </c>
    </row>
    <row r="1167">
      <c r="A1167" s="1">
        <v>1165.0</v>
      </c>
      <c r="B1167" s="2">
        <v>44286.0</v>
      </c>
      <c r="C1167" s="1" t="s">
        <v>623</v>
      </c>
      <c r="D1167" s="1" t="s">
        <v>624</v>
      </c>
      <c r="F1167" s="1">
        <v>6.32E8</v>
      </c>
      <c r="G1167" s="1">
        <v>4.75E8</v>
      </c>
      <c r="H1167" s="1">
        <v>7.32E8</v>
      </c>
      <c r="I1167" s="1">
        <v>2.893E9</v>
      </c>
      <c r="J1167" s="1">
        <v>1.011E9</v>
      </c>
      <c r="K1167" s="1">
        <v>1.011E9</v>
      </c>
      <c r="L1167" s="1">
        <v>-3.89E8</v>
      </c>
      <c r="M1167" s="1">
        <v>1.57E8</v>
      </c>
      <c r="N1167" s="1">
        <v>5.029E9</v>
      </c>
      <c r="O1167" s="1">
        <v>4.018E9</v>
      </c>
      <c r="P1167" s="1">
        <v>2.136E9</v>
      </c>
      <c r="Q1167" s="1">
        <v>-3.79E8</v>
      </c>
      <c r="R1167" s="1">
        <v>4.75E8</v>
      </c>
      <c r="S1167" s="1">
        <v>4.75E8</v>
      </c>
    </row>
    <row r="1168">
      <c r="A1168" s="1">
        <v>1166.0</v>
      </c>
      <c r="B1168" s="2">
        <v>44196.0</v>
      </c>
      <c r="C1168" s="1" t="s">
        <v>623</v>
      </c>
      <c r="D1168" s="1" t="s">
        <v>624</v>
      </c>
      <c r="F1168" s="1">
        <v>-2.208E9</v>
      </c>
      <c r="G1168" s="1">
        <v>-2.289E9</v>
      </c>
      <c r="H1168" s="1">
        <v>7.13E8</v>
      </c>
      <c r="I1168" s="1">
        <v>2.894E9</v>
      </c>
      <c r="J1168" s="1">
        <v>9.86E8</v>
      </c>
      <c r="K1168" s="1">
        <v>9.86E8</v>
      </c>
      <c r="L1168" s="1">
        <v>-3.96E8</v>
      </c>
      <c r="M1168" s="1">
        <v>8.1E7</v>
      </c>
      <c r="N1168" s="1">
        <v>5.125E9</v>
      </c>
      <c r="O1168" s="1">
        <v>4.139E9</v>
      </c>
      <c r="P1168" s="1">
        <v>2.231E9</v>
      </c>
      <c r="Q1168" s="1">
        <v>-3.194E9</v>
      </c>
      <c r="R1168" s="1">
        <v>-2.289E9</v>
      </c>
      <c r="S1168" s="1">
        <v>-2.289E9</v>
      </c>
    </row>
    <row r="1169">
      <c r="A1169" s="1">
        <v>1167.0</v>
      </c>
      <c r="B1169" s="2">
        <v>44104.0</v>
      </c>
      <c r="C1169" s="1" t="s">
        <v>623</v>
      </c>
      <c r="D1169" s="1" t="s">
        <v>624</v>
      </c>
      <c r="F1169" s="1">
        <v>4.8E8</v>
      </c>
      <c r="G1169" s="1">
        <v>3.66E8</v>
      </c>
      <c r="H1169" s="1">
        <v>8.52E8</v>
      </c>
      <c r="I1169" s="1">
        <v>2.931E9</v>
      </c>
      <c r="J1169" s="1">
        <v>8.86E8</v>
      </c>
      <c r="K1169" s="1">
        <v>8.86E8</v>
      </c>
      <c r="L1169" s="1">
        <v>-4.09E8</v>
      </c>
      <c r="M1169" s="1">
        <v>1.14E8</v>
      </c>
      <c r="N1169" s="1">
        <v>5.167E9</v>
      </c>
      <c r="O1169" s="1">
        <v>4.281E9</v>
      </c>
      <c r="P1169" s="1">
        <v>2.236E9</v>
      </c>
      <c r="Q1169" s="1">
        <v>-4.06E8</v>
      </c>
      <c r="R1169" s="1">
        <v>3.66E8</v>
      </c>
      <c r="S1169" s="1">
        <v>3.66E8</v>
      </c>
    </row>
    <row r="1170">
      <c r="A1170" s="1">
        <v>1168.0</v>
      </c>
      <c r="B1170" s="2">
        <v>44469.0</v>
      </c>
      <c r="C1170" s="1" t="s">
        <v>625</v>
      </c>
      <c r="D1170" s="1" t="s">
        <v>626</v>
      </c>
      <c r="E1170" s="1">
        <v>3.0E7</v>
      </c>
      <c r="F1170" s="1">
        <v>2.213E9</v>
      </c>
      <c r="G1170" s="1">
        <v>1.76E9</v>
      </c>
      <c r="H1170" s="1">
        <v>3.27E8</v>
      </c>
      <c r="I1170" s="1">
        <v>2.591E9</v>
      </c>
      <c r="J1170" s="1">
        <v>2.234E9</v>
      </c>
      <c r="K1170" s="1">
        <v>2.234E9</v>
      </c>
      <c r="L1170" s="1">
        <v>-1.28E8</v>
      </c>
      <c r="M1170" s="1">
        <v>4.52E8</v>
      </c>
      <c r="N1170" s="1">
        <v>1.27E10</v>
      </c>
      <c r="O1170" s="1">
        <v>1.0466E10</v>
      </c>
      <c r="P1170" s="1">
        <v>1.0109E10</v>
      </c>
      <c r="Q1170" s="1">
        <v>-2.1E7</v>
      </c>
      <c r="R1170" s="1">
        <v>1.761E9</v>
      </c>
      <c r="S1170" s="1">
        <v>1.756E9</v>
      </c>
    </row>
    <row r="1171">
      <c r="A1171" s="1">
        <v>1169.0</v>
      </c>
      <c r="B1171" s="2">
        <v>44377.0</v>
      </c>
      <c r="C1171" s="1" t="s">
        <v>625</v>
      </c>
      <c r="D1171" s="1" t="s">
        <v>626</v>
      </c>
      <c r="E1171" s="1">
        <v>3.2E7</v>
      </c>
      <c r="F1171" s="1">
        <v>2.562E9</v>
      </c>
      <c r="G1171" s="1">
        <v>2.058E9</v>
      </c>
      <c r="H1171" s="1">
        <v>3.4E8</v>
      </c>
      <c r="I1171" s="1">
        <v>2.885E9</v>
      </c>
      <c r="J1171" s="1">
        <v>2.513E9</v>
      </c>
      <c r="K1171" s="1">
        <v>2.513E9</v>
      </c>
      <c r="L1171" s="1">
        <v>-1.31E8</v>
      </c>
      <c r="M1171" s="1">
        <v>5.06E8</v>
      </c>
      <c r="N1171" s="1">
        <v>1.1561E10</v>
      </c>
      <c r="O1171" s="1">
        <v>9.048E9</v>
      </c>
      <c r="P1171" s="1">
        <v>8.676E9</v>
      </c>
      <c r="Q1171" s="1">
        <v>4.9E7</v>
      </c>
      <c r="R1171" s="1">
        <v>2.056E9</v>
      </c>
      <c r="S1171" s="1">
        <v>2.052E9</v>
      </c>
    </row>
    <row r="1172">
      <c r="A1172" s="1">
        <v>1170.0</v>
      </c>
      <c r="B1172" s="2">
        <v>44286.0</v>
      </c>
      <c r="C1172" s="1" t="s">
        <v>625</v>
      </c>
      <c r="D1172" s="1" t="s">
        <v>626</v>
      </c>
      <c r="E1172" s="1">
        <v>2.9E7</v>
      </c>
      <c r="F1172" s="1">
        <v>1.14E9</v>
      </c>
      <c r="G1172" s="1">
        <v>1.068E9</v>
      </c>
      <c r="H1172" s="1">
        <v>3.02E8</v>
      </c>
      <c r="I1172" s="1">
        <v>1.404E9</v>
      </c>
      <c r="J1172" s="1">
        <v>1.073E9</v>
      </c>
      <c r="K1172" s="1">
        <v>1.073E9</v>
      </c>
      <c r="L1172" s="1">
        <v>-1.12E8</v>
      </c>
      <c r="M1172" s="1">
        <v>7.0E7</v>
      </c>
      <c r="N1172" s="1">
        <v>9.082E9</v>
      </c>
      <c r="O1172" s="1">
        <v>8.009E9</v>
      </c>
      <c r="P1172" s="1">
        <v>7.678E9</v>
      </c>
      <c r="Q1172" s="1">
        <v>6.7E7</v>
      </c>
      <c r="R1172" s="1">
        <v>1.07E9</v>
      </c>
      <c r="S1172" s="1">
        <v>1.066E9</v>
      </c>
    </row>
    <row r="1173">
      <c r="A1173" s="1">
        <v>1171.0</v>
      </c>
      <c r="B1173" s="2">
        <v>44196.0</v>
      </c>
      <c r="C1173" s="1" t="s">
        <v>625</v>
      </c>
      <c r="D1173" s="1" t="s">
        <v>626</v>
      </c>
      <c r="E1173" s="1">
        <v>3.4E7</v>
      </c>
      <c r="F1173" s="1">
        <v>8.94E8</v>
      </c>
      <c r="G1173" s="1">
        <v>8.53E8</v>
      </c>
      <c r="H1173" s="1">
        <v>2.98E8</v>
      </c>
      <c r="I1173" s="1">
        <v>1.225E9</v>
      </c>
      <c r="J1173" s="1">
        <v>8.93E8</v>
      </c>
      <c r="K1173" s="1">
        <v>8.93E8</v>
      </c>
      <c r="L1173" s="1">
        <v>-1.9E8</v>
      </c>
      <c r="M1173" s="1">
        <v>3.9E7</v>
      </c>
      <c r="N1173" s="1">
        <v>7.937E9</v>
      </c>
      <c r="O1173" s="1">
        <v>7.044E9</v>
      </c>
      <c r="P1173" s="1">
        <v>6.712E9</v>
      </c>
      <c r="Q1173" s="1">
        <v>1000000.0</v>
      </c>
      <c r="R1173" s="1">
        <v>8.55E8</v>
      </c>
      <c r="S1173" s="1">
        <v>8.53E8</v>
      </c>
    </row>
    <row r="1174">
      <c r="A1174" s="1">
        <v>1172.0</v>
      </c>
      <c r="B1174" s="2">
        <v>44377.0</v>
      </c>
      <c r="C1174" s="1" t="s">
        <v>627</v>
      </c>
      <c r="D1174" s="1" t="s">
        <v>628</v>
      </c>
      <c r="F1174" s="1">
        <v>6.05628E8</v>
      </c>
      <c r="G1174" s="1">
        <v>4.58069E8</v>
      </c>
      <c r="H1174" s="1">
        <v>6.5665E8</v>
      </c>
      <c r="I1174" s="1">
        <v>1.470973E9</v>
      </c>
      <c r="J1174" s="1">
        <v>0.0</v>
      </c>
      <c r="K1174" s="1">
        <v>6.30134E8</v>
      </c>
      <c r="M1174" s="1">
        <v>1.47559E8</v>
      </c>
      <c r="N1174" s="1">
        <v>1.470973E9</v>
      </c>
      <c r="O1174" s="1">
        <v>8.40839E8</v>
      </c>
      <c r="P1174" s="1">
        <v>0.0</v>
      </c>
      <c r="Q1174" s="1">
        <v>-2.4506E7</v>
      </c>
      <c r="R1174" s="1">
        <v>4.58069E8</v>
      </c>
      <c r="S1174" s="1">
        <v>4.38756E8</v>
      </c>
    </row>
    <row r="1175">
      <c r="A1175" s="1">
        <v>1173.0</v>
      </c>
      <c r="B1175" s="2">
        <v>44286.0</v>
      </c>
      <c r="C1175" s="1" t="s">
        <v>627</v>
      </c>
      <c r="D1175" s="1" t="s">
        <v>628</v>
      </c>
      <c r="F1175" s="1">
        <v>5.92549E8</v>
      </c>
      <c r="G1175" s="1">
        <v>4.47249E8</v>
      </c>
      <c r="H1175" s="1">
        <v>7.13245E8</v>
      </c>
      <c r="I1175" s="1">
        <v>1.511993E9</v>
      </c>
      <c r="J1175" s="1">
        <v>0.0</v>
      </c>
      <c r="K1175" s="1">
        <v>6.09475E8</v>
      </c>
      <c r="M1175" s="1">
        <v>1.453E8</v>
      </c>
      <c r="N1175" s="1">
        <v>1.511993E9</v>
      </c>
      <c r="O1175" s="1">
        <v>9.02518E8</v>
      </c>
      <c r="P1175" s="1">
        <v>0.0</v>
      </c>
      <c r="Q1175" s="1">
        <v>-1.6926E7</v>
      </c>
      <c r="R1175" s="1">
        <v>4.47249E8</v>
      </c>
      <c r="S1175" s="1">
        <v>4.28091E8</v>
      </c>
    </row>
    <row r="1176">
      <c r="A1176" s="1">
        <v>1174.0</v>
      </c>
      <c r="B1176" s="2">
        <v>44196.0</v>
      </c>
      <c r="C1176" s="1" t="s">
        <v>627</v>
      </c>
      <c r="D1176" s="1" t="s">
        <v>628</v>
      </c>
      <c r="F1176" s="1">
        <v>6.20522E8</v>
      </c>
      <c r="G1176" s="1">
        <v>4.7114E8</v>
      </c>
      <c r="H1176" s="1">
        <v>6.54539E8</v>
      </c>
      <c r="I1176" s="1">
        <v>1.46553E9</v>
      </c>
      <c r="J1176" s="1">
        <v>0.0</v>
      </c>
      <c r="K1176" s="1">
        <v>6.38855E8</v>
      </c>
      <c r="M1176" s="1">
        <v>1.49382E8</v>
      </c>
      <c r="N1176" s="1">
        <v>1.46553E9</v>
      </c>
      <c r="O1176" s="1">
        <v>8.26675E8</v>
      </c>
      <c r="P1176" s="1">
        <v>0.0</v>
      </c>
      <c r="Q1176" s="1">
        <v>-1.8333E7</v>
      </c>
      <c r="R1176" s="1">
        <v>4.7114E8</v>
      </c>
      <c r="S1176" s="1">
        <v>4.51863E8</v>
      </c>
    </row>
    <row r="1177">
      <c r="A1177" s="1">
        <v>1175.0</v>
      </c>
      <c r="B1177" s="2">
        <v>44104.0</v>
      </c>
      <c r="C1177" s="1" t="s">
        <v>627</v>
      </c>
      <c r="D1177" s="1" t="s">
        <v>628</v>
      </c>
      <c r="F1177" s="1">
        <v>4.86882E8</v>
      </c>
      <c r="G1177" s="1">
        <v>3.72136E8</v>
      </c>
      <c r="H1177" s="1">
        <v>6.45914E8</v>
      </c>
      <c r="I1177" s="1">
        <v>1.313656E9</v>
      </c>
      <c r="J1177" s="1">
        <v>0.0</v>
      </c>
      <c r="K1177" s="1">
        <v>5.02917E8</v>
      </c>
      <c r="M1177" s="1">
        <v>1.14746E8</v>
      </c>
      <c r="N1177" s="1">
        <v>1.313656E9</v>
      </c>
      <c r="O1177" s="1">
        <v>8.10739E8</v>
      </c>
      <c r="P1177" s="1">
        <v>0.0</v>
      </c>
      <c r="Q1177" s="1">
        <v>-1.6035E7</v>
      </c>
      <c r="R1177" s="1">
        <v>3.72136E8</v>
      </c>
      <c r="S1177" s="1">
        <v>3.53399E8</v>
      </c>
    </row>
    <row r="1178">
      <c r="A1178" s="1">
        <v>1176.0</v>
      </c>
      <c r="B1178" s="2">
        <v>44377.0</v>
      </c>
      <c r="C1178" s="1" t="s">
        <v>629</v>
      </c>
      <c r="D1178" s="1" t="s">
        <v>630</v>
      </c>
      <c r="F1178" s="1">
        <v>2.6E7</v>
      </c>
      <c r="G1178" s="1">
        <v>1.6E7</v>
      </c>
      <c r="H1178" s="1">
        <v>6.9E7</v>
      </c>
      <c r="I1178" s="1">
        <v>9.66E8</v>
      </c>
      <c r="J1178" s="1">
        <v>5.4E7</v>
      </c>
      <c r="K1178" s="1">
        <v>5.4E7</v>
      </c>
      <c r="L1178" s="1">
        <v>-5.9E7</v>
      </c>
      <c r="M1178" s="1">
        <v>1.0E7</v>
      </c>
      <c r="N1178" s="1">
        <v>1.259E9</v>
      </c>
      <c r="O1178" s="1">
        <v>1.205E9</v>
      </c>
      <c r="P1178" s="1">
        <v>2.93E8</v>
      </c>
      <c r="Q1178" s="1">
        <v>-2.8E7</v>
      </c>
      <c r="R1178" s="1">
        <v>1.6E7</v>
      </c>
      <c r="S1178" s="1">
        <v>1.6E7</v>
      </c>
    </row>
    <row r="1179">
      <c r="A1179" s="1">
        <v>1177.0</v>
      </c>
      <c r="B1179" s="2">
        <v>44286.0</v>
      </c>
      <c r="C1179" s="1" t="s">
        <v>629</v>
      </c>
      <c r="D1179" s="1" t="s">
        <v>630</v>
      </c>
      <c r="F1179" s="1">
        <v>1.07E8</v>
      </c>
      <c r="G1179" s="1">
        <v>9.7E7</v>
      </c>
      <c r="H1179" s="1">
        <v>7.5E7</v>
      </c>
      <c r="I1179" s="1">
        <v>9.07E8</v>
      </c>
      <c r="J1179" s="1">
        <v>8.7E7</v>
      </c>
      <c r="K1179" s="1">
        <v>8.7E7</v>
      </c>
      <c r="L1179" s="1">
        <v>-1.3E7</v>
      </c>
      <c r="M1179" s="1">
        <v>1.0E7</v>
      </c>
      <c r="N1179" s="1">
        <v>1.18E9</v>
      </c>
      <c r="O1179" s="1">
        <v>1.093E9</v>
      </c>
      <c r="P1179" s="1">
        <v>2.73E8</v>
      </c>
      <c r="Q1179" s="1">
        <v>2.0E7</v>
      </c>
      <c r="R1179" s="1">
        <v>9.7E7</v>
      </c>
      <c r="S1179" s="1">
        <v>9.7E7</v>
      </c>
    </row>
    <row r="1180">
      <c r="A1180" s="1">
        <v>1178.0</v>
      </c>
      <c r="B1180" s="2">
        <v>44196.0</v>
      </c>
      <c r="C1180" s="1" t="s">
        <v>629</v>
      </c>
      <c r="D1180" s="1" t="s">
        <v>630</v>
      </c>
      <c r="F1180" s="1">
        <v>-3.41E8</v>
      </c>
      <c r="G1180" s="1">
        <v>-3.38E8</v>
      </c>
      <c r="H1180" s="1">
        <v>5.7E7</v>
      </c>
      <c r="I1180" s="1">
        <v>5.3E8</v>
      </c>
      <c r="J1180" s="1">
        <v>-2.15E8</v>
      </c>
      <c r="K1180" s="1">
        <v>-2.15E8</v>
      </c>
      <c r="L1180" s="1">
        <v>-7.2E7</v>
      </c>
      <c r="M1180" s="1">
        <v>-3000000.0</v>
      </c>
      <c r="N1180" s="1">
        <v>8.31E8</v>
      </c>
      <c r="O1180" s="1">
        <v>1.046E9</v>
      </c>
      <c r="P1180" s="1">
        <v>3.01E8</v>
      </c>
      <c r="Q1180" s="1">
        <v>-1.26E8</v>
      </c>
      <c r="R1180" s="1">
        <v>-3.38E8</v>
      </c>
      <c r="S1180" s="1">
        <v>-3.38E8</v>
      </c>
    </row>
    <row r="1181">
      <c r="A1181" s="1">
        <v>1179.0</v>
      </c>
      <c r="B1181" s="2">
        <v>44104.0</v>
      </c>
      <c r="C1181" s="1" t="s">
        <v>629</v>
      </c>
      <c r="D1181" s="1" t="s">
        <v>630</v>
      </c>
      <c r="F1181" s="1">
        <v>-3.1E8</v>
      </c>
      <c r="G1181" s="1">
        <v>-3.17E8</v>
      </c>
      <c r="H1181" s="1">
        <v>5.9E7</v>
      </c>
      <c r="I1181" s="1">
        <v>4.52E8</v>
      </c>
      <c r="J1181" s="1">
        <v>-2.39E8</v>
      </c>
      <c r="K1181" s="1">
        <v>-2.39E8</v>
      </c>
      <c r="L1181" s="1">
        <v>-6.2E7</v>
      </c>
      <c r="M1181" s="1">
        <v>7000000.0</v>
      </c>
      <c r="N1181" s="1">
        <v>7.64E8</v>
      </c>
      <c r="O1181" s="1">
        <v>1.003E9</v>
      </c>
      <c r="P1181" s="1">
        <v>3.12E8</v>
      </c>
      <c r="Q1181" s="1">
        <v>-7.1E7</v>
      </c>
      <c r="R1181" s="1">
        <v>-3.17E8</v>
      </c>
      <c r="S1181" s="1">
        <v>-3.17E8</v>
      </c>
    </row>
    <row r="1182">
      <c r="A1182" s="1">
        <v>1180.0</v>
      </c>
      <c r="B1182" s="2">
        <v>44377.0</v>
      </c>
      <c r="C1182" s="1" t="s">
        <v>631</v>
      </c>
      <c r="D1182" s="1" t="s">
        <v>632</v>
      </c>
      <c r="F1182" s="1">
        <v>5.93E8</v>
      </c>
      <c r="G1182" s="1">
        <v>8.512E9</v>
      </c>
      <c r="H1182" s="1">
        <v>6.81E8</v>
      </c>
      <c r="I1182" s="1">
        <v>2.557E9</v>
      </c>
      <c r="J1182" s="1">
        <v>8.16E8</v>
      </c>
      <c r="K1182" s="1">
        <v>8.16E8</v>
      </c>
      <c r="L1182" s="1">
        <v>-3.18E8</v>
      </c>
      <c r="M1182" s="1">
        <v>5000000.0</v>
      </c>
      <c r="N1182" s="1">
        <v>2.9734E10</v>
      </c>
      <c r="O1182" s="1">
        <v>2.8918E10</v>
      </c>
      <c r="P1182" s="1">
        <v>2.7177E10</v>
      </c>
      <c r="Q1182" s="1">
        <v>-2.23E8</v>
      </c>
      <c r="R1182" s="1">
        <v>5.88E8</v>
      </c>
      <c r="S1182" s="1">
        <v>8.512E9</v>
      </c>
    </row>
    <row r="1183">
      <c r="A1183" s="1">
        <v>1181.0</v>
      </c>
      <c r="B1183" s="2">
        <v>44286.0</v>
      </c>
      <c r="C1183" s="1" t="s">
        <v>631</v>
      </c>
      <c r="D1183" s="1" t="s">
        <v>632</v>
      </c>
      <c r="F1183" s="1">
        <v>-1.36E8</v>
      </c>
      <c r="G1183" s="1">
        <v>-2.42E8</v>
      </c>
      <c r="H1183" s="1">
        <v>5.75E8</v>
      </c>
      <c r="I1183" s="1">
        <v>1.704E9</v>
      </c>
      <c r="J1183" s="1">
        <v>1.23E8</v>
      </c>
      <c r="K1183" s="1">
        <v>1.23E8</v>
      </c>
      <c r="L1183" s="1">
        <v>-3.34E8</v>
      </c>
      <c r="M1183" s="1">
        <v>3.4E7</v>
      </c>
      <c r="N1183" s="1">
        <v>2.2788E10</v>
      </c>
      <c r="O1183" s="1">
        <v>2.2665E10</v>
      </c>
      <c r="P1183" s="1">
        <v>2.1084E10</v>
      </c>
      <c r="Q1183" s="1">
        <v>-2.59E8</v>
      </c>
      <c r="R1183" s="1">
        <v>-1.7E8</v>
      </c>
      <c r="S1183" s="1">
        <v>-2.42E8</v>
      </c>
    </row>
    <row r="1184">
      <c r="A1184" s="1">
        <v>1182.0</v>
      </c>
      <c r="B1184" s="2">
        <v>44196.0</v>
      </c>
      <c r="C1184" s="1" t="s">
        <v>631</v>
      </c>
      <c r="D1184" s="1" t="s">
        <v>632</v>
      </c>
      <c r="F1184" s="1">
        <v>5.7E7</v>
      </c>
      <c r="G1184" s="1">
        <v>2.85E8</v>
      </c>
      <c r="H1184" s="1">
        <v>6.39E8</v>
      </c>
      <c r="I1184" s="1">
        <v>1.989E9</v>
      </c>
      <c r="J1184" s="1">
        <v>3.8E8</v>
      </c>
      <c r="K1184" s="1">
        <v>3.8E8</v>
      </c>
      <c r="L1184" s="1">
        <v>-3.34E8</v>
      </c>
      <c r="M1184" s="1">
        <v>-1.93E8</v>
      </c>
      <c r="N1184" s="1">
        <v>1.802E10</v>
      </c>
      <c r="O1184" s="1">
        <v>1.764E10</v>
      </c>
      <c r="P1184" s="1">
        <v>1.6031E10</v>
      </c>
      <c r="Q1184" s="1">
        <v>-3.23E8</v>
      </c>
      <c r="R1184" s="1">
        <v>2.5E8</v>
      </c>
      <c r="S1184" s="1">
        <v>2.84E8</v>
      </c>
    </row>
    <row r="1185">
      <c r="A1185" s="1">
        <v>1183.0</v>
      </c>
      <c r="B1185" s="2">
        <v>44104.0</v>
      </c>
      <c r="C1185" s="1" t="s">
        <v>631</v>
      </c>
      <c r="D1185" s="1" t="s">
        <v>632</v>
      </c>
      <c r="F1185" s="1">
        <v>-1.416E9</v>
      </c>
      <c r="G1185" s="1">
        <v>-8.86E8</v>
      </c>
      <c r="H1185" s="1">
        <v>6.79E8</v>
      </c>
      <c r="I1185" s="1">
        <v>1.287E9</v>
      </c>
      <c r="J1185" s="1">
        <v>-4.0E8</v>
      </c>
      <c r="K1185" s="1">
        <v>-4.0E8</v>
      </c>
      <c r="L1185" s="1">
        <v>-3.44E8</v>
      </c>
      <c r="M1185" s="1">
        <v>-4.36E8</v>
      </c>
      <c r="N1185" s="1">
        <v>1.743E10</v>
      </c>
      <c r="O1185" s="1">
        <v>1.783E10</v>
      </c>
      <c r="P1185" s="1">
        <v>1.6143E10</v>
      </c>
      <c r="Q1185" s="1">
        <v>-1.016E9</v>
      </c>
      <c r="R1185" s="1">
        <v>-9.8E8</v>
      </c>
      <c r="S1185" s="1">
        <v>-8.86E8</v>
      </c>
    </row>
    <row r="1186">
      <c r="A1186" s="1">
        <v>1184.0</v>
      </c>
      <c r="B1186" s="2">
        <v>44377.0</v>
      </c>
      <c r="C1186" s="1" t="s">
        <v>633</v>
      </c>
      <c r="D1186" s="1" t="s">
        <v>634</v>
      </c>
      <c r="F1186" s="1">
        <v>8.6053E7</v>
      </c>
      <c r="G1186" s="1">
        <v>6.7288E7</v>
      </c>
      <c r="H1186" s="1">
        <v>2.4784E7</v>
      </c>
      <c r="I1186" s="1">
        <v>1.25058E8</v>
      </c>
      <c r="J1186" s="1">
        <v>8.7177E7</v>
      </c>
      <c r="K1186" s="1">
        <v>8.7177E7</v>
      </c>
      <c r="L1186" s="1">
        <v>-171000.0</v>
      </c>
      <c r="M1186" s="1">
        <v>1.8765E7</v>
      </c>
      <c r="N1186" s="1">
        <v>1.76334E8</v>
      </c>
      <c r="O1186" s="1">
        <v>8.9157E7</v>
      </c>
      <c r="P1186" s="1">
        <v>5.1276E7</v>
      </c>
      <c r="Q1186" s="1">
        <v>-1124000.0</v>
      </c>
      <c r="R1186" s="1">
        <v>6.7288E7</v>
      </c>
      <c r="S1186" s="1">
        <v>6.7288E7</v>
      </c>
    </row>
    <row r="1187">
      <c r="A1187" s="1">
        <v>1185.0</v>
      </c>
      <c r="B1187" s="2">
        <v>44286.0</v>
      </c>
      <c r="C1187" s="1" t="s">
        <v>633</v>
      </c>
      <c r="D1187" s="1" t="s">
        <v>634</v>
      </c>
      <c r="F1187" s="1">
        <v>1.01801E8</v>
      </c>
      <c r="G1187" s="1">
        <v>8.0457E7</v>
      </c>
      <c r="H1187" s="1">
        <v>2.2082E7</v>
      </c>
      <c r="I1187" s="1">
        <v>1.3734E8</v>
      </c>
      <c r="J1187" s="1">
        <v>1.03479E8</v>
      </c>
      <c r="K1187" s="1">
        <v>1.03479E8</v>
      </c>
      <c r="L1187" s="1">
        <v>-191000.0</v>
      </c>
      <c r="M1187" s="1">
        <v>2.1344E7</v>
      </c>
      <c r="N1187" s="1">
        <v>1.95464E8</v>
      </c>
      <c r="O1187" s="1">
        <v>9.1985E7</v>
      </c>
      <c r="P1187" s="1">
        <v>5.8124E7</v>
      </c>
      <c r="Q1187" s="1">
        <v>-1678000.0</v>
      </c>
      <c r="R1187" s="1">
        <v>8.0457E7</v>
      </c>
      <c r="S1187" s="1">
        <v>8.0457E7</v>
      </c>
    </row>
    <row r="1188">
      <c r="A1188" s="1">
        <v>1186.0</v>
      </c>
      <c r="B1188" s="2">
        <v>44196.0</v>
      </c>
      <c r="C1188" s="1" t="s">
        <v>633</v>
      </c>
      <c r="D1188" s="1" t="s">
        <v>634</v>
      </c>
      <c r="F1188" s="1">
        <v>9.0289E7</v>
      </c>
      <c r="G1188" s="1">
        <v>7.2931E7</v>
      </c>
      <c r="H1188" s="1">
        <v>2.2543E7</v>
      </c>
      <c r="I1188" s="1">
        <v>1.25952E8</v>
      </c>
      <c r="J1188" s="1">
        <v>9.2817E7</v>
      </c>
      <c r="K1188" s="1">
        <v>9.2817E7</v>
      </c>
      <c r="L1188" s="1">
        <v>-96000.0</v>
      </c>
      <c r="M1188" s="1">
        <v>1.7358E7</v>
      </c>
      <c r="N1188" s="1">
        <v>1.71346E8</v>
      </c>
      <c r="O1188" s="1">
        <v>7.8529E7</v>
      </c>
      <c r="P1188" s="1">
        <v>4.5394E7</v>
      </c>
      <c r="Q1188" s="1">
        <v>-2528000.0</v>
      </c>
      <c r="R1188" s="1">
        <v>7.2931E7</v>
      </c>
      <c r="S1188" s="1">
        <v>7.2931E7</v>
      </c>
    </row>
    <row r="1189">
      <c r="A1189" s="1">
        <v>1187.0</v>
      </c>
      <c r="B1189" s="2">
        <v>44104.0</v>
      </c>
      <c r="C1189" s="1" t="s">
        <v>633</v>
      </c>
      <c r="D1189" s="1" t="s">
        <v>634</v>
      </c>
      <c r="F1189" s="1">
        <v>8.7965E7</v>
      </c>
      <c r="G1189" s="1">
        <v>6.7776E7</v>
      </c>
      <c r="H1189" s="1">
        <v>2.1171E7</v>
      </c>
      <c r="I1189" s="1">
        <v>1.18006E8</v>
      </c>
      <c r="J1189" s="1">
        <v>8.7803E7</v>
      </c>
      <c r="K1189" s="1">
        <v>8.7803E7</v>
      </c>
      <c r="L1189" s="1">
        <v>-1046000.0</v>
      </c>
      <c r="M1189" s="1">
        <v>2.0189E7</v>
      </c>
      <c r="N1189" s="1">
        <v>1.64006E8</v>
      </c>
      <c r="O1189" s="1">
        <v>7.6203E7</v>
      </c>
      <c r="P1189" s="1">
        <v>4.6E7</v>
      </c>
      <c r="Q1189" s="1">
        <v>162000.0</v>
      </c>
      <c r="R1189" s="1">
        <v>6.7776E7</v>
      </c>
      <c r="S1189" s="1">
        <v>6.7776E7</v>
      </c>
    </row>
    <row r="1190">
      <c r="A1190" s="1">
        <v>1188.0</v>
      </c>
      <c r="B1190" s="2">
        <v>44286.0</v>
      </c>
      <c r="C1190" s="1" t="s">
        <v>635</v>
      </c>
      <c r="D1190" s="1" t="s">
        <v>636</v>
      </c>
      <c r="F1190" s="1">
        <v>-2.7E7</v>
      </c>
      <c r="G1190" s="1">
        <v>-1.1E7</v>
      </c>
      <c r="H1190" s="1">
        <v>2.11E8</v>
      </c>
      <c r="I1190" s="1">
        <v>4.01E8</v>
      </c>
      <c r="J1190" s="1">
        <v>8.5E7</v>
      </c>
      <c r="K1190" s="1">
        <v>8.5E7</v>
      </c>
      <c r="L1190" s="1">
        <v>-1.07E8</v>
      </c>
      <c r="M1190" s="1">
        <v>-1.6E7</v>
      </c>
      <c r="N1190" s="1">
        <v>5.36E8</v>
      </c>
      <c r="O1190" s="1">
        <v>4.51E8</v>
      </c>
      <c r="P1190" s="1">
        <v>1.35E8</v>
      </c>
      <c r="Q1190" s="1">
        <v>-1.12E8</v>
      </c>
      <c r="R1190" s="1">
        <v>-1.1E7</v>
      </c>
      <c r="S1190" s="1">
        <v>-1.1E7</v>
      </c>
    </row>
    <row r="1191">
      <c r="A1191" s="1">
        <v>1189.0</v>
      </c>
      <c r="B1191" s="2">
        <v>44196.0</v>
      </c>
      <c r="C1191" s="1" t="s">
        <v>635</v>
      </c>
      <c r="D1191" s="1" t="s">
        <v>636</v>
      </c>
      <c r="F1191" s="1">
        <v>-3.14E8</v>
      </c>
      <c r="G1191" s="1">
        <v>-1.64E8</v>
      </c>
      <c r="H1191" s="1">
        <v>4.59E8</v>
      </c>
      <c r="I1191" s="1">
        <v>3.58E8</v>
      </c>
      <c r="J1191" s="1">
        <v>1.45E8</v>
      </c>
      <c r="K1191" s="1">
        <v>1.45E8</v>
      </c>
      <c r="L1191" s="1">
        <v>-1.12E8</v>
      </c>
      <c r="M1191" s="1">
        <v>-1.5E8</v>
      </c>
      <c r="N1191" s="1">
        <v>5.08E8</v>
      </c>
      <c r="O1191" s="1">
        <v>3.63E8</v>
      </c>
      <c r="P1191" s="1">
        <v>1.5E8</v>
      </c>
      <c r="Q1191" s="1">
        <v>-4.59E8</v>
      </c>
      <c r="R1191" s="1">
        <v>-1.64E8</v>
      </c>
      <c r="S1191" s="1">
        <v>-1.64E8</v>
      </c>
    </row>
    <row r="1192">
      <c r="A1192" s="1">
        <v>1190.0</v>
      </c>
      <c r="B1192" s="2">
        <v>44104.0</v>
      </c>
      <c r="C1192" s="1" t="s">
        <v>635</v>
      </c>
      <c r="D1192" s="1" t="s">
        <v>636</v>
      </c>
      <c r="F1192" s="1">
        <v>1.27E8</v>
      </c>
      <c r="G1192" s="1">
        <v>1.0E8</v>
      </c>
      <c r="H1192" s="1">
        <v>1.31E8</v>
      </c>
      <c r="I1192" s="1">
        <v>3.31E8</v>
      </c>
      <c r="J1192" s="1">
        <v>2.53E8</v>
      </c>
      <c r="K1192" s="1">
        <v>2.53E8</v>
      </c>
      <c r="L1192" s="1">
        <v>-1.13E8</v>
      </c>
      <c r="M1192" s="1">
        <v>2.7E7</v>
      </c>
      <c r="N1192" s="1">
        <v>4.65E8</v>
      </c>
      <c r="O1192" s="1">
        <v>2.12E8</v>
      </c>
      <c r="P1192" s="1">
        <v>1.34E8</v>
      </c>
      <c r="Q1192" s="1">
        <v>-1.26E8</v>
      </c>
      <c r="R1192" s="1">
        <v>1.0E8</v>
      </c>
      <c r="S1192" s="1">
        <v>1.0E8</v>
      </c>
    </row>
    <row r="1193">
      <c r="A1193" s="1">
        <v>1191.0</v>
      </c>
      <c r="B1193" s="2">
        <v>44012.0</v>
      </c>
      <c r="C1193" s="1" t="s">
        <v>635</v>
      </c>
      <c r="D1193" s="1" t="s">
        <v>636</v>
      </c>
      <c r="F1193" s="1">
        <v>-2.98E8</v>
      </c>
      <c r="G1193" s="1">
        <v>-2.34E8</v>
      </c>
      <c r="H1193" s="1">
        <v>1.78E8</v>
      </c>
      <c r="I1193" s="1">
        <v>1.41E8</v>
      </c>
      <c r="J1193" s="1">
        <v>-1.33E8</v>
      </c>
      <c r="K1193" s="1">
        <v>-1.33E8</v>
      </c>
      <c r="L1193" s="1">
        <v>-1.27E8</v>
      </c>
      <c r="M1193" s="1">
        <v>-6.4E7</v>
      </c>
      <c r="N1193" s="1">
        <v>2.62E8</v>
      </c>
      <c r="O1193" s="1">
        <v>3.95E8</v>
      </c>
      <c r="P1193" s="1">
        <v>1.21E8</v>
      </c>
      <c r="Q1193" s="1">
        <v>-1.65E8</v>
      </c>
      <c r="R1193" s="1">
        <v>-2.34E8</v>
      </c>
      <c r="S1193" s="1">
        <v>-2.34E8</v>
      </c>
    </row>
    <row r="1194">
      <c r="A1194" s="1">
        <v>1192.0</v>
      </c>
      <c r="B1194" s="2">
        <v>44286.0</v>
      </c>
      <c r="C1194" s="1" t="s">
        <v>637</v>
      </c>
      <c r="D1194" s="1" t="s">
        <v>638</v>
      </c>
      <c r="F1194" s="1">
        <v>1.322E9</v>
      </c>
      <c r="G1194" s="1">
        <v>9.83E8</v>
      </c>
      <c r="I1194" s="1">
        <v>2.349E9</v>
      </c>
      <c r="J1194" s="1">
        <v>1.452E9</v>
      </c>
      <c r="K1194" s="1">
        <v>1.452E9</v>
      </c>
      <c r="L1194" s="1">
        <v>-1.18E8</v>
      </c>
      <c r="M1194" s="1">
        <v>3.24E8</v>
      </c>
      <c r="N1194" s="1">
        <v>5.083E9</v>
      </c>
      <c r="O1194" s="1">
        <v>3.631E9</v>
      </c>
      <c r="P1194" s="1">
        <v>2.734E9</v>
      </c>
      <c r="Q1194" s="1">
        <v>-1.3E8</v>
      </c>
      <c r="R1194" s="1">
        <v>9.98E8</v>
      </c>
      <c r="S1194" s="1">
        <v>9.83E8</v>
      </c>
    </row>
    <row r="1195">
      <c r="A1195" s="1">
        <v>1193.0</v>
      </c>
      <c r="B1195" s="2">
        <v>44196.0</v>
      </c>
      <c r="C1195" s="1" t="s">
        <v>637</v>
      </c>
      <c r="D1195" s="1" t="s">
        <v>638</v>
      </c>
      <c r="F1195" s="1">
        <v>5.4E8</v>
      </c>
      <c r="G1195" s="1">
        <v>3.74E8</v>
      </c>
      <c r="I1195" s="1">
        <v>1.865E9</v>
      </c>
      <c r="J1195" s="1">
        <v>7.6E8</v>
      </c>
      <c r="K1195" s="1">
        <v>7.6E8</v>
      </c>
      <c r="L1195" s="1">
        <v>-1.28E8</v>
      </c>
      <c r="M1195" s="1">
        <v>1.61E8</v>
      </c>
      <c r="N1195" s="1">
        <v>4.416E9</v>
      </c>
      <c r="O1195" s="1">
        <v>3.656E9</v>
      </c>
      <c r="P1195" s="1">
        <v>2.551E9</v>
      </c>
      <c r="Q1195" s="1">
        <v>-2.2E8</v>
      </c>
      <c r="R1195" s="1">
        <v>3.79E8</v>
      </c>
      <c r="S1195" s="1">
        <v>3.74E8</v>
      </c>
    </row>
    <row r="1196">
      <c r="A1196" s="1">
        <v>1194.0</v>
      </c>
      <c r="B1196" s="2">
        <v>44104.0</v>
      </c>
      <c r="C1196" s="1" t="s">
        <v>637</v>
      </c>
      <c r="D1196" s="1" t="s">
        <v>638</v>
      </c>
      <c r="F1196" s="1">
        <v>4.59E8</v>
      </c>
      <c r="G1196" s="1">
        <v>3.16E8</v>
      </c>
      <c r="I1196" s="1">
        <v>1.533E9</v>
      </c>
      <c r="J1196" s="1">
        <v>6.0E8</v>
      </c>
      <c r="K1196" s="1">
        <v>6.0E8</v>
      </c>
      <c r="L1196" s="1">
        <v>-1.28E8</v>
      </c>
      <c r="M1196" s="1">
        <v>1.39E8</v>
      </c>
      <c r="N1196" s="1">
        <v>3.968E9</v>
      </c>
      <c r="O1196" s="1">
        <v>3.368E9</v>
      </c>
      <c r="P1196" s="1">
        <v>2.435E9</v>
      </c>
      <c r="Q1196" s="1">
        <v>-1.41E8</v>
      </c>
      <c r="R1196" s="1">
        <v>3.2E8</v>
      </c>
      <c r="S1196" s="1">
        <v>3.16E8</v>
      </c>
    </row>
    <row r="1197">
      <c r="A1197" s="1">
        <v>1195.0</v>
      </c>
      <c r="B1197" s="2">
        <v>44012.0</v>
      </c>
      <c r="C1197" s="1" t="s">
        <v>637</v>
      </c>
      <c r="D1197" s="1" t="s">
        <v>638</v>
      </c>
      <c r="F1197" s="1">
        <v>7.87E8</v>
      </c>
      <c r="G1197" s="1">
        <v>5.72E8</v>
      </c>
      <c r="I1197" s="1">
        <v>1.823E9</v>
      </c>
      <c r="J1197" s="1">
        <v>9.48E8</v>
      </c>
      <c r="K1197" s="1">
        <v>9.48E8</v>
      </c>
      <c r="L1197" s="1">
        <v>-1.32E8</v>
      </c>
      <c r="M1197" s="1">
        <v>2.07E8</v>
      </c>
      <c r="N1197" s="1">
        <v>4.189E9</v>
      </c>
      <c r="O1197" s="1">
        <v>3.241E9</v>
      </c>
      <c r="P1197" s="1">
        <v>2.366E9</v>
      </c>
      <c r="Q1197" s="1">
        <v>-1.61E8</v>
      </c>
      <c r="R1197" s="1">
        <v>5.8E8</v>
      </c>
      <c r="S1197" s="1">
        <v>5.72E8</v>
      </c>
    </row>
    <row r="1198">
      <c r="A1198" s="1">
        <v>1196.0</v>
      </c>
      <c r="B1198" s="2">
        <v>44377.0</v>
      </c>
      <c r="C1198" s="1" t="s">
        <v>639</v>
      </c>
      <c r="D1198" s="1" t="s">
        <v>640</v>
      </c>
      <c r="F1198" s="1">
        <v>2.881E8</v>
      </c>
      <c r="G1198" s="1">
        <v>2.258E8</v>
      </c>
      <c r="H1198" s="1">
        <v>7.67E7</v>
      </c>
      <c r="I1198" s="1">
        <v>3.853E8</v>
      </c>
      <c r="J1198" s="1">
        <v>3.102E8</v>
      </c>
      <c r="K1198" s="1">
        <v>3.102E8</v>
      </c>
      <c r="L1198" s="1">
        <v>-2.81E7</v>
      </c>
      <c r="M1198" s="1">
        <v>6.23E7</v>
      </c>
      <c r="N1198" s="1">
        <v>1.2953E9</v>
      </c>
      <c r="O1198" s="1">
        <v>9.851E8</v>
      </c>
      <c r="P1198" s="1">
        <v>9.1E8</v>
      </c>
      <c r="Q1198" s="1">
        <v>-2.21E7</v>
      </c>
      <c r="R1198" s="1">
        <v>2.258E8</v>
      </c>
      <c r="S1198" s="1">
        <v>2.256E8</v>
      </c>
    </row>
    <row r="1199">
      <c r="A1199" s="1">
        <v>1197.0</v>
      </c>
      <c r="B1199" s="2">
        <v>44286.0</v>
      </c>
      <c r="C1199" s="1" t="s">
        <v>639</v>
      </c>
      <c r="D1199" s="1" t="s">
        <v>640</v>
      </c>
      <c r="F1199" s="1">
        <v>8.14E7</v>
      </c>
      <c r="G1199" s="1">
        <v>6.53E7</v>
      </c>
      <c r="H1199" s="1">
        <v>7.36E7</v>
      </c>
      <c r="I1199" s="1">
        <v>1.759E8</v>
      </c>
      <c r="J1199" s="1">
        <v>1.067E8</v>
      </c>
      <c r="K1199" s="1">
        <v>1.067E8</v>
      </c>
      <c r="L1199" s="1">
        <v>-2.74E7</v>
      </c>
      <c r="M1199" s="1">
        <v>1.59E7</v>
      </c>
      <c r="N1199" s="1">
        <v>9.219E8</v>
      </c>
      <c r="O1199" s="1">
        <v>8.152E8</v>
      </c>
      <c r="P1199" s="1">
        <v>7.46E8</v>
      </c>
      <c r="Q1199" s="1">
        <v>-2.53E7</v>
      </c>
      <c r="R1199" s="1">
        <v>6.55E7</v>
      </c>
      <c r="S1199" s="1">
        <v>6.53E7</v>
      </c>
    </row>
    <row r="1200">
      <c r="A1200" s="1">
        <v>1198.0</v>
      </c>
      <c r="B1200" s="2">
        <v>44196.0</v>
      </c>
      <c r="C1200" s="1" t="s">
        <v>639</v>
      </c>
      <c r="D1200" s="1" t="s">
        <v>640</v>
      </c>
      <c r="F1200" s="1">
        <v>2.083E8</v>
      </c>
      <c r="G1200" s="1">
        <v>1.83E8</v>
      </c>
      <c r="H1200" s="1">
        <v>8.63E7</v>
      </c>
      <c r="I1200" s="1">
        <v>3.262E8</v>
      </c>
      <c r="J1200" s="1">
        <v>2.393E8</v>
      </c>
      <c r="K1200" s="1">
        <v>2.393E8</v>
      </c>
      <c r="L1200" s="1">
        <v>-2.84E7</v>
      </c>
      <c r="M1200" s="1">
        <v>2.52E7</v>
      </c>
      <c r="N1200" s="1">
        <v>1.1109E9</v>
      </c>
      <c r="O1200" s="1">
        <v>8.716E8</v>
      </c>
      <c r="P1200" s="1">
        <v>7.847E8</v>
      </c>
      <c r="Q1200" s="1">
        <v>-3.1E7</v>
      </c>
      <c r="R1200" s="1">
        <v>1.831E8</v>
      </c>
      <c r="S1200" s="1">
        <v>1.829E8</v>
      </c>
    </row>
    <row r="1201">
      <c r="A1201" s="1">
        <v>1199.0</v>
      </c>
      <c r="B1201" s="2">
        <v>44104.0</v>
      </c>
      <c r="C1201" s="1" t="s">
        <v>639</v>
      </c>
      <c r="D1201" s="1" t="s">
        <v>640</v>
      </c>
      <c r="F1201" s="1">
        <v>3.759E8</v>
      </c>
      <c r="G1201" s="1">
        <v>2.944E8</v>
      </c>
      <c r="H1201" s="1">
        <v>6.82E7</v>
      </c>
      <c r="I1201" s="1">
        <v>4.046E8</v>
      </c>
      <c r="J1201" s="1">
        <v>3.34E8</v>
      </c>
      <c r="K1201" s="1">
        <v>3.34E8</v>
      </c>
      <c r="L1201" s="1">
        <v>-2.87E7</v>
      </c>
      <c r="M1201" s="1">
        <v>8.15E7</v>
      </c>
      <c r="N1201" s="1">
        <v>1.2407E9</v>
      </c>
      <c r="O1201" s="1">
        <v>9.067E8</v>
      </c>
      <c r="P1201" s="1">
        <v>8.361E8</v>
      </c>
      <c r="Q1201" s="1">
        <v>4.19E7</v>
      </c>
      <c r="R1201" s="1">
        <v>2.944E8</v>
      </c>
      <c r="S1201" s="1">
        <v>2.941E8</v>
      </c>
    </row>
    <row r="1202">
      <c r="A1202" s="1">
        <v>1200.0</v>
      </c>
      <c r="B1202" s="2">
        <v>44286.0</v>
      </c>
      <c r="C1202" s="1" t="s">
        <v>641</v>
      </c>
      <c r="D1202" s="1" t="s">
        <v>642</v>
      </c>
      <c r="F1202" s="1">
        <v>1.57E8</v>
      </c>
      <c r="G1202" s="1">
        <v>9.4E7</v>
      </c>
      <c r="H1202" s="1">
        <v>3.46E8</v>
      </c>
      <c r="I1202" s="1">
        <v>7.0E8</v>
      </c>
      <c r="J1202" s="1">
        <v>3.54E8</v>
      </c>
      <c r="K1202" s="1">
        <v>3.54E8</v>
      </c>
      <c r="L1202" s="1">
        <v>-2.02E8</v>
      </c>
      <c r="M1202" s="1">
        <v>4.3E7</v>
      </c>
      <c r="N1202" s="1">
        <v>1.97E9</v>
      </c>
      <c r="O1202" s="1">
        <v>1.616E9</v>
      </c>
      <c r="P1202" s="1">
        <v>1.27E9</v>
      </c>
      <c r="Q1202" s="1">
        <v>-2.08E8</v>
      </c>
      <c r="R1202" s="1">
        <v>1.14E8</v>
      </c>
      <c r="S1202" s="1">
        <v>8.8E7</v>
      </c>
    </row>
    <row r="1203">
      <c r="A1203" s="1">
        <v>1201.0</v>
      </c>
      <c r="B1203" s="2">
        <v>44196.0</v>
      </c>
      <c r="C1203" s="1" t="s">
        <v>641</v>
      </c>
      <c r="D1203" s="1" t="s">
        <v>642</v>
      </c>
      <c r="F1203" s="1">
        <v>2.75E8</v>
      </c>
      <c r="G1203" s="1">
        <v>1.95E8</v>
      </c>
      <c r="H1203" s="1">
        <v>3.53E8</v>
      </c>
      <c r="I1203" s="1">
        <v>6.62E8</v>
      </c>
      <c r="J1203" s="1">
        <v>3.09E8</v>
      </c>
      <c r="K1203" s="1">
        <v>3.09E8</v>
      </c>
      <c r="L1203" s="1">
        <v>-3.4E7</v>
      </c>
      <c r="M1203" s="1">
        <v>6.7E7</v>
      </c>
      <c r="N1203" s="1">
        <v>1.86E9</v>
      </c>
      <c r="O1203" s="1">
        <v>1.551E9</v>
      </c>
      <c r="P1203" s="1">
        <v>1.198E9</v>
      </c>
      <c r="Q1203" s="1">
        <v>-3.4E7</v>
      </c>
      <c r="R1203" s="1">
        <v>2.08E8</v>
      </c>
      <c r="S1203" s="1">
        <v>1.95E8</v>
      </c>
    </row>
    <row r="1204">
      <c r="A1204" s="1">
        <v>1202.0</v>
      </c>
      <c r="B1204" s="2">
        <v>44104.0</v>
      </c>
      <c r="C1204" s="1" t="s">
        <v>641</v>
      </c>
      <c r="D1204" s="1" t="s">
        <v>642</v>
      </c>
      <c r="F1204" s="1">
        <v>3.8E8</v>
      </c>
      <c r="G1204" s="1">
        <v>2.75E8</v>
      </c>
      <c r="H1204" s="1">
        <v>3.37E8</v>
      </c>
      <c r="I1204" s="1">
        <v>7.52E8</v>
      </c>
      <c r="J1204" s="1">
        <v>4.15E8</v>
      </c>
      <c r="K1204" s="1">
        <v>4.15E8</v>
      </c>
      <c r="L1204" s="1">
        <v>-4.0E7</v>
      </c>
      <c r="M1204" s="1">
        <v>8.7E7</v>
      </c>
      <c r="N1204" s="1">
        <v>1.983E9</v>
      </c>
      <c r="O1204" s="1">
        <v>1.568E9</v>
      </c>
      <c r="P1204" s="1">
        <v>1.231E9</v>
      </c>
      <c r="Q1204" s="1">
        <v>-3.5E7</v>
      </c>
      <c r="R1204" s="1">
        <v>2.93E8</v>
      </c>
      <c r="S1204" s="1">
        <v>2.74E8</v>
      </c>
    </row>
    <row r="1205">
      <c r="A1205" s="1">
        <v>1203.0</v>
      </c>
      <c r="B1205" s="2">
        <v>44012.0</v>
      </c>
      <c r="C1205" s="1" t="s">
        <v>641</v>
      </c>
      <c r="D1205" s="1" t="s">
        <v>642</v>
      </c>
      <c r="F1205" s="1">
        <v>3.02E8</v>
      </c>
      <c r="G1205" s="1">
        <v>2.24E8</v>
      </c>
      <c r="H1205" s="1">
        <v>2.97E8</v>
      </c>
      <c r="I1205" s="1">
        <v>6.28E8</v>
      </c>
      <c r="J1205" s="1">
        <v>3.31E8</v>
      </c>
      <c r="K1205" s="1">
        <v>3.31E8</v>
      </c>
      <c r="L1205" s="1">
        <v>-3.5E7</v>
      </c>
      <c r="M1205" s="1">
        <v>8.2E7</v>
      </c>
      <c r="N1205" s="1">
        <v>1.764E9</v>
      </c>
      <c r="O1205" s="1">
        <v>1.433E9</v>
      </c>
      <c r="P1205" s="1">
        <v>1.136E9</v>
      </c>
      <c r="Q1205" s="1">
        <v>-2.9E7</v>
      </c>
      <c r="R1205" s="1">
        <v>2.2E8</v>
      </c>
      <c r="S1205" s="1">
        <v>2.22E8</v>
      </c>
    </row>
    <row r="1206">
      <c r="A1206" s="1">
        <v>1204.0</v>
      </c>
      <c r="B1206" s="2">
        <v>44377.0</v>
      </c>
      <c r="C1206" s="1" t="s">
        <v>643</v>
      </c>
      <c r="D1206" s="1" t="s">
        <v>644</v>
      </c>
      <c r="F1206" s="1">
        <v>2.478E9</v>
      </c>
      <c r="G1206" s="1">
        <v>2.066E9</v>
      </c>
      <c r="H1206" s="1">
        <v>1.934E9</v>
      </c>
      <c r="I1206" s="1">
        <v>4.528E9</v>
      </c>
      <c r="J1206" s="1">
        <v>2.408E9</v>
      </c>
      <c r="K1206" s="1">
        <v>2.408E9</v>
      </c>
      <c r="L1206" s="1">
        <v>-1.06E8</v>
      </c>
      <c r="M1206" s="1">
        <v>4.12E8</v>
      </c>
      <c r="N1206" s="1">
        <v>4.528E9</v>
      </c>
      <c r="O1206" s="1">
        <v>2.12E9</v>
      </c>
      <c r="P1206" s="1">
        <v>0.0</v>
      </c>
      <c r="Q1206" s="1">
        <v>7.0E7</v>
      </c>
      <c r="R1206" s="1">
        <v>2.066E9</v>
      </c>
      <c r="S1206" s="1">
        <v>2.066E9</v>
      </c>
    </row>
    <row r="1207">
      <c r="A1207" s="1">
        <v>1205.0</v>
      </c>
      <c r="B1207" s="2">
        <v>44286.0</v>
      </c>
      <c r="C1207" s="1" t="s">
        <v>643</v>
      </c>
      <c r="D1207" s="1" t="s">
        <v>644</v>
      </c>
      <c r="F1207" s="1">
        <v>2.19E9</v>
      </c>
      <c r="G1207" s="1">
        <v>1.828E9</v>
      </c>
      <c r="H1207" s="1">
        <v>1.795E9</v>
      </c>
      <c r="I1207" s="1">
        <v>4.155E9</v>
      </c>
      <c r="J1207" s="1">
        <v>2.197E9</v>
      </c>
      <c r="K1207" s="1">
        <v>2.197E9</v>
      </c>
      <c r="L1207" s="1">
        <v>-1.07E8</v>
      </c>
      <c r="M1207" s="1">
        <v>3.62E8</v>
      </c>
      <c r="N1207" s="1">
        <v>4.155E9</v>
      </c>
      <c r="O1207" s="1">
        <v>1.958E9</v>
      </c>
      <c r="P1207" s="1">
        <v>0.0</v>
      </c>
      <c r="Q1207" s="1">
        <v>-7000000.0</v>
      </c>
      <c r="R1207" s="1">
        <v>1.828E9</v>
      </c>
      <c r="S1207" s="1">
        <v>1.828E9</v>
      </c>
    </row>
    <row r="1208">
      <c r="A1208" s="1">
        <v>1206.0</v>
      </c>
      <c r="B1208" s="2">
        <v>44196.0</v>
      </c>
      <c r="C1208" s="1" t="s">
        <v>643</v>
      </c>
      <c r="D1208" s="1" t="s">
        <v>644</v>
      </c>
      <c r="F1208" s="1">
        <v>2.168E9</v>
      </c>
      <c r="G1208" s="1">
        <v>1.785E9</v>
      </c>
      <c r="H1208" s="1">
        <v>1.859E9</v>
      </c>
      <c r="I1208" s="1">
        <v>4.12E9</v>
      </c>
      <c r="J1208" s="1">
        <v>2.111E9</v>
      </c>
      <c r="K1208" s="1">
        <v>2.111E9</v>
      </c>
      <c r="L1208" s="1">
        <v>-1.08E8</v>
      </c>
      <c r="M1208" s="1">
        <v>3.83E8</v>
      </c>
      <c r="N1208" s="1">
        <v>4.12E9</v>
      </c>
      <c r="O1208" s="1">
        <v>2.009E9</v>
      </c>
      <c r="P1208" s="1">
        <v>0.0</v>
      </c>
      <c r="Q1208" s="1">
        <v>5.7E7</v>
      </c>
      <c r="R1208" s="1">
        <v>1.785E9</v>
      </c>
      <c r="S1208" s="1">
        <v>1.785E9</v>
      </c>
    </row>
    <row r="1209">
      <c r="A1209" s="1">
        <v>1207.0</v>
      </c>
      <c r="B1209" s="2">
        <v>44104.0</v>
      </c>
      <c r="C1209" s="1" t="s">
        <v>643</v>
      </c>
      <c r="D1209" s="1" t="s">
        <v>644</v>
      </c>
      <c r="F1209" s="1">
        <v>1.915E9</v>
      </c>
      <c r="G1209" s="1">
        <v>1.513E9</v>
      </c>
      <c r="H1209" s="1">
        <v>1.591E9</v>
      </c>
      <c r="I1209" s="1">
        <v>3.837E9</v>
      </c>
      <c r="J1209" s="1">
        <v>2.105E9</v>
      </c>
      <c r="K1209" s="1">
        <v>2.105E9</v>
      </c>
      <c r="L1209" s="1">
        <v>-1.05E8</v>
      </c>
      <c r="M1209" s="1">
        <v>4.02E8</v>
      </c>
      <c r="N1209" s="1">
        <v>3.837E9</v>
      </c>
      <c r="O1209" s="1">
        <v>1.732E9</v>
      </c>
      <c r="P1209" s="1">
        <v>0.0</v>
      </c>
      <c r="Q1209" s="1">
        <v>-1.9E8</v>
      </c>
      <c r="R1209" s="1">
        <v>1.513E9</v>
      </c>
      <c r="S1209" s="1">
        <v>1.513E9</v>
      </c>
    </row>
    <row r="1210">
      <c r="A1210" s="1">
        <v>1208.0</v>
      </c>
      <c r="B1210" s="2">
        <v>44377.0</v>
      </c>
      <c r="C1210" s="1" t="s">
        <v>645</v>
      </c>
      <c r="D1210" s="1" t="s">
        <v>646</v>
      </c>
      <c r="E1210" s="1">
        <v>5.2133E7</v>
      </c>
      <c r="F1210" s="1">
        <v>1.7734E8</v>
      </c>
      <c r="G1210" s="1">
        <v>1.40895E8</v>
      </c>
      <c r="H1210" s="1">
        <v>2.38811E8</v>
      </c>
      <c r="I1210" s="1">
        <v>5.14661E8</v>
      </c>
      <c r="J1210" s="1">
        <v>2.13414E8</v>
      </c>
      <c r="K1210" s="1">
        <v>2.13414E8</v>
      </c>
      <c r="L1210" s="1">
        <v>-3.2219E7</v>
      </c>
      <c r="M1210" s="1">
        <v>3.732E7</v>
      </c>
      <c r="N1210" s="1">
        <v>7.0776E8</v>
      </c>
      <c r="O1210" s="1">
        <v>4.94346E8</v>
      </c>
      <c r="P1210" s="1">
        <v>1.93099E8</v>
      </c>
      <c r="Q1210" s="1">
        <v>-3.6074E7</v>
      </c>
      <c r="R1210" s="1">
        <v>1.4002E8</v>
      </c>
      <c r="S1210" s="1">
        <v>1.40895E8</v>
      </c>
    </row>
    <row r="1211">
      <c r="A1211" s="1">
        <v>1209.0</v>
      </c>
      <c r="B1211" s="2">
        <v>44286.0</v>
      </c>
      <c r="C1211" s="1" t="s">
        <v>645</v>
      </c>
      <c r="D1211" s="1" t="s">
        <v>646</v>
      </c>
      <c r="E1211" s="1">
        <v>5.5576E7</v>
      </c>
      <c r="F1211" s="1">
        <v>1.56101E8</v>
      </c>
      <c r="G1211" s="1">
        <v>1.7425E8</v>
      </c>
      <c r="H1211" s="1">
        <v>2.28653E8</v>
      </c>
      <c r="I1211" s="1">
        <v>4.88157E8</v>
      </c>
      <c r="J1211" s="1">
        <v>1.93258E8</v>
      </c>
      <c r="K1211" s="1">
        <v>1.93258E8</v>
      </c>
      <c r="L1211" s="1">
        <v>-3.1838E7</v>
      </c>
      <c r="M1211" s="1">
        <v>-1.7747E7</v>
      </c>
      <c r="N1211" s="1">
        <v>6.67612E8</v>
      </c>
      <c r="O1211" s="1">
        <v>4.74354E8</v>
      </c>
      <c r="P1211" s="1">
        <v>1.79455E8</v>
      </c>
      <c r="Q1211" s="1">
        <v>-3.7157E7</v>
      </c>
      <c r="R1211" s="1">
        <v>1.73848E8</v>
      </c>
      <c r="S1211" s="1">
        <v>1.7425E8</v>
      </c>
    </row>
    <row r="1212">
      <c r="A1212" s="1">
        <v>1210.0</v>
      </c>
      <c r="B1212" s="2">
        <v>44196.0</v>
      </c>
      <c r="C1212" s="1" t="s">
        <v>645</v>
      </c>
      <c r="D1212" s="1" t="s">
        <v>646</v>
      </c>
      <c r="E1212" s="1">
        <v>4.4832E7</v>
      </c>
      <c r="F1212" s="1">
        <v>1.65796E8</v>
      </c>
      <c r="G1212" s="1">
        <v>1.40579E8</v>
      </c>
      <c r="H1212" s="1">
        <v>2.13007E8</v>
      </c>
      <c r="I1212" s="1">
        <v>4.81671E8</v>
      </c>
      <c r="J1212" s="1">
        <v>2.12582E8</v>
      </c>
      <c r="K1212" s="1">
        <v>2.12582E8</v>
      </c>
      <c r="L1212" s="1">
        <v>-4.3306E7</v>
      </c>
      <c r="M1212" s="1">
        <v>2.5617E7</v>
      </c>
      <c r="N1212" s="1">
        <v>6.51407E8</v>
      </c>
      <c r="O1212" s="1">
        <v>4.38825E8</v>
      </c>
      <c r="P1212" s="1">
        <v>1.69736E8</v>
      </c>
      <c r="Q1212" s="1">
        <v>-4.6786E7</v>
      </c>
      <c r="R1212" s="1">
        <v>1.40179E8</v>
      </c>
      <c r="S1212" s="1">
        <v>1.40579E8</v>
      </c>
    </row>
    <row r="1213">
      <c r="A1213" s="1">
        <v>1211.0</v>
      </c>
      <c r="B1213" s="2">
        <v>44104.0</v>
      </c>
      <c r="C1213" s="1" t="s">
        <v>645</v>
      </c>
      <c r="D1213" s="1" t="s">
        <v>646</v>
      </c>
      <c r="E1213" s="1">
        <v>3.928E7</v>
      </c>
      <c r="F1213" s="1">
        <v>1.55055E8</v>
      </c>
      <c r="G1213" s="1">
        <v>1.32581E8</v>
      </c>
      <c r="H1213" s="1">
        <v>2.1882E8</v>
      </c>
      <c r="I1213" s="1">
        <v>4.69947E8</v>
      </c>
      <c r="J1213" s="1">
        <v>2.00167E8</v>
      </c>
      <c r="K1213" s="1">
        <v>2.00167E8</v>
      </c>
      <c r="L1213" s="1">
        <v>-4.3189E7</v>
      </c>
      <c r="M1213" s="1">
        <v>2.3568E7</v>
      </c>
      <c r="N1213" s="1">
        <v>6.3977E8</v>
      </c>
      <c r="O1213" s="1">
        <v>4.39603E8</v>
      </c>
      <c r="P1213" s="1">
        <v>1.69823E8</v>
      </c>
      <c r="Q1213" s="1">
        <v>-4.5112E7</v>
      </c>
      <c r="R1213" s="1">
        <v>1.31487E8</v>
      </c>
      <c r="S1213" s="1">
        <v>1.32581E8</v>
      </c>
    </row>
    <row r="1214">
      <c r="A1214" s="1">
        <v>1212.0</v>
      </c>
      <c r="B1214" s="2">
        <v>44439.0</v>
      </c>
      <c r="C1214" s="1" t="s">
        <v>647</v>
      </c>
      <c r="D1214" s="1" t="s">
        <v>648</v>
      </c>
      <c r="F1214" s="1">
        <v>2.439E8</v>
      </c>
      <c r="G1214" s="1">
        <v>2.124E8</v>
      </c>
      <c r="H1214" s="1">
        <v>3.258E8</v>
      </c>
      <c r="I1214" s="1">
        <v>5.996E8</v>
      </c>
      <c r="J1214" s="1">
        <v>2.738E8</v>
      </c>
      <c r="K1214" s="1">
        <v>2.738E8</v>
      </c>
      <c r="L1214" s="1">
        <v>-3.39E7</v>
      </c>
      <c r="M1214" s="1">
        <v>3.15E7</v>
      </c>
      <c r="N1214" s="1">
        <v>1.5494E9</v>
      </c>
      <c r="O1214" s="1">
        <v>1.2756E9</v>
      </c>
      <c r="P1214" s="1">
        <v>9.498E8</v>
      </c>
      <c r="Q1214" s="1">
        <v>-2.99E7</v>
      </c>
      <c r="R1214" s="1">
        <v>2.124E8</v>
      </c>
      <c r="S1214" s="1">
        <v>2.124E8</v>
      </c>
    </row>
    <row r="1215">
      <c r="A1215" s="1">
        <v>1213.0</v>
      </c>
      <c r="B1215" s="2">
        <v>44347.0</v>
      </c>
      <c r="C1215" s="1" t="s">
        <v>647</v>
      </c>
      <c r="D1215" s="1" t="s">
        <v>648</v>
      </c>
      <c r="F1215" s="1">
        <v>2.291E8</v>
      </c>
      <c r="G1215" s="1">
        <v>1.837E8</v>
      </c>
      <c r="H1215" s="1">
        <v>3.552E8</v>
      </c>
      <c r="I1215" s="1">
        <v>6.146E8</v>
      </c>
      <c r="J1215" s="1">
        <v>2.594E8</v>
      </c>
      <c r="K1215" s="1">
        <v>2.594E8</v>
      </c>
      <c r="L1215" s="1">
        <v>-3.56E7</v>
      </c>
      <c r="M1215" s="1">
        <v>4.54E7</v>
      </c>
      <c r="N1215" s="1">
        <v>1.5567E9</v>
      </c>
      <c r="O1215" s="1">
        <v>1.2973E9</v>
      </c>
      <c r="P1215" s="1">
        <v>9.421E8</v>
      </c>
      <c r="Q1215" s="1">
        <v>-3.03E7</v>
      </c>
      <c r="R1215" s="1">
        <v>1.837E8</v>
      </c>
      <c r="S1215" s="1">
        <v>1.837E8</v>
      </c>
    </row>
    <row r="1216">
      <c r="A1216" s="1">
        <v>1214.0</v>
      </c>
      <c r="B1216" s="2">
        <v>44255.0</v>
      </c>
      <c r="C1216" s="1" t="s">
        <v>647</v>
      </c>
      <c r="D1216" s="1" t="s">
        <v>648</v>
      </c>
      <c r="F1216" s="1">
        <v>2.204E8</v>
      </c>
      <c r="G1216" s="1">
        <v>1.618E8</v>
      </c>
      <c r="H1216" s="1">
        <v>3.195E8</v>
      </c>
      <c r="I1216" s="1">
        <v>5.838E8</v>
      </c>
      <c r="J1216" s="1">
        <v>2.643E8</v>
      </c>
      <c r="K1216" s="1">
        <v>2.643E8</v>
      </c>
      <c r="L1216" s="1">
        <v>-3.38E7</v>
      </c>
      <c r="M1216" s="1">
        <v>5.86E7</v>
      </c>
      <c r="N1216" s="1">
        <v>1.4815E9</v>
      </c>
      <c r="O1216" s="1">
        <v>1.2172E9</v>
      </c>
      <c r="P1216" s="1">
        <v>8.977E8</v>
      </c>
      <c r="Q1216" s="1">
        <v>-4.39E7</v>
      </c>
      <c r="R1216" s="1">
        <v>1.618E8</v>
      </c>
      <c r="S1216" s="1">
        <v>1.618E8</v>
      </c>
    </row>
    <row r="1217">
      <c r="A1217" s="1">
        <v>1215.0</v>
      </c>
      <c r="B1217" s="2">
        <v>44165.0</v>
      </c>
      <c r="C1217" s="1" t="s">
        <v>647</v>
      </c>
      <c r="D1217" s="1" t="s">
        <v>648</v>
      </c>
      <c r="E1217" s="1">
        <v>6.86E7</v>
      </c>
      <c r="F1217" s="1">
        <v>2.582E8</v>
      </c>
      <c r="G1217" s="1">
        <v>2.007E8</v>
      </c>
      <c r="H1217" s="1">
        <v>2.99E8</v>
      </c>
      <c r="I1217" s="1">
        <v>6.607E8</v>
      </c>
      <c r="J1217" s="1">
        <v>2.931E8</v>
      </c>
      <c r="K1217" s="1">
        <v>2.931E8</v>
      </c>
      <c r="L1217" s="1">
        <v>-3.24E7</v>
      </c>
      <c r="M1217" s="1">
        <v>5.75E7</v>
      </c>
      <c r="N1217" s="1">
        <v>1.5579E9</v>
      </c>
      <c r="O1217" s="1">
        <v>1.2648E9</v>
      </c>
      <c r="P1217" s="1">
        <v>8.972E8</v>
      </c>
      <c r="Q1217" s="1">
        <v>-3.49E7</v>
      </c>
      <c r="R1217" s="1">
        <v>2.007E8</v>
      </c>
      <c r="S1217" s="1">
        <v>2.007E8</v>
      </c>
    </row>
    <row r="1218">
      <c r="A1218" s="1">
        <v>1216.0</v>
      </c>
      <c r="B1218" s="2">
        <v>44377.0</v>
      </c>
      <c r="C1218" s="1" t="s">
        <v>649</v>
      </c>
      <c r="D1218" s="1" t="s">
        <v>650</v>
      </c>
      <c r="F1218" s="1">
        <v>2.376E9</v>
      </c>
      <c r="G1218" s="1">
        <v>2.2193E9</v>
      </c>
      <c r="H1218" s="1">
        <v>5.724E8</v>
      </c>
      <c r="I1218" s="1">
        <v>3.2195E9</v>
      </c>
      <c r="J1218" s="1">
        <v>2.564E9</v>
      </c>
      <c r="K1218" s="1">
        <v>2.564E9</v>
      </c>
      <c r="L1218" s="1">
        <v>-2.965E8</v>
      </c>
      <c r="M1218" s="1">
        <v>1.567E8</v>
      </c>
      <c r="N1218" s="1">
        <v>5.8879E9</v>
      </c>
      <c r="O1218" s="1">
        <v>3.3239E9</v>
      </c>
      <c r="P1218" s="1">
        <v>2.6684E9</v>
      </c>
      <c r="Q1218" s="1">
        <v>-1.88E8</v>
      </c>
      <c r="R1218" s="1">
        <v>2.2193E9</v>
      </c>
      <c r="S1218" s="1">
        <v>2.2193E9</v>
      </c>
    </row>
    <row r="1219">
      <c r="A1219" s="1">
        <v>1217.0</v>
      </c>
      <c r="B1219" s="2">
        <v>44286.0</v>
      </c>
      <c r="C1219" s="1" t="s">
        <v>649</v>
      </c>
      <c r="D1219" s="1" t="s">
        <v>650</v>
      </c>
      <c r="F1219" s="1">
        <v>1.9527E9</v>
      </c>
      <c r="G1219" s="1">
        <v>1.5372E9</v>
      </c>
      <c r="H1219" s="1">
        <v>4.904E8</v>
      </c>
      <c r="I1219" s="1">
        <v>2.6683E9</v>
      </c>
      <c r="J1219" s="1">
        <v>2.1085E9</v>
      </c>
      <c r="K1219" s="1">
        <v>2.1085E9</v>
      </c>
      <c r="L1219" s="1">
        <v>-3.0E8</v>
      </c>
      <c r="M1219" s="1">
        <v>4.155E8</v>
      </c>
      <c r="N1219" s="1">
        <v>5.1246E9</v>
      </c>
      <c r="O1219" s="1">
        <v>3.0161E9</v>
      </c>
      <c r="P1219" s="1">
        <v>2.4563E9</v>
      </c>
      <c r="Q1219" s="1">
        <v>-1.558E8</v>
      </c>
      <c r="R1219" s="1">
        <v>1.5372E9</v>
      </c>
      <c r="S1219" s="1">
        <v>1.5372E9</v>
      </c>
    </row>
    <row r="1220">
      <c r="A1220" s="1">
        <v>1218.0</v>
      </c>
      <c r="B1220" s="2">
        <v>44196.0</v>
      </c>
      <c r="C1220" s="1" t="s">
        <v>649</v>
      </c>
      <c r="D1220" s="1" t="s">
        <v>650</v>
      </c>
      <c r="F1220" s="1">
        <v>1.83E9</v>
      </c>
      <c r="G1220" s="1">
        <v>1.3772E9</v>
      </c>
      <c r="H1220" s="1">
        <v>6.98E8</v>
      </c>
      <c r="I1220" s="1">
        <v>2.7802E9</v>
      </c>
      <c r="J1220" s="1">
        <v>2.016E9</v>
      </c>
      <c r="K1220" s="1">
        <v>2.016E9</v>
      </c>
      <c r="L1220" s="1">
        <v>-3.089E8</v>
      </c>
      <c r="M1220" s="1">
        <v>4.528E8</v>
      </c>
      <c r="N1220" s="1">
        <v>5.3138E9</v>
      </c>
      <c r="O1220" s="1">
        <v>3.2978E9</v>
      </c>
      <c r="P1220" s="1">
        <v>2.5336E9</v>
      </c>
      <c r="Q1220" s="1">
        <v>-1.86E8</v>
      </c>
      <c r="R1220" s="1">
        <v>1.3772E9</v>
      </c>
      <c r="S1220" s="1">
        <v>1.3772E9</v>
      </c>
    </row>
    <row r="1221">
      <c r="A1221" s="1">
        <v>1219.0</v>
      </c>
      <c r="B1221" s="2">
        <v>44104.0</v>
      </c>
      <c r="C1221" s="1" t="s">
        <v>649</v>
      </c>
      <c r="D1221" s="1" t="s">
        <v>650</v>
      </c>
      <c r="F1221" s="1">
        <v>2.2171E9</v>
      </c>
      <c r="G1221" s="1">
        <v>1.7626E9</v>
      </c>
      <c r="H1221" s="1">
        <v>4.547E8</v>
      </c>
      <c r="I1221" s="1">
        <v>2.9047E9</v>
      </c>
      <c r="J1221" s="1">
        <v>2.4012E9</v>
      </c>
      <c r="K1221" s="1">
        <v>2.4012E9</v>
      </c>
      <c r="L1221" s="1">
        <v>-3.101E8</v>
      </c>
      <c r="M1221" s="1">
        <v>4.545E8</v>
      </c>
      <c r="N1221" s="1">
        <v>5.4181E9</v>
      </c>
      <c r="O1221" s="1">
        <v>3.0169E9</v>
      </c>
      <c r="P1221" s="1">
        <v>2.5134E9</v>
      </c>
      <c r="Q1221" s="1">
        <v>-1.841E8</v>
      </c>
      <c r="R1221" s="1">
        <v>1.7626E9</v>
      </c>
      <c r="S1221" s="1">
        <v>1.7626E9</v>
      </c>
    </row>
    <row r="1222">
      <c r="A1222" s="1">
        <v>1220.0</v>
      </c>
      <c r="B1222" s="2">
        <v>44286.0</v>
      </c>
      <c r="C1222" s="1" t="s">
        <v>651</v>
      </c>
      <c r="D1222" s="1" t="s">
        <v>652</v>
      </c>
      <c r="F1222" s="1">
        <v>1.029E9</v>
      </c>
      <c r="G1222" s="1">
        <v>6.66E8</v>
      </c>
      <c r="H1222" s="1">
        <v>2.224E9</v>
      </c>
      <c r="I1222" s="1">
        <v>3.116E9</v>
      </c>
      <c r="J1222" s="1">
        <v>8.92E8</v>
      </c>
      <c r="K1222" s="1">
        <v>8.92E8</v>
      </c>
      <c r="L1222" s="1">
        <v>-5.2E7</v>
      </c>
      <c r="M1222" s="1">
        <v>3.16E8</v>
      </c>
      <c r="N1222" s="1">
        <v>5.9142E10</v>
      </c>
      <c r="O1222" s="1">
        <v>5.825E10</v>
      </c>
      <c r="P1222" s="1">
        <v>5.6026E10</v>
      </c>
      <c r="Q1222" s="1">
        <v>1.37E8</v>
      </c>
      <c r="R1222" s="1">
        <v>7.13E8</v>
      </c>
      <c r="S1222" s="1">
        <v>6.66E8</v>
      </c>
    </row>
    <row r="1223">
      <c r="A1223" s="1">
        <v>1221.0</v>
      </c>
      <c r="B1223" s="2">
        <v>44196.0</v>
      </c>
      <c r="C1223" s="1" t="s">
        <v>651</v>
      </c>
      <c r="D1223" s="1" t="s">
        <v>652</v>
      </c>
      <c r="F1223" s="1">
        <v>-7.363E9</v>
      </c>
      <c r="G1223" s="1">
        <v>-6.226E9</v>
      </c>
      <c r="H1223" s="1">
        <v>2.291E9</v>
      </c>
      <c r="I1223" s="1">
        <v>3.151E9</v>
      </c>
      <c r="J1223" s="1">
        <v>8.6E8</v>
      </c>
      <c r="K1223" s="1">
        <v>8.6E8</v>
      </c>
      <c r="L1223" s="1">
        <v>-5.5E7</v>
      </c>
      <c r="M1223" s="1">
        <v>-1.189E9</v>
      </c>
      <c r="N1223" s="1">
        <v>6.2599E10</v>
      </c>
      <c r="O1223" s="1">
        <v>6.1739E10</v>
      </c>
      <c r="P1223" s="1">
        <v>5.9448E10</v>
      </c>
      <c r="Q1223" s="1">
        <v>-8.223E9</v>
      </c>
      <c r="R1223" s="1">
        <v>-6.174E9</v>
      </c>
      <c r="S1223" s="1">
        <v>-6.226E9</v>
      </c>
    </row>
    <row r="1224">
      <c r="A1224" s="1">
        <v>1222.0</v>
      </c>
      <c r="B1224" s="2">
        <v>44104.0</v>
      </c>
      <c r="C1224" s="1" t="s">
        <v>651</v>
      </c>
      <c r="D1224" s="1" t="s">
        <v>652</v>
      </c>
      <c r="F1224" s="1">
        <v>6.55E8</v>
      </c>
      <c r="G1224" s="1">
        <v>5.77E8</v>
      </c>
      <c r="H1224" s="1">
        <v>2.237E9</v>
      </c>
      <c r="I1224" s="1">
        <v>3.0E9</v>
      </c>
      <c r="J1224" s="1">
        <v>7.63E8</v>
      </c>
      <c r="K1224" s="1">
        <v>7.63E8</v>
      </c>
      <c r="L1224" s="1">
        <v>-5.0E7</v>
      </c>
      <c r="M1224" s="1">
        <v>2.8E7</v>
      </c>
      <c r="N1224" s="1">
        <v>6.0808E10</v>
      </c>
      <c r="O1224" s="1">
        <v>6.0045E10</v>
      </c>
      <c r="P1224" s="1">
        <v>5.7808E10</v>
      </c>
      <c r="Q1224" s="1">
        <v>-1.08E8</v>
      </c>
      <c r="R1224" s="1">
        <v>6.27E8</v>
      </c>
      <c r="S1224" s="1">
        <v>5.77E8</v>
      </c>
    </row>
    <row r="1225">
      <c r="A1225" s="1">
        <v>1223.0</v>
      </c>
      <c r="B1225" s="2">
        <v>44012.0</v>
      </c>
      <c r="C1225" s="1" t="s">
        <v>651</v>
      </c>
      <c r="D1225" s="1" t="s">
        <v>652</v>
      </c>
      <c r="F1225" s="1">
        <v>6.45E8</v>
      </c>
      <c r="G1225" s="1">
        <v>4.44E8</v>
      </c>
      <c r="H1225" s="1">
        <v>2.097E9</v>
      </c>
      <c r="I1225" s="1">
        <v>2.7E9</v>
      </c>
      <c r="J1225" s="1">
        <v>6.03E8</v>
      </c>
      <c r="K1225" s="1">
        <v>6.03E8</v>
      </c>
      <c r="L1225" s="1">
        <v>-6.0E7</v>
      </c>
      <c r="M1225" s="1">
        <v>1.5E8</v>
      </c>
      <c r="N1225" s="1">
        <v>5.5679E10</v>
      </c>
      <c r="O1225" s="1">
        <v>5.5076E10</v>
      </c>
      <c r="P1225" s="1">
        <v>5.2979E10</v>
      </c>
      <c r="Q1225" s="1">
        <v>4.2E7</v>
      </c>
      <c r="R1225" s="1">
        <v>4.95E8</v>
      </c>
      <c r="S1225" s="1">
        <v>4.44E8</v>
      </c>
    </row>
    <row r="1226">
      <c r="A1226" s="1">
        <v>1224.0</v>
      </c>
      <c r="B1226" s="2">
        <v>44407.0</v>
      </c>
      <c r="C1226" s="1" t="s">
        <v>653</v>
      </c>
      <c r="D1226" s="1" t="s">
        <v>654</v>
      </c>
      <c r="E1226" s="1">
        <v>7.5E8</v>
      </c>
      <c r="F1226" s="1">
        <v>8.33E8</v>
      </c>
      <c r="G1226" s="1">
        <v>7.63E8</v>
      </c>
      <c r="H1226" s="1">
        <v>2.491E9</v>
      </c>
      <c r="I1226" s="1">
        <v>5.422E9</v>
      </c>
      <c r="J1226" s="1">
        <v>1.665E9</v>
      </c>
      <c r="K1226" s="1">
        <v>1.665E9</v>
      </c>
      <c r="L1226" s="1">
        <v>-1.37E8</v>
      </c>
      <c r="M1226" s="1">
        <v>6.4E7</v>
      </c>
      <c r="N1226" s="1">
        <v>7.987E9</v>
      </c>
      <c r="O1226" s="1">
        <v>6.322E9</v>
      </c>
      <c r="P1226" s="1">
        <v>2.565E9</v>
      </c>
      <c r="Q1226" s="1">
        <v>-8.32E8</v>
      </c>
      <c r="R1226" s="1">
        <v>7.69E8</v>
      </c>
      <c r="S1226" s="1">
        <v>7.63E8</v>
      </c>
    </row>
    <row r="1227">
      <c r="A1227" s="1">
        <v>1225.0</v>
      </c>
      <c r="B1227" s="2">
        <v>44316.0</v>
      </c>
      <c r="C1227" s="1" t="s">
        <v>653</v>
      </c>
      <c r="D1227" s="1" t="s">
        <v>654</v>
      </c>
      <c r="E1227" s="1">
        <v>6.32E8</v>
      </c>
      <c r="F1227" s="1">
        <v>1.566E9</v>
      </c>
      <c r="G1227" s="1">
        <v>1.36E9</v>
      </c>
      <c r="H1227" s="1">
        <v>2.51E9</v>
      </c>
      <c r="I1227" s="1">
        <v>5.568E9</v>
      </c>
      <c r="J1227" s="1">
        <v>1.98E9</v>
      </c>
      <c r="K1227" s="1">
        <v>1.98E9</v>
      </c>
      <c r="L1227" s="1">
        <v>-1.42E8</v>
      </c>
      <c r="M1227" s="1">
        <v>2.0E8</v>
      </c>
      <c r="N1227" s="1">
        <v>8.188E9</v>
      </c>
      <c r="O1227" s="1">
        <v>6.208E9</v>
      </c>
      <c r="P1227" s="1">
        <v>2.62E9</v>
      </c>
      <c r="Q1227" s="1">
        <v>-4.14E8</v>
      </c>
      <c r="R1227" s="1">
        <v>1.366E9</v>
      </c>
      <c r="S1227" s="1">
        <v>1.36E9</v>
      </c>
    </row>
    <row r="1228">
      <c r="A1228" s="1">
        <v>1226.0</v>
      </c>
      <c r="B1228" s="2">
        <v>44225.0</v>
      </c>
      <c r="C1228" s="1" t="s">
        <v>653</v>
      </c>
      <c r="D1228" s="1" t="s">
        <v>654</v>
      </c>
      <c r="E1228" s="1">
        <v>6.01E8</v>
      </c>
      <c r="F1228" s="1">
        <v>1.22E9</v>
      </c>
      <c r="G1228" s="1">
        <v>1.27E9</v>
      </c>
      <c r="H1228" s="1">
        <v>2.481E9</v>
      </c>
      <c r="I1228" s="1">
        <v>5.19E9</v>
      </c>
      <c r="J1228" s="1">
        <v>1.652E9</v>
      </c>
      <c r="K1228" s="1">
        <v>1.652E9</v>
      </c>
      <c r="L1228" s="1">
        <v>-1.43E8</v>
      </c>
      <c r="M1228" s="1">
        <v>-5.9E7</v>
      </c>
      <c r="N1228" s="1">
        <v>7.775E9</v>
      </c>
      <c r="O1228" s="1">
        <v>6.123E9</v>
      </c>
      <c r="P1228" s="1">
        <v>2.585E9</v>
      </c>
      <c r="Q1228" s="1">
        <v>-4.32E8</v>
      </c>
      <c r="R1228" s="1">
        <v>1.279E9</v>
      </c>
      <c r="S1228" s="1">
        <v>1.27E9</v>
      </c>
    </row>
    <row r="1229">
      <c r="A1229" s="1">
        <v>1227.0</v>
      </c>
      <c r="B1229" s="2">
        <v>44134.0</v>
      </c>
      <c r="C1229" s="1" t="s">
        <v>653</v>
      </c>
      <c r="D1229" s="1" t="s">
        <v>654</v>
      </c>
      <c r="E1229" s="1">
        <v>6.39E8</v>
      </c>
      <c r="F1229" s="1">
        <v>5.25E8</v>
      </c>
      <c r="G1229" s="1">
        <v>4.89E8</v>
      </c>
      <c r="H1229" s="1">
        <v>2.612E9</v>
      </c>
      <c r="I1229" s="1">
        <v>4.974E9</v>
      </c>
      <c r="J1229" s="1">
        <v>1.134E9</v>
      </c>
      <c r="K1229" s="1">
        <v>1.134E9</v>
      </c>
      <c r="L1229" s="1">
        <v>-4.7E8</v>
      </c>
      <c r="M1229" s="1">
        <v>3.1E7</v>
      </c>
      <c r="N1229" s="1">
        <v>7.647E9</v>
      </c>
      <c r="O1229" s="1">
        <v>6.513E9</v>
      </c>
      <c r="P1229" s="1">
        <v>2.673E9</v>
      </c>
      <c r="Q1229" s="1">
        <v>-6.09E8</v>
      </c>
      <c r="R1229" s="1">
        <v>4.94E8</v>
      </c>
      <c r="S1229" s="1">
        <v>4.89E8</v>
      </c>
    </row>
    <row r="1230">
      <c r="A1230" s="1">
        <v>1228.0</v>
      </c>
      <c r="B1230" s="2">
        <v>44377.0</v>
      </c>
      <c r="C1230" s="1" t="s">
        <v>655</v>
      </c>
      <c r="D1230" s="1" t="s">
        <v>656</v>
      </c>
      <c r="E1230" s="1">
        <v>2.611E9</v>
      </c>
      <c r="F1230" s="1">
        <v>1.717E9</v>
      </c>
      <c r="G1230" s="1">
        <v>1.545E9</v>
      </c>
      <c r="H1230" s="1">
        <v>2.144E9</v>
      </c>
      <c r="I1230" s="1">
        <v>8.373E9</v>
      </c>
      <c r="J1230" s="1">
        <v>3.618E9</v>
      </c>
      <c r="K1230" s="1">
        <v>3.618E9</v>
      </c>
      <c r="L1230" s="1">
        <v>-2.02E8</v>
      </c>
      <c r="M1230" s="1">
        <v>5.03E8</v>
      </c>
      <c r="N1230" s="1">
        <v>1.1402E10</v>
      </c>
      <c r="O1230" s="1">
        <v>7.784E9</v>
      </c>
      <c r="P1230" s="1">
        <v>3.029E9</v>
      </c>
      <c r="Q1230" s="1">
        <v>-1.901E9</v>
      </c>
      <c r="R1230" s="1">
        <v>1.214E9</v>
      </c>
      <c r="S1230" s="1">
        <v>1.545E9</v>
      </c>
    </row>
    <row r="1231">
      <c r="A1231" s="1">
        <v>1229.0</v>
      </c>
      <c r="B1231" s="2">
        <v>44286.0</v>
      </c>
      <c r="C1231" s="1" t="s">
        <v>655</v>
      </c>
      <c r="D1231" s="1" t="s">
        <v>656</v>
      </c>
      <c r="E1231" s="1">
        <v>2.458E9</v>
      </c>
      <c r="F1231" s="1">
        <v>3.462E9</v>
      </c>
      <c r="G1231" s="1">
        <v>3.179E9</v>
      </c>
      <c r="H1231" s="1">
        <v>2.333E9</v>
      </c>
      <c r="I1231" s="1">
        <v>8.625E9</v>
      </c>
      <c r="J1231" s="1">
        <v>3.834E9</v>
      </c>
      <c r="K1231" s="1">
        <v>3.834E9</v>
      </c>
      <c r="L1231" s="1">
        <v>-2.0E8</v>
      </c>
      <c r="M1231" s="1">
        <v>2.76E8</v>
      </c>
      <c r="N1231" s="1">
        <v>1.208E10</v>
      </c>
      <c r="O1231" s="1">
        <v>8.246E9</v>
      </c>
      <c r="P1231" s="1">
        <v>3.455E9</v>
      </c>
      <c r="Q1231" s="1">
        <v>-3.72E8</v>
      </c>
      <c r="R1231" s="1">
        <v>3.186E9</v>
      </c>
      <c r="S1231" s="1">
        <v>3.179E9</v>
      </c>
    </row>
    <row r="1232">
      <c r="A1232" s="1">
        <v>1230.0</v>
      </c>
      <c r="B1232" s="2">
        <v>44196.0</v>
      </c>
      <c r="C1232" s="1" t="s">
        <v>655</v>
      </c>
      <c r="D1232" s="1" t="s">
        <v>656</v>
      </c>
      <c r="E1232" s="1">
        <v>2.617E9</v>
      </c>
      <c r="F1232" s="1">
        <v>-1.993E9</v>
      </c>
      <c r="G1232" s="1">
        <v>-2.094E9</v>
      </c>
      <c r="H1232" s="1">
        <v>2.993E9</v>
      </c>
      <c r="I1232" s="1">
        <v>8.914E9</v>
      </c>
      <c r="J1232" s="1">
        <v>3.304E9</v>
      </c>
      <c r="K1232" s="1">
        <v>3.304E9</v>
      </c>
      <c r="L1232" s="1">
        <v>-2.07E8</v>
      </c>
      <c r="M1232" s="1">
        <v>9.8E7</v>
      </c>
      <c r="N1232" s="1">
        <v>1.2515E10</v>
      </c>
      <c r="O1232" s="1">
        <v>9.211E9</v>
      </c>
      <c r="P1232" s="1">
        <v>3.601E9</v>
      </c>
      <c r="Q1232" s="1">
        <v>-5.297E9</v>
      </c>
      <c r="R1232" s="1">
        <v>-2.091E9</v>
      </c>
      <c r="S1232" s="1">
        <v>-2.094E9</v>
      </c>
    </row>
    <row r="1233">
      <c r="A1233" s="1">
        <v>1231.0</v>
      </c>
      <c r="B1233" s="2">
        <v>44104.0</v>
      </c>
      <c r="C1233" s="1" t="s">
        <v>655</v>
      </c>
      <c r="D1233" s="1" t="s">
        <v>656</v>
      </c>
      <c r="E1233" s="1">
        <v>2.539E9</v>
      </c>
      <c r="F1233" s="1">
        <v>3.428E9</v>
      </c>
      <c r="G1233" s="1">
        <v>2.941E9</v>
      </c>
      <c r="H1233" s="1">
        <v>2.109E9</v>
      </c>
      <c r="I1233" s="1">
        <v>9.108E9</v>
      </c>
      <c r="J1233" s="1">
        <v>4.46E9</v>
      </c>
      <c r="K1233" s="1">
        <v>4.46E9</v>
      </c>
      <c r="L1233" s="1">
        <v>-2.03E8</v>
      </c>
      <c r="M1233" s="1">
        <v>4.83E8</v>
      </c>
      <c r="N1233" s="1">
        <v>1.2551E10</v>
      </c>
      <c r="O1233" s="1">
        <v>8.091E9</v>
      </c>
      <c r="P1233" s="1">
        <v>3.443E9</v>
      </c>
      <c r="Q1233" s="1">
        <v>-1.032E9</v>
      </c>
      <c r="R1233" s="1">
        <v>2.945E9</v>
      </c>
      <c r="S1233" s="1">
        <v>2.941E9</v>
      </c>
    </row>
    <row r="1234">
      <c r="A1234" s="1">
        <v>1232.0</v>
      </c>
      <c r="B1234" s="2">
        <v>44377.0</v>
      </c>
      <c r="C1234" s="1" t="s">
        <v>657</v>
      </c>
      <c r="D1234" s="1" t="s">
        <v>658</v>
      </c>
      <c r="F1234" s="1">
        <v>4.487E9</v>
      </c>
      <c r="G1234" s="1">
        <v>3.407E9</v>
      </c>
      <c r="I1234" s="1">
        <v>7.368E9</v>
      </c>
      <c r="J1234" s="1">
        <v>4.714E9</v>
      </c>
      <c r="K1234" s="1">
        <v>4.714E9</v>
      </c>
      <c r="L1234" s="1">
        <v>-2.28E8</v>
      </c>
      <c r="M1234" s="1">
        <v>1.075E9</v>
      </c>
      <c r="N1234" s="1">
        <v>1.8524E10</v>
      </c>
      <c r="O1234" s="1">
        <v>1.381E10</v>
      </c>
      <c r="P1234" s="1">
        <v>1.1156E10</v>
      </c>
      <c r="Q1234" s="1">
        <v>-2.27E8</v>
      </c>
      <c r="R1234" s="1">
        <v>3.412E9</v>
      </c>
      <c r="S1234" s="1">
        <v>3.366E9</v>
      </c>
    </row>
    <row r="1235">
      <c r="A1235" s="1">
        <v>1233.0</v>
      </c>
      <c r="B1235" s="2">
        <v>44286.0</v>
      </c>
      <c r="C1235" s="1" t="s">
        <v>657</v>
      </c>
      <c r="D1235" s="1" t="s">
        <v>658</v>
      </c>
      <c r="F1235" s="1">
        <v>2.91E8</v>
      </c>
      <c r="G1235" s="1">
        <v>3.58E8</v>
      </c>
      <c r="I1235" s="1">
        <v>3.441E9</v>
      </c>
      <c r="J1235" s="1">
        <v>5.19E8</v>
      </c>
      <c r="K1235" s="1">
        <v>5.19E8</v>
      </c>
      <c r="L1235" s="1">
        <v>-2.28E8</v>
      </c>
      <c r="M1235" s="1">
        <v>-7.2E7</v>
      </c>
      <c r="N1235" s="1">
        <v>1.5562E10</v>
      </c>
      <c r="O1235" s="1">
        <v>1.5043E10</v>
      </c>
      <c r="P1235" s="1">
        <v>1.2121E10</v>
      </c>
      <c r="Q1235" s="1">
        <v>-2.28E8</v>
      </c>
      <c r="R1235" s="1">
        <v>3.63E8</v>
      </c>
      <c r="S1235" s="1">
        <v>2.9E8</v>
      </c>
    </row>
    <row r="1236">
      <c r="A1236" s="1">
        <v>1234.0</v>
      </c>
      <c r="B1236" s="2">
        <v>44196.0</v>
      </c>
      <c r="C1236" s="1" t="s">
        <v>657</v>
      </c>
      <c r="D1236" s="1" t="s">
        <v>658</v>
      </c>
      <c r="F1236" s="1">
        <v>1.64E8</v>
      </c>
      <c r="G1236" s="1">
        <v>1.58E8</v>
      </c>
      <c r="I1236" s="1">
        <v>3.588E9</v>
      </c>
      <c r="J1236" s="1">
        <v>3.93E8</v>
      </c>
      <c r="K1236" s="1">
        <v>3.93E8</v>
      </c>
      <c r="L1236" s="1">
        <v>-2.3E8</v>
      </c>
      <c r="M1236" s="1">
        <v>6000000.0</v>
      </c>
      <c r="N1236" s="1">
        <v>1.9418E10</v>
      </c>
      <c r="O1236" s="1">
        <v>1.9025E10</v>
      </c>
      <c r="P1236" s="1">
        <v>1.583E10</v>
      </c>
      <c r="Q1236" s="1">
        <v>-2.29E8</v>
      </c>
      <c r="R1236" s="1">
        <v>1.58E8</v>
      </c>
      <c r="S1236" s="1">
        <v>1.24E8</v>
      </c>
    </row>
    <row r="1237">
      <c r="A1237" s="1">
        <v>1235.0</v>
      </c>
      <c r="B1237" s="2">
        <v>44104.0</v>
      </c>
      <c r="C1237" s="1" t="s">
        <v>657</v>
      </c>
      <c r="D1237" s="1" t="s">
        <v>658</v>
      </c>
      <c r="F1237" s="1">
        <v>9.23E8</v>
      </c>
      <c r="G1237" s="1">
        <v>7.06E8</v>
      </c>
      <c r="I1237" s="1">
        <v>4.393E9</v>
      </c>
      <c r="J1237" s="1">
        <v>1.152E9</v>
      </c>
      <c r="K1237" s="1">
        <v>1.152E9</v>
      </c>
      <c r="L1237" s="1">
        <v>-2.29E8</v>
      </c>
      <c r="M1237" s="1">
        <v>2.14E8</v>
      </c>
      <c r="N1237" s="1">
        <v>1.6015E10</v>
      </c>
      <c r="O1237" s="1">
        <v>1.4863E10</v>
      </c>
      <c r="P1237" s="1">
        <v>1.1622E10</v>
      </c>
      <c r="Q1237" s="1">
        <v>-2.29E8</v>
      </c>
      <c r="R1237" s="1">
        <v>7.09E8</v>
      </c>
      <c r="S1237" s="1">
        <v>6.33E8</v>
      </c>
    </row>
    <row r="1238">
      <c r="A1238" s="1">
        <v>1236.0</v>
      </c>
      <c r="B1238" s="2">
        <v>44286.0</v>
      </c>
      <c r="C1238" s="1" t="s">
        <v>659</v>
      </c>
      <c r="D1238" s="1" t="s">
        <v>660</v>
      </c>
      <c r="E1238" s="1">
        <v>3.9272E7</v>
      </c>
      <c r="F1238" s="1">
        <v>1.85414E8</v>
      </c>
      <c r="G1238" s="1">
        <v>1.49663E8</v>
      </c>
      <c r="H1238" s="1">
        <v>2.19215E8</v>
      </c>
      <c r="I1238" s="1">
        <v>4.71696E8</v>
      </c>
      <c r="J1238" s="1">
        <v>1.99325E8</v>
      </c>
      <c r="K1238" s="1">
        <v>1.99325E8</v>
      </c>
      <c r="L1238" s="1">
        <v>-9471000.0</v>
      </c>
      <c r="M1238" s="1">
        <v>3.5751E7</v>
      </c>
      <c r="N1238" s="1">
        <v>8.0439E8</v>
      </c>
      <c r="O1238" s="1">
        <v>6.05065E8</v>
      </c>
      <c r="P1238" s="1">
        <v>3.32694E8</v>
      </c>
      <c r="Q1238" s="1">
        <v>-1.3911E7</v>
      </c>
      <c r="R1238" s="1">
        <v>1.49663E8</v>
      </c>
      <c r="S1238" s="1">
        <v>1.49663E8</v>
      </c>
    </row>
    <row r="1239">
      <c r="A1239" s="1">
        <v>1237.0</v>
      </c>
      <c r="B1239" s="2">
        <v>44196.0</v>
      </c>
      <c r="C1239" s="1" t="s">
        <v>659</v>
      </c>
      <c r="D1239" s="1" t="s">
        <v>660</v>
      </c>
      <c r="E1239" s="1">
        <v>3.9866E7</v>
      </c>
      <c r="F1239" s="1">
        <v>2.6918E8</v>
      </c>
      <c r="G1239" s="1">
        <v>2.16295E8</v>
      </c>
      <c r="H1239" s="1">
        <v>2.23208E8</v>
      </c>
      <c r="I1239" s="1">
        <v>5.59044E8</v>
      </c>
      <c r="J1239" s="1">
        <v>2.81313E8</v>
      </c>
      <c r="K1239" s="1">
        <v>2.81313E8</v>
      </c>
      <c r="L1239" s="1">
        <v>-9505000.0</v>
      </c>
      <c r="M1239" s="1">
        <v>5.2885E7</v>
      </c>
      <c r="N1239" s="1">
        <v>9.37985E8</v>
      </c>
      <c r="O1239" s="1">
        <v>6.56672E8</v>
      </c>
      <c r="P1239" s="1">
        <v>3.78941E8</v>
      </c>
      <c r="Q1239" s="1">
        <v>-1.2133E7</v>
      </c>
      <c r="R1239" s="1">
        <v>2.16295E8</v>
      </c>
      <c r="S1239" s="1">
        <v>2.16295E8</v>
      </c>
    </row>
    <row r="1240">
      <c r="A1240" s="1">
        <v>1238.0</v>
      </c>
      <c r="B1240" s="2">
        <v>44104.0</v>
      </c>
      <c r="C1240" s="1" t="s">
        <v>659</v>
      </c>
      <c r="D1240" s="1" t="s">
        <v>660</v>
      </c>
      <c r="E1240" s="1">
        <v>3.4656E7</v>
      </c>
      <c r="F1240" s="1">
        <v>2.05809E8</v>
      </c>
      <c r="G1240" s="1">
        <v>1.61767E8</v>
      </c>
      <c r="H1240" s="1">
        <v>2.01873E8</v>
      </c>
      <c r="I1240" s="1">
        <v>4.69608E8</v>
      </c>
      <c r="J1240" s="1">
        <v>2.18958E8</v>
      </c>
      <c r="K1240" s="1">
        <v>2.18958E8</v>
      </c>
      <c r="L1240" s="1">
        <v>-9310000.0</v>
      </c>
      <c r="M1240" s="1">
        <v>4.4042E7</v>
      </c>
      <c r="N1240" s="1">
        <v>8.07357E8</v>
      </c>
      <c r="O1240" s="1">
        <v>5.88399E8</v>
      </c>
      <c r="P1240" s="1">
        <v>3.37749E8</v>
      </c>
      <c r="Q1240" s="1">
        <v>-1.3149E7</v>
      </c>
      <c r="R1240" s="1">
        <v>1.61767E8</v>
      </c>
      <c r="S1240" s="1">
        <v>1.61767E8</v>
      </c>
    </row>
    <row r="1241">
      <c r="A1241" s="1">
        <v>1239.0</v>
      </c>
      <c r="B1241" s="2">
        <v>44012.0</v>
      </c>
      <c r="C1241" s="1" t="s">
        <v>659</v>
      </c>
      <c r="D1241" s="1" t="s">
        <v>660</v>
      </c>
      <c r="E1241" s="1">
        <v>3.1193E7</v>
      </c>
      <c r="F1241" s="1">
        <v>1.55255E8</v>
      </c>
      <c r="G1241" s="1">
        <v>1.26562E8</v>
      </c>
      <c r="H1241" s="1">
        <v>1.87182E8</v>
      </c>
      <c r="I1241" s="1">
        <v>3.9797E8</v>
      </c>
      <c r="J1241" s="1">
        <v>1.65706E8</v>
      </c>
      <c r="K1241" s="1">
        <v>1.65706E8</v>
      </c>
      <c r="L1241" s="1">
        <v>-9582000.0</v>
      </c>
      <c r="M1241" s="1">
        <v>2.8693E7</v>
      </c>
      <c r="N1241" s="1">
        <v>6.90673E8</v>
      </c>
      <c r="O1241" s="1">
        <v>5.24967E8</v>
      </c>
      <c r="P1241" s="1">
        <v>2.92703E8</v>
      </c>
      <c r="Q1241" s="1">
        <v>-1.0451E7</v>
      </c>
      <c r="R1241" s="1">
        <v>1.26562E8</v>
      </c>
      <c r="S1241" s="1">
        <v>1.26562E8</v>
      </c>
    </row>
    <row r="1242">
      <c r="A1242" s="1">
        <v>1240.0</v>
      </c>
      <c r="B1242" s="2">
        <v>44377.0</v>
      </c>
      <c r="C1242" s="1" t="s">
        <v>661</v>
      </c>
      <c r="D1242" s="1" t="s">
        <v>662</v>
      </c>
      <c r="F1242" s="1">
        <v>1.2513E8</v>
      </c>
      <c r="G1242" s="1">
        <v>1.04753E8</v>
      </c>
      <c r="H1242" s="1">
        <v>6.87079E8</v>
      </c>
      <c r="I1242" s="1">
        <v>1.12231E9</v>
      </c>
      <c r="J1242" s="1">
        <v>1.51516E8</v>
      </c>
      <c r="K1242" s="1">
        <v>1.51516E8</v>
      </c>
      <c r="L1242" s="1">
        <v>-2.08772E8</v>
      </c>
      <c r="M1242" s="1">
        <v>3.4826E7</v>
      </c>
      <c r="N1242" s="1">
        <v>2.192829E9</v>
      </c>
      <c r="O1242" s="1">
        <v>2.041313E9</v>
      </c>
      <c r="P1242" s="1">
        <v>1.070519E9</v>
      </c>
      <c r="Q1242" s="1">
        <v>-2.6386E7</v>
      </c>
      <c r="R1242" s="1">
        <v>9.0304E7</v>
      </c>
      <c r="S1242" s="1">
        <v>6.7742E7</v>
      </c>
    </row>
    <row r="1243">
      <c r="A1243" s="1">
        <v>1241.0</v>
      </c>
      <c r="B1243" s="2">
        <v>44286.0</v>
      </c>
      <c r="C1243" s="1" t="s">
        <v>661</v>
      </c>
      <c r="D1243" s="1" t="s">
        <v>662</v>
      </c>
      <c r="F1243" s="1">
        <v>-4.30636E8</v>
      </c>
      <c r="G1243" s="1">
        <v>-3.31829E8</v>
      </c>
      <c r="H1243" s="1">
        <v>6.24444E8</v>
      </c>
      <c r="I1243" s="1">
        <v>7.1996E8</v>
      </c>
      <c r="J1243" s="1">
        <v>-1.9504E8</v>
      </c>
      <c r="K1243" s="1">
        <v>-1.9504E8</v>
      </c>
      <c r="L1243" s="1">
        <v>-1.60295E8</v>
      </c>
      <c r="M1243" s="1">
        <v>-9.4698E7</v>
      </c>
      <c r="N1243" s="1">
        <v>1.589686E9</v>
      </c>
      <c r="O1243" s="1">
        <v>1.784726E9</v>
      </c>
      <c r="P1243" s="1">
        <v>8.69726E8</v>
      </c>
      <c r="Q1243" s="1">
        <v>-2.35596E8</v>
      </c>
      <c r="R1243" s="1">
        <v>-3.35938E8</v>
      </c>
      <c r="S1243" s="1">
        <v>-3.41257E8</v>
      </c>
    </row>
    <row r="1244">
      <c r="A1244" s="1">
        <v>1242.0</v>
      </c>
      <c r="B1244" s="2">
        <v>44196.0</v>
      </c>
      <c r="C1244" s="1" t="s">
        <v>661</v>
      </c>
      <c r="D1244" s="1" t="s">
        <v>662</v>
      </c>
      <c r="F1244" s="1">
        <v>-5.62872E8</v>
      </c>
      <c r="G1244" s="1">
        <v>-4.47605E8</v>
      </c>
      <c r="H1244" s="1">
        <v>6.18495E8</v>
      </c>
      <c r="I1244" s="1">
        <v>5.82876E8</v>
      </c>
      <c r="J1244" s="1">
        <v>-3.34349E8</v>
      </c>
      <c r="K1244" s="1">
        <v>-3.34349E8</v>
      </c>
      <c r="L1244" s="1">
        <v>-1.85679E8</v>
      </c>
      <c r="M1244" s="1">
        <v>-1.06904E8</v>
      </c>
      <c r="N1244" s="1">
        <v>1.395287E9</v>
      </c>
      <c r="O1244" s="1">
        <v>1.729636E9</v>
      </c>
      <c r="P1244" s="1">
        <v>8.12411E8</v>
      </c>
      <c r="Q1244" s="1">
        <v>-2.28523E8</v>
      </c>
      <c r="R1244" s="1">
        <v>-4.55968E8</v>
      </c>
      <c r="S1244" s="1">
        <v>-4.54113E8</v>
      </c>
    </row>
    <row r="1245">
      <c r="A1245" s="1">
        <v>1243.0</v>
      </c>
      <c r="B1245" s="2">
        <v>44104.0</v>
      </c>
      <c r="C1245" s="1" t="s">
        <v>661</v>
      </c>
      <c r="D1245" s="1" t="s">
        <v>662</v>
      </c>
      <c r="F1245" s="1">
        <v>-6.78705E8</v>
      </c>
      <c r="G1245" s="1">
        <v>-5.34731E8</v>
      </c>
      <c r="H1245" s="1">
        <v>6.1373E8</v>
      </c>
      <c r="I1245" s="1">
        <v>3.96403E8</v>
      </c>
      <c r="J1245" s="1">
        <v>-5.11701E8</v>
      </c>
      <c r="K1245" s="1">
        <v>-5.11701E8</v>
      </c>
      <c r="L1245" s="1">
        <v>-1.73808E8</v>
      </c>
      <c r="M1245" s="1">
        <v>-7.6734E7</v>
      </c>
      <c r="N1245" s="1">
        <v>1.093603E9</v>
      </c>
      <c r="O1245" s="1">
        <v>1.605304E9</v>
      </c>
      <c r="P1245" s="1">
        <v>6.972E8</v>
      </c>
      <c r="Q1245" s="1">
        <v>-1.67004E8</v>
      </c>
      <c r="R1245" s="1">
        <v>-6.01971E8</v>
      </c>
      <c r="S1245" s="1">
        <v>-5.32954E8</v>
      </c>
    </row>
    <row r="1246">
      <c r="A1246" s="1">
        <v>1244.0</v>
      </c>
      <c r="B1246" s="2">
        <v>44377.0</v>
      </c>
      <c r="C1246" s="1" t="s">
        <v>663</v>
      </c>
      <c r="D1246" s="1" t="s">
        <v>664</v>
      </c>
      <c r="E1246" s="1">
        <v>2.384E8</v>
      </c>
      <c r="F1246" s="1">
        <v>2.97E8</v>
      </c>
      <c r="G1246" s="1">
        <v>2.528E8</v>
      </c>
      <c r="H1246" s="1">
        <v>1.737E8</v>
      </c>
      <c r="I1246" s="1">
        <v>1.0076E9</v>
      </c>
      <c r="J1246" s="1">
        <v>3.799E8</v>
      </c>
      <c r="K1246" s="1">
        <v>3.799E8</v>
      </c>
      <c r="L1246" s="1">
        <v>-7.23E7</v>
      </c>
      <c r="M1246" s="1">
        <v>4.42E7</v>
      </c>
      <c r="N1246" s="1">
        <v>1.5694E9</v>
      </c>
      <c r="O1246" s="1">
        <v>1.1895E9</v>
      </c>
      <c r="P1246" s="1">
        <v>5.618E8</v>
      </c>
      <c r="Q1246" s="1">
        <v>-8.29E7</v>
      </c>
      <c r="R1246" s="1">
        <v>2.528E8</v>
      </c>
      <c r="S1246" s="1">
        <v>2.528E8</v>
      </c>
    </row>
    <row r="1247">
      <c r="A1247" s="1">
        <v>1245.0</v>
      </c>
      <c r="B1247" s="2">
        <v>44286.0</v>
      </c>
      <c r="C1247" s="1" t="s">
        <v>663</v>
      </c>
      <c r="D1247" s="1" t="s">
        <v>664</v>
      </c>
      <c r="E1247" s="1">
        <v>2.285E8</v>
      </c>
      <c r="F1247" s="1">
        <v>1.444E8</v>
      </c>
      <c r="G1247" s="1">
        <v>1.16E8</v>
      </c>
      <c r="H1247" s="1">
        <v>1.642E8</v>
      </c>
      <c r="I1247" s="1">
        <v>9.268E8</v>
      </c>
      <c r="J1247" s="1">
        <v>3.017E8</v>
      </c>
      <c r="K1247" s="1">
        <v>3.017E8</v>
      </c>
      <c r="L1247" s="1">
        <v>-7.8E7</v>
      </c>
      <c r="M1247" s="1">
        <v>2.84E7</v>
      </c>
      <c r="N1247" s="1">
        <v>1.4671E9</v>
      </c>
      <c r="O1247" s="1">
        <v>1.1654E9</v>
      </c>
      <c r="P1247" s="1">
        <v>5.403E8</v>
      </c>
      <c r="Q1247" s="1">
        <v>-1.573E8</v>
      </c>
      <c r="R1247" s="1">
        <v>1.16E8</v>
      </c>
      <c r="S1247" s="1">
        <v>1.16E8</v>
      </c>
    </row>
    <row r="1248">
      <c r="A1248" s="1">
        <v>1246.0</v>
      </c>
      <c r="B1248" s="2">
        <v>44196.0</v>
      </c>
      <c r="C1248" s="1" t="s">
        <v>663</v>
      </c>
      <c r="D1248" s="1" t="s">
        <v>664</v>
      </c>
      <c r="E1248" s="1">
        <v>2.101E8</v>
      </c>
      <c r="F1248" s="1">
        <v>1.68E7</v>
      </c>
      <c r="G1248" s="1">
        <v>3.62E7</v>
      </c>
      <c r="H1248" s="1">
        <v>1.545E8</v>
      </c>
      <c r="I1248" s="1">
        <v>8.458E8</v>
      </c>
      <c r="J1248" s="1">
        <v>2.496E8</v>
      </c>
      <c r="K1248" s="1">
        <v>2.496E8</v>
      </c>
      <c r="L1248" s="1">
        <v>-8.65E7</v>
      </c>
      <c r="M1248" s="1">
        <v>-1.94E7</v>
      </c>
      <c r="N1248" s="1">
        <v>1.3521E9</v>
      </c>
      <c r="O1248" s="1">
        <v>1.1025E9</v>
      </c>
      <c r="P1248" s="1">
        <v>5.063E8</v>
      </c>
      <c r="Q1248" s="1">
        <v>-2.328E8</v>
      </c>
      <c r="R1248" s="1">
        <v>3.62E7</v>
      </c>
      <c r="S1248" s="1">
        <v>3.62E7</v>
      </c>
    </row>
    <row r="1249">
      <c r="A1249" s="1">
        <v>1247.0</v>
      </c>
      <c r="B1249" s="2">
        <v>44104.0</v>
      </c>
      <c r="C1249" s="1" t="s">
        <v>663</v>
      </c>
      <c r="D1249" s="1" t="s">
        <v>664</v>
      </c>
      <c r="E1249" s="1">
        <v>1.998E8</v>
      </c>
      <c r="F1249" s="1">
        <v>8.88E7</v>
      </c>
      <c r="G1249" s="1">
        <v>7.36E7</v>
      </c>
      <c r="H1249" s="1">
        <v>1.45E8</v>
      </c>
      <c r="I1249" s="1">
        <v>8.079E8</v>
      </c>
      <c r="J1249" s="1">
        <v>2.302E8</v>
      </c>
      <c r="K1249" s="1">
        <v>2.302E8</v>
      </c>
      <c r="L1249" s="1">
        <v>-9.33E7</v>
      </c>
      <c r="M1249" s="1">
        <v>1.52E7</v>
      </c>
      <c r="N1249" s="1">
        <v>1.3095E9</v>
      </c>
      <c r="O1249" s="1">
        <v>1.0793E9</v>
      </c>
      <c r="P1249" s="1">
        <v>5.016E8</v>
      </c>
      <c r="Q1249" s="1">
        <v>-1.414E8</v>
      </c>
      <c r="R1249" s="1">
        <v>7.36E7</v>
      </c>
      <c r="S1249" s="1">
        <v>7.36E7</v>
      </c>
    </row>
    <row r="1250">
      <c r="A1250" s="1">
        <v>1248.0</v>
      </c>
      <c r="B1250" s="2">
        <v>44259.0</v>
      </c>
      <c r="C1250" s="1" t="s">
        <v>665</v>
      </c>
      <c r="D1250" s="1" t="s">
        <v>666</v>
      </c>
      <c r="E1250" s="1">
        <v>6.41E8</v>
      </c>
      <c r="F1250" s="1">
        <v>6.51E8</v>
      </c>
      <c r="G1250" s="1">
        <v>6.03E8</v>
      </c>
      <c r="H1250" s="1">
        <v>2.14E8</v>
      </c>
      <c r="I1250" s="1">
        <v>1.649E9</v>
      </c>
      <c r="J1250" s="1">
        <v>6.63E8</v>
      </c>
      <c r="K1250" s="1">
        <v>6.63E8</v>
      </c>
      <c r="L1250" s="1">
        <v>-4.2E7</v>
      </c>
      <c r="M1250" s="1">
        <v>4.8E7</v>
      </c>
      <c r="N1250" s="1">
        <v>6.236E9</v>
      </c>
      <c r="O1250" s="1">
        <v>5.573E9</v>
      </c>
      <c r="P1250" s="1">
        <v>4.587E9</v>
      </c>
      <c r="Q1250" s="1">
        <v>-1.2E7</v>
      </c>
      <c r="R1250" s="1">
        <v>6.03E8</v>
      </c>
      <c r="S1250" s="1">
        <v>6.03E8</v>
      </c>
    </row>
    <row r="1251">
      <c r="A1251" s="1">
        <v>1249.0</v>
      </c>
      <c r="B1251" s="2">
        <v>44168.0</v>
      </c>
      <c r="C1251" s="1" t="s">
        <v>665</v>
      </c>
      <c r="D1251" s="1" t="s">
        <v>666</v>
      </c>
      <c r="E1251" s="1">
        <v>6.47E8</v>
      </c>
      <c r="F1251" s="1">
        <v>8.54E8</v>
      </c>
      <c r="G1251" s="1">
        <v>8.03E8</v>
      </c>
      <c r="H1251" s="1">
        <v>2.14E8</v>
      </c>
      <c r="I1251" s="1">
        <v>1.736E9</v>
      </c>
      <c r="J1251" s="1">
        <v>8.66E8</v>
      </c>
      <c r="K1251" s="1">
        <v>8.66E8</v>
      </c>
      <c r="L1251" s="1">
        <v>-4.8E7</v>
      </c>
      <c r="M1251" s="1">
        <v>5.1E7</v>
      </c>
      <c r="N1251" s="1">
        <v>5.773E9</v>
      </c>
      <c r="O1251" s="1">
        <v>4.907E9</v>
      </c>
      <c r="P1251" s="1">
        <v>4.037E9</v>
      </c>
      <c r="Q1251" s="1">
        <v>-1.2E7</v>
      </c>
      <c r="R1251" s="1">
        <v>8.03E8</v>
      </c>
      <c r="S1251" s="1">
        <v>8.03E8</v>
      </c>
    </row>
    <row r="1252">
      <c r="A1252" s="1">
        <v>1250.0</v>
      </c>
      <c r="B1252" s="2">
        <v>44077.0</v>
      </c>
      <c r="C1252" s="1" t="s">
        <v>665</v>
      </c>
      <c r="D1252" s="1" t="s">
        <v>666</v>
      </c>
      <c r="E1252" s="1">
        <v>6.3E8</v>
      </c>
      <c r="F1252" s="1">
        <v>1.126E9</v>
      </c>
      <c r="G1252" s="1">
        <v>9.88E8</v>
      </c>
      <c r="H1252" s="1">
        <v>2.31E8</v>
      </c>
      <c r="I1252" s="1">
        <v>2.068E9</v>
      </c>
      <c r="J1252" s="1">
        <v>1.204E9</v>
      </c>
      <c r="K1252" s="1">
        <v>1.204E9</v>
      </c>
      <c r="L1252" s="1">
        <v>-5.0E7</v>
      </c>
      <c r="M1252" s="1">
        <v>1.36E8</v>
      </c>
      <c r="N1252" s="1">
        <v>6.056E9</v>
      </c>
      <c r="O1252" s="1">
        <v>4.852E9</v>
      </c>
      <c r="P1252" s="1">
        <v>3.988E9</v>
      </c>
      <c r="Q1252" s="1">
        <v>-7.8E7</v>
      </c>
      <c r="R1252" s="1">
        <v>9.9E8</v>
      </c>
      <c r="S1252" s="1">
        <v>9.88E8</v>
      </c>
    </row>
    <row r="1253">
      <c r="A1253" s="1">
        <v>1251.0</v>
      </c>
      <c r="B1253" s="2">
        <v>43979.0</v>
      </c>
      <c r="C1253" s="1" t="s">
        <v>665</v>
      </c>
      <c r="D1253" s="1" t="s">
        <v>666</v>
      </c>
      <c r="E1253" s="1">
        <v>6.49E8</v>
      </c>
      <c r="F1253" s="1">
        <v>8.73E8</v>
      </c>
      <c r="G1253" s="1">
        <v>8.03E8</v>
      </c>
      <c r="H1253" s="1">
        <v>2.16E8</v>
      </c>
      <c r="I1253" s="1">
        <v>1.763E9</v>
      </c>
      <c r="J1253" s="1">
        <v>8.92E8</v>
      </c>
      <c r="K1253" s="1">
        <v>8.92E8</v>
      </c>
      <c r="L1253" s="1">
        <v>-5.1E7</v>
      </c>
      <c r="M1253" s="1">
        <v>6.8E7</v>
      </c>
      <c r="N1253" s="1">
        <v>5.438E9</v>
      </c>
      <c r="O1253" s="1">
        <v>4.546E9</v>
      </c>
      <c r="P1253" s="1">
        <v>3.675E9</v>
      </c>
      <c r="Q1253" s="1">
        <v>-1.9E7</v>
      </c>
      <c r="R1253" s="1">
        <v>8.05E8</v>
      </c>
      <c r="S1253" s="1">
        <v>8.03E8</v>
      </c>
    </row>
    <row r="1254">
      <c r="A1254" s="1">
        <v>1252.0</v>
      </c>
      <c r="B1254" s="2">
        <v>44377.0</v>
      </c>
      <c r="C1254" s="1" t="s">
        <v>667</v>
      </c>
      <c r="D1254" s="1" t="s">
        <v>668</v>
      </c>
      <c r="E1254" s="1">
        <v>5.687E9</v>
      </c>
      <c r="F1254" s="1">
        <v>1.9405E10</v>
      </c>
      <c r="G1254" s="1">
        <v>1.6458E10</v>
      </c>
      <c r="H1254" s="1">
        <v>7.379E9</v>
      </c>
      <c r="I1254" s="1">
        <v>3.2161E10</v>
      </c>
      <c r="J1254" s="1">
        <v>1.9095E10</v>
      </c>
      <c r="K1254" s="1">
        <v>1.9095E10</v>
      </c>
      <c r="L1254" s="1">
        <v>-5.49E8</v>
      </c>
      <c r="M1254" s="1">
        <v>2.947E9</v>
      </c>
      <c r="N1254" s="1">
        <v>4.6152E10</v>
      </c>
      <c r="O1254" s="1">
        <v>2.7057E10</v>
      </c>
      <c r="P1254" s="1">
        <v>1.3991E10</v>
      </c>
      <c r="Q1254" s="1">
        <v>3.1E8</v>
      </c>
      <c r="R1254" s="1">
        <v>1.6458E10</v>
      </c>
      <c r="S1254" s="1">
        <v>1.6458E10</v>
      </c>
    </row>
    <row r="1255">
      <c r="A1255" s="1">
        <v>1253.0</v>
      </c>
      <c r="B1255" s="2">
        <v>44286.0</v>
      </c>
      <c r="C1255" s="1" t="s">
        <v>667</v>
      </c>
      <c r="D1255" s="1" t="s">
        <v>668</v>
      </c>
      <c r="E1255" s="1">
        <v>5.204E9</v>
      </c>
      <c r="F1255" s="1">
        <v>1.7236E10</v>
      </c>
      <c r="G1255" s="1">
        <v>1.5457E10</v>
      </c>
      <c r="H1255" s="1">
        <v>6.409E9</v>
      </c>
      <c r="I1255" s="1">
        <v>2.8661E10</v>
      </c>
      <c r="J1255" s="1">
        <v>1.7048E10</v>
      </c>
      <c r="K1255" s="1">
        <v>1.7048E10</v>
      </c>
      <c r="L1255" s="1">
        <v>-6.28E8</v>
      </c>
      <c r="M1255" s="1">
        <v>1.779E9</v>
      </c>
      <c r="N1255" s="1">
        <v>4.1706E10</v>
      </c>
      <c r="O1255" s="1">
        <v>2.4658E10</v>
      </c>
      <c r="P1255" s="1">
        <v>1.3045E10</v>
      </c>
      <c r="Q1255" s="1">
        <v>1.88E8</v>
      </c>
      <c r="R1255" s="1">
        <v>1.5457E10</v>
      </c>
      <c r="S1255" s="1">
        <v>1.5457E10</v>
      </c>
    </row>
    <row r="1256">
      <c r="A1256" s="1">
        <v>1254.0</v>
      </c>
      <c r="B1256" s="2">
        <v>44196.0</v>
      </c>
      <c r="C1256" s="1" t="s">
        <v>667</v>
      </c>
      <c r="D1256" s="1" t="s">
        <v>668</v>
      </c>
      <c r="E1256" s="1">
        <v>4.899E9</v>
      </c>
      <c r="F1256" s="1">
        <v>1.8337E10</v>
      </c>
      <c r="G1256" s="1">
        <v>1.5463E10</v>
      </c>
      <c r="H1256" s="1">
        <v>6.086E9</v>
      </c>
      <c r="I1256" s="1">
        <v>2.8882E10</v>
      </c>
      <c r="J1256" s="1">
        <v>1.7897E10</v>
      </c>
      <c r="K1256" s="1">
        <v>1.7897E10</v>
      </c>
      <c r="L1256" s="1">
        <v>-5.68E8</v>
      </c>
      <c r="M1256" s="1">
        <v>2.874E9</v>
      </c>
      <c r="N1256" s="1">
        <v>4.3076E10</v>
      </c>
      <c r="O1256" s="1">
        <v>2.5179E10</v>
      </c>
      <c r="P1256" s="1">
        <v>1.4194E10</v>
      </c>
      <c r="Q1256" s="1">
        <v>4.4E8</v>
      </c>
      <c r="R1256" s="1">
        <v>1.5463E10</v>
      </c>
      <c r="S1256" s="1">
        <v>1.5463E10</v>
      </c>
    </row>
    <row r="1257">
      <c r="A1257" s="1">
        <v>1255.0</v>
      </c>
      <c r="B1257" s="2">
        <v>44104.0</v>
      </c>
      <c r="C1257" s="1" t="s">
        <v>667</v>
      </c>
      <c r="D1257" s="1" t="s">
        <v>668</v>
      </c>
      <c r="E1257" s="1">
        <v>4.926E9</v>
      </c>
      <c r="F1257" s="1">
        <v>1.6124E10</v>
      </c>
      <c r="G1257" s="1">
        <v>1.3893E10</v>
      </c>
      <c r="H1257" s="1">
        <v>5.35E9</v>
      </c>
      <c r="I1257" s="1">
        <v>2.6152E10</v>
      </c>
      <c r="J1257" s="1">
        <v>1.5876E10</v>
      </c>
      <c r="K1257" s="1">
        <v>1.5876E10</v>
      </c>
      <c r="L1257" s="1">
        <v>-5.85E8</v>
      </c>
      <c r="M1257" s="1">
        <v>2.231E9</v>
      </c>
      <c r="N1257" s="1">
        <v>3.7154E10</v>
      </c>
      <c r="O1257" s="1">
        <v>2.1278E10</v>
      </c>
      <c r="P1257" s="1">
        <v>1.1002E10</v>
      </c>
      <c r="Q1257" s="1">
        <v>2.48E8</v>
      </c>
      <c r="R1257" s="1">
        <v>1.3893E10</v>
      </c>
      <c r="S1257" s="1">
        <v>1.3893E10</v>
      </c>
    </row>
    <row r="1258">
      <c r="A1258" s="1">
        <v>1256.0</v>
      </c>
      <c r="B1258" s="2">
        <v>44377.0</v>
      </c>
      <c r="C1258" s="1" t="s">
        <v>669</v>
      </c>
      <c r="D1258" s="1" t="s">
        <v>670</v>
      </c>
      <c r="F1258" s="1">
        <v>2.2592E8</v>
      </c>
      <c r="G1258" s="1">
        <v>2.16478E8</v>
      </c>
      <c r="H1258" s="1">
        <v>1.3114E7</v>
      </c>
      <c r="I1258" s="1">
        <v>2.54414E8</v>
      </c>
      <c r="J1258" s="1">
        <v>1.09476E8</v>
      </c>
      <c r="K1258" s="1">
        <v>1.09476E8</v>
      </c>
      <c r="L1258" s="1">
        <v>-3.8867E7</v>
      </c>
      <c r="M1258" s="1">
        <v>2045000.0</v>
      </c>
      <c r="N1258" s="1">
        <v>4.36927E8</v>
      </c>
      <c r="O1258" s="1">
        <v>3.27451E8</v>
      </c>
      <c r="P1258" s="1">
        <v>1.82513E8</v>
      </c>
      <c r="Q1258" s="1">
        <v>1.16444E8</v>
      </c>
      <c r="R1258" s="1">
        <v>2.23875E8</v>
      </c>
      <c r="S1258" s="1">
        <v>2.15322E8</v>
      </c>
    </row>
    <row r="1259">
      <c r="A1259" s="1">
        <v>1257.0</v>
      </c>
      <c r="B1259" s="2">
        <v>44286.0</v>
      </c>
      <c r="C1259" s="1" t="s">
        <v>669</v>
      </c>
      <c r="D1259" s="1" t="s">
        <v>670</v>
      </c>
      <c r="F1259" s="1">
        <v>4.9863E7</v>
      </c>
      <c r="G1259" s="1">
        <v>4.7193E7</v>
      </c>
      <c r="H1259" s="1">
        <v>1.2979E7</v>
      </c>
      <c r="I1259" s="1">
        <v>2.49598E8</v>
      </c>
      <c r="J1259" s="1">
        <v>1.05116E8</v>
      </c>
      <c r="K1259" s="1">
        <v>1.05116E8</v>
      </c>
      <c r="L1259" s="1">
        <v>-3.9672E7</v>
      </c>
      <c r="M1259" s="1">
        <v>999000.0</v>
      </c>
      <c r="N1259" s="1">
        <v>4.25005E8</v>
      </c>
      <c r="O1259" s="1">
        <v>3.19889E8</v>
      </c>
      <c r="P1259" s="1">
        <v>1.75407E8</v>
      </c>
      <c r="Q1259" s="1">
        <v>-5.5253E7</v>
      </c>
      <c r="R1259" s="1">
        <v>4.8864E7</v>
      </c>
      <c r="S1259" s="1">
        <v>4.6217E7</v>
      </c>
    </row>
    <row r="1260">
      <c r="A1260" s="1">
        <v>1258.0</v>
      </c>
      <c r="B1260" s="2">
        <v>44196.0</v>
      </c>
      <c r="C1260" s="1" t="s">
        <v>669</v>
      </c>
      <c r="D1260" s="1" t="s">
        <v>670</v>
      </c>
      <c r="F1260" s="1">
        <v>8.7094E7</v>
      </c>
      <c r="G1260" s="1">
        <v>8.3342E7</v>
      </c>
      <c r="H1260" s="1">
        <v>1.1677E7</v>
      </c>
      <c r="I1260" s="1">
        <v>2.50411E8</v>
      </c>
      <c r="J1260" s="1">
        <v>1.09149E8</v>
      </c>
      <c r="K1260" s="1">
        <v>1.09149E8</v>
      </c>
      <c r="L1260" s="1">
        <v>-4.0952E7</v>
      </c>
      <c r="M1260" s="1">
        <v>795000.0</v>
      </c>
      <c r="N1260" s="1">
        <v>4.23661E8</v>
      </c>
      <c r="O1260" s="1">
        <v>3.14512E8</v>
      </c>
      <c r="P1260" s="1">
        <v>1.7325E8</v>
      </c>
      <c r="Q1260" s="1">
        <v>-2.2055E7</v>
      </c>
      <c r="R1260" s="1">
        <v>8.6299E7</v>
      </c>
      <c r="S1260" s="1">
        <v>8.2311E7</v>
      </c>
    </row>
    <row r="1261">
      <c r="A1261" s="1">
        <v>1259.0</v>
      </c>
      <c r="B1261" s="2">
        <v>44104.0</v>
      </c>
      <c r="C1261" s="1" t="s">
        <v>669</v>
      </c>
      <c r="D1261" s="1" t="s">
        <v>670</v>
      </c>
      <c r="F1261" s="1">
        <v>6.2701E7</v>
      </c>
      <c r="G1261" s="1">
        <v>5.991E7</v>
      </c>
      <c r="H1261" s="1">
        <v>1.136E7</v>
      </c>
      <c r="I1261" s="1">
        <v>2.40694E8</v>
      </c>
      <c r="J1261" s="1">
        <v>1.01655E8</v>
      </c>
      <c r="K1261" s="1">
        <v>1.01655E8</v>
      </c>
      <c r="L1261" s="1">
        <v>-4.101E7</v>
      </c>
      <c r="M1261" s="1">
        <v>665000.0</v>
      </c>
      <c r="N1261" s="1">
        <v>4.23199E8</v>
      </c>
      <c r="O1261" s="1">
        <v>3.21544E8</v>
      </c>
      <c r="P1261" s="1">
        <v>1.82505E8</v>
      </c>
      <c r="Q1261" s="1">
        <v>-3.8954E7</v>
      </c>
      <c r="R1261" s="1">
        <v>6.2036E7</v>
      </c>
      <c r="S1261" s="1">
        <v>5.891E7</v>
      </c>
    </row>
    <row r="1262">
      <c r="A1262" s="1">
        <v>1260.0</v>
      </c>
      <c r="B1262" s="2">
        <v>44377.0</v>
      </c>
      <c r="C1262" s="1" t="s">
        <v>671</v>
      </c>
      <c r="D1262" s="1" t="s">
        <v>672</v>
      </c>
      <c r="F1262" s="1">
        <v>3.063E9</v>
      </c>
      <c r="G1262" s="1">
        <v>2.78E9</v>
      </c>
      <c r="H1262" s="1">
        <v>1.21E8</v>
      </c>
      <c r="I1262" s="1">
        <v>3.183E9</v>
      </c>
      <c r="J1262" s="1">
        <v>3.062E9</v>
      </c>
      <c r="K1262" s="1">
        <v>3.062E9</v>
      </c>
      <c r="L1262" s="1">
        <v>-5000000.0</v>
      </c>
      <c r="M1262" s="1">
        <v>2.83E8</v>
      </c>
      <c r="N1262" s="1">
        <v>4.354E9</v>
      </c>
      <c r="O1262" s="1">
        <v>1.292E9</v>
      </c>
      <c r="P1262" s="1">
        <v>1.171E9</v>
      </c>
      <c r="Q1262" s="1">
        <v>1000000.0</v>
      </c>
      <c r="R1262" s="1">
        <v>2.78E9</v>
      </c>
      <c r="S1262" s="1">
        <v>2.78E9</v>
      </c>
    </row>
    <row r="1263">
      <c r="A1263" s="1">
        <v>1261.0</v>
      </c>
      <c r="B1263" s="2">
        <v>44286.0</v>
      </c>
      <c r="C1263" s="1" t="s">
        <v>671</v>
      </c>
      <c r="D1263" s="1" t="s">
        <v>672</v>
      </c>
      <c r="F1263" s="1">
        <v>1.26E9</v>
      </c>
      <c r="G1263" s="1">
        <v>1.221E9</v>
      </c>
      <c r="H1263" s="1">
        <v>7.7E7</v>
      </c>
      <c r="I1263" s="1">
        <v>1.343E9</v>
      </c>
      <c r="J1263" s="1">
        <v>1.266E9</v>
      </c>
      <c r="K1263" s="1">
        <v>1.266E9</v>
      </c>
      <c r="L1263" s="1">
        <v>-3000000.0</v>
      </c>
      <c r="M1263" s="1">
        <v>3.9E7</v>
      </c>
      <c r="N1263" s="1">
        <v>1.937E9</v>
      </c>
      <c r="O1263" s="1">
        <v>6.71E8</v>
      </c>
      <c r="P1263" s="1">
        <v>5.94E8</v>
      </c>
      <c r="Q1263" s="1">
        <v>-6000000.0</v>
      </c>
      <c r="R1263" s="1">
        <v>1.221E9</v>
      </c>
      <c r="S1263" s="1">
        <v>1.221E9</v>
      </c>
    </row>
    <row r="1264">
      <c r="A1264" s="1">
        <v>1262.0</v>
      </c>
      <c r="B1264" s="2">
        <v>44196.0</v>
      </c>
      <c r="C1264" s="1" t="s">
        <v>671</v>
      </c>
      <c r="D1264" s="1" t="s">
        <v>672</v>
      </c>
      <c r="F1264" s="1">
        <v>-2.71012E8</v>
      </c>
      <c r="G1264" s="1">
        <v>-2.72485E8</v>
      </c>
      <c r="H1264" s="1">
        <v>7.899E7</v>
      </c>
      <c r="I1264" s="1">
        <v>-1.96048E8</v>
      </c>
      <c r="J1264" s="1">
        <v>-2.75038E8</v>
      </c>
      <c r="K1264" s="1">
        <v>-2.75038E8</v>
      </c>
      <c r="L1264" s="1">
        <v>-3508000.0</v>
      </c>
      <c r="M1264" s="1">
        <v>1473000.0</v>
      </c>
      <c r="N1264" s="1">
        <v>5.70745E8</v>
      </c>
      <c r="O1264" s="1">
        <v>8.45783E8</v>
      </c>
      <c r="P1264" s="1">
        <v>7.66793E8</v>
      </c>
      <c r="Q1264" s="1">
        <v>4026000.0</v>
      </c>
      <c r="R1264" s="1">
        <v>-2.72485E8</v>
      </c>
      <c r="S1264" s="1">
        <v>-2.72485E8</v>
      </c>
    </row>
    <row r="1265">
      <c r="A1265" s="1">
        <v>1263.0</v>
      </c>
      <c r="B1265" s="2">
        <v>44104.0</v>
      </c>
      <c r="C1265" s="1" t="s">
        <v>671</v>
      </c>
      <c r="D1265" s="1" t="s">
        <v>672</v>
      </c>
      <c r="F1265" s="1">
        <v>-2.32772E8</v>
      </c>
      <c r="G1265" s="1">
        <v>-2.33636E8</v>
      </c>
      <c r="H1265" s="1">
        <v>4.8541E7</v>
      </c>
      <c r="I1265" s="1">
        <v>-1.86576E8</v>
      </c>
      <c r="J1265" s="1">
        <v>-2.35117E8</v>
      </c>
      <c r="K1265" s="1">
        <v>-2.35117E8</v>
      </c>
      <c r="L1265" s="1">
        <v>-2834000.0</v>
      </c>
      <c r="M1265" s="1">
        <v>864000.0</v>
      </c>
      <c r="N1265" s="1">
        <v>1.5791E8</v>
      </c>
      <c r="O1265" s="1">
        <v>3.93027E8</v>
      </c>
      <c r="P1265" s="1">
        <v>3.44486E8</v>
      </c>
      <c r="Q1265" s="1">
        <v>2345000.0</v>
      </c>
      <c r="R1265" s="1">
        <v>-2.33636E8</v>
      </c>
      <c r="S1265" s="1">
        <v>-2.33636E8</v>
      </c>
    </row>
    <row r="1266">
      <c r="A1266" s="1">
        <v>1264.0</v>
      </c>
      <c r="B1266" s="2">
        <v>44380.0</v>
      </c>
      <c r="C1266" s="1" t="s">
        <v>673</v>
      </c>
      <c r="D1266" s="1" t="s">
        <v>674</v>
      </c>
      <c r="F1266" s="1">
        <v>4.00698E8</v>
      </c>
      <c r="G1266" s="1">
        <v>3.36285E8</v>
      </c>
      <c r="H1266" s="1">
        <v>4.96302E8</v>
      </c>
      <c r="I1266" s="1">
        <v>9.07506E8</v>
      </c>
      <c r="J1266" s="1">
        <v>4.11204E8</v>
      </c>
      <c r="K1266" s="1">
        <v>4.11204E8</v>
      </c>
      <c r="L1266" s="1">
        <v>-1.4894E7</v>
      </c>
      <c r="M1266" s="1">
        <v>6.4245E7</v>
      </c>
      <c r="N1266" s="1">
        <v>2.953833E9</v>
      </c>
      <c r="O1266" s="1">
        <v>2.542629E9</v>
      </c>
      <c r="P1266" s="1">
        <v>2.046327E9</v>
      </c>
      <c r="Q1266" s="1">
        <v>-1.0506E7</v>
      </c>
      <c r="R1266" s="1">
        <v>3.36453E8</v>
      </c>
      <c r="S1266" s="1">
        <v>3.36285E8</v>
      </c>
    </row>
    <row r="1267">
      <c r="A1267" s="1">
        <v>1265.0</v>
      </c>
      <c r="B1267" s="2">
        <v>44289.0</v>
      </c>
      <c r="C1267" s="1" t="s">
        <v>673</v>
      </c>
      <c r="D1267" s="1" t="s">
        <v>674</v>
      </c>
      <c r="F1267" s="1">
        <v>3.04501E8</v>
      </c>
      <c r="G1267" s="1">
        <v>2.36807E8</v>
      </c>
      <c r="H1267" s="1">
        <v>4.73252E8</v>
      </c>
      <c r="I1267" s="1">
        <v>8.01951E8</v>
      </c>
      <c r="J1267" s="1">
        <v>3.28699E8</v>
      </c>
      <c r="K1267" s="1">
        <v>3.28699E8</v>
      </c>
      <c r="L1267" s="1">
        <v>-1.5241E7</v>
      </c>
      <c r="M1267" s="1">
        <v>6.769E7</v>
      </c>
      <c r="N1267" s="1">
        <v>2.669026E9</v>
      </c>
      <c r="O1267" s="1">
        <v>2.340327E9</v>
      </c>
      <c r="P1267" s="1">
        <v>1.867075E9</v>
      </c>
      <c r="Q1267" s="1">
        <v>-2.4198E7</v>
      </c>
      <c r="R1267" s="1">
        <v>2.36811E8</v>
      </c>
      <c r="S1267" s="1">
        <v>2.36807E8</v>
      </c>
    </row>
    <row r="1268">
      <c r="A1268" s="1">
        <v>1266.0</v>
      </c>
      <c r="B1268" s="2">
        <v>44196.0</v>
      </c>
      <c r="C1268" s="1" t="s">
        <v>673</v>
      </c>
      <c r="D1268" s="1" t="s">
        <v>674</v>
      </c>
      <c r="F1268" s="1">
        <v>2.73577E8</v>
      </c>
      <c r="G1268" s="1">
        <v>2.48221E8</v>
      </c>
      <c r="H1268" s="1">
        <v>4.52079E8</v>
      </c>
      <c r="I1268" s="1">
        <v>7.60931E8</v>
      </c>
      <c r="J1268" s="1">
        <v>3.08852E8</v>
      </c>
      <c r="K1268" s="1">
        <v>3.08852E8</v>
      </c>
      <c r="L1268" s="1">
        <v>-1.5898E7</v>
      </c>
      <c r="M1268" s="1">
        <v>2.518E7</v>
      </c>
      <c r="N1268" s="1">
        <v>2.641764E9</v>
      </c>
      <c r="O1268" s="1">
        <v>2.332912E9</v>
      </c>
      <c r="P1268" s="1">
        <v>1.880833E9</v>
      </c>
      <c r="Q1268" s="1">
        <v>-3.5275E7</v>
      </c>
      <c r="R1268" s="1">
        <v>2.48397E8</v>
      </c>
      <c r="S1268" s="1">
        <v>2.48221E8</v>
      </c>
    </row>
    <row r="1269">
      <c r="A1269" s="1">
        <v>1267.0</v>
      </c>
      <c r="B1269" s="2">
        <v>44100.0</v>
      </c>
      <c r="C1269" s="1" t="s">
        <v>673</v>
      </c>
      <c r="D1269" s="1" t="s">
        <v>674</v>
      </c>
      <c r="F1269" s="1">
        <v>2.48616E8</v>
      </c>
      <c r="G1269" s="1">
        <v>2.05117E8</v>
      </c>
      <c r="H1269" s="1">
        <v>4.34691E8</v>
      </c>
      <c r="I1269" s="1">
        <v>7.23909E8</v>
      </c>
      <c r="J1269" s="1">
        <v>2.89218E8</v>
      </c>
      <c r="K1269" s="1">
        <v>2.89218E8</v>
      </c>
      <c r="L1269" s="1">
        <v>-1.4854E7</v>
      </c>
      <c r="M1269" s="1">
        <v>4.3163E7</v>
      </c>
      <c r="N1269" s="1">
        <v>2.57487E9</v>
      </c>
      <c r="O1269" s="1">
        <v>2.285652E9</v>
      </c>
      <c r="P1269" s="1">
        <v>1.850961E9</v>
      </c>
      <c r="Q1269" s="1">
        <v>-4.0602E7</v>
      </c>
      <c r="R1269" s="1">
        <v>2.05453E8</v>
      </c>
      <c r="S1269" s="1">
        <v>2.05117E8</v>
      </c>
    </row>
    <row r="1270">
      <c r="A1270" s="1">
        <v>1268.0</v>
      </c>
      <c r="B1270" s="2">
        <v>44377.0</v>
      </c>
      <c r="C1270" s="1" t="s">
        <v>675</v>
      </c>
      <c r="D1270" s="1" t="s">
        <v>676</v>
      </c>
      <c r="F1270" s="1">
        <v>5.226E8</v>
      </c>
      <c r="G1270" s="1">
        <v>3.886E8</v>
      </c>
      <c r="H1270" s="1">
        <v>6.687E8</v>
      </c>
      <c r="I1270" s="1">
        <v>1.2715E9</v>
      </c>
      <c r="J1270" s="1">
        <v>6.028E8</v>
      </c>
      <c r="K1270" s="1">
        <v>6.028E8</v>
      </c>
      <c r="L1270" s="1">
        <v>-7.07E7</v>
      </c>
      <c r="M1270" s="1">
        <v>1.323E8</v>
      </c>
      <c r="N1270" s="1">
        <v>2.9394E9</v>
      </c>
      <c r="O1270" s="1">
        <v>2.3366E9</v>
      </c>
      <c r="P1270" s="1">
        <v>1.6679E9</v>
      </c>
      <c r="Q1270" s="1">
        <v>-8.02E7</v>
      </c>
      <c r="R1270" s="1">
        <v>3.903E8</v>
      </c>
      <c r="S1270" s="1">
        <v>3.886E8</v>
      </c>
    </row>
    <row r="1271">
      <c r="A1271" s="1">
        <v>1269.0</v>
      </c>
      <c r="B1271" s="2">
        <v>44286.0</v>
      </c>
      <c r="C1271" s="1" t="s">
        <v>675</v>
      </c>
      <c r="D1271" s="1" t="s">
        <v>676</v>
      </c>
      <c r="F1271" s="1">
        <v>1.263E8</v>
      </c>
      <c r="G1271" s="1">
        <v>8.41E7</v>
      </c>
      <c r="H1271" s="1">
        <v>5.299E8</v>
      </c>
      <c r="I1271" s="1">
        <v>7.31E8</v>
      </c>
      <c r="J1271" s="1">
        <v>2.011E8</v>
      </c>
      <c r="K1271" s="1">
        <v>2.011E8</v>
      </c>
      <c r="L1271" s="1">
        <v>-6.82E7</v>
      </c>
      <c r="M1271" s="1">
        <v>4.43E7</v>
      </c>
      <c r="N1271" s="1">
        <v>1.8984E9</v>
      </c>
      <c r="O1271" s="1">
        <v>1.6973E9</v>
      </c>
      <c r="P1271" s="1">
        <v>1.1674E9</v>
      </c>
      <c r="Q1271" s="1">
        <v>-7.48E7</v>
      </c>
      <c r="R1271" s="1">
        <v>8.2E7</v>
      </c>
      <c r="S1271" s="1">
        <v>8.41E7</v>
      </c>
    </row>
    <row r="1272">
      <c r="A1272" s="1">
        <v>1270.0</v>
      </c>
      <c r="B1272" s="2">
        <v>44196.0</v>
      </c>
      <c r="C1272" s="1" t="s">
        <v>675</v>
      </c>
      <c r="D1272" s="1" t="s">
        <v>676</v>
      </c>
      <c r="F1272" s="1">
        <v>-1.3373E9</v>
      </c>
      <c r="G1272" s="1">
        <v>-1.3698E9</v>
      </c>
      <c r="H1272" s="1">
        <v>6.407E8</v>
      </c>
      <c r="I1272" s="1">
        <v>8.952E8</v>
      </c>
      <c r="J1272" s="1">
        <v>2.545E8</v>
      </c>
      <c r="K1272" s="1">
        <v>2.545E8</v>
      </c>
      <c r="L1272" s="1">
        <v>-5.68E7</v>
      </c>
      <c r="M1272" s="1">
        <v>3.66E7</v>
      </c>
      <c r="N1272" s="1">
        <v>2.2943E9</v>
      </c>
      <c r="O1272" s="1">
        <v>2.0398E9</v>
      </c>
      <c r="P1272" s="1">
        <v>1.3991E9</v>
      </c>
      <c r="Q1272" s="1">
        <v>-1.5918E9</v>
      </c>
      <c r="R1272" s="1">
        <v>-1.3739E9</v>
      </c>
      <c r="S1272" s="1">
        <v>-1.3698E9</v>
      </c>
    </row>
    <row r="1273">
      <c r="A1273" s="1">
        <v>1271.0</v>
      </c>
      <c r="B1273" s="2">
        <v>44104.0</v>
      </c>
      <c r="C1273" s="1" t="s">
        <v>675</v>
      </c>
      <c r="D1273" s="1" t="s">
        <v>676</v>
      </c>
      <c r="F1273" s="1">
        <v>4.504E8</v>
      </c>
      <c r="G1273" s="1">
        <v>3.428E8</v>
      </c>
      <c r="H1273" s="1">
        <v>6.269E8</v>
      </c>
      <c r="I1273" s="1">
        <v>1.2025E9</v>
      </c>
      <c r="J1273" s="1">
        <v>5.756E8</v>
      </c>
      <c r="K1273" s="1">
        <v>5.756E8</v>
      </c>
      <c r="L1273" s="1">
        <v>-7.07E7</v>
      </c>
      <c r="M1273" s="1">
        <v>1.04E8</v>
      </c>
      <c r="N1273" s="1">
        <v>2.7535E9</v>
      </c>
      <c r="O1273" s="1">
        <v>2.1779E9</v>
      </c>
      <c r="P1273" s="1">
        <v>1.551E9</v>
      </c>
      <c r="Q1273" s="1">
        <v>-1.252E8</v>
      </c>
      <c r="R1273" s="1">
        <v>3.464E8</v>
      </c>
      <c r="S1273" s="1">
        <v>3.428E8</v>
      </c>
    </row>
    <row r="1274">
      <c r="A1274" s="1">
        <v>1272.0</v>
      </c>
      <c r="B1274" s="2">
        <v>44377.0</v>
      </c>
      <c r="C1274" s="1" t="s">
        <v>677</v>
      </c>
      <c r="D1274" s="1" t="s">
        <v>678</v>
      </c>
      <c r="F1274" s="1">
        <v>1.477E9</v>
      </c>
      <c r="G1274" s="1">
        <v>1.078E9</v>
      </c>
      <c r="H1274" s="1">
        <v>1.525E9</v>
      </c>
      <c r="I1274" s="1">
        <v>2.631E9</v>
      </c>
      <c r="J1274" s="1">
        <v>1.074E9</v>
      </c>
      <c r="K1274" s="1">
        <v>1.074E9</v>
      </c>
      <c r="L1274" s="1">
        <v>-8.7E7</v>
      </c>
      <c r="M1274" s="1">
        <v>3.98E8</v>
      </c>
      <c r="N1274" s="1">
        <v>6.642E9</v>
      </c>
      <c r="O1274" s="1">
        <v>5.568E9</v>
      </c>
      <c r="P1274" s="1">
        <v>4.011E9</v>
      </c>
      <c r="Q1274" s="1">
        <v>4.03E8</v>
      </c>
      <c r="R1274" s="1">
        <v>1.079E9</v>
      </c>
      <c r="S1274" s="1">
        <v>1.078E9</v>
      </c>
    </row>
    <row r="1275">
      <c r="A1275" s="1">
        <v>1273.0</v>
      </c>
      <c r="B1275" s="2">
        <v>44286.0</v>
      </c>
      <c r="C1275" s="1" t="s">
        <v>677</v>
      </c>
      <c r="D1275" s="1" t="s">
        <v>678</v>
      </c>
      <c r="F1275" s="1">
        <v>1.18E9</v>
      </c>
      <c r="G1275" s="1">
        <v>9.61E8</v>
      </c>
      <c r="H1275" s="1">
        <v>1.515E9</v>
      </c>
      <c r="I1275" s="1">
        <v>2.966E9</v>
      </c>
      <c r="J1275" s="1">
        <v>1.413E9</v>
      </c>
      <c r="K1275" s="1">
        <v>1.413E9</v>
      </c>
      <c r="L1275" s="1">
        <v>-9.5E7</v>
      </c>
      <c r="M1275" s="1">
        <v>2.12E8</v>
      </c>
      <c r="N1275" s="1">
        <v>7.238E9</v>
      </c>
      <c r="O1275" s="1">
        <v>5.825E9</v>
      </c>
      <c r="P1275" s="1">
        <v>4.272E9</v>
      </c>
      <c r="Q1275" s="1">
        <v>-2.33E8</v>
      </c>
      <c r="R1275" s="1">
        <v>9.68E8</v>
      </c>
      <c r="S1275" s="1">
        <v>9.61E8</v>
      </c>
    </row>
    <row r="1276">
      <c r="A1276" s="1">
        <v>1274.0</v>
      </c>
      <c r="B1276" s="2">
        <v>44196.0</v>
      </c>
      <c r="C1276" s="1" t="s">
        <v>677</v>
      </c>
      <c r="D1276" s="1" t="s">
        <v>678</v>
      </c>
      <c r="F1276" s="1">
        <v>1.503E9</v>
      </c>
      <c r="G1276" s="1">
        <v>1.156E9</v>
      </c>
      <c r="H1276" s="1">
        <v>1.599E9</v>
      </c>
      <c r="I1276" s="1">
        <v>2.872E9</v>
      </c>
      <c r="J1276" s="1">
        <v>1.222E9</v>
      </c>
      <c r="K1276" s="1">
        <v>1.222E9</v>
      </c>
      <c r="L1276" s="1">
        <v>-9.0E7</v>
      </c>
      <c r="M1276" s="1">
        <v>3.44E8</v>
      </c>
      <c r="N1276" s="1">
        <v>7.298E9</v>
      </c>
      <c r="O1276" s="1">
        <v>6.076E9</v>
      </c>
      <c r="P1276" s="1">
        <v>4.426E9</v>
      </c>
      <c r="Q1276" s="1">
        <v>2.81E8</v>
      </c>
      <c r="R1276" s="1">
        <v>1.159E9</v>
      </c>
      <c r="S1276" s="1">
        <v>1.156E9</v>
      </c>
    </row>
    <row r="1277">
      <c r="A1277" s="1">
        <v>1275.0</v>
      </c>
      <c r="B1277" s="2">
        <v>44104.0</v>
      </c>
      <c r="C1277" s="1" t="s">
        <v>677</v>
      </c>
      <c r="D1277" s="1" t="s">
        <v>678</v>
      </c>
      <c r="F1277" s="1">
        <v>1.513E9</v>
      </c>
      <c r="G1277" s="1">
        <v>1.119E9</v>
      </c>
      <c r="H1277" s="1">
        <v>1.446E9</v>
      </c>
      <c r="I1277" s="1">
        <v>2.792E9</v>
      </c>
      <c r="J1277" s="1">
        <v>1.296E9</v>
      </c>
      <c r="K1277" s="1">
        <v>1.296E9</v>
      </c>
      <c r="L1277" s="1">
        <v>-1.04E8</v>
      </c>
      <c r="M1277" s="1">
        <v>3.91E8</v>
      </c>
      <c r="N1277" s="1">
        <v>6.665E9</v>
      </c>
      <c r="O1277" s="1">
        <v>5.369E9</v>
      </c>
      <c r="P1277" s="1">
        <v>3.873E9</v>
      </c>
      <c r="Q1277" s="1">
        <v>2.17E8</v>
      </c>
      <c r="R1277" s="1">
        <v>1.122E9</v>
      </c>
      <c r="S1277" s="1">
        <v>1.119E9</v>
      </c>
    </row>
    <row r="1278">
      <c r="A1278" s="1">
        <v>1276.0</v>
      </c>
      <c r="B1278" s="2">
        <v>44377.0</v>
      </c>
      <c r="C1278" s="1" t="s">
        <v>679</v>
      </c>
      <c r="D1278" s="1" t="s">
        <v>680</v>
      </c>
      <c r="E1278" s="1">
        <v>4.4753E7</v>
      </c>
      <c r="F1278" s="1">
        <v>6.3659E7</v>
      </c>
      <c r="G1278" s="1">
        <v>5.5169E7</v>
      </c>
      <c r="H1278" s="1">
        <v>5.7238E7</v>
      </c>
      <c r="I1278" s="1">
        <v>1.64215E8</v>
      </c>
      <c r="J1278" s="1">
        <v>6.2224E7</v>
      </c>
      <c r="K1278" s="1">
        <v>6.2224E7</v>
      </c>
      <c r="M1278" s="1">
        <v>8490000.0</v>
      </c>
      <c r="N1278" s="1">
        <v>2.93317E8</v>
      </c>
      <c r="O1278" s="1">
        <v>2.31093E8</v>
      </c>
      <c r="P1278" s="1">
        <v>1.29102E8</v>
      </c>
      <c r="Q1278" s="1">
        <v>1435000.0</v>
      </c>
      <c r="R1278" s="1">
        <v>5.5169E7</v>
      </c>
      <c r="S1278" s="1">
        <v>5.5169E7</v>
      </c>
    </row>
    <row r="1279">
      <c r="A1279" s="1">
        <v>1277.0</v>
      </c>
      <c r="B1279" s="2">
        <v>44286.0</v>
      </c>
      <c r="C1279" s="1" t="s">
        <v>679</v>
      </c>
      <c r="D1279" s="1" t="s">
        <v>680</v>
      </c>
      <c r="E1279" s="1">
        <v>4.1892E7</v>
      </c>
      <c r="F1279" s="1">
        <v>4.8673E7</v>
      </c>
      <c r="G1279" s="1">
        <v>4.5413E7</v>
      </c>
      <c r="H1279" s="1">
        <v>5.1453E7</v>
      </c>
      <c r="I1279" s="1">
        <v>1.41059E8</v>
      </c>
      <c r="J1279" s="1">
        <v>4.7714E7</v>
      </c>
      <c r="K1279" s="1">
        <v>4.7714E7</v>
      </c>
      <c r="M1279" s="1">
        <v>3260000.0</v>
      </c>
      <c r="N1279" s="1">
        <v>2.54455E8</v>
      </c>
      <c r="O1279" s="1">
        <v>2.06741E8</v>
      </c>
      <c r="P1279" s="1">
        <v>1.13396E8</v>
      </c>
      <c r="Q1279" s="1">
        <v>959000.0</v>
      </c>
      <c r="R1279" s="1">
        <v>4.5413E7</v>
      </c>
      <c r="S1279" s="1">
        <v>4.5413E7</v>
      </c>
    </row>
    <row r="1280">
      <c r="A1280" s="1">
        <v>1278.0</v>
      </c>
      <c r="B1280" s="2">
        <v>44196.0</v>
      </c>
      <c r="C1280" s="1" t="s">
        <v>679</v>
      </c>
      <c r="D1280" s="1" t="s">
        <v>680</v>
      </c>
      <c r="E1280" s="1">
        <v>4.2252E7</v>
      </c>
      <c r="F1280" s="1">
        <v>4.4442E7</v>
      </c>
      <c r="G1280" s="1">
        <v>4.2887E7</v>
      </c>
      <c r="H1280" s="1">
        <v>4.512E7</v>
      </c>
      <c r="I1280" s="1">
        <v>1.28874E8</v>
      </c>
      <c r="J1280" s="1">
        <v>4.1502E7</v>
      </c>
      <c r="K1280" s="1">
        <v>4.1502E7</v>
      </c>
      <c r="M1280" s="1">
        <v>1555000.0</v>
      </c>
      <c r="N1280" s="1">
        <v>2.33043E8</v>
      </c>
      <c r="O1280" s="1">
        <v>1.91541E8</v>
      </c>
      <c r="P1280" s="1">
        <v>1.04169E8</v>
      </c>
      <c r="Q1280" s="1">
        <v>2940000.0</v>
      </c>
      <c r="R1280" s="1">
        <v>4.2887E7</v>
      </c>
      <c r="S1280" s="1">
        <v>4.2887E7</v>
      </c>
    </row>
    <row r="1281">
      <c r="A1281" s="1">
        <v>1279.0</v>
      </c>
      <c r="B1281" s="2">
        <v>44104.0</v>
      </c>
      <c r="C1281" s="1" t="s">
        <v>679</v>
      </c>
      <c r="D1281" s="1" t="s">
        <v>680</v>
      </c>
      <c r="E1281" s="1">
        <v>3.7717E7</v>
      </c>
      <c r="F1281" s="1">
        <v>6.2473E7</v>
      </c>
      <c r="G1281" s="1">
        <v>5.5566E7</v>
      </c>
      <c r="H1281" s="1">
        <v>4.3503E7</v>
      </c>
      <c r="I1281" s="1">
        <v>1.4304E8</v>
      </c>
      <c r="J1281" s="1">
        <v>6.182E7</v>
      </c>
      <c r="K1281" s="1">
        <v>6.182E7</v>
      </c>
      <c r="M1281" s="1">
        <v>6907000.0</v>
      </c>
      <c r="N1281" s="1">
        <v>2.59422E8</v>
      </c>
      <c r="O1281" s="1">
        <v>1.97602E8</v>
      </c>
      <c r="P1281" s="1">
        <v>1.16382E8</v>
      </c>
      <c r="Q1281" s="1">
        <v>653000.0</v>
      </c>
      <c r="R1281" s="1">
        <v>5.5566E7</v>
      </c>
      <c r="S1281" s="1">
        <v>5.5566E7</v>
      </c>
    </row>
    <row r="1282">
      <c r="A1282" s="1">
        <v>1280.0</v>
      </c>
      <c r="B1282" s="2">
        <v>44377.0</v>
      </c>
      <c r="C1282" s="1" t="s">
        <v>681</v>
      </c>
      <c r="D1282" s="1" t="s">
        <v>682</v>
      </c>
      <c r="F1282" s="1">
        <v>5.26847E8</v>
      </c>
      <c r="G1282" s="1">
        <v>4.03762E8</v>
      </c>
      <c r="H1282" s="1">
        <v>3.10741E8</v>
      </c>
      <c r="I1282" s="1">
        <v>8.36838E8</v>
      </c>
      <c r="J1282" s="1">
        <v>5.25975E8</v>
      </c>
      <c r="K1282" s="1">
        <v>5.25975E8</v>
      </c>
      <c r="L1282" s="1">
        <v>-5000.0</v>
      </c>
      <c r="M1282" s="1">
        <v>1.23085E8</v>
      </c>
      <c r="N1282" s="1">
        <v>1.461934E9</v>
      </c>
      <c r="O1282" s="1">
        <v>9.35959E8</v>
      </c>
      <c r="P1282" s="1">
        <v>6.25096E8</v>
      </c>
      <c r="Q1282" s="1">
        <v>872000.0</v>
      </c>
      <c r="R1282" s="1">
        <v>4.03762E8</v>
      </c>
      <c r="S1282" s="1">
        <v>4.03762E8</v>
      </c>
    </row>
    <row r="1283">
      <c r="A1283" s="1">
        <v>1281.0</v>
      </c>
      <c r="B1283" s="2">
        <v>44286.0</v>
      </c>
      <c r="C1283" s="1" t="s">
        <v>681</v>
      </c>
      <c r="D1283" s="1" t="s">
        <v>682</v>
      </c>
      <c r="F1283" s="1">
        <v>4.13387E8</v>
      </c>
      <c r="G1283" s="1">
        <v>3.15194E8</v>
      </c>
      <c r="H1283" s="1">
        <v>3.00655E8</v>
      </c>
      <c r="I1283" s="1">
        <v>7.14935E8</v>
      </c>
      <c r="J1283" s="1">
        <v>4.14146E8</v>
      </c>
      <c r="K1283" s="1">
        <v>4.14146E8</v>
      </c>
      <c r="L1283" s="1">
        <v>-4000.0</v>
      </c>
      <c r="M1283" s="1">
        <v>9.8193E7</v>
      </c>
      <c r="N1283" s="1">
        <v>1.243816E9</v>
      </c>
      <c r="O1283" s="1">
        <v>8.2967E8</v>
      </c>
      <c r="P1283" s="1">
        <v>5.28881E8</v>
      </c>
      <c r="Q1283" s="1">
        <v>-759000.0</v>
      </c>
      <c r="R1283" s="1">
        <v>3.15194E8</v>
      </c>
      <c r="S1283" s="1">
        <v>3.15194E8</v>
      </c>
    </row>
    <row r="1284">
      <c r="A1284" s="1">
        <v>1282.0</v>
      </c>
      <c r="B1284" s="2">
        <v>44196.0</v>
      </c>
      <c r="C1284" s="1" t="s">
        <v>681</v>
      </c>
      <c r="D1284" s="1" t="s">
        <v>682</v>
      </c>
      <c r="F1284" s="1">
        <v>4.00796E8</v>
      </c>
      <c r="G1284" s="1">
        <v>4.71736E8</v>
      </c>
      <c r="H1284" s="1">
        <v>3.82595E8</v>
      </c>
      <c r="I1284" s="1">
        <v>6.90685E8</v>
      </c>
      <c r="J1284" s="1">
        <v>4.02301E8</v>
      </c>
      <c r="K1284" s="1">
        <v>4.02301E8</v>
      </c>
      <c r="L1284" s="1">
        <v>-4000.0</v>
      </c>
      <c r="M1284" s="1">
        <v>-7.094E7</v>
      </c>
      <c r="N1284" s="1">
        <v>1.196283E9</v>
      </c>
      <c r="O1284" s="1">
        <v>7.93982E8</v>
      </c>
      <c r="P1284" s="1">
        <v>5.05598E8</v>
      </c>
      <c r="Q1284" s="1">
        <v>-1505000.0</v>
      </c>
      <c r="R1284" s="1">
        <v>4.71736E8</v>
      </c>
      <c r="S1284" s="1">
        <v>4.71736E8</v>
      </c>
    </row>
    <row r="1285">
      <c r="A1285" s="1">
        <v>1283.0</v>
      </c>
      <c r="B1285" s="2">
        <v>44104.0</v>
      </c>
      <c r="C1285" s="1" t="s">
        <v>681</v>
      </c>
      <c r="D1285" s="1" t="s">
        <v>682</v>
      </c>
      <c r="F1285" s="1">
        <v>4.54033E8</v>
      </c>
      <c r="G1285" s="1">
        <v>3.47654E8</v>
      </c>
      <c r="H1285" s="1">
        <v>2.77753E8</v>
      </c>
      <c r="I1285" s="1">
        <v>7.36531E8</v>
      </c>
      <c r="J1285" s="1">
        <v>4.58601E8</v>
      </c>
      <c r="K1285" s="1">
        <v>4.58601E8</v>
      </c>
      <c r="L1285" s="1">
        <v>-1268000.0</v>
      </c>
      <c r="M1285" s="1">
        <v>1.06379E8</v>
      </c>
      <c r="N1285" s="1">
        <v>1.246362E9</v>
      </c>
      <c r="O1285" s="1">
        <v>7.87761E8</v>
      </c>
      <c r="P1285" s="1">
        <v>5.09831E8</v>
      </c>
      <c r="Q1285" s="1">
        <v>-4568000.0</v>
      </c>
      <c r="R1285" s="1">
        <v>3.47654E8</v>
      </c>
      <c r="S1285" s="1">
        <v>3.47654E8</v>
      </c>
    </row>
    <row r="1286">
      <c r="A1286" s="1">
        <v>1284.0</v>
      </c>
      <c r="B1286" s="2">
        <v>44377.0</v>
      </c>
      <c r="C1286" s="1" t="s">
        <v>683</v>
      </c>
      <c r="D1286" s="1" t="s">
        <v>684</v>
      </c>
      <c r="F1286" s="1">
        <v>7.58E8</v>
      </c>
      <c r="G1286" s="1">
        <v>5.77E8</v>
      </c>
      <c r="H1286" s="1">
        <v>3.21E8</v>
      </c>
      <c r="I1286" s="1">
        <v>1.188E9</v>
      </c>
      <c r="J1286" s="1">
        <v>8.07E8</v>
      </c>
      <c r="K1286" s="1">
        <v>8.07E8</v>
      </c>
      <c r="L1286" s="1">
        <v>-4.6E7</v>
      </c>
      <c r="M1286" s="1">
        <v>1.81E8</v>
      </c>
      <c r="N1286" s="1">
        <v>1.553E9</v>
      </c>
      <c r="O1286" s="1">
        <v>7.46E8</v>
      </c>
      <c r="P1286" s="1">
        <v>3.65E8</v>
      </c>
      <c r="Q1286" s="1">
        <v>-4.9E7</v>
      </c>
      <c r="R1286" s="1">
        <v>5.77E8</v>
      </c>
      <c r="S1286" s="1">
        <v>5.77E8</v>
      </c>
    </row>
    <row r="1287">
      <c r="A1287" s="1">
        <v>1285.0</v>
      </c>
      <c r="B1287" s="2">
        <v>44286.0</v>
      </c>
      <c r="C1287" s="1" t="s">
        <v>683</v>
      </c>
      <c r="D1287" s="1" t="s">
        <v>684</v>
      </c>
      <c r="F1287" s="1">
        <v>8.62E8</v>
      </c>
      <c r="G1287" s="1">
        <v>7.36E8</v>
      </c>
      <c r="H1287" s="1">
        <v>2.93E8</v>
      </c>
      <c r="I1287" s="1">
        <v>1.207E9</v>
      </c>
      <c r="J1287" s="1">
        <v>8.55E8</v>
      </c>
      <c r="K1287" s="1">
        <v>8.55E8</v>
      </c>
      <c r="L1287" s="1">
        <v>-4.6E7</v>
      </c>
      <c r="M1287" s="1">
        <v>1.26E8</v>
      </c>
      <c r="N1287" s="1">
        <v>1.6E9</v>
      </c>
      <c r="O1287" s="1">
        <v>7.45E8</v>
      </c>
      <c r="P1287" s="1">
        <v>3.93E8</v>
      </c>
      <c r="Q1287" s="1">
        <v>7000000.0</v>
      </c>
      <c r="R1287" s="1">
        <v>7.36E8</v>
      </c>
      <c r="S1287" s="1">
        <v>7.36E8</v>
      </c>
    </row>
    <row r="1288">
      <c r="A1288" s="1">
        <v>1286.0</v>
      </c>
      <c r="B1288" s="2">
        <v>44196.0</v>
      </c>
      <c r="C1288" s="1" t="s">
        <v>683</v>
      </c>
      <c r="D1288" s="1" t="s">
        <v>684</v>
      </c>
      <c r="F1288" s="1">
        <v>4.0E8</v>
      </c>
      <c r="G1288" s="1">
        <v>3.14E8</v>
      </c>
      <c r="H1288" s="1">
        <v>3.34E8</v>
      </c>
      <c r="I1288" s="1">
        <v>8.81E8</v>
      </c>
      <c r="J1288" s="1">
        <v>4.9E8</v>
      </c>
      <c r="K1288" s="1">
        <v>4.9E8</v>
      </c>
      <c r="L1288" s="1">
        <v>-1.5E7</v>
      </c>
      <c r="M1288" s="1">
        <v>8.6E7</v>
      </c>
      <c r="N1288" s="1">
        <v>1.29E9</v>
      </c>
      <c r="O1288" s="1">
        <v>8.0E8</v>
      </c>
      <c r="P1288" s="1">
        <v>4.09E8</v>
      </c>
      <c r="Q1288" s="1">
        <v>-9.0E7</v>
      </c>
      <c r="R1288" s="1">
        <v>3.14E8</v>
      </c>
      <c r="S1288" s="1">
        <v>3.14E8</v>
      </c>
    </row>
    <row r="1289">
      <c r="A1289" s="1">
        <v>1287.0</v>
      </c>
      <c r="B1289" s="2">
        <v>44104.0</v>
      </c>
      <c r="C1289" s="1" t="s">
        <v>683</v>
      </c>
      <c r="D1289" s="1" t="s">
        <v>684</v>
      </c>
      <c r="F1289" s="1">
        <v>5.99E8</v>
      </c>
      <c r="G1289" s="1">
        <v>4.67E8</v>
      </c>
      <c r="H1289" s="1">
        <v>2.72E8</v>
      </c>
      <c r="I1289" s="1">
        <v>9.92E8</v>
      </c>
      <c r="J1289" s="1">
        <v>6.64E8</v>
      </c>
      <c r="K1289" s="1">
        <v>6.64E8</v>
      </c>
      <c r="L1289" s="1">
        <v>-5.1E7</v>
      </c>
      <c r="M1289" s="1">
        <v>1.32E8</v>
      </c>
      <c r="N1289" s="1">
        <v>1.356E9</v>
      </c>
      <c r="O1289" s="1">
        <v>6.92E8</v>
      </c>
      <c r="P1289" s="1">
        <v>3.64E8</v>
      </c>
      <c r="Q1289" s="1">
        <v>-6.5E7</v>
      </c>
      <c r="R1289" s="1">
        <v>4.67E8</v>
      </c>
      <c r="S1289" s="1">
        <v>4.67E8</v>
      </c>
    </row>
    <row r="1290">
      <c r="A1290" s="1">
        <v>1288.0</v>
      </c>
      <c r="B1290" s="2">
        <v>44469.0</v>
      </c>
      <c r="C1290" s="1" t="s">
        <v>685</v>
      </c>
      <c r="D1290" s="1" t="s">
        <v>686</v>
      </c>
      <c r="F1290" s="1">
        <v>4.874E9</v>
      </c>
      <c r="G1290" s="1">
        <v>3.707E9</v>
      </c>
      <c r="H1290" s="1">
        <v>7.208E9</v>
      </c>
      <c r="I1290" s="1">
        <v>1.314E10</v>
      </c>
      <c r="J1290" s="1">
        <v>0.0</v>
      </c>
      <c r="K1290" s="1">
        <v>5.908E9</v>
      </c>
      <c r="M1290" s="1">
        <v>1.15E9</v>
      </c>
      <c r="N1290" s="1">
        <v>1.4753E10</v>
      </c>
      <c r="O1290" s="1">
        <v>8.845E9</v>
      </c>
      <c r="P1290" s="1">
        <v>1.613E9</v>
      </c>
      <c r="Q1290" s="1">
        <v>-1.034E9</v>
      </c>
      <c r="R1290" s="1">
        <v>3.724E9</v>
      </c>
      <c r="S1290" s="1">
        <v>3.584E9</v>
      </c>
    </row>
    <row r="1291">
      <c r="A1291" s="1">
        <v>1289.0</v>
      </c>
      <c r="B1291" s="2">
        <v>44377.0</v>
      </c>
      <c r="C1291" s="1" t="s">
        <v>685</v>
      </c>
      <c r="D1291" s="1" t="s">
        <v>686</v>
      </c>
      <c r="F1291" s="1">
        <v>4.566E9</v>
      </c>
      <c r="G1291" s="1">
        <v>3.511E9</v>
      </c>
      <c r="H1291" s="1">
        <v>7.704E9</v>
      </c>
      <c r="I1291" s="1">
        <v>1.3199E10</v>
      </c>
      <c r="J1291" s="1">
        <v>0.0</v>
      </c>
      <c r="K1291" s="1">
        <v>5.422E9</v>
      </c>
      <c r="M1291" s="1">
        <v>1.054E9</v>
      </c>
      <c r="N1291" s="1">
        <v>1.4759E10</v>
      </c>
      <c r="O1291" s="1">
        <v>9.337E9</v>
      </c>
      <c r="P1291" s="1">
        <v>1.56E9</v>
      </c>
      <c r="Q1291" s="1">
        <v>-8.56E8</v>
      </c>
      <c r="R1291" s="1">
        <v>3.512E9</v>
      </c>
      <c r="S1291" s="1">
        <v>3.408E9</v>
      </c>
    </row>
    <row r="1292">
      <c r="A1292" s="1">
        <v>1290.0</v>
      </c>
      <c r="B1292" s="2">
        <v>44286.0</v>
      </c>
      <c r="C1292" s="1" t="s">
        <v>685</v>
      </c>
      <c r="D1292" s="1" t="s">
        <v>686</v>
      </c>
      <c r="F1292" s="1">
        <v>5.344E9</v>
      </c>
      <c r="G1292" s="1">
        <v>4.12E9</v>
      </c>
      <c r="H1292" s="1">
        <v>7.94E9</v>
      </c>
      <c r="I1292" s="1">
        <v>1.4076E10</v>
      </c>
      <c r="J1292" s="1">
        <v>0.0</v>
      </c>
      <c r="K1292" s="1">
        <v>6.234E9</v>
      </c>
      <c r="M1292" s="1">
        <v>1.176E9</v>
      </c>
      <c r="N1292" s="1">
        <v>1.5719E10</v>
      </c>
      <c r="O1292" s="1">
        <v>9.485E9</v>
      </c>
      <c r="P1292" s="1">
        <v>1.643E9</v>
      </c>
      <c r="Q1292" s="1">
        <v>-8.9E8</v>
      </c>
      <c r="R1292" s="1">
        <v>4.168E9</v>
      </c>
      <c r="S1292" s="1">
        <v>3.982E9</v>
      </c>
    </row>
    <row r="1293">
      <c r="A1293" s="1">
        <v>1291.0</v>
      </c>
      <c r="B1293" s="2">
        <v>44196.0</v>
      </c>
      <c r="C1293" s="1" t="s">
        <v>685</v>
      </c>
      <c r="D1293" s="1" t="s">
        <v>686</v>
      </c>
      <c r="F1293" s="1">
        <v>4.43E9</v>
      </c>
      <c r="G1293" s="1">
        <v>3.385E9</v>
      </c>
      <c r="H1293" s="1">
        <v>6.595E9</v>
      </c>
      <c r="I1293" s="1">
        <v>1.2167E10</v>
      </c>
      <c r="J1293" s="1">
        <v>0.0</v>
      </c>
      <c r="K1293" s="1">
        <v>5.572E9</v>
      </c>
      <c r="M1293" s="1">
        <v>1.018E9</v>
      </c>
      <c r="N1293" s="1">
        <v>1.364E10</v>
      </c>
      <c r="O1293" s="1">
        <v>8.068E9</v>
      </c>
      <c r="P1293" s="1">
        <v>1.473E9</v>
      </c>
      <c r="Q1293" s="1">
        <v>-1.142E9</v>
      </c>
      <c r="R1293" s="1">
        <v>3.412E9</v>
      </c>
      <c r="S1293" s="1">
        <v>3.266E9</v>
      </c>
    </row>
    <row r="1294">
      <c r="A1294" s="1">
        <v>1292.0</v>
      </c>
      <c r="B1294" s="2">
        <v>44380.0</v>
      </c>
      <c r="C1294" s="1" t="s">
        <v>687</v>
      </c>
      <c r="D1294" s="1" t="s">
        <v>688</v>
      </c>
      <c r="E1294" s="1">
        <v>1.81E8</v>
      </c>
      <c r="F1294" s="1">
        <v>3.4E8</v>
      </c>
      <c r="G1294" s="1">
        <v>2.93E8</v>
      </c>
      <c r="H1294" s="1">
        <v>3.0E8</v>
      </c>
      <c r="I1294" s="1">
        <v>9.55E8</v>
      </c>
      <c r="J1294" s="1">
        <v>4.74E8</v>
      </c>
      <c r="K1294" s="1">
        <v>4.74E8</v>
      </c>
      <c r="L1294" s="1">
        <v>-4.6E7</v>
      </c>
      <c r="M1294" s="1">
        <v>4.6E7</v>
      </c>
      <c r="N1294" s="1">
        <v>1.971E9</v>
      </c>
      <c r="O1294" s="1">
        <v>1.497E9</v>
      </c>
      <c r="P1294" s="1">
        <v>1.016E9</v>
      </c>
      <c r="Q1294" s="1">
        <v>-1.34E8</v>
      </c>
      <c r="R1294" s="1">
        <v>2.94E8</v>
      </c>
      <c r="S1294" s="1">
        <v>2.93E8</v>
      </c>
    </row>
    <row r="1295">
      <c r="A1295" s="1">
        <v>1293.0</v>
      </c>
      <c r="B1295" s="2">
        <v>44289.0</v>
      </c>
      <c r="C1295" s="1" t="s">
        <v>687</v>
      </c>
      <c r="D1295" s="1" t="s">
        <v>688</v>
      </c>
      <c r="E1295" s="1">
        <v>1.8E8</v>
      </c>
      <c r="F1295" s="1">
        <v>2.89E8</v>
      </c>
      <c r="G1295" s="1">
        <v>2.44E8</v>
      </c>
      <c r="H1295" s="1">
        <v>2.73E8</v>
      </c>
      <c r="I1295" s="1">
        <v>8.62E8</v>
      </c>
      <c r="J1295" s="1">
        <v>3.51E8</v>
      </c>
      <c r="K1295" s="1">
        <v>3.51E8</v>
      </c>
      <c r="L1295" s="1">
        <v>-5.6E7</v>
      </c>
      <c r="M1295" s="1">
        <v>4.4E7</v>
      </c>
      <c r="N1295" s="1">
        <v>1.773E9</v>
      </c>
      <c r="O1295" s="1">
        <v>1.422E9</v>
      </c>
      <c r="P1295" s="1">
        <v>9.11E8</v>
      </c>
      <c r="Q1295" s="1">
        <v>-6.2E7</v>
      </c>
      <c r="R1295" s="1">
        <v>2.45E8</v>
      </c>
      <c r="S1295" s="1">
        <v>2.44E8</v>
      </c>
    </row>
    <row r="1296">
      <c r="A1296" s="1">
        <v>1294.0</v>
      </c>
      <c r="B1296" s="2">
        <v>44196.0</v>
      </c>
      <c r="C1296" s="1" t="s">
        <v>687</v>
      </c>
      <c r="D1296" s="1" t="s">
        <v>688</v>
      </c>
      <c r="E1296" s="1">
        <v>1.81E8</v>
      </c>
      <c r="F1296" s="1">
        <v>5.22E8</v>
      </c>
      <c r="G1296" s="1">
        <v>4.12E8</v>
      </c>
      <c r="H1296" s="1">
        <v>3.21E8</v>
      </c>
      <c r="I1296" s="1">
        <v>1.151E9</v>
      </c>
      <c r="J1296" s="1">
        <v>5.92E8</v>
      </c>
      <c r="K1296" s="1">
        <v>5.92E8</v>
      </c>
      <c r="L1296" s="1">
        <v>-5.8E7</v>
      </c>
      <c r="M1296" s="1">
        <v>1.09E8</v>
      </c>
      <c r="N1296" s="1">
        <v>2.273E9</v>
      </c>
      <c r="O1296" s="1">
        <v>1.681E9</v>
      </c>
      <c r="P1296" s="1">
        <v>1.122E9</v>
      </c>
      <c r="Q1296" s="1">
        <v>-7.0E7</v>
      </c>
      <c r="R1296" s="1">
        <v>4.13E8</v>
      </c>
      <c r="S1296" s="1">
        <v>4.12E8</v>
      </c>
    </row>
    <row r="1297">
      <c r="A1297" s="1">
        <v>1295.0</v>
      </c>
      <c r="B1297" s="2">
        <v>44100.0</v>
      </c>
      <c r="C1297" s="1" t="s">
        <v>687</v>
      </c>
      <c r="D1297" s="1" t="s">
        <v>688</v>
      </c>
      <c r="E1297" s="1">
        <v>1.75E8</v>
      </c>
      <c r="F1297" s="1">
        <v>2.51E8</v>
      </c>
      <c r="G1297" s="1">
        <v>2.05E8</v>
      </c>
      <c r="H1297" s="1">
        <v>2.93E8</v>
      </c>
      <c r="I1297" s="1">
        <v>9.12E8</v>
      </c>
      <c r="J1297" s="1">
        <v>3.9E8</v>
      </c>
      <c r="K1297" s="1">
        <v>3.9E8</v>
      </c>
      <c r="L1297" s="1">
        <v>-6.0E7</v>
      </c>
      <c r="M1297" s="1">
        <v>4.5E7</v>
      </c>
      <c r="N1297" s="1">
        <v>1.868E9</v>
      </c>
      <c r="O1297" s="1">
        <v>1.478E9</v>
      </c>
      <c r="P1297" s="1">
        <v>9.56E8</v>
      </c>
      <c r="Q1297" s="1">
        <v>-1.39E8</v>
      </c>
      <c r="R1297" s="1">
        <v>2.06E8</v>
      </c>
      <c r="S1297" s="1">
        <v>2.05E8</v>
      </c>
    </row>
    <row r="1298">
      <c r="A1298" s="1">
        <v>1296.0</v>
      </c>
      <c r="B1298" s="2">
        <v>44377.0</v>
      </c>
      <c r="C1298" s="1" t="s">
        <v>689</v>
      </c>
      <c r="D1298" s="1" t="s">
        <v>689</v>
      </c>
      <c r="E1298" s="1">
        <v>2.7531E7</v>
      </c>
      <c r="F1298" s="1">
        <v>1.95695E8</v>
      </c>
      <c r="G1298" s="1">
        <v>1.65423E8</v>
      </c>
      <c r="H1298" s="1">
        <v>8.8373E7</v>
      </c>
      <c r="I1298" s="1">
        <v>4.10853E8</v>
      </c>
      <c r="J1298" s="1">
        <v>2.73546E8</v>
      </c>
      <c r="K1298" s="1">
        <v>2.73546E8</v>
      </c>
      <c r="L1298" s="1">
        <v>-3.9557E7</v>
      </c>
      <c r="M1298" s="1">
        <v>3.0272E7</v>
      </c>
      <c r="N1298" s="1">
        <v>4.9818E8</v>
      </c>
      <c r="O1298" s="1">
        <v>2.24634E8</v>
      </c>
      <c r="P1298" s="1">
        <v>8.7327E7</v>
      </c>
      <c r="Q1298" s="1">
        <v>-7.7851E7</v>
      </c>
      <c r="R1298" s="1">
        <v>1.65423E8</v>
      </c>
      <c r="S1298" s="1">
        <v>1.65423E8</v>
      </c>
    </row>
    <row r="1299">
      <c r="A1299" s="1">
        <v>1297.0</v>
      </c>
      <c r="B1299" s="2">
        <v>44286.0</v>
      </c>
      <c r="C1299" s="1" t="s">
        <v>689</v>
      </c>
      <c r="D1299" s="1" t="s">
        <v>689</v>
      </c>
      <c r="E1299" s="1">
        <v>2.4862E7</v>
      </c>
      <c r="F1299" s="1">
        <v>2.16028E8</v>
      </c>
      <c r="G1299" s="1">
        <v>1.96819E8</v>
      </c>
      <c r="H1299" s="1">
        <v>9.1195E7</v>
      </c>
      <c r="I1299" s="1">
        <v>3.92643E8</v>
      </c>
      <c r="J1299" s="1">
        <v>2.54375E8</v>
      </c>
      <c r="K1299" s="1">
        <v>2.54375E8</v>
      </c>
      <c r="L1299" s="1">
        <v>-3.7584E7</v>
      </c>
      <c r="M1299" s="1">
        <v>1.9209E7</v>
      </c>
      <c r="N1299" s="1">
        <v>4.78423E8</v>
      </c>
      <c r="O1299" s="1">
        <v>2.24048E8</v>
      </c>
      <c r="P1299" s="1">
        <v>8.578E7</v>
      </c>
      <c r="Q1299" s="1">
        <v>-3.8347E7</v>
      </c>
      <c r="R1299" s="1">
        <v>1.96819E8</v>
      </c>
      <c r="S1299" s="1">
        <v>1.96819E8</v>
      </c>
    </row>
    <row r="1300">
      <c r="A1300" s="1">
        <v>1298.0</v>
      </c>
      <c r="B1300" s="2">
        <v>44196.0</v>
      </c>
      <c r="C1300" s="1" t="s">
        <v>689</v>
      </c>
      <c r="D1300" s="1" t="s">
        <v>689</v>
      </c>
      <c r="E1300" s="1">
        <v>2.7056E7</v>
      </c>
      <c r="F1300" s="1">
        <v>1.95166E8</v>
      </c>
      <c r="G1300" s="1">
        <v>1.56216E8</v>
      </c>
      <c r="H1300" s="1">
        <v>8.5569E7</v>
      </c>
      <c r="I1300" s="1">
        <v>3.67726E8</v>
      </c>
      <c r="J1300" s="1">
        <v>2.32671E8</v>
      </c>
      <c r="K1300" s="1">
        <v>2.32671E8</v>
      </c>
      <c r="L1300" s="1">
        <v>-3.733E7</v>
      </c>
      <c r="M1300" s="1">
        <v>3.895E7</v>
      </c>
      <c r="N1300" s="1">
        <v>4.43661E8</v>
      </c>
      <c r="O1300" s="1">
        <v>2.1099E8</v>
      </c>
      <c r="P1300" s="1">
        <v>7.5935E7</v>
      </c>
      <c r="Q1300" s="1">
        <v>-3.7505E7</v>
      </c>
      <c r="R1300" s="1">
        <v>1.56216E8</v>
      </c>
      <c r="S1300" s="1">
        <v>1.56216E8</v>
      </c>
    </row>
    <row r="1301">
      <c r="A1301" s="1">
        <v>1299.0</v>
      </c>
      <c r="B1301" s="2">
        <v>44104.0</v>
      </c>
      <c r="C1301" s="1" t="s">
        <v>689</v>
      </c>
      <c r="D1301" s="1" t="s">
        <v>689</v>
      </c>
      <c r="E1301" s="1">
        <v>2.4901E7</v>
      </c>
      <c r="F1301" s="1">
        <v>1.89043E8</v>
      </c>
      <c r="G1301" s="1">
        <v>1.82358E8</v>
      </c>
      <c r="H1301" s="1">
        <v>8.0281E7</v>
      </c>
      <c r="I1301" s="1">
        <v>3.54629E8</v>
      </c>
      <c r="J1301" s="1">
        <v>2.2762E8</v>
      </c>
      <c r="K1301" s="1">
        <v>2.2762E8</v>
      </c>
      <c r="L1301" s="1">
        <v>-3.7536E7</v>
      </c>
      <c r="M1301" s="1">
        <v>6685000.0</v>
      </c>
      <c r="N1301" s="1">
        <v>4.25333E8</v>
      </c>
      <c r="O1301" s="1">
        <v>1.97713E8</v>
      </c>
      <c r="P1301" s="1">
        <v>7.0704E7</v>
      </c>
      <c r="Q1301" s="1">
        <v>-3.8577E7</v>
      </c>
      <c r="R1301" s="1">
        <v>1.82358E8</v>
      </c>
      <c r="S1301" s="1">
        <v>1.82358E8</v>
      </c>
    </row>
    <row r="1302">
      <c r="A1302" s="1">
        <v>1300.0</v>
      </c>
      <c r="B1302" s="2">
        <v>44377.0</v>
      </c>
      <c r="C1302" s="1" t="s">
        <v>690</v>
      </c>
      <c r="D1302" s="1" t="s">
        <v>691</v>
      </c>
      <c r="F1302" s="1">
        <v>4.54E8</v>
      </c>
      <c r="G1302" s="1">
        <v>3.41E8</v>
      </c>
      <c r="H1302" s="1">
        <v>3.62E8</v>
      </c>
      <c r="I1302" s="1">
        <v>8.46E8</v>
      </c>
      <c r="J1302" s="1">
        <v>4.16E8</v>
      </c>
      <c r="K1302" s="1">
        <v>4.16E8</v>
      </c>
      <c r="L1302" s="1">
        <v>-3.3E7</v>
      </c>
      <c r="M1302" s="1">
        <v>1.13E8</v>
      </c>
      <c r="N1302" s="1">
        <v>1.412E9</v>
      </c>
      <c r="O1302" s="1">
        <v>9.96E8</v>
      </c>
      <c r="P1302" s="1">
        <v>5.66E8</v>
      </c>
      <c r="Q1302" s="1">
        <v>3.8E7</v>
      </c>
      <c r="R1302" s="1">
        <v>3.41E8</v>
      </c>
      <c r="S1302" s="1">
        <v>3.41E8</v>
      </c>
    </row>
    <row r="1303">
      <c r="A1303" s="1">
        <v>1301.0</v>
      </c>
      <c r="B1303" s="2">
        <v>44286.0</v>
      </c>
      <c r="C1303" s="1" t="s">
        <v>690</v>
      </c>
      <c r="D1303" s="1" t="s">
        <v>691</v>
      </c>
      <c r="F1303" s="1">
        <v>3.95E8</v>
      </c>
      <c r="G1303" s="1">
        <v>2.98E8</v>
      </c>
      <c r="H1303" s="1">
        <v>3.61E8</v>
      </c>
      <c r="I1303" s="1">
        <v>8.51E8</v>
      </c>
      <c r="J1303" s="1">
        <v>4.27E8</v>
      </c>
      <c r="K1303" s="1">
        <v>4.27E8</v>
      </c>
      <c r="L1303" s="1">
        <v>-2.9E7</v>
      </c>
      <c r="M1303" s="1">
        <v>9.7E7</v>
      </c>
      <c r="N1303" s="1">
        <v>1.652E9</v>
      </c>
      <c r="O1303" s="1">
        <v>1.225E9</v>
      </c>
      <c r="P1303" s="1">
        <v>8.01E8</v>
      </c>
      <c r="Q1303" s="1">
        <v>-3.2E7</v>
      </c>
      <c r="R1303" s="1">
        <v>2.98E8</v>
      </c>
      <c r="S1303" s="1">
        <v>2.98E8</v>
      </c>
    </row>
    <row r="1304">
      <c r="A1304" s="1">
        <v>1302.0</v>
      </c>
      <c r="B1304" s="2">
        <v>44196.0</v>
      </c>
      <c r="C1304" s="1" t="s">
        <v>690</v>
      </c>
      <c r="D1304" s="1" t="s">
        <v>691</v>
      </c>
      <c r="F1304" s="1">
        <v>2.67E8</v>
      </c>
      <c r="G1304" s="1">
        <v>2.25E8</v>
      </c>
      <c r="H1304" s="1">
        <v>3.76E8</v>
      </c>
      <c r="I1304" s="1">
        <v>7.88E8</v>
      </c>
      <c r="J1304" s="1">
        <v>3.59E8</v>
      </c>
      <c r="K1304" s="1">
        <v>3.59E8</v>
      </c>
      <c r="L1304" s="1">
        <v>-2.4E7</v>
      </c>
      <c r="M1304" s="1">
        <v>4.2E7</v>
      </c>
      <c r="N1304" s="1">
        <v>1.462E9</v>
      </c>
      <c r="O1304" s="1">
        <v>1.103E9</v>
      </c>
      <c r="P1304" s="1">
        <v>6.74E8</v>
      </c>
      <c r="Q1304" s="1">
        <v>-9.2E7</v>
      </c>
      <c r="R1304" s="1">
        <v>2.25E8</v>
      </c>
      <c r="S1304" s="1">
        <v>2.25E8</v>
      </c>
    </row>
    <row r="1305">
      <c r="A1305" s="1">
        <v>1303.0</v>
      </c>
      <c r="B1305" s="2">
        <v>44104.0</v>
      </c>
      <c r="C1305" s="1" t="s">
        <v>690</v>
      </c>
      <c r="D1305" s="1" t="s">
        <v>691</v>
      </c>
      <c r="F1305" s="1">
        <v>3.57E8</v>
      </c>
      <c r="G1305" s="1">
        <v>2.64E8</v>
      </c>
      <c r="H1305" s="1">
        <v>3.18E8</v>
      </c>
      <c r="I1305" s="1">
        <v>7.15E8</v>
      </c>
      <c r="J1305" s="1">
        <v>3.46E8</v>
      </c>
      <c r="K1305" s="1">
        <v>3.46E8</v>
      </c>
      <c r="L1305" s="1">
        <v>-2.4E7</v>
      </c>
      <c r="M1305" s="1">
        <v>9.3E7</v>
      </c>
      <c r="N1305" s="1">
        <v>1.414E9</v>
      </c>
      <c r="O1305" s="1">
        <v>1.068E9</v>
      </c>
      <c r="P1305" s="1">
        <v>6.99E8</v>
      </c>
      <c r="Q1305" s="1">
        <v>1.1E7</v>
      </c>
      <c r="R1305" s="1">
        <v>2.64E8</v>
      </c>
      <c r="S1305" s="1">
        <v>2.64E8</v>
      </c>
    </row>
    <row r="1306">
      <c r="A1306" s="1">
        <v>1304.0</v>
      </c>
      <c r="B1306" s="2">
        <v>44316.0</v>
      </c>
      <c r="C1306" s="1" t="s">
        <v>692</v>
      </c>
      <c r="D1306" s="1" t="s">
        <v>693</v>
      </c>
      <c r="E1306" s="1">
        <v>2.21E8</v>
      </c>
      <c r="F1306" s="1">
        <v>4.36E8</v>
      </c>
      <c r="G1306" s="1">
        <v>3.34E8</v>
      </c>
      <c r="H1306" s="1">
        <v>5.13E8</v>
      </c>
      <c r="I1306" s="1">
        <v>1.035E9</v>
      </c>
      <c r="J1306" s="1">
        <v>3.01E8</v>
      </c>
      <c r="K1306" s="1">
        <v>3.01E8</v>
      </c>
      <c r="L1306" s="1">
        <v>-1.9E7</v>
      </c>
      <c r="M1306" s="1">
        <v>1.02E8</v>
      </c>
      <c r="N1306" s="1">
        <v>1.555E9</v>
      </c>
      <c r="O1306" s="1">
        <v>1.254E9</v>
      </c>
      <c r="P1306" s="1">
        <v>5.2E8</v>
      </c>
      <c r="Q1306" s="1">
        <v>1.35E8</v>
      </c>
      <c r="R1306" s="1">
        <v>3.34E8</v>
      </c>
      <c r="S1306" s="1">
        <v>3.34E8</v>
      </c>
    </row>
    <row r="1307">
      <c r="A1307" s="1">
        <v>1305.0</v>
      </c>
      <c r="B1307" s="2">
        <v>44225.0</v>
      </c>
      <c r="C1307" s="1" t="s">
        <v>692</v>
      </c>
      <c r="D1307" s="1" t="s">
        <v>693</v>
      </c>
      <c r="E1307" s="1">
        <v>2.15E8</v>
      </c>
      <c r="F1307" s="1">
        <v>2.47E8</v>
      </c>
      <c r="G1307" s="1">
        <v>1.82E8</v>
      </c>
      <c r="H1307" s="1">
        <v>4.99E8</v>
      </c>
      <c r="I1307" s="1">
        <v>9.75E8</v>
      </c>
      <c r="J1307" s="1">
        <v>2.61E8</v>
      </c>
      <c r="K1307" s="1">
        <v>2.61E8</v>
      </c>
      <c r="L1307" s="1">
        <v>-1.9E7</v>
      </c>
      <c r="M1307" s="1">
        <v>6.5E7</v>
      </c>
      <c r="N1307" s="1">
        <v>1.47E9</v>
      </c>
      <c r="O1307" s="1">
        <v>1.209E9</v>
      </c>
      <c r="P1307" s="1">
        <v>4.95E8</v>
      </c>
      <c r="Q1307" s="1">
        <v>-1.4E7</v>
      </c>
      <c r="R1307" s="1">
        <v>1.82E8</v>
      </c>
      <c r="S1307" s="1">
        <v>1.82E8</v>
      </c>
    </row>
    <row r="1308">
      <c r="A1308" s="1">
        <v>1306.0</v>
      </c>
      <c r="B1308" s="2">
        <v>44134.0</v>
      </c>
      <c r="C1308" s="1" t="s">
        <v>692</v>
      </c>
      <c r="D1308" s="1" t="s">
        <v>693</v>
      </c>
      <c r="E1308" s="1">
        <v>2.12E8</v>
      </c>
      <c r="F1308" s="1">
        <v>1.75E8</v>
      </c>
      <c r="G1308" s="1">
        <v>1.37E8</v>
      </c>
      <c r="H1308" s="1">
        <v>4.94E8</v>
      </c>
      <c r="I1308" s="1">
        <v>9.33E8</v>
      </c>
      <c r="J1308" s="1">
        <v>2.27E8</v>
      </c>
      <c r="K1308" s="1">
        <v>2.27E8</v>
      </c>
      <c r="L1308" s="1">
        <v>-1.8E7</v>
      </c>
      <c r="M1308" s="1">
        <v>3.8E7</v>
      </c>
      <c r="N1308" s="1">
        <v>1.416E9</v>
      </c>
      <c r="O1308" s="1">
        <v>1.189E9</v>
      </c>
      <c r="P1308" s="1">
        <v>4.83E8</v>
      </c>
      <c r="Q1308" s="1">
        <v>-5.2E7</v>
      </c>
      <c r="R1308" s="1">
        <v>1.37E8</v>
      </c>
      <c r="S1308" s="1">
        <v>1.37E8</v>
      </c>
    </row>
    <row r="1309">
      <c r="A1309" s="1">
        <v>1307.0</v>
      </c>
      <c r="B1309" s="2">
        <v>44043.0</v>
      </c>
      <c r="C1309" s="1" t="s">
        <v>692</v>
      </c>
      <c r="D1309" s="1" t="s">
        <v>693</v>
      </c>
      <c r="E1309" s="1">
        <v>2.33E8</v>
      </c>
      <c r="F1309" s="1">
        <v>1.04E8</v>
      </c>
      <c r="G1309" s="1">
        <v>7.7E7</v>
      </c>
      <c r="H1309" s="1">
        <v>4.9E8</v>
      </c>
      <c r="I1309" s="1">
        <v>8.72E8</v>
      </c>
      <c r="J1309" s="1">
        <v>1.49E8</v>
      </c>
      <c r="K1309" s="1">
        <v>1.49E8</v>
      </c>
      <c r="L1309" s="1">
        <v>-1.8E7</v>
      </c>
      <c r="M1309" s="1">
        <v>2.7E7</v>
      </c>
      <c r="N1309" s="1">
        <v>1.303E9</v>
      </c>
      <c r="O1309" s="1">
        <v>1.154E9</v>
      </c>
      <c r="P1309" s="1">
        <v>4.31E8</v>
      </c>
      <c r="Q1309" s="1">
        <v>-4.5E7</v>
      </c>
      <c r="R1309" s="1">
        <v>7.7E7</v>
      </c>
      <c r="S1309" s="1">
        <v>7.7E7</v>
      </c>
    </row>
    <row r="1310">
      <c r="A1310" s="1">
        <v>1308.0</v>
      </c>
      <c r="B1310" s="2">
        <v>44286.0</v>
      </c>
      <c r="C1310" s="1" t="s">
        <v>694</v>
      </c>
      <c r="D1310" s="1" t="s">
        <v>695</v>
      </c>
      <c r="E1310" s="1">
        <v>5.25207E8</v>
      </c>
      <c r="F1310" s="1">
        <v>2.034502E9</v>
      </c>
      <c r="G1310" s="1">
        <v>1.706715E9</v>
      </c>
      <c r="H1310" s="1">
        <v>8.09708E8</v>
      </c>
      <c r="I1310" s="1">
        <v>3.294771E9</v>
      </c>
      <c r="J1310" s="1">
        <v>1.959856E9</v>
      </c>
      <c r="K1310" s="1">
        <v>1.959856E9</v>
      </c>
      <c r="L1310" s="1">
        <v>-1.9444E8</v>
      </c>
      <c r="M1310" s="1">
        <v>3.27787E8</v>
      </c>
      <c r="N1310" s="1">
        <v>7.163282E9</v>
      </c>
      <c r="O1310" s="1">
        <v>5.203426E9</v>
      </c>
      <c r="P1310" s="1">
        <v>3.868511E9</v>
      </c>
      <c r="Q1310" s="1">
        <v>7.4646E7</v>
      </c>
      <c r="R1310" s="1">
        <v>1.706715E9</v>
      </c>
      <c r="S1310" s="1">
        <v>1.706715E9</v>
      </c>
    </row>
    <row r="1311">
      <c r="A1311" s="1">
        <v>1309.0</v>
      </c>
      <c r="B1311" s="2">
        <v>44196.0</v>
      </c>
      <c r="C1311" s="1" t="s">
        <v>694</v>
      </c>
      <c r="D1311" s="1" t="s">
        <v>695</v>
      </c>
      <c r="E1311" s="1">
        <v>4.86936E8</v>
      </c>
      <c r="F1311" s="1">
        <v>5.06417E8</v>
      </c>
      <c r="G1311" s="1">
        <v>5.42156E8</v>
      </c>
      <c r="H1311" s="1">
        <v>1.038104E9</v>
      </c>
      <c r="I1311" s="1">
        <v>2.479282E9</v>
      </c>
      <c r="J1311" s="1">
        <v>9.54242E8</v>
      </c>
      <c r="K1311" s="1">
        <v>9.54242E8</v>
      </c>
      <c r="L1311" s="1">
        <v>-1.97186E8</v>
      </c>
      <c r="M1311" s="1">
        <v>-3.5739E7</v>
      </c>
      <c r="N1311" s="1">
        <v>6.644442E9</v>
      </c>
      <c r="O1311" s="1">
        <v>5.6902E9</v>
      </c>
      <c r="P1311" s="1">
        <v>4.16516E9</v>
      </c>
      <c r="Q1311" s="1">
        <v>-4.47825E8</v>
      </c>
      <c r="R1311" s="1">
        <v>5.42156E8</v>
      </c>
      <c r="S1311" s="1">
        <v>5.42156E8</v>
      </c>
    </row>
    <row r="1312">
      <c r="A1312" s="1">
        <v>1310.0</v>
      </c>
      <c r="B1312" s="2">
        <v>44104.0</v>
      </c>
      <c r="C1312" s="1" t="s">
        <v>694</v>
      </c>
      <c r="D1312" s="1" t="s">
        <v>695</v>
      </c>
      <c r="E1312" s="1">
        <v>4.53802E8</v>
      </c>
      <c r="F1312" s="1">
        <v>8.6146E8</v>
      </c>
      <c r="G1312" s="1">
        <v>7.89976E8</v>
      </c>
      <c r="H1312" s="1">
        <v>7.99221E8</v>
      </c>
      <c r="I1312" s="1">
        <v>2.567886E9</v>
      </c>
      <c r="J1312" s="1">
        <v>1.314863E9</v>
      </c>
      <c r="K1312" s="1">
        <v>1.314863E9</v>
      </c>
      <c r="L1312" s="1">
        <v>-1.97079E8</v>
      </c>
      <c r="M1312" s="1">
        <v>7.1484E7</v>
      </c>
      <c r="N1312" s="1">
        <v>6.435637E9</v>
      </c>
      <c r="O1312" s="1">
        <v>5.120774E9</v>
      </c>
      <c r="P1312" s="1">
        <v>3.867751E9</v>
      </c>
      <c r="Q1312" s="1">
        <v>-4.53403E8</v>
      </c>
      <c r="R1312" s="1">
        <v>7.89976E8</v>
      </c>
      <c r="S1312" s="1">
        <v>7.89976E8</v>
      </c>
    </row>
    <row r="1313">
      <c r="A1313" s="1">
        <v>1311.0</v>
      </c>
      <c r="B1313" s="2">
        <v>44012.0</v>
      </c>
      <c r="C1313" s="1" t="s">
        <v>694</v>
      </c>
      <c r="D1313" s="1" t="s">
        <v>695</v>
      </c>
      <c r="E1313" s="1">
        <v>4.35045E8</v>
      </c>
      <c r="F1313" s="1">
        <v>1.035602E9</v>
      </c>
      <c r="G1313" s="1">
        <v>7.20196E8</v>
      </c>
      <c r="H1313" s="1">
        <v>7.11606E8</v>
      </c>
      <c r="I1313" s="1">
        <v>2.504579E9</v>
      </c>
      <c r="J1313" s="1">
        <v>1.357928E9</v>
      </c>
      <c r="K1313" s="1">
        <v>1.357928E9</v>
      </c>
      <c r="L1313" s="1">
        <v>-1.89151E8</v>
      </c>
      <c r="M1313" s="1">
        <v>3.15406E8</v>
      </c>
      <c r="N1313" s="1">
        <v>6.148286E9</v>
      </c>
      <c r="O1313" s="1">
        <v>4.790358E9</v>
      </c>
      <c r="P1313" s="1">
        <v>3.643707E9</v>
      </c>
      <c r="Q1313" s="1">
        <v>-3.22326E8</v>
      </c>
      <c r="R1313" s="1">
        <v>7.20196E8</v>
      </c>
      <c r="S1313" s="1">
        <v>7.20196E8</v>
      </c>
    </row>
    <row r="1314">
      <c r="A1314" s="1">
        <v>1312.0</v>
      </c>
      <c r="B1314" s="2">
        <v>44377.0</v>
      </c>
      <c r="C1314" s="1" t="s">
        <v>696</v>
      </c>
      <c r="D1314" s="1" t="s">
        <v>697</v>
      </c>
      <c r="F1314" s="1">
        <v>2.43E8</v>
      </c>
      <c r="G1314" s="1">
        <v>1.97E8</v>
      </c>
      <c r="H1314" s="1">
        <v>5.7E8</v>
      </c>
      <c r="I1314" s="1">
        <v>8.82E8</v>
      </c>
      <c r="J1314" s="1">
        <v>3.12E8</v>
      </c>
      <c r="K1314" s="1">
        <v>3.12E8</v>
      </c>
      <c r="L1314" s="1">
        <v>-6.5E7</v>
      </c>
      <c r="M1314" s="1">
        <v>4.6E7</v>
      </c>
      <c r="N1314" s="1">
        <v>2.709E9</v>
      </c>
      <c r="O1314" s="1">
        <v>2.397E9</v>
      </c>
      <c r="P1314" s="1">
        <v>1.827E9</v>
      </c>
      <c r="Q1314" s="1">
        <v>-6.9E7</v>
      </c>
      <c r="R1314" s="1">
        <v>1.97E8</v>
      </c>
      <c r="S1314" s="1">
        <v>1.97E8</v>
      </c>
    </row>
    <row r="1315">
      <c r="A1315" s="1">
        <v>1313.0</v>
      </c>
      <c r="B1315" s="2">
        <v>44286.0</v>
      </c>
      <c r="C1315" s="1" t="s">
        <v>696</v>
      </c>
      <c r="D1315" s="1" t="s">
        <v>697</v>
      </c>
      <c r="F1315" s="1">
        <v>1.26E8</v>
      </c>
      <c r="G1315" s="1">
        <v>8.9E7</v>
      </c>
      <c r="H1315" s="1">
        <v>5.33E8</v>
      </c>
      <c r="I1315" s="1">
        <v>7.31E8</v>
      </c>
      <c r="J1315" s="1">
        <v>1.98E8</v>
      </c>
      <c r="K1315" s="1">
        <v>1.98E8</v>
      </c>
      <c r="L1315" s="1">
        <v>-6.7E7</v>
      </c>
      <c r="M1315" s="1">
        <v>3.7E7</v>
      </c>
      <c r="N1315" s="1">
        <v>2.288E9</v>
      </c>
      <c r="O1315" s="1">
        <v>2.09E9</v>
      </c>
      <c r="P1315" s="1">
        <v>1.557E9</v>
      </c>
      <c r="Q1315" s="1">
        <v>-7.2E7</v>
      </c>
      <c r="R1315" s="1">
        <v>8.9E7</v>
      </c>
      <c r="S1315" s="1">
        <v>8.9E7</v>
      </c>
    </row>
    <row r="1316">
      <c r="A1316" s="1">
        <v>1314.0</v>
      </c>
      <c r="B1316" s="2">
        <v>44196.0</v>
      </c>
      <c r="C1316" s="1" t="s">
        <v>696</v>
      </c>
      <c r="D1316" s="1" t="s">
        <v>697</v>
      </c>
      <c r="E1316" s="1">
        <v>1.44E8</v>
      </c>
      <c r="F1316" s="1">
        <v>1.01E8</v>
      </c>
      <c r="G1316" s="1">
        <v>1.27E8</v>
      </c>
      <c r="H1316" s="1">
        <v>4.96E8</v>
      </c>
      <c r="I1316" s="1">
        <v>8.88E8</v>
      </c>
      <c r="J1316" s="1">
        <v>2.48E8</v>
      </c>
      <c r="K1316" s="1">
        <v>2.48E8</v>
      </c>
      <c r="L1316" s="1">
        <v>-6.9E7</v>
      </c>
      <c r="M1316" s="1">
        <v>-2.6E7</v>
      </c>
      <c r="N1316" s="1">
        <v>2.689E9</v>
      </c>
      <c r="O1316" s="1">
        <v>2.441E9</v>
      </c>
      <c r="P1316" s="1">
        <v>1.801E9</v>
      </c>
      <c r="Q1316" s="1">
        <v>-1.47E8</v>
      </c>
      <c r="R1316" s="1">
        <v>1.27E8</v>
      </c>
      <c r="S1316" s="1">
        <v>1.27E8</v>
      </c>
    </row>
    <row r="1317">
      <c r="A1317" s="1">
        <v>1315.0</v>
      </c>
      <c r="B1317" s="2">
        <v>44104.0</v>
      </c>
      <c r="C1317" s="1" t="s">
        <v>696</v>
      </c>
      <c r="D1317" s="1" t="s">
        <v>697</v>
      </c>
      <c r="E1317" s="1">
        <v>1.44E8</v>
      </c>
      <c r="F1317" s="1">
        <v>2.83E8</v>
      </c>
      <c r="G1317" s="1">
        <v>3.04E8</v>
      </c>
      <c r="H1317" s="1">
        <v>5.45E8</v>
      </c>
      <c r="I1317" s="1">
        <v>9.14E8</v>
      </c>
      <c r="J1317" s="1">
        <v>3.69E8</v>
      </c>
      <c r="K1317" s="1">
        <v>3.69E8</v>
      </c>
      <c r="L1317" s="1">
        <v>-7.1E7</v>
      </c>
      <c r="M1317" s="1">
        <v>-2.1E7</v>
      </c>
      <c r="N1317" s="1">
        <v>2.699E9</v>
      </c>
      <c r="O1317" s="1">
        <v>2.33E9</v>
      </c>
      <c r="P1317" s="1">
        <v>1.785E9</v>
      </c>
      <c r="Q1317" s="1">
        <v>-8.6E7</v>
      </c>
      <c r="R1317" s="1">
        <v>3.04E8</v>
      </c>
      <c r="S1317" s="1">
        <v>3.04E8</v>
      </c>
    </row>
    <row r="1318">
      <c r="A1318" s="1">
        <v>1316.0</v>
      </c>
      <c r="B1318" s="2">
        <v>44377.0</v>
      </c>
      <c r="C1318" s="1" t="s">
        <v>698</v>
      </c>
      <c r="D1318" s="1" t="s">
        <v>699</v>
      </c>
      <c r="E1318" s="1">
        <v>3.7E7</v>
      </c>
      <c r="F1318" s="1">
        <v>9.92E8</v>
      </c>
      <c r="G1318" s="1">
        <v>6.5E8</v>
      </c>
      <c r="H1318" s="1">
        <v>7.1E7</v>
      </c>
      <c r="I1318" s="1">
        <v>1.732E9</v>
      </c>
      <c r="J1318" s="1">
        <v>1.012E9</v>
      </c>
      <c r="K1318" s="1">
        <v>1.012E9</v>
      </c>
      <c r="L1318" s="1">
        <v>-6.8E7</v>
      </c>
      <c r="M1318" s="1">
        <v>3.41E8</v>
      </c>
      <c r="N1318" s="1">
        <v>3.065E9</v>
      </c>
      <c r="O1318" s="1">
        <v>2.053E9</v>
      </c>
      <c r="P1318" s="1">
        <v>1.333E9</v>
      </c>
      <c r="Q1318" s="1">
        <v>-2.0E7</v>
      </c>
      <c r="R1318" s="1">
        <v>6.51E8</v>
      </c>
      <c r="S1318" s="1">
        <v>6.5E8</v>
      </c>
    </row>
    <row r="1319">
      <c r="A1319" s="1">
        <v>1317.0</v>
      </c>
      <c r="B1319" s="2">
        <v>44286.0</v>
      </c>
      <c r="C1319" s="1" t="s">
        <v>698</v>
      </c>
      <c r="D1319" s="1" t="s">
        <v>699</v>
      </c>
      <c r="E1319" s="1">
        <v>3.1E7</v>
      </c>
      <c r="F1319" s="1">
        <v>7.93E8</v>
      </c>
      <c r="G1319" s="1">
        <v>5.59E8</v>
      </c>
      <c r="H1319" s="1">
        <v>6.5E7</v>
      </c>
      <c r="I1319" s="1">
        <v>1.593E9</v>
      </c>
      <c r="J1319" s="1">
        <v>9.05E8</v>
      </c>
      <c r="K1319" s="1">
        <v>9.05E8</v>
      </c>
      <c r="L1319" s="1">
        <v>-7.4E7</v>
      </c>
      <c r="M1319" s="1">
        <v>2.35E8</v>
      </c>
      <c r="N1319" s="1">
        <v>2.872E9</v>
      </c>
      <c r="O1319" s="1">
        <v>1.967E9</v>
      </c>
      <c r="P1319" s="1">
        <v>1.279E9</v>
      </c>
      <c r="Q1319" s="1">
        <v>-1.12E8</v>
      </c>
      <c r="R1319" s="1">
        <v>5.58E8</v>
      </c>
      <c r="S1319" s="1">
        <v>5.59E8</v>
      </c>
    </row>
    <row r="1320">
      <c r="A1320" s="1">
        <v>1318.0</v>
      </c>
      <c r="B1320" s="2">
        <v>44196.0</v>
      </c>
      <c r="C1320" s="1" t="s">
        <v>698</v>
      </c>
      <c r="D1320" s="1" t="s">
        <v>699</v>
      </c>
      <c r="E1320" s="1">
        <v>3.0E7</v>
      </c>
      <c r="F1320" s="1">
        <v>1.004E9</v>
      </c>
      <c r="G1320" s="1">
        <v>8.24E8</v>
      </c>
      <c r="H1320" s="1">
        <v>7.1E7</v>
      </c>
      <c r="I1320" s="1">
        <v>1.777E9</v>
      </c>
      <c r="J1320" s="1">
        <v>1.08E9</v>
      </c>
      <c r="K1320" s="1">
        <v>1.08E9</v>
      </c>
      <c r="L1320" s="1">
        <v>-7.3E7</v>
      </c>
      <c r="M1320" s="1">
        <v>2.58E8</v>
      </c>
      <c r="N1320" s="1">
        <v>3.381E9</v>
      </c>
      <c r="O1320" s="1">
        <v>2.301E9</v>
      </c>
      <c r="P1320" s="1">
        <v>1.604E9</v>
      </c>
      <c r="Q1320" s="1">
        <v>-7.6E7</v>
      </c>
      <c r="R1320" s="1">
        <v>7.46E8</v>
      </c>
      <c r="S1320" s="1">
        <v>8.24E8</v>
      </c>
    </row>
    <row r="1321">
      <c r="A1321" s="1">
        <v>1319.0</v>
      </c>
      <c r="B1321" s="2">
        <v>44104.0</v>
      </c>
      <c r="C1321" s="1" t="s">
        <v>698</v>
      </c>
      <c r="D1321" s="1" t="s">
        <v>699</v>
      </c>
      <c r="E1321" s="1">
        <v>3.9E7</v>
      </c>
      <c r="F1321" s="1">
        <v>9.33E8</v>
      </c>
      <c r="G1321" s="1">
        <v>8.39E8</v>
      </c>
      <c r="H1321" s="1">
        <v>1.51E8</v>
      </c>
      <c r="I1321" s="1">
        <v>1.869E9</v>
      </c>
      <c r="J1321" s="1">
        <v>1.043E9</v>
      </c>
      <c r="K1321" s="1">
        <v>1.043E9</v>
      </c>
      <c r="L1321" s="1">
        <v>-7.5E7</v>
      </c>
      <c r="M1321" s="1">
        <v>3.05E8</v>
      </c>
      <c r="N1321" s="1">
        <v>3.17E9</v>
      </c>
      <c r="O1321" s="1">
        <v>2.127E9</v>
      </c>
      <c r="P1321" s="1">
        <v>1.301E9</v>
      </c>
      <c r="Q1321" s="1">
        <v>-1.1E8</v>
      </c>
      <c r="R1321" s="1">
        <v>6.28E8</v>
      </c>
      <c r="S1321" s="1">
        <v>8.39E8</v>
      </c>
    </row>
    <row r="1322">
      <c r="A1322" s="1">
        <v>1320.0</v>
      </c>
      <c r="B1322" s="2">
        <v>44377.0</v>
      </c>
      <c r="C1322" s="1" t="s">
        <v>700</v>
      </c>
      <c r="D1322" s="1" t="s">
        <v>701</v>
      </c>
      <c r="F1322" s="1">
        <v>-1.07E8</v>
      </c>
      <c r="G1322" s="1">
        <v>-1.4E7</v>
      </c>
      <c r="H1322" s="1">
        <v>1.046E9</v>
      </c>
      <c r="I1322" s="1">
        <v>1.261E9</v>
      </c>
      <c r="J1322" s="1">
        <v>3.9E7</v>
      </c>
      <c r="K1322" s="1">
        <v>3.9E7</v>
      </c>
      <c r="L1322" s="1">
        <v>-2.8E7</v>
      </c>
      <c r="M1322" s="1">
        <v>-9.2E7</v>
      </c>
      <c r="N1322" s="1">
        <v>2.492E9</v>
      </c>
      <c r="O1322" s="1">
        <v>2.453E9</v>
      </c>
      <c r="P1322" s="1">
        <v>1.231E9</v>
      </c>
      <c r="Q1322" s="1">
        <v>-1.46E8</v>
      </c>
      <c r="R1322" s="1">
        <v>-1.5E7</v>
      </c>
      <c r="S1322" s="1">
        <v>-1.4E7</v>
      </c>
    </row>
    <row r="1323">
      <c r="A1323" s="1">
        <v>1321.0</v>
      </c>
      <c r="B1323" s="2">
        <v>44286.0</v>
      </c>
      <c r="C1323" s="1" t="s">
        <v>700</v>
      </c>
      <c r="D1323" s="1" t="s">
        <v>701</v>
      </c>
      <c r="F1323" s="1">
        <v>1.39E8</v>
      </c>
      <c r="G1323" s="1">
        <v>7.9E7</v>
      </c>
      <c r="H1323" s="1">
        <v>8.48E8</v>
      </c>
      <c r="I1323" s="1">
        <v>1.149E9</v>
      </c>
      <c r="J1323" s="1">
        <v>1.28E8</v>
      </c>
      <c r="K1323" s="1">
        <v>1.28E8</v>
      </c>
      <c r="L1323" s="1">
        <v>-7000000.0</v>
      </c>
      <c r="M1323" s="1">
        <v>4.3E7</v>
      </c>
      <c r="N1323" s="1">
        <v>2.335E9</v>
      </c>
      <c r="O1323" s="1">
        <v>2.207E9</v>
      </c>
      <c r="P1323" s="1">
        <v>1.186E9</v>
      </c>
      <c r="Q1323" s="1">
        <v>1.1E7</v>
      </c>
      <c r="R1323" s="1">
        <v>9.6E7</v>
      </c>
      <c r="S1323" s="1">
        <v>7.9E7</v>
      </c>
    </row>
    <row r="1324">
      <c r="A1324" s="1">
        <v>1322.0</v>
      </c>
      <c r="B1324" s="2">
        <v>44196.0</v>
      </c>
      <c r="C1324" s="1" t="s">
        <v>700</v>
      </c>
      <c r="D1324" s="1" t="s">
        <v>701</v>
      </c>
      <c r="F1324" s="1">
        <v>3.46E8</v>
      </c>
      <c r="G1324" s="1">
        <v>2.31E8</v>
      </c>
      <c r="H1324" s="1">
        <v>7.16E8</v>
      </c>
      <c r="I1324" s="1">
        <v>1.216E9</v>
      </c>
      <c r="J1324" s="1">
        <v>3.33E8</v>
      </c>
      <c r="K1324" s="1">
        <v>3.33E8</v>
      </c>
      <c r="L1324" s="1">
        <v>-1.2E7</v>
      </c>
      <c r="M1324" s="1">
        <v>8.5E7</v>
      </c>
      <c r="N1324" s="1">
        <v>2.414E9</v>
      </c>
      <c r="O1324" s="1">
        <v>2.081E9</v>
      </c>
      <c r="P1324" s="1">
        <v>1.198E9</v>
      </c>
      <c r="Q1324" s="1">
        <v>1.3E7</v>
      </c>
      <c r="R1324" s="1">
        <v>2.61E8</v>
      </c>
      <c r="S1324" s="1">
        <v>2.31E8</v>
      </c>
    </row>
    <row r="1325">
      <c r="A1325" s="1">
        <v>1323.0</v>
      </c>
      <c r="B1325" s="2">
        <v>44104.0</v>
      </c>
      <c r="C1325" s="1" t="s">
        <v>700</v>
      </c>
      <c r="D1325" s="1" t="s">
        <v>701</v>
      </c>
      <c r="F1325" s="1">
        <v>7.2E7</v>
      </c>
      <c r="G1325" s="1">
        <v>3.4E7</v>
      </c>
      <c r="H1325" s="1">
        <v>6.83E8</v>
      </c>
      <c r="I1325" s="1">
        <v>9.53E8</v>
      </c>
      <c r="J1325" s="1">
        <v>1.06E8</v>
      </c>
      <c r="K1325" s="1">
        <v>1.06E8</v>
      </c>
      <c r="L1325" s="1">
        <v>-8000000.0</v>
      </c>
      <c r="M1325" s="1">
        <v>2.5E7</v>
      </c>
      <c r="N1325" s="1">
        <v>2.117E9</v>
      </c>
      <c r="O1325" s="1">
        <v>2.011E9</v>
      </c>
      <c r="P1325" s="1">
        <v>1.164E9</v>
      </c>
      <c r="Q1325" s="1">
        <v>-3.4E7</v>
      </c>
      <c r="R1325" s="1">
        <v>4.7E7</v>
      </c>
      <c r="S1325" s="1">
        <v>3.4E7</v>
      </c>
    </row>
    <row r="1326">
      <c r="A1326" s="1">
        <v>1324.0</v>
      </c>
      <c r="B1326" s="2">
        <v>44377.0</v>
      </c>
      <c r="C1326" s="1" t="s">
        <v>702</v>
      </c>
      <c r="D1326" s="1" t="s">
        <v>703</v>
      </c>
      <c r="F1326" s="1">
        <v>-1.07E8</v>
      </c>
      <c r="G1326" s="1">
        <v>-1.4E7</v>
      </c>
      <c r="H1326" s="1">
        <v>1.046E9</v>
      </c>
      <c r="I1326" s="1">
        <v>1.261E9</v>
      </c>
      <c r="J1326" s="1">
        <v>3.9E7</v>
      </c>
      <c r="K1326" s="1">
        <v>3.9E7</v>
      </c>
      <c r="L1326" s="1">
        <v>-2.8E7</v>
      </c>
      <c r="M1326" s="1">
        <v>-9.2E7</v>
      </c>
      <c r="N1326" s="1">
        <v>2.492E9</v>
      </c>
      <c r="O1326" s="1">
        <v>2.453E9</v>
      </c>
      <c r="P1326" s="1">
        <v>1.231E9</v>
      </c>
      <c r="Q1326" s="1">
        <v>-1.46E8</v>
      </c>
      <c r="R1326" s="1">
        <v>-1.5E7</v>
      </c>
      <c r="S1326" s="1">
        <v>-1.4E7</v>
      </c>
    </row>
    <row r="1327">
      <c r="A1327" s="1">
        <v>1325.0</v>
      </c>
      <c r="B1327" s="2">
        <v>44286.0</v>
      </c>
      <c r="C1327" s="1" t="s">
        <v>702</v>
      </c>
      <c r="D1327" s="1" t="s">
        <v>703</v>
      </c>
      <c r="F1327" s="1">
        <v>1.39E8</v>
      </c>
      <c r="G1327" s="1">
        <v>7.9E7</v>
      </c>
      <c r="H1327" s="1">
        <v>8.48E8</v>
      </c>
      <c r="I1327" s="1">
        <v>1.149E9</v>
      </c>
      <c r="J1327" s="1">
        <v>1.28E8</v>
      </c>
      <c r="K1327" s="1">
        <v>1.28E8</v>
      </c>
      <c r="L1327" s="1">
        <v>-7000000.0</v>
      </c>
      <c r="M1327" s="1">
        <v>4.3E7</v>
      </c>
      <c r="N1327" s="1">
        <v>2.335E9</v>
      </c>
      <c r="O1327" s="1">
        <v>2.207E9</v>
      </c>
      <c r="P1327" s="1">
        <v>1.186E9</v>
      </c>
      <c r="Q1327" s="1">
        <v>1.1E7</v>
      </c>
      <c r="R1327" s="1">
        <v>9.6E7</v>
      </c>
      <c r="S1327" s="1">
        <v>7.9E7</v>
      </c>
    </row>
    <row r="1328">
      <c r="A1328" s="1">
        <v>1326.0</v>
      </c>
      <c r="B1328" s="2">
        <v>44196.0</v>
      </c>
      <c r="C1328" s="1" t="s">
        <v>702</v>
      </c>
      <c r="D1328" s="1" t="s">
        <v>703</v>
      </c>
      <c r="F1328" s="1">
        <v>3.46E8</v>
      </c>
      <c r="G1328" s="1">
        <v>2.31E8</v>
      </c>
      <c r="H1328" s="1">
        <v>7.16E8</v>
      </c>
      <c r="I1328" s="1">
        <v>1.216E9</v>
      </c>
      <c r="J1328" s="1">
        <v>3.33E8</v>
      </c>
      <c r="K1328" s="1">
        <v>3.33E8</v>
      </c>
      <c r="L1328" s="1">
        <v>-1.2E7</v>
      </c>
      <c r="M1328" s="1">
        <v>8.5E7</v>
      </c>
      <c r="N1328" s="1">
        <v>2.414E9</v>
      </c>
      <c r="O1328" s="1">
        <v>2.081E9</v>
      </c>
      <c r="P1328" s="1">
        <v>1.198E9</v>
      </c>
      <c r="Q1328" s="1">
        <v>1.3E7</v>
      </c>
      <c r="R1328" s="1">
        <v>2.61E8</v>
      </c>
      <c r="S1328" s="1">
        <v>2.31E8</v>
      </c>
    </row>
    <row r="1329">
      <c r="A1329" s="1">
        <v>1327.0</v>
      </c>
      <c r="B1329" s="2">
        <v>44104.0</v>
      </c>
      <c r="C1329" s="1" t="s">
        <v>702</v>
      </c>
      <c r="D1329" s="1" t="s">
        <v>703</v>
      </c>
      <c r="F1329" s="1">
        <v>7.2E7</v>
      </c>
      <c r="G1329" s="1">
        <v>3.4E7</v>
      </c>
      <c r="H1329" s="1">
        <v>6.83E8</v>
      </c>
      <c r="I1329" s="1">
        <v>9.53E8</v>
      </c>
      <c r="J1329" s="1">
        <v>1.06E8</v>
      </c>
      <c r="K1329" s="1">
        <v>1.06E8</v>
      </c>
      <c r="L1329" s="1">
        <v>-8000000.0</v>
      </c>
      <c r="M1329" s="1">
        <v>2.5E7</v>
      </c>
      <c r="N1329" s="1">
        <v>2.117E9</v>
      </c>
      <c r="O1329" s="1">
        <v>2.011E9</v>
      </c>
      <c r="P1329" s="1">
        <v>1.164E9</v>
      </c>
      <c r="Q1329" s="1">
        <v>-3.4E7</v>
      </c>
      <c r="R1329" s="1">
        <v>4.7E7</v>
      </c>
      <c r="S1329" s="1">
        <v>3.4E7</v>
      </c>
    </row>
    <row r="1330">
      <c r="A1330" s="1">
        <v>1328.0</v>
      </c>
      <c r="B1330" s="2">
        <v>44377.0</v>
      </c>
      <c r="C1330" s="1" t="s">
        <v>704</v>
      </c>
      <c r="D1330" s="1" t="s">
        <v>705</v>
      </c>
      <c r="F1330" s="1">
        <v>-6.8E7</v>
      </c>
      <c r="G1330" s="1">
        <v>2.56E8</v>
      </c>
      <c r="H1330" s="1">
        <v>-6.4E7</v>
      </c>
      <c r="I1330" s="1">
        <v>1.958E9</v>
      </c>
      <c r="J1330" s="1">
        <v>5.81E8</v>
      </c>
      <c r="K1330" s="1">
        <v>5.81E8</v>
      </c>
      <c r="L1330" s="1">
        <v>-7.57E8</v>
      </c>
      <c r="M1330" s="1">
        <v>-1.4E8</v>
      </c>
      <c r="N1330" s="1">
        <v>3.927E9</v>
      </c>
      <c r="O1330" s="1">
        <v>3.346E9</v>
      </c>
      <c r="P1330" s="1">
        <v>1.969E9</v>
      </c>
      <c r="Q1330" s="1">
        <v>-6.49E8</v>
      </c>
      <c r="R1330" s="1">
        <v>7.2E7</v>
      </c>
      <c r="S1330" s="1">
        <v>2.56E8</v>
      </c>
    </row>
    <row r="1331">
      <c r="A1331" s="1">
        <v>1329.0</v>
      </c>
      <c r="B1331" s="2">
        <v>44286.0</v>
      </c>
      <c r="C1331" s="1" t="s">
        <v>704</v>
      </c>
      <c r="D1331" s="1" t="s">
        <v>705</v>
      </c>
      <c r="F1331" s="1">
        <v>1.748E9</v>
      </c>
      <c r="G1331" s="1">
        <v>1.666E9</v>
      </c>
      <c r="H1331" s="1">
        <v>-6.4E7</v>
      </c>
      <c r="I1331" s="1">
        <v>1.831E9</v>
      </c>
      <c r="J1331" s="1">
        <v>7.19E8</v>
      </c>
      <c r="K1331" s="1">
        <v>7.19E8</v>
      </c>
      <c r="L1331" s="1">
        <v>-7.57E8</v>
      </c>
      <c r="M1331" s="1">
        <v>2.5E8</v>
      </c>
      <c r="N1331" s="1">
        <v>3.726E9</v>
      </c>
      <c r="O1331" s="1">
        <v>3.007E9</v>
      </c>
      <c r="P1331" s="1">
        <v>1.895E9</v>
      </c>
      <c r="Q1331" s="1">
        <v>1.029E9</v>
      </c>
      <c r="R1331" s="1">
        <v>1.498E9</v>
      </c>
      <c r="S1331" s="1">
        <v>1.666E9</v>
      </c>
    </row>
    <row r="1332">
      <c r="A1332" s="1">
        <v>1330.0</v>
      </c>
      <c r="B1332" s="2">
        <v>44196.0</v>
      </c>
      <c r="C1332" s="1" t="s">
        <v>704</v>
      </c>
      <c r="D1332" s="1" t="s">
        <v>705</v>
      </c>
      <c r="F1332" s="1">
        <v>-2.25E8</v>
      </c>
      <c r="G1332" s="1">
        <v>-5000000.0</v>
      </c>
      <c r="H1332" s="1">
        <v>-5.1E7</v>
      </c>
      <c r="I1332" s="1">
        <v>2.424E9</v>
      </c>
      <c r="J1332" s="1">
        <v>1.1E9</v>
      </c>
      <c r="K1332" s="1">
        <v>1.1E9</v>
      </c>
      <c r="L1332" s="1">
        <v>-1.11E8</v>
      </c>
      <c r="M1332" s="1">
        <v>-3.5E7</v>
      </c>
      <c r="N1332" s="1">
        <v>4.395E9</v>
      </c>
      <c r="O1332" s="1">
        <v>3.295E9</v>
      </c>
      <c r="P1332" s="1">
        <v>1.971E9</v>
      </c>
      <c r="Q1332" s="1">
        <v>-1.325E9</v>
      </c>
      <c r="R1332" s="1">
        <v>-1.9E8</v>
      </c>
      <c r="S1332" s="1">
        <v>-5000000.0</v>
      </c>
    </row>
    <row r="1333">
      <c r="A1333" s="1">
        <v>1331.0</v>
      </c>
      <c r="B1333" s="2">
        <v>44104.0</v>
      </c>
      <c r="C1333" s="1" t="s">
        <v>704</v>
      </c>
      <c r="D1333" s="1" t="s">
        <v>705</v>
      </c>
      <c r="F1333" s="1">
        <v>1.252E9</v>
      </c>
      <c r="G1333" s="1">
        <v>1.229E9</v>
      </c>
      <c r="H1333" s="1">
        <v>-5.0E7</v>
      </c>
      <c r="I1333" s="1">
        <v>2.752E9</v>
      </c>
      <c r="J1333" s="1">
        <v>1.069E9</v>
      </c>
      <c r="K1333" s="1">
        <v>1.069E9</v>
      </c>
      <c r="L1333" s="1">
        <v>-2.08E8</v>
      </c>
      <c r="M1333" s="1">
        <v>1.29E8</v>
      </c>
      <c r="N1333" s="1">
        <v>4.785E9</v>
      </c>
      <c r="O1333" s="1">
        <v>3.716E9</v>
      </c>
      <c r="P1333" s="1">
        <v>2.033E9</v>
      </c>
      <c r="Q1333" s="1">
        <v>1.83E8</v>
      </c>
      <c r="R1333" s="1">
        <v>1.123E9</v>
      </c>
      <c r="S1333" s="1">
        <v>1.229E9</v>
      </c>
    </row>
    <row r="1334">
      <c r="A1334" s="1">
        <v>1332.0</v>
      </c>
      <c r="B1334" s="2">
        <v>44377.0</v>
      </c>
      <c r="C1334" s="1" t="s">
        <v>706</v>
      </c>
      <c r="D1334" s="1" t="s">
        <v>707</v>
      </c>
      <c r="F1334" s="1">
        <v>1.24E8</v>
      </c>
      <c r="G1334" s="1">
        <v>7.6E7</v>
      </c>
      <c r="H1334" s="1">
        <v>2.18E8</v>
      </c>
      <c r="I1334" s="1">
        <v>5.69E8</v>
      </c>
      <c r="J1334" s="1">
        <v>2.25E8</v>
      </c>
      <c r="K1334" s="1">
        <v>2.25E8</v>
      </c>
      <c r="L1334" s="1">
        <v>-6.9E7</v>
      </c>
      <c r="M1334" s="1">
        <v>3.6E7</v>
      </c>
      <c r="N1334" s="1">
        <v>8.61E8</v>
      </c>
      <c r="O1334" s="1">
        <v>6.36E8</v>
      </c>
      <c r="P1334" s="1">
        <v>2.92E8</v>
      </c>
      <c r="Q1334" s="1">
        <v>-1.01E8</v>
      </c>
      <c r="R1334" s="1">
        <v>8.8E7</v>
      </c>
      <c r="S1334" s="1">
        <v>7.6E7</v>
      </c>
    </row>
    <row r="1335">
      <c r="A1335" s="1">
        <v>1333.0</v>
      </c>
      <c r="B1335" s="2">
        <v>44286.0</v>
      </c>
      <c r="C1335" s="1" t="s">
        <v>706</v>
      </c>
      <c r="D1335" s="1" t="s">
        <v>707</v>
      </c>
      <c r="F1335" s="1">
        <v>1.69E8</v>
      </c>
      <c r="G1335" s="1">
        <v>5.73E8</v>
      </c>
      <c r="H1335" s="1">
        <v>2.06E8</v>
      </c>
      <c r="I1335" s="1">
        <v>5.86E8</v>
      </c>
      <c r="J1335" s="1">
        <v>2.53E8</v>
      </c>
      <c r="K1335" s="1">
        <v>2.53E8</v>
      </c>
      <c r="L1335" s="1">
        <v>-8.0E7</v>
      </c>
      <c r="M1335" s="1">
        <v>6.0E7</v>
      </c>
      <c r="N1335" s="1">
        <v>8.63E8</v>
      </c>
      <c r="O1335" s="1">
        <v>6.1E8</v>
      </c>
      <c r="P1335" s="1">
        <v>2.77E8</v>
      </c>
      <c r="Q1335" s="1">
        <v>-8.4E7</v>
      </c>
      <c r="R1335" s="1">
        <v>1.09E8</v>
      </c>
      <c r="S1335" s="1">
        <v>5.73E8</v>
      </c>
    </row>
    <row r="1336">
      <c r="A1336" s="1">
        <v>1334.0</v>
      </c>
      <c r="B1336" s="2">
        <v>44196.0</v>
      </c>
      <c r="C1336" s="1" t="s">
        <v>706</v>
      </c>
      <c r="D1336" s="1" t="s">
        <v>707</v>
      </c>
      <c r="F1336" s="1">
        <v>6.1E7</v>
      </c>
      <c r="G1336" s="1">
        <v>3.5E7</v>
      </c>
      <c r="H1336" s="1">
        <v>4.6E8</v>
      </c>
      <c r="I1336" s="1">
        <v>9.6E8</v>
      </c>
      <c r="J1336" s="1">
        <v>2.91E8</v>
      </c>
      <c r="K1336" s="1">
        <v>2.91E8</v>
      </c>
      <c r="L1336" s="1">
        <v>-9.4E7</v>
      </c>
      <c r="M1336" s="1">
        <v>2.5E7</v>
      </c>
      <c r="N1336" s="1">
        <v>1.672E9</v>
      </c>
      <c r="O1336" s="1">
        <v>1.381E9</v>
      </c>
      <c r="P1336" s="1">
        <v>7.12E8</v>
      </c>
      <c r="Q1336" s="1">
        <v>-2.3E8</v>
      </c>
      <c r="R1336" s="1">
        <v>3.6E7</v>
      </c>
      <c r="S1336" s="1">
        <v>3.5E7</v>
      </c>
    </row>
    <row r="1337">
      <c r="A1337" s="1">
        <v>1335.0</v>
      </c>
      <c r="B1337" s="2">
        <v>44104.0</v>
      </c>
      <c r="C1337" s="1" t="s">
        <v>706</v>
      </c>
      <c r="D1337" s="1" t="s">
        <v>707</v>
      </c>
      <c r="F1337" s="1">
        <v>7.9E7</v>
      </c>
      <c r="G1337" s="1">
        <v>7000000.0</v>
      </c>
      <c r="H1337" s="1">
        <v>4.51E8</v>
      </c>
      <c r="I1337" s="1">
        <v>9.0E8</v>
      </c>
      <c r="J1337" s="1">
        <v>2.32E8</v>
      </c>
      <c r="K1337" s="1">
        <v>2.32E8</v>
      </c>
      <c r="L1337" s="1">
        <v>-9.2E7</v>
      </c>
      <c r="M1337" s="1">
        <v>6.9E7</v>
      </c>
      <c r="N1337" s="1">
        <v>1.563E9</v>
      </c>
      <c r="O1337" s="1">
        <v>1.331E9</v>
      </c>
      <c r="P1337" s="1">
        <v>6.63E8</v>
      </c>
      <c r="Q1337" s="1">
        <v>-1.53E8</v>
      </c>
      <c r="R1337" s="1">
        <v>1.0E7</v>
      </c>
      <c r="S1337" s="1">
        <v>7000000.0</v>
      </c>
    </row>
    <row r="1338">
      <c r="A1338" s="1">
        <v>1336.0</v>
      </c>
      <c r="B1338" s="2">
        <v>44255.0</v>
      </c>
      <c r="C1338" s="1" t="s">
        <v>708</v>
      </c>
      <c r="D1338" s="1" t="s">
        <v>709</v>
      </c>
      <c r="F1338" s="1">
        <v>1.636E9</v>
      </c>
      <c r="G1338" s="1">
        <v>1.449E9</v>
      </c>
      <c r="H1338" s="1">
        <v>3.018E9</v>
      </c>
      <c r="I1338" s="1">
        <v>4.725E9</v>
      </c>
      <c r="J1338" s="1">
        <v>1.707E9</v>
      </c>
      <c r="K1338" s="1">
        <v>1.707E9</v>
      </c>
      <c r="L1338" s="1">
        <v>-7.2E7</v>
      </c>
      <c r="M1338" s="1">
        <v>1.87E8</v>
      </c>
      <c r="N1338" s="1">
        <v>1.0357E10</v>
      </c>
      <c r="O1338" s="1">
        <v>8.65E9</v>
      </c>
      <c r="P1338" s="1">
        <v>5.632E9</v>
      </c>
      <c r="Q1338" s="1">
        <v>-7.1E7</v>
      </c>
      <c r="R1338" s="1">
        <v>1.449E9</v>
      </c>
      <c r="S1338" s="1">
        <v>1.449E9</v>
      </c>
    </row>
    <row r="1339">
      <c r="A1339" s="1">
        <v>1337.0</v>
      </c>
      <c r="B1339" s="2">
        <v>44165.0</v>
      </c>
      <c r="C1339" s="1" t="s">
        <v>708</v>
      </c>
      <c r="D1339" s="1" t="s">
        <v>709</v>
      </c>
      <c r="F1339" s="1">
        <v>1.456E9</v>
      </c>
      <c r="G1339" s="1">
        <v>1.251E9</v>
      </c>
      <c r="H1339" s="1">
        <v>3.16E9</v>
      </c>
      <c r="I1339" s="1">
        <v>4.877E9</v>
      </c>
      <c r="J1339" s="1">
        <v>1.717E9</v>
      </c>
      <c r="K1339" s="1">
        <v>1.717E9</v>
      </c>
      <c r="L1339" s="1">
        <v>-7.6E7</v>
      </c>
      <c r="M1339" s="1">
        <v>2.05E8</v>
      </c>
      <c r="N1339" s="1">
        <v>1.1243E10</v>
      </c>
      <c r="O1339" s="1">
        <v>9.526E9</v>
      </c>
      <c r="P1339" s="1">
        <v>6.366E9</v>
      </c>
      <c r="Q1339" s="1">
        <v>-2.61E8</v>
      </c>
      <c r="R1339" s="1">
        <v>1.251E9</v>
      </c>
      <c r="S1339" s="1">
        <v>1.251E9</v>
      </c>
    </row>
    <row r="1340">
      <c r="A1340" s="1">
        <v>1338.0</v>
      </c>
      <c r="B1340" s="2">
        <v>44074.0</v>
      </c>
      <c r="C1340" s="1" t="s">
        <v>708</v>
      </c>
      <c r="D1340" s="1" t="s">
        <v>709</v>
      </c>
      <c r="F1340" s="1">
        <v>1.715E9</v>
      </c>
      <c r="G1340" s="1">
        <v>1.518E9</v>
      </c>
      <c r="H1340" s="1">
        <v>2.835E9</v>
      </c>
      <c r="I1340" s="1">
        <v>4.741E9</v>
      </c>
      <c r="J1340" s="1">
        <v>1.906E9</v>
      </c>
      <c r="K1340" s="1">
        <v>1.906E9</v>
      </c>
      <c r="L1340" s="1">
        <v>-7.2E7</v>
      </c>
      <c r="M1340" s="1">
        <v>1.97E8</v>
      </c>
      <c r="N1340" s="1">
        <v>1.0594E10</v>
      </c>
      <c r="O1340" s="1">
        <v>8.688E9</v>
      </c>
      <c r="P1340" s="1">
        <v>5.853E9</v>
      </c>
      <c r="Q1340" s="1">
        <v>-1.91E8</v>
      </c>
      <c r="R1340" s="1">
        <v>1.518E9</v>
      </c>
      <c r="S1340" s="1">
        <v>1.518E9</v>
      </c>
    </row>
    <row r="1341">
      <c r="A1341" s="1">
        <v>1339.0</v>
      </c>
      <c r="B1341" s="2">
        <v>43982.0</v>
      </c>
      <c r="C1341" s="1" t="s">
        <v>708</v>
      </c>
      <c r="D1341" s="1" t="s">
        <v>709</v>
      </c>
      <c r="F1341" s="1">
        <v>-8.04E8</v>
      </c>
      <c r="G1341" s="1">
        <v>-7.9E8</v>
      </c>
      <c r="H1341" s="1">
        <v>3.191E9</v>
      </c>
      <c r="I1341" s="1">
        <v>2.353E9</v>
      </c>
      <c r="J1341" s="1">
        <v>-8.38E8</v>
      </c>
      <c r="K1341" s="1">
        <v>-8.38E8</v>
      </c>
      <c r="L1341" s="1">
        <v>-6.1E7</v>
      </c>
      <c r="M1341" s="1">
        <v>-1.4E7</v>
      </c>
      <c r="N1341" s="1">
        <v>6.313E9</v>
      </c>
      <c r="O1341" s="1">
        <v>7.151E9</v>
      </c>
      <c r="P1341" s="1">
        <v>3.96E9</v>
      </c>
      <c r="Q1341" s="1">
        <v>3.4E7</v>
      </c>
      <c r="R1341" s="1">
        <v>-7.9E8</v>
      </c>
      <c r="S1341" s="1">
        <v>-7.9E8</v>
      </c>
    </row>
    <row r="1342">
      <c r="A1342" s="1">
        <v>1340.0</v>
      </c>
      <c r="B1342" s="2">
        <v>44377.0</v>
      </c>
      <c r="C1342" s="1" t="s">
        <v>710</v>
      </c>
      <c r="D1342" s="1" t="s">
        <v>711</v>
      </c>
      <c r="F1342" s="1">
        <v>7.01E7</v>
      </c>
      <c r="G1342" s="1">
        <v>6.03E7</v>
      </c>
      <c r="H1342" s="1">
        <v>-8600000.0</v>
      </c>
      <c r="I1342" s="1">
        <v>3.949E8</v>
      </c>
      <c r="J1342" s="1">
        <v>1.507E8</v>
      </c>
      <c r="K1342" s="1">
        <v>1.507E8</v>
      </c>
      <c r="L1342" s="1">
        <v>-8.45E7</v>
      </c>
      <c r="M1342" s="1">
        <v>1.32E7</v>
      </c>
      <c r="N1342" s="1">
        <v>9.86E8</v>
      </c>
      <c r="O1342" s="1">
        <v>8.353E8</v>
      </c>
      <c r="P1342" s="1">
        <v>5.911E8</v>
      </c>
      <c r="Q1342" s="1">
        <v>-8.06E7</v>
      </c>
      <c r="R1342" s="1">
        <v>5.69E7</v>
      </c>
      <c r="S1342" s="1">
        <v>4.65E7</v>
      </c>
    </row>
    <row r="1343">
      <c r="A1343" s="1">
        <v>1341.0</v>
      </c>
      <c r="B1343" s="2">
        <v>44286.0</v>
      </c>
      <c r="C1343" s="1" t="s">
        <v>710</v>
      </c>
      <c r="D1343" s="1" t="s">
        <v>711</v>
      </c>
      <c r="F1343" s="1">
        <v>3.591E8</v>
      </c>
      <c r="G1343" s="1">
        <v>2.965E8</v>
      </c>
      <c r="H1343" s="1">
        <v>-8500000.0</v>
      </c>
      <c r="I1343" s="1">
        <v>7.119E8</v>
      </c>
      <c r="J1343" s="1">
        <v>4.544E8</v>
      </c>
      <c r="K1343" s="1">
        <v>4.544E8</v>
      </c>
      <c r="L1343" s="1">
        <v>-8.46E7</v>
      </c>
      <c r="M1343" s="1">
        <v>6.26E7</v>
      </c>
      <c r="N1343" s="1">
        <v>1.5456E9</v>
      </c>
      <c r="O1343" s="1">
        <v>1.0912E9</v>
      </c>
      <c r="P1343" s="1">
        <v>8.337E8</v>
      </c>
      <c r="Q1343" s="1">
        <v>-9.53E7</v>
      </c>
      <c r="R1343" s="1">
        <v>2.965E8</v>
      </c>
      <c r="S1343" s="1">
        <v>2.827E8</v>
      </c>
    </row>
    <row r="1344">
      <c r="A1344" s="1">
        <v>1342.0</v>
      </c>
      <c r="B1344" s="2">
        <v>44196.0</v>
      </c>
      <c r="C1344" s="1" t="s">
        <v>710</v>
      </c>
      <c r="D1344" s="1" t="s">
        <v>711</v>
      </c>
      <c r="F1344" s="1">
        <v>1.446E8</v>
      </c>
      <c r="G1344" s="1">
        <v>8.44E7</v>
      </c>
      <c r="H1344" s="1">
        <v>1.74E7</v>
      </c>
      <c r="I1344" s="1">
        <v>5.177E8</v>
      </c>
      <c r="J1344" s="1">
        <v>2.419E8</v>
      </c>
      <c r="K1344" s="1">
        <v>2.419E8</v>
      </c>
      <c r="L1344" s="1">
        <v>-9.29E7</v>
      </c>
      <c r="M1344" s="1">
        <v>5.68E7</v>
      </c>
      <c r="N1344" s="1">
        <v>1.211E9</v>
      </c>
      <c r="O1344" s="1">
        <v>9.691E8</v>
      </c>
      <c r="P1344" s="1">
        <v>6.933E8</v>
      </c>
      <c r="Q1344" s="1">
        <v>-9.73E7</v>
      </c>
      <c r="R1344" s="1">
        <v>8.78E7</v>
      </c>
      <c r="S1344" s="1">
        <v>7.07E7</v>
      </c>
    </row>
    <row r="1345">
      <c r="A1345" s="1">
        <v>1343.0</v>
      </c>
      <c r="B1345" s="2">
        <v>44104.0</v>
      </c>
      <c r="C1345" s="1" t="s">
        <v>710</v>
      </c>
      <c r="D1345" s="1" t="s">
        <v>711</v>
      </c>
      <c r="F1345" s="1">
        <v>-2.378E8</v>
      </c>
      <c r="G1345" s="1">
        <v>-1.729E8</v>
      </c>
      <c r="H1345" s="1">
        <v>-600000.0</v>
      </c>
      <c r="I1345" s="1">
        <v>4.029E8</v>
      </c>
      <c r="J1345" s="1">
        <v>1.527E8</v>
      </c>
      <c r="K1345" s="1">
        <v>1.527E8</v>
      </c>
      <c r="L1345" s="1">
        <v>-9.52E7</v>
      </c>
      <c r="M1345" s="1">
        <v>-6.49E7</v>
      </c>
      <c r="N1345" s="1">
        <v>9.025E8</v>
      </c>
      <c r="O1345" s="1">
        <v>7.498E8</v>
      </c>
      <c r="P1345" s="1">
        <v>4.996E8</v>
      </c>
      <c r="Q1345" s="1">
        <v>-3.905E8</v>
      </c>
      <c r="R1345" s="1">
        <v>-1.729E8</v>
      </c>
      <c r="S1345" s="1">
        <v>-1.867E8</v>
      </c>
    </row>
    <row r="1346">
      <c r="A1346" s="1">
        <v>1344.0</v>
      </c>
      <c r="B1346" s="2">
        <v>44286.0</v>
      </c>
      <c r="C1346" s="1" t="s">
        <v>712</v>
      </c>
      <c r="D1346" s="1" t="s">
        <v>713</v>
      </c>
      <c r="F1346" s="1">
        <v>8.66E8</v>
      </c>
      <c r="G1346" s="1">
        <v>6.73E8</v>
      </c>
      <c r="I1346" s="1">
        <v>1.332E9</v>
      </c>
      <c r="J1346" s="1">
        <v>1.04E9</v>
      </c>
      <c r="K1346" s="1">
        <v>1.04E9</v>
      </c>
      <c r="L1346" s="1">
        <v>-1.56E8</v>
      </c>
      <c r="M1346" s="1">
        <v>1.93E8</v>
      </c>
      <c r="N1346" s="1">
        <v>2.639E9</v>
      </c>
      <c r="O1346" s="1">
        <v>1.599E9</v>
      </c>
      <c r="P1346" s="1">
        <v>1.307E9</v>
      </c>
      <c r="Q1346" s="1">
        <v>-1.74E8</v>
      </c>
      <c r="R1346" s="1">
        <v>6.73E8</v>
      </c>
      <c r="S1346" s="1">
        <v>6.72E8</v>
      </c>
    </row>
    <row r="1347">
      <c r="A1347" s="1">
        <v>1345.0</v>
      </c>
      <c r="B1347" s="2">
        <v>44196.0</v>
      </c>
      <c r="C1347" s="1" t="s">
        <v>712</v>
      </c>
      <c r="D1347" s="1" t="s">
        <v>713</v>
      </c>
      <c r="F1347" s="1">
        <v>8.67E8</v>
      </c>
      <c r="G1347" s="1">
        <v>6.71E8</v>
      </c>
      <c r="I1347" s="1">
        <v>1.294E9</v>
      </c>
      <c r="J1347" s="1">
        <v>1.007E9</v>
      </c>
      <c r="K1347" s="1">
        <v>1.007E9</v>
      </c>
      <c r="L1347" s="1">
        <v>-1.6E8</v>
      </c>
      <c r="M1347" s="1">
        <v>1.96E8</v>
      </c>
      <c r="N1347" s="1">
        <v>2.573E9</v>
      </c>
      <c r="O1347" s="1">
        <v>1.566E9</v>
      </c>
      <c r="P1347" s="1">
        <v>1.279E9</v>
      </c>
      <c r="Q1347" s="1">
        <v>-1.4E8</v>
      </c>
      <c r="R1347" s="1">
        <v>6.71E8</v>
      </c>
      <c r="S1347" s="1">
        <v>6.71E8</v>
      </c>
    </row>
    <row r="1348">
      <c r="A1348" s="1">
        <v>1346.0</v>
      </c>
      <c r="B1348" s="2">
        <v>44104.0</v>
      </c>
      <c r="C1348" s="1" t="s">
        <v>712</v>
      </c>
      <c r="D1348" s="1" t="s">
        <v>713</v>
      </c>
      <c r="F1348" s="1">
        <v>7.24E8</v>
      </c>
      <c r="G1348" s="1">
        <v>5.69E8</v>
      </c>
      <c r="I1348" s="1">
        <v>1.156E9</v>
      </c>
      <c r="J1348" s="1">
        <v>8.63E8</v>
      </c>
      <c r="K1348" s="1">
        <v>8.63E8</v>
      </c>
      <c r="L1348" s="1">
        <v>-1.55E8</v>
      </c>
      <c r="M1348" s="1">
        <v>1.55E8</v>
      </c>
      <c r="N1348" s="1">
        <v>2.506E9</v>
      </c>
      <c r="O1348" s="1">
        <v>1.643E9</v>
      </c>
      <c r="P1348" s="1">
        <v>1.35E9</v>
      </c>
      <c r="Q1348" s="1">
        <v>-1.39E8</v>
      </c>
      <c r="R1348" s="1">
        <v>5.69E8</v>
      </c>
      <c r="S1348" s="1">
        <v>5.67E8</v>
      </c>
    </row>
    <row r="1349">
      <c r="A1349" s="1">
        <v>1347.0</v>
      </c>
      <c r="B1349" s="2">
        <v>44012.0</v>
      </c>
      <c r="C1349" s="1" t="s">
        <v>712</v>
      </c>
      <c r="D1349" s="1" t="s">
        <v>713</v>
      </c>
      <c r="F1349" s="1">
        <v>5.03E8</v>
      </c>
      <c r="G1349" s="1">
        <v>3.92E8</v>
      </c>
      <c r="I1349" s="1">
        <v>9.15E8</v>
      </c>
      <c r="J1349" s="1">
        <v>6.33E8</v>
      </c>
      <c r="K1349" s="1">
        <v>6.33E8</v>
      </c>
      <c r="L1349" s="1">
        <v>-1.56E8</v>
      </c>
      <c r="M1349" s="1">
        <v>1.11E8</v>
      </c>
      <c r="N1349" s="1">
        <v>2.085E9</v>
      </c>
      <c r="O1349" s="1">
        <v>1.452E9</v>
      </c>
      <c r="P1349" s="1">
        <v>1.17E9</v>
      </c>
      <c r="Q1349" s="1">
        <v>-1.3E8</v>
      </c>
      <c r="R1349" s="1">
        <v>3.92E8</v>
      </c>
      <c r="S1349" s="1">
        <v>3.92E8</v>
      </c>
    </row>
    <row r="1350">
      <c r="A1350" s="1">
        <v>1348.0</v>
      </c>
      <c r="B1350" s="2">
        <v>44377.0</v>
      </c>
      <c r="C1350" s="1" t="s">
        <v>714</v>
      </c>
      <c r="D1350" s="1" t="s">
        <v>715</v>
      </c>
      <c r="F1350" s="1">
        <v>4.865E8</v>
      </c>
      <c r="G1350" s="1">
        <v>3.681E8</v>
      </c>
      <c r="H1350" s="1">
        <v>1.0622E9</v>
      </c>
      <c r="I1350" s="1">
        <v>1.6073E9</v>
      </c>
      <c r="J1350" s="1">
        <v>0.0</v>
      </c>
      <c r="K1350" s="1">
        <v>4.865E8</v>
      </c>
      <c r="M1350" s="1">
        <v>1.184E8</v>
      </c>
      <c r="N1350" s="1">
        <v>1.6073E9</v>
      </c>
      <c r="O1350" s="1">
        <v>1.1208E9</v>
      </c>
      <c r="P1350" s="1">
        <v>0.0</v>
      </c>
      <c r="Q1350" s="1">
        <v>0.0</v>
      </c>
      <c r="R1350" s="1">
        <v>3.681E8</v>
      </c>
      <c r="S1350" s="1">
        <v>3.602E8</v>
      </c>
    </row>
    <row r="1351">
      <c r="A1351" s="1">
        <v>1349.0</v>
      </c>
      <c r="B1351" s="2">
        <v>44286.0</v>
      </c>
      <c r="C1351" s="1" t="s">
        <v>714</v>
      </c>
      <c r="D1351" s="1" t="s">
        <v>715</v>
      </c>
      <c r="F1351" s="1">
        <v>4.959E8</v>
      </c>
      <c r="G1351" s="1">
        <v>3.751E8</v>
      </c>
      <c r="H1351" s="1">
        <v>1.0537E9</v>
      </c>
      <c r="I1351" s="1">
        <v>1.6134E9</v>
      </c>
      <c r="J1351" s="1">
        <v>0.0</v>
      </c>
      <c r="K1351" s="1">
        <v>4.959E8</v>
      </c>
      <c r="M1351" s="1">
        <v>1.208E8</v>
      </c>
      <c r="N1351" s="1">
        <v>1.6134E9</v>
      </c>
      <c r="O1351" s="1">
        <v>1.1175E9</v>
      </c>
      <c r="P1351" s="1">
        <v>0.0</v>
      </c>
      <c r="Q1351" s="1">
        <v>0.0</v>
      </c>
      <c r="R1351" s="1">
        <v>3.751E8</v>
      </c>
      <c r="S1351" s="1">
        <v>3.552E8</v>
      </c>
    </row>
    <row r="1352">
      <c r="A1352" s="1">
        <v>1350.0</v>
      </c>
      <c r="B1352" s="2">
        <v>44196.0</v>
      </c>
      <c r="C1352" s="1" t="s">
        <v>714</v>
      </c>
      <c r="D1352" s="1" t="s">
        <v>715</v>
      </c>
      <c r="F1352" s="1">
        <v>3.734E8</v>
      </c>
      <c r="G1352" s="1">
        <v>2.409E8</v>
      </c>
      <c r="H1352" s="1">
        <v>1.0355E9</v>
      </c>
      <c r="I1352" s="1">
        <v>1.5244E9</v>
      </c>
      <c r="J1352" s="1">
        <v>0.0</v>
      </c>
      <c r="K1352" s="1">
        <v>4.259E8</v>
      </c>
      <c r="M1352" s="1">
        <v>1.325E8</v>
      </c>
      <c r="N1352" s="1">
        <v>1.5244E9</v>
      </c>
      <c r="O1352" s="1">
        <v>1.0985E9</v>
      </c>
      <c r="P1352" s="1">
        <v>0.0</v>
      </c>
      <c r="Q1352" s="1">
        <v>-5.25E7</v>
      </c>
      <c r="R1352" s="1">
        <v>2.409E8</v>
      </c>
      <c r="S1352" s="1">
        <v>2.347E8</v>
      </c>
    </row>
    <row r="1353">
      <c r="A1353" s="1">
        <v>1351.0</v>
      </c>
      <c r="B1353" s="2">
        <v>44104.0</v>
      </c>
      <c r="C1353" s="1" t="s">
        <v>714</v>
      </c>
      <c r="D1353" s="1" t="s">
        <v>715</v>
      </c>
      <c r="F1353" s="1">
        <v>3.899E8</v>
      </c>
      <c r="G1353" s="1">
        <v>2.945E8</v>
      </c>
      <c r="H1353" s="1">
        <v>9.911E8</v>
      </c>
      <c r="I1353" s="1">
        <v>1.4846E9</v>
      </c>
      <c r="J1353" s="1">
        <v>0.0</v>
      </c>
      <c r="K1353" s="1">
        <v>3.899E8</v>
      </c>
      <c r="M1353" s="1">
        <v>9.54E7</v>
      </c>
      <c r="N1353" s="1">
        <v>1.4846E9</v>
      </c>
      <c r="O1353" s="1">
        <v>1.0947E9</v>
      </c>
      <c r="P1353" s="1">
        <v>0.0</v>
      </c>
      <c r="Q1353" s="1">
        <v>0.0</v>
      </c>
      <c r="R1353" s="1">
        <v>2.945E8</v>
      </c>
      <c r="S1353" s="1">
        <v>2.75E8</v>
      </c>
    </row>
    <row r="1354">
      <c r="A1354" s="1">
        <v>1352.0</v>
      </c>
      <c r="B1354" s="2">
        <v>44377.0</v>
      </c>
      <c r="C1354" s="1" t="s">
        <v>716</v>
      </c>
      <c r="D1354" s="1" t="s">
        <v>717</v>
      </c>
      <c r="F1354" s="1">
        <v>1.302E9</v>
      </c>
      <c r="G1354" s="1">
        <v>1.037E9</v>
      </c>
      <c r="H1354" s="1">
        <v>6.32E8</v>
      </c>
      <c r="I1354" s="1">
        <v>2.043E9</v>
      </c>
      <c r="J1354" s="1">
        <v>1.411E9</v>
      </c>
      <c r="K1354" s="1">
        <v>1.411E9</v>
      </c>
      <c r="L1354" s="1">
        <v>-1.36E8</v>
      </c>
      <c r="M1354" s="1">
        <v>2.65E8</v>
      </c>
      <c r="N1354" s="1">
        <v>9.151E9</v>
      </c>
      <c r="O1354" s="1">
        <v>7.74E9</v>
      </c>
      <c r="P1354" s="1">
        <v>7.108E9</v>
      </c>
      <c r="Q1354" s="1">
        <v>-1.09E8</v>
      </c>
      <c r="R1354" s="1">
        <v>1.037E9</v>
      </c>
      <c r="S1354" s="1">
        <v>1.037E9</v>
      </c>
    </row>
    <row r="1355">
      <c r="A1355" s="1">
        <v>1353.0</v>
      </c>
      <c r="B1355" s="2">
        <v>44286.0</v>
      </c>
      <c r="C1355" s="1" t="s">
        <v>716</v>
      </c>
      <c r="D1355" s="1" t="s">
        <v>717</v>
      </c>
      <c r="F1355" s="1">
        <v>3.016E9</v>
      </c>
      <c r="G1355" s="1">
        <v>2.195E9</v>
      </c>
      <c r="H1355" s="1">
        <v>5.31E8</v>
      </c>
      <c r="I1355" s="1">
        <v>1.74E9</v>
      </c>
      <c r="J1355" s="1">
        <v>1.209E9</v>
      </c>
      <c r="K1355" s="1">
        <v>1.209E9</v>
      </c>
      <c r="L1355" s="1">
        <v>-1.55E8</v>
      </c>
      <c r="M1355" s="1">
        <v>8.21E8</v>
      </c>
      <c r="N1355" s="1">
        <v>9.157E9</v>
      </c>
      <c r="O1355" s="1">
        <v>7.948E9</v>
      </c>
      <c r="P1355" s="1">
        <v>7.417E9</v>
      </c>
      <c r="Q1355" s="1">
        <v>1.807E9</v>
      </c>
      <c r="R1355" s="1">
        <v>2.195E9</v>
      </c>
      <c r="S1355" s="1">
        <v>2.195E9</v>
      </c>
    </row>
    <row r="1356">
      <c r="A1356" s="1">
        <v>1354.0</v>
      </c>
      <c r="B1356" s="2">
        <v>44196.0</v>
      </c>
      <c r="C1356" s="1" t="s">
        <v>716</v>
      </c>
      <c r="D1356" s="1" t="s">
        <v>717</v>
      </c>
      <c r="F1356" s="1">
        <v>3.05E8</v>
      </c>
      <c r="G1356" s="1">
        <v>3.3E8</v>
      </c>
      <c r="H1356" s="1">
        <v>1.681E9</v>
      </c>
      <c r="I1356" s="1">
        <v>2.09E9</v>
      </c>
      <c r="J1356" s="1">
        <v>4.09E8</v>
      </c>
      <c r="K1356" s="1">
        <v>4.09E8</v>
      </c>
      <c r="L1356" s="1">
        <v>-1.6E8</v>
      </c>
      <c r="M1356" s="1">
        <v>-2.5E7</v>
      </c>
      <c r="N1356" s="1">
        <v>1.0212E10</v>
      </c>
      <c r="O1356" s="1">
        <v>9.803E9</v>
      </c>
      <c r="P1356" s="1">
        <v>8.122E9</v>
      </c>
      <c r="Q1356" s="1">
        <v>-1.04E8</v>
      </c>
      <c r="R1356" s="1">
        <v>3.3E8</v>
      </c>
      <c r="S1356" s="1">
        <v>3.3E8</v>
      </c>
    </row>
    <row r="1357">
      <c r="A1357" s="1">
        <v>1355.0</v>
      </c>
      <c r="B1357" s="2">
        <v>44104.0</v>
      </c>
      <c r="C1357" s="1" t="s">
        <v>716</v>
      </c>
      <c r="D1357" s="1" t="s">
        <v>717</v>
      </c>
      <c r="F1357" s="1">
        <v>1.167E9</v>
      </c>
      <c r="G1357" s="1">
        <v>9.86E8</v>
      </c>
      <c r="H1357" s="1">
        <v>5.53E8</v>
      </c>
      <c r="I1357" s="1">
        <v>1.84E9</v>
      </c>
      <c r="J1357" s="1">
        <v>1.287E9</v>
      </c>
      <c r="K1357" s="1">
        <v>1.287E9</v>
      </c>
      <c r="L1357" s="1">
        <v>-1.54E8</v>
      </c>
      <c r="M1357" s="1">
        <v>1.81E8</v>
      </c>
      <c r="N1357" s="1">
        <v>9.083E9</v>
      </c>
      <c r="O1357" s="1">
        <v>7.796E9</v>
      </c>
      <c r="P1357" s="1">
        <v>7.243E9</v>
      </c>
      <c r="Q1357" s="1">
        <v>-1.2E8</v>
      </c>
      <c r="R1357" s="1">
        <v>9.86E8</v>
      </c>
      <c r="S1357" s="1">
        <v>9.86E8</v>
      </c>
    </row>
    <row r="1358">
      <c r="A1358" s="1">
        <v>1356.0</v>
      </c>
      <c r="B1358" s="2">
        <v>44379.0</v>
      </c>
      <c r="C1358" s="1" t="s">
        <v>718</v>
      </c>
      <c r="D1358" s="1" t="s">
        <v>719</v>
      </c>
      <c r="E1358" s="1">
        <v>6.8E7</v>
      </c>
      <c r="F1358" s="1">
        <v>2.52E8</v>
      </c>
      <c r="G1358" s="1">
        <v>1.81E8</v>
      </c>
      <c r="H1358" s="1">
        <v>2.01E8</v>
      </c>
      <c r="I1358" s="1">
        <v>5.84E8</v>
      </c>
      <c r="J1358" s="1">
        <v>2.94E8</v>
      </c>
      <c r="K1358" s="1">
        <v>2.94E8</v>
      </c>
      <c r="L1358" s="1">
        <v>-3.2E7</v>
      </c>
      <c r="M1358" s="1">
        <v>7.1E7</v>
      </c>
      <c r="N1358" s="1">
        <v>6.86E8</v>
      </c>
      <c r="O1358" s="1">
        <v>3.92E8</v>
      </c>
      <c r="P1358" s="1">
        <v>1.02E8</v>
      </c>
      <c r="Q1358" s="1">
        <v>-4.2E7</v>
      </c>
      <c r="R1358" s="1">
        <v>1.81E8</v>
      </c>
      <c r="S1358" s="1">
        <v>1.81E8</v>
      </c>
    </row>
    <row r="1359">
      <c r="A1359" s="1">
        <v>1357.0</v>
      </c>
      <c r="B1359" s="2">
        <v>44288.0</v>
      </c>
      <c r="C1359" s="1" t="s">
        <v>718</v>
      </c>
      <c r="D1359" s="1" t="s">
        <v>719</v>
      </c>
      <c r="E1359" s="1">
        <v>6.8E7</v>
      </c>
      <c r="F1359" s="1">
        <v>2.89E8</v>
      </c>
      <c r="G1359" s="1">
        <v>1.94E8</v>
      </c>
      <c r="H1359" s="1">
        <v>2.0E8</v>
      </c>
      <c r="I1359" s="1">
        <v>5.73E8</v>
      </c>
      <c r="J1359" s="1">
        <v>2.85E8</v>
      </c>
      <c r="K1359" s="1">
        <v>2.85E8</v>
      </c>
      <c r="L1359" s="1">
        <v>-3.5E7</v>
      </c>
      <c r="M1359" s="1">
        <v>8.1E7</v>
      </c>
      <c r="N1359" s="1">
        <v>6.72E8</v>
      </c>
      <c r="O1359" s="1">
        <v>3.87E8</v>
      </c>
      <c r="P1359" s="1">
        <v>9.9E7</v>
      </c>
      <c r="Q1359" s="1">
        <v>4000000.0</v>
      </c>
      <c r="R1359" s="1">
        <v>2.08E8</v>
      </c>
      <c r="S1359" s="1">
        <v>1.94E8</v>
      </c>
    </row>
    <row r="1360">
      <c r="A1360" s="1">
        <v>1358.0</v>
      </c>
      <c r="B1360" s="2">
        <v>44197.0</v>
      </c>
      <c r="C1360" s="1" t="s">
        <v>718</v>
      </c>
      <c r="D1360" s="1" t="s">
        <v>719</v>
      </c>
      <c r="E1360" s="1">
        <v>7.1E7</v>
      </c>
      <c r="F1360" s="1">
        <v>2.53E8</v>
      </c>
      <c r="G1360" s="1">
        <v>1.78E8</v>
      </c>
      <c r="H1360" s="1">
        <v>1.82E8</v>
      </c>
      <c r="I1360" s="1">
        <v>5.52E8</v>
      </c>
      <c r="J1360" s="1">
        <v>2.81E8</v>
      </c>
      <c r="K1360" s="1">
        <v>2.81E8</v>
      </c>
      <c r="L1360" s="1">
        <v>-3.2E7</v>
      </c>
      <c r="M1360" s="1">
        <v>8.0E7</v>
      </c>
      <c r="N1360" s="1">
        <v>6.39E8</v>
      </c>
      <c r="O1360" s="1">
        <v>3.58E8</v>
      </c>
      <c r="P1360" s="1">
        <v>8.7E7</v>
      </c>
      <c r="Q1360" s="1">
        <v>-2.8E7</v>
      </c>
      <c r="R1360" s="1">
        <v>1.73E8</v>
      </c>
      <c r="S1360" s="1">
        <v>1.78E8</v>
      </c>
    </row>
    <row r="1361">
      <c r="A1361" s="1">
        <v>1359.0</v>
      </c>
      <c r="B1361" s="2">
        <v>44106.0</v>
      </c>
      <c r="C1361" s="1" t="s">
        <v>718</v>
      </c>
      <c r="D1361" s="1" t="s">
        <v>719</v>
      </c>
      <c r="E1361" s="1">
        <v>6.3E7</v>
      </c>
      <c r="F1361" s="1">
        <v>2.31E8</v>
      </c>
      <c r="G1361" s="1">
        <v>6.4E7</v>
      </c>
      <c r="H1361" s="1">
        <v>1.86E8</v>
      </c>
      <c r="I1361" s="1">
        <v>5.36E8</v>
      </c>
      <c r="J1361" s="1">
        <v>2.69E8</v>
      </c>
      <c r="K1361" s="1">
        <v>2.69E8</v>
      </c>
      <c r="L1361" s="1">
        <v>-3.7E7</v>
      </c>
      <c r="M1361" s="1">
        <v>6.5E7</v>
      </c>
      <c r="N1361" s="1">
        <v>6.26E8</v>
      </c>
      <c r="O1361" s="1">
        <v>3.57E8</v>
      </c>
      <c r="P1361" s="1">
        <v>9.0E7</v>
      </c>
      <c r="Q1361" s="1">
        <v>-3.8E7</v>
      </c>
      <c r="R1361" s="1">
        <v>1.66E8</v>
      </c>
      <c r="S1361" s="1">
        <v>6.4E7</v>
      </c>
    </row>
    <row r="1362">
      <c r="A1362" s="1">
        <v>1360.0</v>
      </c>
      <c r="B1362" s="2">
        <v>44286.0</v>
      </c>
      <c r="C1362" s="1" t="s">
        <v>720</v>
      </c>
      <c r="D1362" s="1" t="s">
        <v>721</v>
      </c>
      <c r="F1362" s="1">
        <v>-1.368464E9</v>
      </c>
      <c r="G1362" s="1">
        <v>-1.370192E9</v>
      </c>
      <c r="H1362" s="1">
        <v>2.03293E8</v>
      </c>
      <c r="I1362" s="1">
        <v>-1.97755E8</v>
      </c>
      <c r="J1362" s="1">
        <v>-5.71364E8</v>
      </c>
      <c r="K1362" s="1">
        <v>-5.71364E8</v>
      </c>
      <c r="L1362" s="1">
        <v>-1.50422E8</v>
      </c>
      <c r="M1362" s="1">
        <v>1728000.0</v>
      </c>
      <c r="N1362" s="1">
        <v>3100000.0</v>
      </c>
      <c r="O1362" s="1">
        <v>5.74464E8</v>
      </c>
      <c r="P1362" s="1">
        <v>2.00855E8</v>
      </c>
      <c r="Q1362" s="1">
        <v>-7.971E8</v>
      </c>
      <c r="R1362" s="1">
        <v>-1.370192E9</v>
      </c>
      <c r="S1362" s="1">
        <v>-1.370192E9</v>
      </c>
    </row>
    <row r="1363">
      <c r="A1363" s="1">
        <v>1361.0</v>
      </c>
      <c r="B1363" s="2">
        <v>44196.0</v>
      </c>
      <c r="C1363" s="1" t="s">
        <v>720</v>
      </c>
      <c r="D1363" s="1" t="s">
        <v>721</v>
      </c>
      <c r="F1363" s="1">
        <v>-7.07409E8</v>
      </c>
      <c r="G1363" s="1">
        <v>-7.38933E8</v>
      </c>
      <c r="H1363" s="1">
        <v>1.86666E8</v>
      </c>
      <c r="I1363" s="1">
        <v>-1.97413E8</v>
      </c>
      <c r="J1363" s="1">
        <v>-5.46982E8</v>
      </c>
      <c r="K1363" s="1">
        <v>-5.46982E8</v>
      </c>
      <c r="L1363" s="1">
        <v>-1.59205E8</v>
      </c>
      <c r="M1363" s="1">
        <v>3.1524E7</v>
      </c>
      <c r="N1363" s="1">
        <v>9579000.0</v>
      </c>
      <c r="O1363" s="1">
        <v>5.56561E8</v>
      </c>
      <c r="P1363" s="1">
        <v>2.06992E8</v>
      </c>
      <c r="Q1363" s="1">
        <v>-1.60427E8</v>
      </c>
      <c r="R1363" s="1">
        <v>-7.38933E8</v>
      </c>
      <c r="S1363" s="1">
        <v>-7.38933E8</v>
      </c>
    </row>
    <row r="1364">
      <c r="A1364" s="1">
        <v>1362.0</v>
      </c>
      <c r="B1364" s="2">
        <v>44104.0</v>
      </c>
      <c r="C1364" s="1" t="s">
        <v>720</v>
      </c>
      <c r="D1364" s="1" t="s">
        <v>721</v>
      </c>
      <c r="F1364" s="1">
        <v>-6.81127E8</v>
      </c>
      <c r="G1364" s="1">
        <v>-6.77366E8</v>
      </c>
      <c r="H1364" s="1">
        <v>1.56656E8</v>
      </c>
      <c r="I1364" s="1">
        <v>-1.83639E8</v>
      </c>
      <c r="J1364" s="1">
        <v>-5.17783E8</v>
      </c>
      <c r="K1364" s="1">
        <v>-5.17783E8</v>
      </c>
      <c r="L1364" s="1">
        <v>-1.33028E8</v>
      </c>
      <c r="M1364" s="1">
        <v>-3761000.0</v>
      </c>
      <c r="N1364" s="1">
        <v>6518000.0</v>
      </c>
      <c r="O1364" s="1">
        <v>5.24301E8</v>
      </c>
      <c r="P1364" s="1">
        <v>1.90157E8</v>
      </c>
      <c r="Q1364" s="1">
        <v>-1.63344E8</v>
      </c>
      <c r="R1364" s="1">
        <v>-6.77366E8</v>
      </c>
      <c r="S1364" s="1">
        <v>-6.77366E8</v>
      </c>
    </row>
    <row r="1365">
      <c r="A1365" s="1">
        <v>1363.0</v>
      </c>
      <c r="B1365" s="2">
        <v>44012.0</v>
      </c>
      <c r="C1365" s="1" t="s">
        <v>720</v>
      </c>
      <c r="D1365" s="1" t="s">
        <v>721</v>
      </c>
      <c r="F1365" s="1">
        <v>-7.24366E8</v>
      </c>
      <c r="G1365" s="1">
        <v>-7.15243E8</v>
      </c>
      <c r="H1365" s="1">
        <v>1.31436E8</v>
      </c>
      <c r="I1365" s="1">
        <v>-2.84723E8</v>
      </c>
      <c r="J1365" s="1">
        <v>-5.95411E8</v>
      </c>
      <c r="K1365" s="1">
        <v>-5.95411E8</v>
      </c>
      <c r="L1365" s="1">
        <v>-9.3378E7</v>
      </c>
      <c r="M1365" s="1">
        <v>-9123000.0</v>
      </c>
      <c r="N1365" s="1">
        <v>1.6929E7</v>
      </c>
      <c r="O1365" s="1">
        <v>6.1234E8</v>
      </c>
      <c r="P1365" s="1">
        <v>3.01652E8</v>
      </c>
      <c r="Q1365" s="1">
        <v>-1.28955E8</v>
      </c>
      <c r="R1365" s="1">
        <v>-7.15243E8</v>
      </c>
      <c r="S1365" s="1">
        <v>-7.15243E8</v>
      </c>
    </row>
    <row r="1366">
      <c r="A1366" s="1">
        <v>1364.0</v>
      </c>
      <c r="B1366" s="2">
        <v>44286.0</v>
      </c>
      <c r="C1366" s="1" t="s">
        <v>722</v>
      </c>
      <c r="D1366" s="1" t="s">
        <v>723</v>
      </c>
      <c r="F1366" s="1">
        <v>-1.67E8</v>
      </c>
      <c r="G1366" s="1">
        <v>-8.2E7</v>
      </c>
      <c r="H1366" s="1">
        <v>3.3E8</v>
      </c>
      <c r="I1366" s="1">
        <v>1.227E9</v>
      </c>
      <c r="J1366" s="1">
        <v>-3.1E7</v>
      </c>
      <c r="K1366" s="1">
        <v>-3.1E7</v>
      </c>
      <c r="L1366" s="1">
        <v>-1.27E8</v>
      </c>
      <c r="M1366" s="1">
        <v>-8.5E7</v>
      </c>
      <c r="N1366" s="1">
        <v>8.091E9</v>
      </c>
      <c r="O1366" s="1">
        <v>8.122E9</v>
      </c>
      <c r="P1366" s="1">
        <v>6.864E9</v>
      </c>
      <c r="Q1366" s="1">
        <v>-1.36E8</v>
      </c>
      <c r="R1366" s="1">
        <v>-8.2E7</v>
      </c>
      <c r="S1366" s="1">
        <v>-8.2E7</v>
      </c>
    </row>
    <row r="1367">
      <c r="A1367" s="1">
        <v>1365.0</v>
      </c>
      <c r="B1367" s="2">
        <v>44196.0</v>
      </c>
      <c r="C1367" s="1" t="s">
        <v>722</v>
      </c>
      <c r="D1367" s="1" t="s">
        <v>723</v>
      </c>
      <c r="E1367" s="1">
        <v>2000000.0</v>
      </c>
      <c r="F1367" s="1">
        <v>-1.38E8</v>
      </c>
      <c r="G1367" s="1">
        <v>-1.73E8</v>
      </c>
      <c r="H1367" s="1">
        <v>2.46E8</v>
      </c>
      <c r="I1367" s="1">
        <v>4.12E8</v>
      </c>
      <c r="J1367" s="1">
        <v>4.7E7</v>
      </c>
      <c r="K1367" s="1">
        <v>4.7E7</v>
      </c>
      <c r="L1367" s="1">
        <v>-1.09E8</v>
      </c>
      <c r="M1367" s="1">
        <v>3.5E7</v>
      </c>
      <c r="N1367" s="1">
        <v>2.027E9</v>
      </c>
      <c r="O1367" s="1">
        <v>1.98E9</v>
      </c>
      <c r="P1367" s="1">
        <v>1.615E9</v>
      </c>
      <c r="Q1367" s="1">
        <v>-1.85E8</v>
      </c>
      <c r="R1367" s="1">
        <v>-1.73E8</v>
      </c>
      <c r="S1367" s="1">
        <v>-1.73E8</v>
      </c>
    </row>
    <row r="1368">
      <c r="A1368" s="1">
        <v>1366.0</v>
      </c>
      <c r="B1368" s="2">
        <v>44104.0</v>
      </c>
      <c r="C1368" s="1" t="s">
        <v>722</v>
      </c>
      <c r="D1368" s="1" t="s">
        <v>723</v>
      </c>
      <c r="E1368" s="1">
        <v>1000000.0</v>
      </c>
      <c r="F1368" s="1">
        <v>3.41E8</v>
      </c>
      <c r="G1368" s="1">
        <v>2.49E8</v>
      </c>
      <c r="H1368" s="1">
        <v>2.53E8</v>
      </c>
      <c r="I1368" s="1">
        <v>7.75E8</v>
      </c>
      <c r="J1368" s="1">
        <v>4.22E8</v>
      </c>
      <c r="K1368" s="1">
        <v>4.22E8</v>
      </c>
      <c r="L1368" s="1">
        <v>-9.9E7</v>
      </c>
      <c r="M1368" s="1">
        <v>9.2E7</v>
      </c>
      <c r="N1368" s="1">
        <v>2.809E9</v>
      </c>
      <c r="O1368" s="1">
        <v>2.387E9</v>
      </c>
      <c r="P1368" s="1">
        <v>2.034E9</v>
      </c>
      <c r="Q1368" s="1">
        <v>-8.1E7</v>
      </c>
      <c r="R1368" s="1">
        <v>2.49E8</v>
      </c>
      <c r="S1368" s="1">
        <v>2.49E8</v>
      </c>
    </row>
    <row r="1369">
      <c r="A1369" s="1">
        <v>1367.0</v>
      </c>
      <c r="B1369" s="2">
        <v>44012.0</v>
      </c>
      <c r="C1369" s="1" t="s">
        <v>722</v>
      </c>
      <c r="D1369" s="1" t="s">
        <v>723</v>
      </c>
      <c r="E1369" s="1">
        <v>2000000.0</v>
      </c>
      <c r="F1369" s="1">
        <v>4.14E8</v>
      </c>
      <c r="G1369" s="1">
        <v>3.13E8</v>
      </c>
      <c r="H1369" s="1">
        <v>2.08E8</v>
      </c>
      <c r="I1369" s="1">
        <v>8.04E8</v>
      </c>
      <c r="J1369" s="1">
        <v>4.84E8</v>
      </c>
      <c r="K1369" s="1">
        <v>4.84E8</v>
      </c>
      <c r="L1369" s="1">
        <v>-9.6E7</v>
      </c>
      <c r="M1369" s="1">
        <v>1.01E8</v>
      </c>
      <c r="N1369" s="1">
        <v>2.238E9</v>
      </c>
      <c r="O1369" s="1">
        <v>1.754E9</v>
      </c>
      <c r="P1369" s="1">
        <v>1.434E9</v>
      </c>
      <c r="Q1369" s="1">
        <v>-7.0E7</v>
      </c>
      <c r="R1369" s="1">
        <v>3.13E8</v>
      </c>
      <c r="S1369" s="1">
        <v>3.13E8</v>
      </c>
    </row>
    <row r="1370">
      <c r="A1370" s="1">
        <v>1368.0</v>
      </c>
      <c r="B1370" s="2">
        <v>44380.0</v>
      </c>
      <c r="C1370" s="1" t="s">
        <v>724</v>
      </c>
      <c r="D1370" s="1" t="s">
        <v>725</v>
      </c>
      <c r="F1370" s="1">
        <v>2.025748E9</v>
      </c>
      <c r="G1370" s="1">
        <v>1.506868E9</v>
      </c>
      <c r="H1370" s="1">
        <v>3.8707E8</v>
      </c>
      <c r="I1370" s="1">
        <v>2.473503E9</v>
      </c>
      <c r="J1370" s="1">
        <v>2.086433E9</v>
      </c>
      <c r="K1370" s="1">
        <v>2.086433E9</v>
      </c>
      <c r="L1370" s="1">
        <v>-3.578E7</v>
      </c>
      <c r="M1370" s="1">
        <v>4.54289E8</v>
      </c>
      <c r="N1370" s="1">
        <v>8.789164E9</v>
      </c>
      <c r="O1370" s="1">
        <v>6.702731E9</v>
      </c>
      <c r="P1370" s="1">
        <v>6.315661E9</v>
      </c>
      <c r="Q1370" s="1">
        <v>-6.0685E7</v>
      </c>
      <c r="R1370" s="1">
        <v>1.571459E9</v>
      </c>
      <c r="S1370" s="1">
        <v>1.506868E9</v>
      </c>
    </row>
    <row r="1371">
      <c r="A1371" s="1">
        <v>1369.0</v>
      </c>
      <c r="B1371" s="2">
        <v>44289.0</v>
      </c>
      <c r="C1371" s="1" t="s">
        <v>724</v>
      </c>
      <c r="D1371" s="1" t="s">
        <v>725</v>
      </c>
      <c r="F1371" s="1">
        <v>1.298246E9</v>
      </c>
      <c r="G1371" s="1">
        <v>9.42432E8</v>
      </c>
      <c r="H1371" s="1">
        <v>2.91124E8</v>
      </c>
      <c r="I1371" s="1">
        <v>1.622437E9</v>
      </c>
      <c r="J1371" s="1">
        <v>1.331313E9</v>
      </c>
      <c r="K1371" s="1">
        <v>1.331313E9</v>
      </c>
      <c r="L1371" s="1">
        <v>-4.097E7</v>
      </c>
      <c r="M1371" s="1">
        <v>3.10732E8</v>
      </c>
      <c r="N1371" s="1">
        <v>7.01714E9</v>
      </c>
      <c r="O1371" s="1">
        <v>5.685827E9</v>
      </c>
      <c r="P1371" s="1">
        <v>5.394703E9</v>
      </c>
      <c r="Q1371" s="1">
        <v>-3.3067E7</v>
      </c>
      <c r="R1371" s="1">
        <v>9.87514E8</v>
      </c>
      <c r="S1371" s="1">
        <v>9.37056E8</v>
      </c>
    </row>
    <row r="1372">
      <c r="A1372" s="1">
        <v>1370.0</v>
      </c>
      <c r="B1372" s="2">
        <v>44196.0</v>
      </c>
      <c r="C1372" s="1" t="s">
        <v>724</v>
      </c>
      <c r="D1372" s="1" t="s">
        <v>725</v>
      </c>
      <c r="F1372" s="1">
        <v>2.17766E8</v>
      </c>
      <c r="G1372" s="1">
        <v>3.98843E8</v>
      </c>
      <c r="H1372" s="1">
        <v>1.75078E8</v>
      </c>
      <c r="I1372" s="1">
        <v>7.39487E8</v>
      </c>
      <c r="J1372" s="1">
        <v>5.37409E8</v>
      </c>
      <c r="K1372" s="1">
        <v>5.37409E8</v>
      </c>
      <c r="L1372" s="1">
        <v>-3.7887E7</v>
      </c>
      <c r="M1372" s="1">
        <v>-2.081E8</v>
      </c>
      <c r="N1372" s="1">
        <v>5.260055E9</v>
      </c>
      <c r="O1372" s="1">
        <v>4.722646E9</v>
      </c>
      <c r="P1372" s="1">
        <v>4.520568E9</v>
      </c>
      <c r="Q1372" s="1">
        <v>-3.19643E8</v>
      </c>
      <c r="R1372" s="1">
        <v>4.25866E8</v>
      </c>
      <c r="S1372" s="1">
        <v>3.96669E8</v>
      </c>
    </row>
    <row r="1373">
      <c r="A1373" s="1">
        <v>1371.0</v>
      </c>
      <c r="B1373" s="2">
        <v>44107.0</v>
      </c>
      <c r="C1373" s="1" t="s">
        <v>724</v>
      </c>
      <c r="D1373" s="1" t="s">
        <v>725</v>
      </c>
      <c r="F1373" s="1">
        <v>2.90418E8</v>
      </c>
      <c r="G1373" s="1">
        <v>1.93415E8</v>
      </c>
      <c r="H1373" s="1">
        <v>1.49113E8</v>
      </c>
      <c r="I1373" s="1">
        <v>5.02195E8</v>
      </c>
      <c r="J1373" s="1">
        <v>3.53082E8</v>
      </c>
      <c r="K1373" s="1">
        <v>3.53082E8</v>
      </c>
      <c r="L1373" s="1">
        <v>-4.2281E7</v>
      </c>
      <c r="M1373" s="1">
        <v>6.7788E7</v>
      </c>
      <c r="N1373" s="1">
        <v>4.92796E9</v>
      </c>
      <c r="O1373" s="1">
        <v>4.574878E9</v>
      </c>
      <c r="P1373" s="1">
        <v>4.425765E9</v>
      </c>
      <c r="Q1373" s="1">
        <v>-6.2664E7</v>
      </c>
      <c r="R1373" s="1">
        <v>2.2263E8</v>
      </c>
      <c r="S1373" s="1">
        <v>1.92214E8</v>
      </c>
    </row>
    <row r="1374">
      <c r="A1374" s="1">
        <v>1372.0</v>
      </c>
      <c r="B1374" s="2">
        <v>44409.0</v>
      </c>
      <c r="C1374" s="1" t="s">
        <v>726</v>
      </c>
      <c r="D1374" s="1" t="s">
        <v>727</v>
      </c>
      <c r="E1374" s="1">
        <v>1.245E9</v>
      </c>
      <c r="F1374" s="1">
        <v>2.394E9</v>
      </c>
      <c r="G1374" s="1">
        <v>2.374E9</v>
      </c>
      <c r="H1374" s="1">
        <v>5.26E8</v>
      </c>
      <c r="I1374" s="1">
        <v>4.215E9</v>
      </c>
      <c r="J1374" s="1">
        <v>2.444E9</v>
      </c>
      <c r="K1374" s="1">
        <v>2.444E9</v>
      </c>
      <c r="L1374" s="1">
        <v>-6.0E7</v>
      </c>
      <c r="M1374" s="1">
        <v>2.0E7</v>
      </c>
      <c r="N1374" s="1">
        <v>6.507E9</v>
      </c>
      <c r="O1374" s="1">
        <v>4.063E9</v>
      </c>
      <c r="P1374" s="1">
        <v>2.292E9</v>
      </c>
      <c r="Q1374" s="1">
        <v>-5.0E7</v>
      </c>
      <c r="R1374" s="1">
        <v>2.374E9</v>
      </c>
      <c r="S1374" s="1">
        <v>2.374E9</v>
      </c>
    </row>
    <row r="1375">
      <c r="A1375" s="1">
        <v>1373.0</v>
      </c>
      <c r="B1375" s="2">
        <v>44318.0</v>
      </c>
      <c r="C1375" s="1" t="s">
        <v>726</v>
      </c>
      <c r="D1375" s="1" t="s">
        <v>727</v>
      </c>
      <c r="E1375" s="1">
        <v>1.153E9</v>
      </c>
      <c r="F1375" s="1">
        <v>2.044E9</v>
      </c>
      <c r="G1375" s="1">
        <v>1.912E9</v>
      </c>
      <c r="H1375" s="1">
        <v>5.2E8</v>
      </c>
      <c r="I1375" s="1">
        <v>3.629E9</v>
      </c>
      <c r="J1375" s="1">
        <v>1.956E9</v>
      </c>
      <c r="K1375" s="1">
        <v>1.956E9</v>
      </c>
      <c r="L1375" s="1">
        <v>-5.3E7</v>
      </c>
      <c r="M1375" s="1">
        <v>1.32E8</v>
      </c>
      <c r="N1375" s="1">
        <v>5.661E9</v>
      </c>
      <c r="O1375" s="1">
        <v>3.705E9</v>
      </c>
      <c r="P1375" s="1">
        <v>2.032E9</v>
      </c>
      <c r="Q1375" s="1">
        <v>8.8E7</v>
      </c>
      <c r="R1375" s="1">
        <v>1.912E9</v>
      </c>
      <c r="S1375" s="1">
        <v>1.912E9</v>
      </c>
    </row>
    <row r="1376">
      <c r="A1376" s="1">
        <v>1374.0</v>
      </c>
      <c r="B1376" s="2">
        <v>44227.0</v>
      </c>
      <c r="C1376" s="1" t="s">
        <v>726</v>
      </c>
      <c r="D1376" s="1" t="s">
        <v>727</v>
      </c>
      <c r="E1376" s="1">
        <v>1.146E9</v>
      </c>
      <c r="F1376" s="1">
        <v>1.47E9</v>
      </c>
      <c r="G1376" s="1">
        <v>1.457E9</v>
      </c>
      <c r="H1376" s="1">
        <v>5.02E8</v>
      </c>
      <c r="I1376" s="1">
        <v>3.156E9</v>
      </c>
      <c r="J1376" s="1">
        <v>1.508E9</v>
      </c>
      <c r="K1376" s="1">
        <v>1.508E9</v>
      </c>
      <c r="L1376" s="1">
        <v>-5.3E7</v>
      </c>
      <c r="M1376" s="1">
        <v>1.3E7</v>
      </c>
      <c r="N1376" s="1">
        <v>5.003E9</v>
      </c>
      <c r="O1376" s="1">
        <v>3.495E9</v>
      </c>
      <c r="P1376" s="1">
        <v>1.847E9</v>
      </c>
      <c r="Q1376" s="1">
        <v>-3.8E7</v>
      </c>
      <c r="R1376" s="1">
        <v>1.457E9</v>
      </c>
      <c r="S1376" s="1">
        <v>1.457E9</v>
      </c>
    </row>
    <row r="1377">
      <c r="A1377" s="1">
        <v>1375.0</v>
      </c>
      <c r="B1377" s="2">
        <v>44129.0</v>
      </c>
      <c r="C1377" s="1" t="s">
        <v>726</v>
      </c>
      <c r="D1377" s="1" t="s">
        <v>727</v>
      </c>
      <c r="E1377" s="1">
        <v>1.047E9</v>
      </c>
      <c r="F1377" s="1">
        <v>1.348E9</v>
      </c>
      <c r="G1377" s="1">
        <v>1.336E9</v>
      </c>
      <c r="H1377" s="1">
        <v>5.15E8</v>
      </c>
      <c r="I1377" s="1">
        <v>2.96E9</v>
      </c>
      <c r="J1377" s="1">
        <v>1.398E9</v>
      </c>
      <c r="K1377" s="1">
        <v>1.398E9</v>
      </c>
      <c r="L1377" s="1">
        <v>-5.3E7</v>
      </c>
      <c r="M1377" s="1">
        <v>1.2E7</v>
      </c>
      <c r="N1377" s="1">
        <v>4.726E9</v>
      </c>
      <c r="O1377" s="1">
        <v>3.328E9</v>
      </c>
      <c r="P1377" s="1">
        <v>1.766E9</v>
      </c>
      <c r="Q1377" s="1">
        <v>-5.0E7</v>
      </c>
      <c r="R1377" s="1">
        <v>1.336E9</v>
      </c>
      <c r="S1377" s="1">
        <v>1.336E9</v>
      </c>
    </row>
    <row r="1378">
      <c r="A1378" s="1">
        <v>1376.0</v>
      </c>
      <c r="B1378" s="2">
        <v>44377.0</v>
      </c>
      <c r="C1378" s="1" t="s">
        <v>728</v>
      </c>
      <c r="D1378" s="1" t="s">
        <v>728</v>
      </c>
      <c r="F1378" s="1">
        <v>4.17465E8</v>
      </c>
      <c r="G1378" s="1">
        <v>3.21295E8</v>
      </c>
      <c r="H1378" s="1">
        <v>1.13406E8</v>
      </c>
      <c r="I1378" s="1">
        <v>5.36521E8</v>
      </c>
      <c r="J1378" s="1">
        <v>4.23115E8</v>
      </c>
      <c r="K1378" s="1">
        <v>4.23115E8</v>
      </c>
      <c r="L1378" s="1">
        <v>-1.285E7</v>
      </c>
      <c r="M1378" s="1">
        <v>9.617E7</v>
      </c>
      <c r="N1378" s="1">
        <v>2.287439E9</v>
      </c>
      <c r="O1378" s="1">
        <v>1.864324E9</v>
      </c>
      <c r="P1378" s="1">
        <v>1.750918E9</v>
      </c>
      <c r="Q1378" s="1">
        <v>-5650000.0</v>
      </c>
      <c r="R1378" s="1">
        <v>3.21295E8</v>
      </c>
      <c r="S1378" s="1">
        <v>3.21295E8</v>
      </c>
    </row>
    <row r="1379">
      <c r="A1379" s="1">
        <v>1377.0</v>
      </c>
      <c r="B1379" s="2">
        <v>44286.0</v>
      </c>
      <c r="C1379" s="1" t="s">
        <v>728</v>
      </c>
      <c r="D1379" s="1" t="s">
        <v>728</v>
      </c>
      <c r="F1379" s="1">
        <v>3.12006E8</v>
      </c>
      <c r="G1379" s="1">
        <v>2.48762E8</v>
      </c>
      <c r="H1379" s="1">
        <v>1.21419E8</v>
      </c>
      <c r="I1379" s="1">
        <v>4.46431E8</v>
      </c>
      <c r="J1379" s="1">
        <v>3.25012E8</v>
      </c>
      <c r="K1379" s="1">
        <v>3.25012E8</v>
      </c>
      <c r="L1379" s="1">
        <v>-1.3006E7</v>
      </c>
      <c r="M1379" s="1">
        <v>6.3244E7</v>
      </c>
      <c r="N1379" s="1">
        <v>2.045064E9</v>
      </c>
      <c r="O1379" s="1">
        <v>1.720052E9</v>
      </c>
      <c r="P1379" s="1">
        <v>1.598633E9</v>
      </c>
      <c r="Q1379" s="1">
        <v>-1.3006E7</v>
      </c>
      <c r="R1379" s="1">
        <v>2.48762E8</v>
      </c>
      <c r="S1379" s="1">
        <v>2.48762E8</v>
      </c>
    </row>
    <row r="1380">
      <c r="A1380" s="1">
        <v>1378.0</v>
      </c>
      <c r="B1380" s="2">
        <v>44196.0</v>
      </c>
      <c r="C1380" s="1" t="s">
        <v>728</v>
      </c>
      <c r="D1380" s="1" t="s">
        <v>728</v>
      </c>
      <c r="F1380" s="1">
        <v>3.8537E8</v>
      </c>
      <c r="G1380" s="1">
        <v>3.05004E8</v>
      </c>
      <c r="H1380" s="1">
        <v>1.12398E8</v>
      </c>
      <c r="I1380" s="1">
        <v>5.03637E8</v>
      </c>
      <c r="J1380" s="1">
        <v>3.91239E8</v>
      </c>
      <c r="K1380" s="1">
        <v>3.91239E8</v>
      </c>
      <c r="L1380" s="1">
        <v>-1.2769E7</v>
      </c>
      <c r="M1380" s="1">
        <v>8.0366E7</v>
      </c>
      <c r="N1380" s="1">
        <v>2.353606E9</v>
      </c>
      <c r="O1380" s="1">
        <v>1.962367E9</v>
      </c>
      <c r="P1380" s="1">
        <v>1.849969E9</v>
      </c>
      <c r="Q1380" s="1">
        <v>-5869000.0</v>
      </c>
      <c r="R1380" s="1">
        <v>3.05004E8</v>
      </c>
      <c r="S1380" s="1">
        <v>3.05004E8</v>
      </c>
    </row>
    <row r="1381">
      <c r="A1381" s="1">
        <v>1379.0</v>
      </c>
      <c r="B1381" s="2">
        <v>44104.0</v>
      </c>
      <c r="C1381" s="1" t="s">
        <v>728</v>
      </c>
      <c r="D1381" s="1" t="s">
        <v>728</v>
      </c>
      <c r="F1381" s="1">
        <v>3.21457E8</v>
      </c>
      <c r="G1381" s="1">
        <v>2.56466E8</v>
      </c>
      <c r="H1381" s="1">
        <v>1.05741E8</v>
      </c>
      <c r="I1381" s="1">
        <v>4.33707E8</v>
      </c>
      <c r="J1381" s="1">
        <v>3.27966E8</v>
      </c>
      <c r="K1381" s="1">
        <v>3.27966E8</v>
      </c>
      <c r="L1381" s="1">
        <v>-1.1309E7</v>
      </c>
      <c r="M1381" s="1">
        <v>6.4991E7</v>
      </c>
      <c r="N1381" s="1">
        <v>1.994222E9</v>
      </c>
      <c r="O1381" s="1">
        <v>1.666256E9</v>
      </c>
      <c r="P1381" s="1">
        <v>1.560515E9</v>
      </c>
      <c r="Q1381" s="1">
        <v>-6509000.0</v>
      </c>
      <c r="R1381" s="1">
        <v>2.56466E8</v>
      </c>
      <c r="S1381" s="1">
        <v>2.56466E8</v>
      </c>
    </row>
    <row r="1382">
      <c r="A1382" s="1">
        <v>1380.0</v>
      </c>
      <c r="B1382" s="2">
        <v>44381.0</v>
      </c>
      <c r="C1382" s="1" t="s">
        <v>729</v>
      </c>
      <c r="D1382" s="1" t="s">
        <v>730</v>
      </c>
      <c r="E1382" s="1">
        <v>4.75E8</v>
      </c>
      <c r="F1382" s="1">
        <v>4.71E8</v>
      </c>
      <c r="G1382" s="1">
        <v>3.97E8</v>
      </c>
      <c r="H1382" s="1">
        <v>2.34E8</v>
      </c>
      <c r="I1382" s="1">
        <v>1.422E9</v>
      </c>
      <c r="J1382" s="1">
        <v>5.74E8</v>
      </c>
      <c r="K1382" s="1">
        <v>5.74E8</v>
      </c>
      <c r="L1382" s="1">
        <v>-9.0E7</v>
      </c>
      <c r="M1382" s="1">
        <v>6.5E7</v>
      </c>
      <c r="N1382" s="1">
        <v>2.596E9</v>
      </c>
      <c r="O1382" s="1">
        <v>2.022E9</v>
      </c>
      <c r="P1382" s="1">
        <v>1.174E9</v>
      </c>
      <c r="Q1382" s="1">
        <v>-1.03E8</v>
      </c>
      <c r="R1382" s="1">
        <v>4.06E8</v>
      </c>
      <c r="S1382" s="1">
        <v>3.97E8</v>
      </c>
    </row>
    <row r="1383">
      <c r="A1383" s="1">
        <v>1381.0</v>
      </c>
      <c r="B1383" s="2">
        <v>44290.0</v>
      </c>
      <c r="C1383" s="1" t="s">
        <v>729</v>
      </c>
      <c r="D1383" s="1" t="s">
        <v>730</v>
      </c>
      <c r="E1383" s="1">
        <v>4.61E8</v>
      </c>
      <c r="F1383" s="1">
        <v>4.04E8</v>
      </c>
      <c r="G1383" s="1">
        <v>3.53E8</v>
      </c>
      <c r="H1383" s="1">
        <v>2.22E8</v>
      </c>
      <c r="I1383" s="1">
        <v>1.355E9</v>
      </c>
      <c r="J1383" s="1">
        <v>4.92E8</v>
      </c>
      <c r="K1383" s="1">
        <v>4.92E8</v>
      </c>
      <c r="L1383" s="1">
        <v>-8.7E7</v>
      </c>
      <c r="M1383" s="1">
        <v>4.0E7</v>
      </c>
      <c r="N1383" s="1">
        <v>2.567E9</v>
      </c>
      <c r="O1383" s="1">
        <v>2.075E9</v>
      </c>
      <c r="P1383" s="1">
        <v>1.212E9</v>
      </c>
      <c r="Q1383" s="1">
        <v>-8.8E7</v>
      </c>
      <c r="R1383" s="1">
        <v>3.64E8</v>
      </c>
      <c r="S1383" s="1">
        <v>3.53E8</v>
      </c>
    </row>
    <row r="1384">
      <c r="A1384" s="1">
        <v>1382.0</v>
      </c>
      <c r="B1384" s="2">
        <v>44196.0</v>
      </c>
      <c r="C1384" s="1" t="s">
        <v>729</v>
      </c>
      <c r="D1384" s="1" t="s">
        <v>730</v>
      </c>
      <c r="E1384" s="1">
        <v>4.38E8</v>
      </c>
      <c r="F1384" s="1">
        <v>3.25E8</v>
      </c>
      <c r="G1384" s="1">
        <v>3.09E8</v>
      </c>
      <c r="H1384" s="1">
        <v>2.15E8</v>
      </c>
      <c r="I1384" s="1">
        <v>1.288E9</v>
      </c>
      <c r="J1384" s="1">
        <v>5.27E8</v>
      </c>
      <c r="K1384" s="1">
        <v>5.27E8</v>
      </c>
      <c r="L1384" s="1">
        <v>-8.6E7</v>
      </c>
      <c r="M1384" s="1">
        <v>5000000.0</v>
      </c>
      <c r="N1384" s="1">
        <v>2.507E9</v>
      </c>
      <c r="O1384" s="1">
        <v>1.98E9</v>
      </c>
      <c r="P1384" s="1">
        <v>1.219E9</v>
      </c>
      <c r="Q1384" s="1">
        <v>-2.02E8</v>
      </c>
      <c r="R1384" s="1">
        <v>3.2E8</v>
      </c>
      <c r="S1384" s="1">
        <v>3.09E8</v>
      </c>
    </row>
    <row r="1385">
      <c r="A1385" s="1">
        <v>1383.0</v>
      </c>
      <c r="B1385" s="2">
        <v>44101.0</v>
      </c>
      <c r="C1385" s="1" t="s">
        <v>729</v>
      </c>
      <c r="D1385" s="1" t="s">
        <v>730</v>
      </c>
      <c r="E1385" s="1">
        <v>4.31E8</v>
      </c>
      <c r="F1385" s="1">
        <v>-7.5E7</v>
      </c>
      <c r="G1385" s="1">
        <v>-2.2E7</v>
      </c>
      <c r="H1385" s="1">
        <v>2.01E8</v>
      </c>
      <c r="I1385" s="1">
        <v>1.102E9</v>
      </c>
      <c r="J1385" s="1">
        <v>5.3E7</v>
      </c>
      <c r="K1385" s="1">
        <v>5.3E7</v>
      </c>
      <c r="L1385" s="1">
        <v>-1.0E8</v>
      </c>
      <c r="M1385" s="1">
        <v>-5.7E7</v>
      </c>
      <c r="N1385" s="1">
        <v>2.267E9</v>
      </c>
      <c r="O1385" s="1">
        <v>2.214E9</v>
      </c>
      <c r="P1385" s="1">
        <v>1.165E9</v>
      </c>
      <c r="Q1385" s="1">
        <v>-1.28E8</v>
      </c>
      <c r="R1385" s="1">
        <v>-1.8E7</v>
      </c>
      <c r="S1385" s="1">
        <v>-2.2E7</v>
      </c>
    </row>
    <row r="1386">
      <c r="A1386" s="1">
        <v>1384.0</v>
      </c>
      <c r="B1386" s="2">
        <v>44286.0</v>
      </c>
      <c r="C1386" s="1" t="s">
        <v>731</v>
      </c>
      <c r="D1386" s="1" t="s">
        <v>732</v>
      </c>
      <c r="F1386" s="1">
        <v>6.55827E8</v>
      </c>
      <c r="G1386" s="1">
        <v>5.01609E8</v>
      </c>
      <c r="H1386" s="1">
        <v>9.4969E8</v>
      </c>
      <c r="I1386" s="1">
        <v>1.640795E9</v>
      </c>
      <c r="J1386" s="1">
        <v>6.91105E8</v>
      </c>
      <c r="K1386" s="1">
        <v>6.91105E8</v>
      </c>
      <c r="L1386" s="1">
        <v>-3.7506E7</v>
      </c>
      <c r="M1386" s="1">
        <v>1.54218E8</v>
      </c>
      <c r="N1386" s="1">
        <v>3.090899E9</v>
      </c>
      <c r="O1386" s="1">
        <v>2.399794E9</v>
      </c>
      <c r="P1386" s="1">
        <v>1.450104E9</v>
      </c>
      <c r="Q1386" s="1">
        <v>-3.5278E7</v>
      </c>
      <c r="R1386" s="1">
        <v>5.01609E8</v>
      </c>
      <c r="S1386" s="1">
        <v>5.01609E8</v>
      </c>
    </row>
    <row r="1387">
      <c r="A1387" s="1">
        <v>1385.0</v>
      </c>
      <c r="B1387" s="2">
        <v>44196.0</v>
      </c>
      <c r="C1387" s="1" t="s">
        <v>731</v>
      </c>
      <c r="D1387" s="1" t="s">
        <v>732</v>
      </c>
      <c r="F1387" s="1">
        <v>4.99929E8</v>
      </c>
      <c r="G1387" s="1">
        <v>3.92945E8</v>
      </c>
      <c r="H1387" s="1">
        <v>6.31466E8</v>
      </c>
      <c r="I1387" s="1">
        <v>1.472138E9</v>
      </c>
      <c r="J1387" s="1">
        <v>5.37672E8</v>
      </c>
      <c r="K1387" s="1">
        <v>5.37672E8</v>
      </c>
      <c r="L1387" s="1">
        <v>-3.8349E7</v>
      </c>
      <c r="M1387" s="1">
        <v>1.06984E8</v>
      </c>
      <c r="N1387" s="1">
        <v>2.828773E9</v>
      </c>
      <c r="O1387" s="1">
        <v>2.291101E9</v>
      </c>
      <c r="P1387" s="1">
        <v>1.356635E9</v>
      </c>
      <c r="Q1387" s="1">
        <v>-3.7743E7</v>
      </c>
      <c r="R1387" s="1">
        <v>3.92945E8</v>
      </c>
      <c r="S1387" s="1">
        <v>3.92945E8</v>
      </c>
    </row>
    <row r="1388">
      <c r="A1388" s="1">
        <v>1386.0</v>
      </c>
      <c r="B1388" s="2">
        <v>44104.0</v>
      </c>
      <c r="C1388" s="1" t="s">
        <v>731</v>
      </c>
      <c r="D1388" s="1" t="s">
        <v>732</v>
      </c>
      <c r="F1388" s="1">
        <v>6.86406E8</v>
      </c>
      <c r="G1388" s="1">
        <v>5.27252E8</v>
      </c>
      <c r="H1388" s="1">
        <v>9.55455E8</v>
      </c>
      <c r="I1388" s="1">
        <v>1.680468E9</v>
      </c>
      <c r="J1388" s="1">
        <v>7.25013E8</v>
      </c>
      <c r="K1388" s="1">
        <v>7.25013E8</v>
      </c>
      <c r="L1388" s="1">
        <v>-4.1668E7</v>
      </c>
      <c r="M1388" s="1">
        <v>1.59154E8</v>
      </c>
      <c r="N1388" s="1">
        <v>3.207638E9</v>
      </c>
      <c r="O1388" s="1">
        <v>2.482625E9</v>
      </c>
      <c r="P1388" s="1">
        <v>1.52717E9</v>
      </c>
      <c r="Q1388" s="1">
        <v>-3.8607E7</v>
      </c>
      <c r="R1388" s="1">
        <v>5.27252E8</v>
      </c>
      <c r="S1388" s="1">
        <v>5.27252E8</v>
      </c>
    </row>
    <row r="1389">
      <c r="A1389" s="1">
        <v>1387.0</v>
      </c>
      <c r="B1389" s="2">
        <v>44012.0</v>
      </c>
      <c r="C1389" s="1" t="s">
        <v>731</v>
      </c>
      <c r="D1389" s="1" t="s">
        <v>732</v>
      </c>
      <c r="F1389" s="1">
        <v>7.0041E8</v>
      </c>
      <c r="G1389" s="1">
        <v>5.31667E8</v>
      </c>
      <c r="H1389" s="1">
        <v>9.0069E8</v>
      </c>
      <c r="I1389" s="1">
        <v>1.63718E9</v>
      </c>
      <c r="J1389" s="1">
        <v>7.3649E8</v>
      </c>
      <c r="K1389" s="1">
        <v>7.3649E8</v>
      </c>
      <c r="L1389" s="1">
        <v>-4.1723E7</v>
      </c>
      <c r="M1389" s="1">
        <v>1.68743E8</v>
      </c>
      <c r="N1389" s="1">
        <v>3.091595E9</v>
      </c>
      <c r="O1389" s="1">
        <v>2.355105E9</v>
      </c>
      <c r="P1389" s="1">
        <v>1.454415E9</v>
      </c>
      <c r="Q1389" s="1">
        <v>-3.608E7</v>
      </c>
      <c r="R1389" s="1">
        <v>5.31667E8</v>
      </c>
      <c r="S1389" s="1">
        <v>5.31667E8</v>
      </c>
    </row>
    <row r="1390">
      <c r="A1390" s="1">
        <v>1388.0</v>
      </c>
      <c r="B1390" s="2">
        <v>44377.0</v>
      </c>
      <c r="C1390" s="1" t="s">
        <v>733</v>
      </c>
      <c r="D1390" s="1" t="s">
        <v>734</v>
      </c>
      <c r="F1390" s="1">
        <v>1.43E8</v>
      </c>
      <c r="G1390" s="1">
        <v>1.03E8</v>
      </c>
      <c r="H1390" s="1">
        <v>1.77E8</v>
      </c>
      <c r="I1390" s="1">
        <v>3.719E9</v>
      </c>
      <c r="J1390" s="1">
        <v>5.72E8</v>
      </c>
      <c r="K1390" s="1">
        <v>5.72E8</v>
      </c>
      <c r="L1390" s="1">
        <v>-6.08E8</v>
      </c>
      <c r="M1390" s="1">
        <v>4.3E7</v>
      </c>
      <c r="N1390" s="1">
        <v>5.958E9</v>
      </c>
      <c r="O1390" s="1">
        <v>5.386E9</v>
      </c>
      <c r="P1390" s="1">
        <v>2.239E9</v>
      </c>
      <c r="Q1390" s="1">
        <v>-4.29E8</v>
      </c>
      <c r="R1390" s="1">
        <v>1.0E8</v>
      </c>
      <c r="S1390" s="1">
        <v>-9.7E7</v>
      </c>
    </row>
    <row r="1391">
      <c r="A1391" s="1">
        <v>1389.0</v>
      </c>
      <c r="B1391" s="2">
        <v>44286.0</v>
      </c>
      <c r="C1391" s="1" t="s">
        <v>733</v>
      </c>
      <c r="D1391" s="1" t="s">
        <v>734</v>
      </c>
      <c r="F1391" s="1">
        <v>3.15E8</v>
      </c>
      <c r="G1391" s="1">
        <v>-1.46E8</v>
      </c>
      <c r="H1391" s="1">
        <v>1.66E8</v>
      </c>
      <c r="I1391" s="1">
        <v>3.036E9</v>
      </c>
      <c r="J1391" s="1">
        <v>4.5E7</v>
      </c>
      <c r="K1391" s="1">
        <v>4.5E7</v>
      </c>
      <c r="L1391" s="1">
        <v>4000000.0</v>
      </c>
      <c r="M1391" s="1">
        <v>1.6E7</v>
      </c>
      <c r="N1391" s="1">
        <v>5.293E9</v>
      </c>
      <c r="O1391" s="1">
        <v>5.248E9</v>
      </c>
      <c r="P1391" s="1">
        <v>2.257E9</v>
      </c>
      <c r="Q1391" s="1">
        <v>2.7E8</v>
      </c>
      <c r="R1391" s="1">
        <v>2.99E8</v>
      </c>
      <c r="S1391" s="1">
        <v>-3.46E8</v>
      </c>
    </row>
    <row r="1392">
      <c r="A1392" s="1">
        <v>1390.0</v>
      </c>
      <c r="B1392" s="2">
        <v>44196.0</v>
      </c>
      <c r="C1392" s="1" t="s">
        <v>733</v>
      </c>
      <c r="D1392" s="1" t="s">
        <v>734</v>
      </c>
      <c r="F1392" s="1">
        <v>-1.425E9</v>
      </c>
      <c r="G1392" s="1">
        <v>-1.112E9</v>
      </c>
      <c r="H1392" s="1">
        <v>2.09E8</v>
      </c>
      <c r="I1392" s="1">
        <v>2.2E9</v>
      </c>
      <c r="J1392" s="1">
        <v>-3.52E8</v>
      </c>
      <c r="K1392" s="1">
        <v>-3.52E8</v>
      </c>
      <c r="L1392" s="1">
        <v>-2.6E8</v>
      </c>
      <c r="M1392" s="1">
        <v>-2.76E8</v>
      </c>
      <c r="N1392" s="1">
        <v>4.16E9</v>
      </c>
      <c r="O1392" s="1">
        <v>4.512E9</v>
      </c>
      <c r="P1392" s="1">
        <v>1.96E9</v>
      </c>
      <c r="Q1392" s="1">
        <v>-1.073E9</v>
      </c>
      <c r="R1392" s="1">
        <v>-1.149E9</v>
      </c>
      <c r="S1392" s="1">
        <v>-1.312E9</v>
      </c>
    </row>
    <row r="1393">
      <c r="A1393" s="1">
        <v>1391.0</v>
      </c>
      <c r="B1393" s="2">
        <v>44104.0</v>
      </c>
      <c r="C1393" s="1" t="s">
        <v>733</v>
      </c>
      <c r="D1393" s="1" t="s">
        <v>734</v>
      </c>
      <c r="F1393" s="1">
        <v>-4.058E9</v>
      </c>
      <c r="G1393" s="1">
        <v>-3.575E9</v>
      </c>
      <c r="H1393" s="1">
        <v>1.66E8</v>
      </c>
      <c r="I1393" s="1">
        <v>2.158E9</v>
      </c>
      <c r="J1393" s="1">
        <v>-3.84E8</v>
      </c>
      <c r="K1393" s="1">
        <v>-3.84E8</v>
      </c>
      <c r="L1393" s="1">
        <v>-2.65E8</v>
      </c>
      <c r="M1393" s="1">
        <v>-4.03E8</v>
      </c>
      <c r="N1393" s="1">
        <v>4.108E9</v>
      </c>
      <c r="O1393" s="1">
        <v>4.492E9</v>
      </c>
      <c r="P1393" s="1">
        <v>1.95E9</v>
      </c>
      <c r="Q1393" s="1">
        <v>-3.674E9</v>
      </c>
      <c r="R1393" s="1">
        <v>-3.655E9</v>
      </c>
      <c r="S1393" s="1">
        <v>-3.778E9</v>
      </c>
    </row>
    <row r="1394">
      <c r="A1394" s="1">
        <v>1392.0</v>
      </c>
      <c r="B1394" s="2">
        <v>44469.0</v>
      </c>
      <c r="C1394" s="1" t="s">
        <v>735</v>
      </c>
      <c r="D1394" s="1" t="s">
        <v>736</v>
      </c>
      <c r="F1394" s="1">
        <v>3.82951E8</v>
      </c>
      <c r="G1394" s="1">
        <v>2.86634E8</v>
      </c>
      <c r="H1394" s="1">
        <v>5.2986E7</v>
      </c>
      <c r="I1394" s="1">
        <v>5.43077E8</v>
      </c>
      <c r="J1394" s="1">
        <v>3.8341E8</v>
      </c>
      <c r="K1394" s="1">
        <v>3.8341E8</v>
      </c>
      <c r="L1394" s="1">
        <v>-371000.0</v>
      </c>
      <c r="M1394" s="1">
        <v>9.6317E7</v>
      </c>
      <c r="N1394" s="1">
        <v>1.400046E9</v>
      </c>
      <c r="O1394" s="1">
        <v>1.016636E9</v>
      </c>
      <c r="P1394" s="1">
        <v>8.56969E8</v>
      </c>
      <c r="Q1394" s="1">
        <v>-459000.0</v>
      </c>
      <c r="R1394" s="1">
        <v>2.86634E8</v>
      </c>
      <c r="S1394" s="1">
        <v>2.86634E8</v>
      </c>
    </row>
    <row r="1395">
      <c r="A1395" s="1">
        <v>1393.0</v>
      </c>
      <c r="B1395" s="2">
        <v>44377.0</v>
      </c>
      <c r="C1395" s="1" t="s">
        <v>735</v>
      </c>
      <c r="D1395" s="1" t="s">
        <v>736</v>
      </c>
      <c r="F1395" s="1">
        <v>3.64388E8</v>
      </c>
      <c r="G1395" s="1">
        <v>2.69576E8</v>
      </c>
      <c r="H1395" s="1">
        <v>4.941E7</v>
      </c>
      <c r="I1395" s="1">
        <v>5.17997E8</v>
      </c>
      <c r="J1395" s="1">
        <v>3.66044E8</v>
      </c>
      <c r="K1395" s="1">
        <v>3.66044E8</v>
      </c>
      <c r="L1395" s="1">
        <v>-465000.0</v>
      </c>
      <c r="M1395" s="1">
        <v>9.4812E7</v>
      </c>
      <c r="N1395" s="1">
        <v>1.319409E9</v>
      </c>
      <c r="O1395" s="1">
        <v>9.53365E8</v>
      </c>
      <c r="P1395" s="1">
        <v>8.01412E8</v>
      </c>
      <c r="Q1395" s="1">
        <v>-1656000.0</v>
      </c>
      <c r="R1395" s="1">
        <v>2.69576E8</v>
      </c>
      <c r="S1395" s="1">
        <v>2.69576E8</v>
      </c>
    </row>
    <row r="1396">
      <c r="A1396" s="1">
        <v>1394.0</v>
      </c>
      <c r="B1396" s="2">
        <v>44286.0</v>
      </c>
      <c r="C1396" s="1" t="s">
        <v>735</v>
      </c>
      <c r="D1396" s="1" t="s">
        <v>736</v>
      </c>
      <c r="F1396" s="1">
        <v>2.69308E8</v>
      </c>
      <c r="G1396" s="1">
        <v>1.99359E8</v>
      </c>
      <c r="H1396" s="1">
        <v>4.409E7</v>
      </c>
      <c r="I1396" s="1">
        <v>4.1379E8</v>
      </c>
      <c r="J1396" s="1">
        <v>2.69657E8</v>
      </c>
      <c r="K1396" s="1">
        <v>2.69657E8</v>
      </c>
      <c r="L1396" s="1">
        <v>-507000.0</v>
      </c>
      <c r="M1396" s="1">
        <v>6.9949E7</v>
      </c>
      <c r="N1396" s="1">
        <v>1.126515E9</v>
      </c>
      <c r="O1396" s="1">
        <v>8.56858E8</v>
      </c>
      <c r="P1396" s="1">
        <v>7.12725E8</v>
      </c>
      <c r="Q1396" s="1">
        <v>-349000.0</v>
      </c>
      <c r="R1396" s="1">
        <v>1.99359E8</v>
      </c>
      <c r="S1396" s="1">
        <v>1.99359E8</v>
      </c>
    </row>
    <row r="1397">
      <c r="A1397" s="1">
        <v>1395.0</v>
      </c>
      <c r="B1397" s="2">
        <v>44196.0</v>
      </c>
      <c r="C1397" s="1" t="s">
        <v>735</v>
      </c>
      <c r="D1397" s="1" t="s">
        <v>736</v>
      </c>
      <c r="F1397" s="1">
        <v>2.53323E8</v>
      </c>
      <c r="G1397" s="1">
        <v>1.89832E8</v>
      </c>
      <c r="H1397" s="1">
        <v>3.319E7</v>
      </c>
      <c r="I1397" s="1">
        <v>3.88259E8</v>
      </c>
      <c r="J1397" s="1">
        <v>2.54302E8</v>
      </c>
      <c r="K1397" s="1">
        <v>2.54302E8</v>
      </c>
      <c r="L1397" s="1">
        <v>-846000.0</v>
      </c>
      <c r="M1397" s="1">
        <v>6.3491E7</v>
      </c>
      <c r="N1397" s="1">
        <v>1.073389E9</v>
      </c>
      <c r="O1397" s="1">
        <v>8.19087E8</v>
      </c>
      <c r="P1397" s="1">
        <v>6.8513E8</v>
      </c>
      <c r="Q1397" s="1">
        <v>-979000.0</v>
      </c>
      <c r="R1397" s="1">
        <v>1.89832E8</v>
      </c>
      <c r="S1397" s="1">
        <v>1.89832E8</v>
      </c>
    </row>
    <row r="1398">
      <c r="A1398" s="1">
        <v>1396.0</v>
      </c>
      <c r="B1398" s="2">
        <v>44469.0</v>
      </c>
      <c r="C1398" s="1" t="s">
        <v>737</v>
      </c>
      <c r="D1398" s="1" t="s">
        <v>738</v>
      </c>
      <c r="F1398" s="1">
        <v>5.001E8</v>
      </c>
      <c r="G1398" s="1">
        <v>3.556E8</v>
      </c>
      <c r="H1398" s="1">
        <v>9.5E7</v>
      </c>
      <c r="I1398" s="1">
        <v>6.877E8</v>
      </c>
      <c r="J1398" s="1">
        <v>5.416E8</v>
      </c>
      <c r="K1398" s="1">
        <v>5.416E8</v>
      </c>
      <c r="L1398" s="1">
        <v>-5.07E7</v>
      </c>
      <c r="M1398" s="1">
        <v>1.2E8</v>
      </c>
      <c r="N1398" s="1">
        <v>3.435E9</v>
      </c>
      <c r="O1398" s="1">
        <v>2.8934E9</v>
      </c>
      <c r="P1398" s="1">
        <v>2.7473E9</v>
      </c>
      <c r="Q1398" s="1">
        <v>-4.15E7</v>
      </c>
      <c r="R1398" s="1">
        <v>3.801E8</v>
      </c>
      <c r="S1398" s="1">
        <v>3.556E8</v>
      </c>
    </row>
    <row r="1399">
      <c r="A1399" s="1">
        <v>1397.0</v>
      </c>
      <c r="B1399" s="2">
        <v>44377.0</v>
      </c>
      <c r="C1399" s="1" t="s">
        <v>737</v>
      </c>
      <c r="D1399" s="1" t="s">
        <v>738</v>
      </c>
      <c r="F1399" s="1">
        <v>4.948E8</v>
      </c>
      <c r="G1399" s="1">
        <v>3.482E8</v>
      </c>
      <c r="H1399" s="1">
        <v>1.032E8</v>
      </c>
      <c r="I1399" s="1">
        <v>6.746E8</v>
      </c>
      <c r="J1399" s="1">
        <v>5.179E8</v>
      </c>
      <c r="K1399" s="1">
        <v>5.179E8</v>
      </c>
      <c r="L1399" s="1">
        <v>-8.03E7</v>
      </c>
      <c r="M1399" s="1">
        <v>1.232E8</v>
      </c>
      <c r="N1399" s="1">
        <v>3.5716E9</v>
      </c>
      <c r="O1399" s="1">
        <v>3.0537E9</v>
      </c>
      <c r="P1399" s="1">
        <v>2.897E9</v>
      </c>
      <c r="Q1399" s="1">
        <v>-2.31E7</v>
      </c>
      <c r="R1399" s="1">
        <v>3.716E8</v>
      </c>
      <c r="S1399" s="1">
        <v>3.482E8</v>
      </c>
    </row>
    <row r="1400">
      <c r="A1400" s="1">
        <v>1398.0</v>
      </c>
      <c r="B1400" s="2">
        <v>44286.0</v>
      </c>
      <c r="C1400" s="1" t="s">
        <v>737</v>
      </c>
      <c r="D1400" s="1" t="s">
        <v>738</v>
      </c>
      <c r="F1400" s="1">
        <v>4.179E8</v>
      </c>
      <c r="G1400" s="1">
        <v>2.878E8</v>
      </c>
      <c r="H1400" s="1">
        <v>7.16E7</v>
      </c>
      <c r="I1400" s="1">
        <v>5.903E8</v>
      </c>
      <c r="J1400" s="1">
        <v>4.654E8</v>
      </c>
      <c r="K1400" s="1">
        <v>4.654E8</v>
      </c>
      <c r="L1400" s="1">
        <v>-5.38E7</v>
      </c>
      <c r="M1400" s="1">
        <v>1.119E8</v>
      </c>
      <c r="N1400" s="1">
        <v>3.4269E9</v>
      </c>
      <c r="O1400" s="1">
        <v>2.9615E9</v>
      </c>
      <c r="P1400" s="1">
        <v>2.8366E9</v>
      </c>
      <c r="Q1400" s="1">
        <v>-4.75E7</v>
      </c>
      <c r="R1400" s="1">
        <v>3.06E8</v>
      </c>
      <c r="S1400" s="1">
        <v>2.878E8</v>
      </c>
    </row>
    <row r="1401">
      <c r="A1401" s="1">
        <v>1399.0</v>
      </c>
      <c r="B1401" s="2">
        <v>44196.0</v>
      </c>
      <c r="C1401" s="1" t="s">
        <v>737</v>
      </c>
      <c r="D1401" s="1" t="s">
        <v>738</v>
      </c>
      <c r="F1401" s="1">
        <v>5.7E8</v>
      </c>
      <c r="G1401" s="1">
        <v>3.981E8</v>
      </c>
      <c r="H1401" s="1">
        <v>1.013E8</v>
      </c>
      <c r="I1401" s="1">
        <v>6.269E8</v>
      </c>
      <c r="J1401" s="1">
        <v>4.718E8</v>
      </c>
      <c r="K1401" s="1">
        <v>4.718E8</v>
      </c>
      <c r="L1401" s="1">
        <v>-1.91E7</v>
      </c>
      <c r="M1401" s="1">
        <v>1.415E8</v>
      </c>
      <c r="N1401" s="1">
        <v>3.757E9</v>
      </c>
      <c r="O1401" s="1">
        <v>3.2852E9</v>
      </c>
      <c r="P1401" s="1">
        <v>3.1301E9</v>
      </c>
      <c r="Q1401" s="1">
        <v>9.82E7</v>
      </c>
      <c r="R1401" s="1">
        <v>4.285E8</v>
      </c>
      <c r="S1401" s="1">
        <v>3.981E8</v>
      </c>
    </row>
    <row r="1402">
      <c r="A1402" s="1">
        <v>1400.0</v>
      </c>
      <c r="B1402" s="2">
        <v>44469.0</v>
      </c>
      <c r="C1402" s="1" t="s">
        <v>739</v>
      </c>
      <c r="D1402" s="1" t="s">
        <v>740</v>
      </c>
      <c r="F1402" s="1">
        <v>5.13917E8</v>
      </c>
      <c r="G1402" s="1">
        <v>3.92018E8</v>
      </c>
      <c r="H1402" s="1">
        <v>2.31226E8</v>
      </c>
      <c r="I1402" s="1">
        <v>1.087048E9</v>
      </c>
      <c r="J1402" s="1">
        <v>6.61527E8</v>
      </c>
      <c r="K1402" s="1">
        <v>6.61527E8</v>
      </c>
      <c r="L1402" s="1">
        <v>-1.84049E8</v>
      </c>
      <c r="M1402" s="1">
        <v>1.21899E8</v>
      </c>
      <c r="N1402" s="1">
        <v>4.536175E9</v>
      </c>
      <c r="O1402" s="1">
        <v>3.874648E9</v>
      </c>
      <c r="P1402" s="1">
        <v>3.449127E9</v>
      </c>
      <c r="Q1402" s="1">
        <v>-1.4761E8</v>
      </c>
      <c r="R1402" s="1">
        <v>3.92018E8</v>
      </c>
      <c r="S1402" s="1">
        <v>3.91743E8</v>
      </c>
    </row>
    <row r="1403">
      <c r="A1403" s="1">
        <v>1401.0</v>
      </c>
      <c r="B1403" s="2">
        <v>44377.0</v>
      </c>
      <c r="C1403" s="1" t="s">
        <v>739</v>
      </c>
      <c r="D1403" s="1" t="s">
        <v>740</v>
      </c>
      <c r="F1403" s="1">
        <v>4.52208E8</v>
      </c>
      <c r="G1403" s="1">
        <v>3.42139E8</v>
      </c>
      <c r="H1403" s="1">
        <v>2.19101E8</v>
      </c>
      <c r="I1403" s="1">
        <v>1.021985E9</v>
      </c>
      <c r="J1403" s="1">
        <v>6.04023E8</v>
      </c>
      <c r="K1403" s="1">
        <v>6.04023E8</v>
      </c>
      <c r="L1403" s="1">
        <v>-1.84957E8</v>
      </c>
      <c r="M1403" s="1">
        <v>1.10069E8</v>
      </c>
      <c r="N1403" s="1">
        <v>3.388964E9</v>
      </c>
      <c r="O1403" s="1">
        <v>2.784941E9</v>
      </c>
      <c r="P1403" s="1">
        <v>2.366979E9</v>
      </c>
      <c r="Q1403" s="1">
        <v>-1.51815E8</v>
      </c>
      <c r="R1403" s="1">
        <v>3.42139E8</v>
      </c>
      <c r="S1403" s="1">
        <v>3.41864E8</v>
      </c>
    </row>
    <row r="1404">
      <c r="A1404" s="1">
        <v>1402.0</v>
      </c>
      <c r="B1404" s="2">
        <v>44286.0</v>
      </c>
      <c r="C1404" s="1" t="s">
        <v>739</v>
      </c>
      <c r="D1404" s="1" t="s">
        <v>740</v>
      </c>
      <c r="F1404" s="1">
        <v>5.08308E8</v>
      </c>
      <c r="G1404" s="1">
        <v>3.86176E8</v>
      </c>
      <c r="H1404" s="1">
        <v>2.121E8</v>
      </c>
      <c r="I1404" s="1">
        <v>1.073169E9</v>
      </c>
      <c r="J1404" s="1">
        <v>6.5951E8</v>
      </c>
      <c r="K1404" s="1">
        <v>6.5951E8</v>
      </c>
      <c r="L1404" s="1">
        <v>-1.85523E8</v>
      </c>
      <c r="M1404" s="1">
        <v>1.22132E8</v>
      </c>
      <c r="N1404" s="1">
        <v>3.194679E9</v>
      </c>
      <c r="O1404" s="1">
        <v>2.535169E9</v>
      </c>
      <c r="P1404" s="1">
        <v>2.12151E9</v>
      </c>
      <c r="Q1404" s="1">
        <v>-1.51202E8</v>
      </c>
      <c r="R1404" s="1">
        <v>3.86176E8</v>
      </c>
      <c r="S1404" s="1">
        <v>3.85901E8</v>
      </c>
    </row>
    <row r="1405">
      <c r="A1405" s="1">
        <v>1403.0</v>
      </c>
      <c r="B1405" s="2">
        <v>44196.0</v>
      </c>
      <c r="C1405" s="1" t="s">
        <v>739</v>
      </c>
      <c r="D1405" s="1" t="s">
        <v>740</v>
      </c>
      <c r="F1405" s="1">
        <v>4.03236E8</v>
      </c>
      <c r="G1405" s="1">
        <v>3.08029E8</v>
      </c>
      <c r="H1405" s="1">
        <v>2.27019E8</v>
      </c>
      <c r="I1405" s="1">
        <v>9.43491E8</v>
      </c>
      <c r="J1405" s="1">
        <v>5.36447E8</v>
      </c>
      <c r="K1405" s="1">
        <v>5.36447E8</v>
      </c>
      <c r="L1405" s="1">
        <v>-1.76931E8</v>
      </c>
      <c r="M1405" s="1">
        <v>9.5207E7</v>
      </c>
      <c r="N1405" s="1">
        <v>2.570577E9</v>
      </c>
      <c r="O1405" s="1">
        <v>2.03413E9</v>
      </c>
      <c r="P1405" s="1">
        <v>1.627086E9</v>
      </c>
      <c r="Q1405" s="1">
        <v>-1.33211E8</v>
      </c>
      <c r="R1405" s="1">
        <v>3.08029E8</v>
      </c>
      <c r="S1405" s="1">
        <v>3.07754E8</v>
      </c>
    </row>
    <row r="1406">
      <c r="A1406" s="1">
        <v>1404.0</v>
      </c>
      <c r="B1406" s="2">
        <v>44439.0</v>
      </c>
      <c r="C1406" s="1" t="s">
        <v>741</v>
      </c>
      <c r="D1406" s="1" t="s">
        <v>742</v>
      </c>
      <c r="E1406" s="1">
        <v>1.684E9</v>
      </c>
      <c r="F1406" s="1">
        <v>2.681E9</v>
      </c>
      <c r="G1406" s="1">
        <v>2.457E9</v>
      </c>
      <c r="H1406" s="1">
        <v>2.152E9</v>
      </c>
      <c r="I1406" s="1">
        <v>7.625E9</v>
      </c>
      <c r="J1406" s="1">
        <v>3.47E9</v>
      </c>
      <c r="K1406" s="1">
        <v>3.47E9</v>
      </c>
      <c r="L1406" s="1">
        <v>-7.05E8</v>
      </c>
      <c r="M1406" s="1">
        <v>2.24E8</v>
      </c>
      <c r="N1406" s="1">
        <v>9.728E9</v>
      </c>
      <c r="O1406" s="1">
        <v>6.258E9</v>
      </c>
      <c r="P1406" s="1">
        <v>2.103E9</v>
      </c>
      <c r="Q1406" s="1">
        <v>-7.89E8</v>
      </c>
      <c r="R1406" s="1">
        <v>2.457E9</v>
      </c>
      <c r="S1406" s="1">
        <v>2.457E9</v>
      </c>
    </row>
    <row r="1407">
      <c r="A1407" s="1">
        <v>1405.0</v>
      </c>
      <c r="B1407" s="2">
        <v>44347.0</v>
      </c>
      <c r="C1407" s="1" t="s">
        <v>741</v>
      </c>
      <c r="D1407" s="1" t="s">
        <v>742</v>
      </c>
      <c r="E1407" s="1">
        <v>1.715E9</v>
      </c>
      <c r="F1407" s="1">
        <v>4.156E9</v>
      </c>
      <c r="G1407" s="1">
        <v>4.032E9</v>
      </c>
      <c r="H1407" s="1">
        <v>2.382E9</v>
      </c>
      <c r="I1407" s="1">
        <v>9.105E9</v>
      </c>
      <c r="J1407" s="1">
        <v>4.637E9</v>
      </c>
      <c r="K1407" s="1">
        <v>4.637E9</v>
      </c>
      <c r="L1407" s="1">
        <v>-6.94E8</v>
      </c>
      <c r="M1407" s="1">
        <v>1.24E8</v>
      </c>
      <c r="N1407" s="1">
        <v>1.1227E10</v>
      </c>
      <c r="O1407" s="1">
        <v>6.59E9</v>
      </c>
      <c r="P1407" s="1">
        <v>2.122E9</v>
      </c>
      <c r="Q1407" s="1">
        <v>-4.81E8</v>
      </c>
      <c r="R1407" s="1">
        <v>4.032E9</v>
      </c>
      <c r="S1407" s="1">
        <v>4.032E9</v>
      </c>
    </row>
    <row r="1408">
      <c r="A1408" s="1">
        <v>1406.0</v>
      </c>
      <c r="B1408" s="2">
        <v>44255.0</v>
      </c>
      <c r="C1408" s="1" t="s">
        <v>741</v>
      </c>
      <c r="D1408" s="1" t="s">
        <v>742</v>
      </c>
      <c r="E1408" s="1">
        <v>1.621E9</v>
      </c>
      <c r="F1408" s="1">
        <v>3.276E9</v>
      </c>
      <c r="G1408" s="1">
        <v>5.021E9</v>
      </c>
      <c r="H1408" s="1">
        <v>2.245E9</v>
      </c>
      <c r="I1408" s="1">
        <v>8.17E9</v>
      </c>
      <c r="J1408" s="1">
        <v>3.947E9</v>
      </c>
      <c r="K1408" s="1">
        <v>3.947E9</v>
      </c>
      <c r="L1408" s="1">
        <v>-5.8E8</v>
      </c>
      <c r="M1408" s="1">
        <v>-1.745E9</v>
      </c>
      <c r="N1408" s="1">
        <v>1.0085E10</v>
      </c>
      <c r="O1408" s="1">
        <v>6.138E9</v>
      </c>
      <c r="P1408" s="1">
        <v>1.915E9</v>
      </c>
      <c r="Q1408" s="1">
        <v>-6.71E8</v>
      </c>
      <c r="R1408" s="1">
        <v>5.021E9</v>
      </c>
      <c r="S1408" s="1">
        <v>5.021E9</v>
      </c>
    </row>
    <row r="1409">
      <c r="A1409" s="1">
        <v>1407.0</v>
      </c>
      <c r="B1409" s="2">
        <v>44165.0</v>
      </c>
      <c r="C1409" s="1" t="s">
        <v>741</v>
      </c>
      <c r="D1409" s="1" t="s">
        <v>742</v>
      </c>
      <c r="E1409" s="1">
        <v>1.601E9</v>
      </c>
      <c r="F1409" s="1">
        <v>2.972E9</v>
      </c>
      <c r="G1409" s="1">
        <v>2.442E9</v>
      </c>
      <c r="H1409" s="1">
        <v>2.16E9</v>
      </c>
      <c r="I1409" s="1">
        <v>7.861E9</v>
      </c>
      <c r="J1409" s="1">
        <v>3.68E9</v>
      </c>
      <c r="K1409" s="1">
        <v>3.68E9</v>
      </c>
      <c r="L1409" s="1">
        <v>-6.01E8</v>
      </c>
      <c r="M1409" s="1">
        <v>5.3E8</v>
      </c>
      <c r="N1409" s="1">
        <v>9.8E9</v>
      </c>
      <c r="O1409" s="1">
        <v>6.12E9</v>
      </c>
      <c r="P1409" s="1">
        <v>1.939E9</v>
      </c>
      <c r="Q1409" s="1">
        <v>-7.08E8</v>
      </c>
      <c r="R1409" s="1">
        <v>2.442E9</v>
      </c>
      <c r="S1409" s="1">
        <v>2.442E9</v>
      </c>
    </row>
    <row r="1410">
      <c r="A1410" s="1">
        <v>1408.0</v>
      </c>
      <c r="B1410" s="2">
        <v>44377.0</v>
      </c>
      <c r="C1410" s="1" t="s">
        <v>743</v>
      </c>
      <c r="D1410" s="1" t="s">
        <v>744</v>
      </c>
      <c r="E1410" s="1">
        <v>7.6E7</v>
      </c>
      <c r="F1410" s="1">
        <v>4.37E8</v>
      </c>
      <c r="G1410" s="1">
        <v>4.27E8</v>
      </c>
      <c r="H1410" s="1">
        <v>4.16E8</v>
      </c>
      <c r="I1410" s="1">
        <v>1.012E9</v>
      </c>
      <c r="J1410" s="1">
        <v>5.2E8</v>
      </c>
      <c r="K1410" s="1">
        <v>5.2E8</v>
      </c>
      <c r="L1410" s="1">
        <v>-6.2E7</v>
      </c>
      <c r="M1410" s="1">
        <v>6000000.0</v>
      </c>
      <c r="N1410" s="1">
        <v>1.595E9</v>
      </c>
      <c r="O1410" s="1">
        <v>1.075E9</v>
      </c>
      <c r="P1410" s="1">
        <v>5.83E8</v>
      </c>
      <c r="Q1410" s="1">
        <v>-8.3E7</v>
      </c>
      <c r="R1410" s="1">
        <v>4.31E8</v>
      </c>
      <c r="S1410" s="1">
        <v>4.27E8</v>
      </c>
    </row>
    <row r="1411">
      <c r="A1411" s="1">
        <v>1409.0</v>
      </c>
      <c r="B1411" s="2">
        <v>44286.0</v>
      </c>
      <c r="C1411" s="1" t="s">
        <v>743</v>
      </c>
      <c r="D1411" s="1" t="s">
        <v>744</v>
      </c>
      <c r="E1411" s="1">
        <v>6.7E7</v>
      </c>
      <c r="F1411" s="1">
        <v>4.67E8</v>
      </c>
      <c r="G1411" s="1">
        <v>3.99E8</v>
      </c>
      <c r="H1411" s="1">
        <v>3.82E8</v>
      </c>
      <c r="I1411" s="1">
        <v>9.15E8</v>
      </c>
      <c r="J1411" s="1">
        <v>4.66E8</v>
      </c>
      <c r="K1411" s="1">
        <v>4.66E8</v>
      </c>
      <c r="L1411" s="1">
        <v>-6.2E7</v>
      </c>
      <c r="M1411" s="1">
        <v>7.2E7</v>
      </c>
      <c r="N1411" s="1">
        <v>1.506E9</v>
      </c>
      <c r="O1411" s="1">
        <v>1.04E9</v>
      </c>
      <c r="P1411" s="1">
        <v>5.91E8</v>
      </c>
      <c r="Q1411" s="1">
        <v>1000000.0</v>
      </c>
      <c r="R1411" s="1">
        <v>3.95E8</v>
      </c>
      <c r="S1411" s="1">
        <v>3.99E8</v>
      </c>
    </row>
    <row r="1412">
      <c r="A1412" s="1">
        <v>1410.0</v>
      </c>
      <c r="B1412" s="2">
        <v>44012.0</v>
      </c>
      <c r="C1412" s="1" t="s">
        <v>743</v>
      </c>
      <c r="D1412" s="1" t="s">
        <v>744</v>
      </c>
      <c r="E1412" s="1">
        <v>5.1E7</v>
      </c>
      <c r="F1412" s="1">
        <v>7.02E8</v>
      </c>
      <c r="G1412" s="1">
        <v>5.42E8</v>
      </c>
      <c r="H1412" s="1">
        <v>2.84E8</v>
      </c>
      <c r="I1412" s="1">
        <v>1.066E9</v>
      </c>
      <c r="J1412" s="1">
        <v>7.31E8</v>
      </c>
      <c r="K1412" s="1">
        <v>7.31E8</v>
      </c>
      <c r="L1412" s="1">
        <v>-6.2E7</v>
      </c>
      <c r="M1412" s="1">
        <v>1.16E8</v>
      </c>
      <c r="N1412" s="1">
        <v>1.526E9</v>
      </c>
      <c r="O1412" s="1">
        <v>7.95E8</v>
      </c>
      <c r="P1412" s="1">
        <v>4.6E8</v>
      </c>
      <c r="Q1412" s="1">
        <v>-2.9E7</v>
      </c>
      <c r="R1412" s="1">
        <v>5.86E8</v>
      </c>
      <c r="S1412" s="1">
        <v>5.42E8</v>
      </c>
    </row>
    <row r="1413">
      <c r="A1413" s="1">
        <v>1411.0</v>
      </c>
      <c r="B1413" s="2">
        <v>43921.0</v>
      </c>
      <c r="C1413" s="1" t="s">
        <v>743</v>
      </c>
      <c r="D1413" s="1" t="s">
        <v>744</v>
      </c>
      <c r="E1413" s="1">
        <v>4.5E7</v>
      </c>
      <c r="F1413" s="1">
        <v>8.44E8</v>
      </c>
      <c r="G1413" s="1">
        <v>7.03E8</v>
      </c>
      <c r="H1413" s="1">
        <v>3.17E8</v>
      </c>
      <c r="I1413" s="1">
        <v>1.242E9</v>
      </c>
      <c r="J1413" s="1">
        <v>8.8E8</v>
      </c>
      <c r="K1413" s="1">
        <v>8.8E8</v>
      </c>
      <c r="L1413" s="1">
        <v>-6.2E7</v>
      </c>
      <c r="M1413" s="1">
        <v>1.1E8</v>
      </c>
      <c r="N1413" s="1">
        <v>1.78E9</v>
      </c>
      <c r="O1413" s="1">
        <v>9.0E8</v>
      </c>
      <c r="P1413" s="1">
        <v>5.38E8</v>
      </c>
      <c r="Q1413" s="1">
        <v>-3.6E7</v>
      </c>
      <c r="R1413" s="1">
        <v>7.34E8</v>
      </c>
      <c r="S1413" s="1">
        <v>7.03E8</v>
      </c>
    </row>
    <row r="1414">
      <c r="A1414" s="1">
        <v>1412.0</v>
      </c>
      <c r="B1414" s="2">
        <v>44469.0</v>
      </c>
      <c r="C1414" s="1" t="s">
        <v>745</v>
      </c>
      <c r="D1414" s="1" t="s">
        <v>746</v>
      </c>
      <c r="E1414" s="1">
        <v>3.9E7</v>
      </c>
      <c r="F1414" s="1">
        <v>5.07E8</v>
      </c>
      <c r="G1414" s="1">
        <v>3.31E8</v>
      </c>
      <c r="H1414" s="1">
        <v>4.77E8</v>
      </c>
      <c r="I1414" s="1">
        <v>1.065E9</v>
      </c>
      <c r="J1414" s="1">
        <v>5.45E8</v>
      </c>
      <c r="K1414" s="1">
        <v>5.45E8</v>
      </c>
      <c r="L1414" s="1">
        <v>-3.4E7</v>
      </c>
      <c r="M1414" s="1">
        <v>1.28E8</v>
      </c>
      <c r="N1414" s="1">
        <v>3.62E9</v>
      </c>
      <c r="O1414" s="1">
        <v>3.075E9</v>
      </c>
      <c r="P1414" s="1">
        <v>2.555E9</v>
      </c>
      <c r="Q1414" s="1">
        <v>-3.8E7</v>
      </c>
      <c r="R1414" s="1">
        <v>3.79E8</v>
      </c>
      <c r="S1414" s="1">
        <v>3.31E8</v>
      </c>
    </row>
    <row r="1415">
      <c r="A1415" s="1">
        <v>1413.0</v>
      </c>
      <c r="B1415" s="2">
        <v>44377.0</v>
      </c>
      <c r="C1415" s="1" t="s">
        <v>745</v>
      </c>
      <c r="D1415" s="1" t="s">
        <v>746</v>
      </c>
      <c r="E1415" s="1">
        <v>3.9E7</v>
      </c>
      <c r="F1415" s="1">
        <v>5.32E8</v>
      </c>
      <c r="G1415" s="1">
        <v>3.26E8</v>
      </c>
      <c r="H1415" s="1">
        <v>4.85E8</v>
      </c>
      <c r="I1415" s="1">
        <v>1.085E9</v>
      </c>
      <c r="J1415" s="1">
        <v>5.7E8</v>
      </c>
      <c r="K1415" s="1">
        <v>5.7E8</v>
      </c>
      <c r="L1415" s="1">
        <v>-2.7E7</v>
      </c>
      <c r="M1415" s="1">
        <v>1.53E8</v>
      </c>
      <c r="N1415" s="1">
        <v>3.701E9</v>
      </c>
      <c r="O1415" s="1">
        <v>3.131E9</v>
      </c>
      <c r="P1415" s="1">
        <v>2.616E9</v>
      </c>
      <c r="Q1415" s="1">
        <v>-3.8E7</v>
      </c>
      <c r="R1415" s="1">
        <v>3.79E8</v>
      </c>
      <c r="S1415" s="1">
        <v>3.26E8</v>
      </c>
    </row>
    <row r="1416">
      <c r="A1416" s="1">
        <v>1414.0</v>
      </c>
      <c r="B1416" s="2">
        <v>44286.0</v>
      </c>
      <c r="C1416" s="1" t="s">
        <v>745</v>
      </c>
      <c r="D1416" s="1" t="s">
        <v>746</v>
      </c>
      <c r="E1416" s="1">
        <v>3.5E7</v>
      </c>
      <c r="F1416" s="1">
        <v>4.75E8</v>
      </c>
      <c r="G1416" s="1">
        <v>3.08E8</v>
      </c>
      <c r="H1416" s="1">
        <v>4.64E8</v>
      </c>
      <c r="I1416" s="1">
        <v>1.023E9</v>
      </c>
      <c r="J1416" s="1">
        <v>5.32E8</v>
      </c>
      <c r="K1416" s="1">
        <v>5.32E8</v>
      </c>
      <c r="L1416" s="1">
        <v>-3.2E7</v>
      </c>
      <c r="M1416" s="1">
        <v>1.23E8</v>
      </c>
      <c r="N1416" s="1">
        <v>3.408E9</v>
      </c>
      <c r="O1416" s="1">
        <v>2.876E9</v>
      </c>
      <c r="P1416" s="1">
        <v>2.385E9</v>
      </c>
      <c r="Q1416" s="1">
        <v>-5.7E7</v>
      </c>
      <c r="R1416" s="1">
        <v>3.52E8</v>
      </c>
      <c r="S1416" s="1">
        <v>3.08E8</v>
      </c>
    </row>
    <row r="1417">
      <c r="A1417" s="1">
        <v>1415.0</v>
      </c>
      <c r="B1417" s="2">
        <v>44196.0</v>
      </c>
      <c r="C1417" s="1" t="s">
        <v>745</v>
      </c>
      <c r="D1417" s="1" t="s">
        <v>746</v>
      </c>
      <c r="E1417" s="1">
        <v>4.0E7</v>
      </c>
      <c r="F1417" s="1">
        <v>3.97E8</v>
      </c>
      <c r="G1417" s="1">
        <v>2.51E8</v>
      </c>
      <c r="H1417" s="1">
        <v>4.81E8</v>
      </c>
      <c r="I1417" s="1">
        <v>9.93E8</v>
      </c>
      <c r="J1417" s="1">
        <v>4.75E8</v>
      </c>
      <c r="K1417" s="1">
        <v>4.75E8</v>
      </c>
      <c r="L1417" s="1">
        <v>-3.7E7</v>
      </c>
      <c r="M1417" s="1">
        <v>1.18E8</v>
      </c>
      <c r="N1417" s="1">
        <v>3.493E9</v>
      </c>
      <c r="O1417" s="1">
        <v>3.018E9</v>
      </c>
      <c r="P1417" s="1">
        <v>2.5E9</v>
      </c>
      <c r="Q1417" s="1">
        <v>-7.8E7</v>
      </c>
      <c r="R1417" s="1">
        <v>2.79E8</v>
      </c>
      <c r="S1417" s="1">
        <v>2.51E8</v>
      </c>
    </row>
    <row r="1418">
      <c r="A1418" s="1">
        <v>1416.0</v>
      </c>
      <c r="B1418" s="2">
        <v>44469.0</v>
      </c>
      <c r="C1418" s="1" t="s">
        <v>747</v>
      </c>
      <c r="D1418" s="1" t="s">
        <v>748</v>
      </c>
      <c r="E1418" s="1">
        <v>7.25E7</v>
      </c>
      <c r="F1418" s="1">
        <v>4.833E8</v>
      </c>
      <c r="G1418" s="1">
        <v>3.777E8</v>
      </c>
      <c r="H1418" s="1">
        <v>1.152E8</v>
      </c>
      <c r="I1418" s="1">
        <v>6.777E8</v>
      </c>
      <c r="J1418" s="1">
        <v>4.9E8</v>
      </c>
      <c r="K1418" s="1">
        <v>4.9E8</v>
      </c>
      <c r="L1418" s="1">
        <v>-9400000.0</v>
      </c>
      <c r="M1418" s="1">
        <v>1.056E8</v>
      </c>
      <c r="N1418" s="1">
        <v>5.1468E9</v>
      </c>
      <c r="O1418" s="1">
        <v>4.6568E9</v>
      </c>
      <c r="P1418" s="1">
        <v>4.4691E9</v>
      </c>
      <c r="Q1418" s="1">
        <v>-6700000.0</v>
      </c>
      <c r="R1418" s="1">
        <v>3.777E8</v>
      </c>
      <c r="S1418" s="1">
        <v>3.777E8</v>
      </c>
    </row>
    <row r="1419">
      <c r="A1419" s="1">
        <v>1417.0</v>
      </c>
      <c r="B1419" s="2">
        <v>44377.0</v>
      </c>
      <c r="C1419" s="1" t="s">
        <v>747</v>
      </c>
      <c r="D1419" s="1" t="s">
        <v>748</v>
      </c>
      <c r="E1419" s="1">
        <v>8.44E7</v>
      </c>
      <c r="F1419" s="1">
        <v>6.37E8</v>
      </c>
      <c r="G1419" s="1">
        <v>4.929E8</v>
      </c>
      <c r="H1419" s="1">
        <v>1.132E8</v>
      </c>
      <c r="I1419" s="1">
        <v>8.314E8</v>
      </c>
      <c r="J1419" s="1">
        <v>6.338E8</v>
      </c>
      <c r="K1419" s="1">
        <v>6.338E8</v>
      </c>
      <c r="L1419" s="1">
        <v>-9400000.0</v>
      </c>
      <c r="M1419" s="1">
        <v>1.441E8</v>
      </c>
      <c r="N1419" s="1">
        <v>5.8439E9</v>
      </c>
      <c r="O1419" s="1">
        <v>5.2101E9</v>
      </c>
      <c r="P1419" s="1">
        <v>5.0125E9</v>
      </c>
      <c r="Q1419" s="1">
        <v>3200000.0</v>
      </c>
      <c r="R1419" s="1">
        <v>4.929E8</v>
      </c>
      <c r="S1419" s="1">
        <v>4.929E8</v>
      </c>
    </row>
    <row r="1420">
      <c r="A1420" s="1">
        <v>1418.0</v>
      </c>
      <c r="B1420" s="2">
        <v>44286.0</v>
      </c>
      <c r="C1420" s="1" t="s">
        <v>747</v>
      </c>
      <c r="D1420" s="1" t="s">
        <v>748</v>
      </c>
      <c r="E1420" s="1">
        <v>8.01E7</v>
      </c>
      <c r="F1420" s="1">
        <v>6.073E8</v>
      </c>
      <c r="G1420" s="1">
        <v>4.701E8</v>
      </c>
      <c r="H1420" s="1">
        <v>1.098E8</v>
      </c>
      <c r="I1420" s="1">
        <v>7.992E8</v>
      </c>
      <c r="J1420" s="1">
        <v>6.093E8</v>
      </c>
      <c r="K1420" s="1">
        <v>6.093E8</v>
      </c>
      <c r="L1420" s="1">
        <v>-1.04E7</v>
      </c>
      <c r="M1420" s="1">
        <v>1.372E8</v>
      </c>
      <c r="N1420" s="1">
        <v>5.8455E9</v>
      </c>
      <c r="O1420" s="1">
        <v>5.2362E9</v>
      </c>
      <c r="P1420" s="1">
        <v>5.0463E9</v>
      </c>
      <c r="Q1420" s="1">
        <v>-2000000.0</v>
      </c>
      <c r="R1420" s="1">
        <v>4.701E8</v>
      </c>
      <c r="S1420" s="1">
        <v>4.701E8</v>
      </c>
    </row>
    <row r="1421">
      <c r="A1421" s="1">
        <v>1419.0</v>
      </c>
      <c r="B1421" s="2">
        <v>44196.0</v>
      </c>
      <c r="C1421" s="1" t="s">
        <v>747</v>
      </c>
      <c r="D1421" s="1" t="s">
        <v>748</v>
      </c>
      <c r="E1421" s="1">
        <v>7.17E7</v>
      </c>
      <c r="F1421" s="1">
        <v>5.218E8</v>
      </c>
      <c r="G1421" s="1">
        <v>4.058E8</v>
      </c>
      <c r="H1421" s="1">
        <v>1.207E8</v>
      </c>
      <c r="I1421" s="1">
        <v>7.128E8</v>
      </c>
      <c r="J1421" s="1">
        <v>5.204E8</v>
      </c>
      <c r="K1421" s="1">
        <v>5.204E8</v>
      </c>
      <c r="L1421" s="1">
        <v>-1.04E7</v>
      </c>
      <c r="M1421" s="1">
        <v>1.16E8</v>
      </c>
      <c r="N1421" s="1">
        <v>5.5686E9</v>
      </c>
      <c r="O1421" s="1">
        <v>5.0482E9</v>
      </c>
      <c r="P1421" s="1">
        <v>4.8558E9</v>
      </c>
      <c r="Q1421" s="1">
        <v>1400000.0</v>
      </c>
      <c r="R1421" s="1">
        <v>4.058E8</v>
      </c>
      <c r="S1421" s="1">
        <v>4.058E8</v>
      </c>
    </row>
    <row r="1422">
      <c r="A1422" s="1">
        <v>1420.0</v>
      </c>
      <c r="B1422" s="2">
        <v>44469.0</v>
      </c>
      <c r="C1422" s="1" t="s">
        <v>749</v>
      </c>
      <c r="D1422" s="1" t="s">
        <v>750</v>
      </c>
      <c r="F1422" s="1">
        <v>3.339E8</v>
      </c>
      <c r="G1422" s="1">
        <v>2.507E8</v>
      </c>
      <c r="H1422" s="1">
        <v>1.395E8</v>
      </c>
      <c r="I1422" s="1">
        <v>5.137E8</v>
      </c>
      <c r="J1422" s="1">
        <v>3.711E8</v>
      </c>
      <c r="K1422" s="1">
        <v>3.711E8</v>
      </c>
      <c r="L1422" s="1">
        <v>-2.39E7</v>
      </c>
      <c r="M1422" s="1">
        <v>8.32E7</v>
      </c>
      <c r="N1422" s="1">
        <v>2.0001E9</v>
      </c>
      <c r="O1422" s="1">
        <v>1.629E9</v>
      </c>
      <c r="P1422" s="1">
        <v>1.4864E9</v>
      </c>
      <c r="Q1422" s="1">
        <v>-3.72E7</v>
      </c>
      <c r="R1422" s="1">
        <v>2.507E8</v>
      </c>
      <c r="S1422" s="1">
        <v>2.49E8</v>
      </c>
    </row>
    <row r="1423">
      <c r="A1423" s="1">
        <v>1421.0</v>
      </c>
      <c r="B1423" s="2">
        <v>44377.0</v>
      </c>
      <c r="C1423" s="1" t="s">
        <v>749</v>
      </c>
      <c r="D1423" s="1" t="s">
        <v>750</v>
      </c>
      <c r="F1423" s="1">
        <v>2.747E8</v>
      </c>
      <c r="G1423" s="1">
        <v>2.073E8</v>
      </c>
      <c r="H1423" s="1">
        <v>1.413E8</v>
      </c>
      <c r="I1423" s="1">
        <v>4.508E8</v>
      </c>
      <c r="J1423" s="1">
        <v>3.075E8</v>
      </c>
      <c r="K1423" s="1">
        <v>3.075E8</v>
      </c>
      <c r="L1423" s="1">
        <v>-2.49E7</v>
      </c>
      <c r="M1423" s="1">
        <v>6.74E7</v>
      </c>
      <c r="N1423" s="1">
        <v>1.8799E9</v>
      </c>
      <c r="O1423" s="1">
        <v>1.5724E9</v>
      </c>
      <c r="P1423" s="1">
        <v>1.4291E9</v>
      </c>
      <c r="Q1423" s="1">
        <v>-3.28E7</v>
      </c>
      <c r="R1423" s="1">
        <v>2.073E8</v>
      </c>
      <c r="S1423" s="1">
        <v>2.055E8</v>
      </c>
    </row>
    <row r="1424">
      <c r="A1424" s="1">
        <v>1422.0</v>
      </c>
      <c r="B1424" s="2">
        <v>44286.0</v>
      </c>
      <c r="C1424" s="1" t="s">
        <v>749</v>
      </c>
      <c r="D1424" s="1" t="s">
        <v>750</v>
      </c>
      <c r="F1424" s="1">
        <v>2.196E8</v>
      </c>
      <c r="G1424" s="1">
        <v>1.665E8</v>
      </c>
      <c r="H1424" s="1">
        <v>1.402E8</v>
      </c>
      <c r="I1424" s="1">
        <v>4.042E8</v>
      </c>
      <c r="J1424" s="1">
        <v>2.609E8</v>
      </c>
      <c r="K1424" s="1">
        <v>2.609E8</v>
      </c>
      <c r="L1424" s="1">
        <v>-2.35E7</v>
      </c>
      <c r="M1424" s="1">
        <v>5.31E7</v>
      </c>
      <c r="N1424" s="1">
        <v>1.8072E9</v>
      </c>
      <c r="O1424" s="1">
        <v>1.5463E9</v>
      </c>
      <c r="P1424" s="1">
        <v>1.403E9</v>
      </c>
      <c r="Q1424" s="1">
        <v>-4.13E7</v>
      </c>
      <c r="R1424" s="1">
        <v>1.665E8</v>
      </c>
      <c r="S1424" s="1">
        <v>1.652E8</v>
      </c>
    </row>
    <row r="1425">
      <c r="A1425" s="1">
        <v>1423.0</v>
      </c>
      <c r="B1425" s="2">
        <v>44196.0</v>
      </c>
      <c r="C1425" s="1" t="s">
        <v>749</v>
      </c>
      <c r="D1425" s="1" t="s">
        <v>750</v>
      </c>
      <c r="F1425" s="1">
        <v>1.654E8</v>
      </c>
      <c r="G1425" s="1">
        <v>1.236E8</v>
      </c>
      <c r="H1425" s="1">
        <v>1.297E8</v>
      </c>
      <c r="I1425" s="1">
        <v>3.343E8</v>
      </c>
      <c r="J1425" s="1">
        <v>2.033E8</v>
      </c>
      <c r="K1425" s="1">
        <v>2.033E8</v>
      </c>
      <c r="L1425" s="1">
        <v>-2.44E7</v>
      </c>
      <c r="M1425" s="1">
        <v>4.18E7</v>
      </c>
      <c r="N1425" s="1">
        <v>1.7142E9</v>
      </c>
      <c r="O1425" s="1">
        <v>1.5109E9</v>
      </c>
      <c r="P1425" s="1">
        <v>1.3799E9</v>
      </c>
      <c r="Q1425" s="1">
        <v>-3.79E7</v>
      </c>
      <c r="R1425" s="1">
        <v>1.236E8</v>
      </c>
      <c r="S1425" s="1">
        <v>1.227E8</v>
      </c>
    </row>
    <row r="1426">
      <c r="A1426" s="1">
        <v>1424.0</v>
      </c>
      <c r="B1426" s="2">
        <v>44469.0</v>
      </c>
      <c r="C1426" s="1" t="s">
        <v>751</v>
      </c>
      <c r="D1426" s="1" t="s">
        <v>752</v>
      </c>
      <c r="F1426" s="1">
        <v>5.71745E8</v>
      </c>
      <c r="G1426" s="1">
        <v>4.51157E8</v>
      </c>
      <c r="H1426" s="1">
        <v>3.90633E8</v>
      </c>
      <c r="I1426" s="1">
        <v>1.050912E9</v>
      </c>
      <c r="J1426" s="1">
        <v>6.60279E8</v>
      </c>
      <c r="K1426" s="1">
        <v>6.60279E8</v>
      </c>
      <c r="L1426" s="1">
        <v>-5.935E7</v>
      </c>
      <c r="M1426" s="1">
        <v>1.20282E8</v>
      </c>
      <c r="N1426" s="1">
        <v>3.762809E9</v>
      </c>
      <c r="O1426" s="1">
        <v>3.10253E9</v>
      </c>
      <c r="P1426" s="1">
        <v>2.711897E9</v>
      </c>
      <c r="Q1426" s="1">
        <v>-8.8534E7</v>
      </c>
      <c r="R1426" s="1">
        <v>4.51463E8</v>
      </c>
      <c r="S1426" s="1">
        <v>4.51157E8</v>
      </c>
    </row>
    <row r="1427">
      <c r="A1427" s="1">
        <v>1425.0</v>
      </c>
      <c r="B1427" s="2">
        <v>44377.0</v>
      </c>
      <c r="C1427" s="1" t="s">
        <v>751</v>
      </c>
      <c r="D1427" s="1" t="s">
        <v>752</v>
      </c>
      <c r="F1427" s="1">
        <v>6.57798E8</v>
      </c>
      <c r="G1427" s="1">
        <v>5.05738E8</v>
      </c>
      <c r="H1427" s="1">
        <v>4.21864E8</v>
      </c>
      <c r="I1427" s="1">
        <v>1.131835E9</v>
      </c>
      <c r="J1427" s="1">
        <v>7.09971E8</v>
      </c>
      <c r="K1427" s="1">
        <v>7.09971E8</v>
      </c>
      <c r="L1427" s="1">
        <v>-6.0258E7</v>
      </c>
      <c r="M1427" s="1">
        <v>1.51884E8</v>
      </c>
      <c r="N1427" s="1">
        <v>3.958869E9</v>
      </c>
      <c r="O1427" s="1">
        <v>3.248898E9</v>
      </c>
      <c r="P1427" s="1">
        <v>2.827034E9</v>
      </c>
      <c r="Q1427" s="1">
        <v>-5.2173E7</v>
      </c>
      <c r="R1427" s="1">
        <v>5.05914E8</v>
      </c>
      <c r="S1427" s="1">
        <v>5.05738E8</v>
      </c>
    </row>
    <row r="1428">
      <c r="A1428" s="1">
        <v>1426.0</v>
      </c>
      <c r="B1428" s="2">
        <v>44286.0</v>
      </c>
      <c r="C1428" s="1" t="s">
        <v>751</v>
      </c>
      <c r="D1428" s="1" t="s">
        <v>752</v>
      </c>
      <c r="F1428" s="1">
        <v>5.97352E8</v>
      </c>
      <c r="G1428" s="1">
        <v>4.71647E8</v>
      </c>
      <c r="H1428" s="1">
        <v>3.92824E8</v>
      </c>
      <c r="I1428" s="1">
        <v>1.034609E9</v>
      </c>
      <c r="J1428" s="1">
        <v>6.41785E8</v>
      </c>
      <c r="K1428" s="1">
        <v>6.41785E8</v>
      </c>
      <c r="L1428" s="1">
        <v>-6.083E7</v>
      </c>
      <c r="M1428" s="1">
        <v>1.25619E8</v>
      </c>
      <c r="N1428" s="1">
        <v>3.746326E9</v>
      </c>
      <c r="O1428" s="1">
        <v>3.104541E9</v>
      </c>
      <c r="P1428" s="1">
        <v>2.711717E9</v>
      </c>
      <c r="Q1428" s="1">
        <v>-4.4433E7</v>
      </c>
      <c r="R1428" s="1">
        <v>4.71733E8</v>
      </c>
      <c r="S1428" s="1">
        <v>4.71647E8</v>
      </c>
    </row>
    <row r="1429">
      <c r="A1429" s="1">
        <v>1427.0</v>
      </c>
      <c r="B1429" s="2">
        <v>44196.0</v>
      </c>
      <c r="C1429" s="1" t="s">
        <v>751</v>
      </c>
      <c r="D1429" s="1" t="s">
        <v>752</v>
      </c>
      <c r="F1429" s="1">
        <v>5.76512E8</v>
      </c>
      <c r="G1429" s="1">
        <v>4.47306E8</v>
      </c>
      <c r="H1429" s="1">
        <v>3.63184E8</v>
      </c>
      <c r="I1429" s="1">
        <v>9.0736E8</v>
      </c>
      <c r="J1429" s="1">
        <v>5.44176E8</v>
      </c>
      <c r="K1429" s="1">
        <v>5.44176E8</v>
      </c>
      <c r="L1429" s="1">
        <v>-6.299E7</v>
      </c>
      <c r="M1429" s="1">
        <v>1.29015E8</v>
      </c>
      <c r="N1429" s="1">
        <v>3.411905E9</v>
      </c>
      <c r="O1429" s="1">
        <v>2.867729E9</v>
      </c>
      <c r="P1429" s="1">
        <v>2.504545E9</v>
      </c>
      <c r="Q1429" s="1">
        <v>3.2336E7</v>
      </c>
      <c r="R1429" s="1">
        <v>4.47497E8</v>
      </c>
      <c r="S1429" s="1">
        <v>4.47306E8</v>
      </c>
    </row>
    <row r="1430">
      <c r="A1430" s="1">
        <v>1428.0</v>
      </c>
      <c r="B1430" s="2">
        <v>44439.0</v>
      </c>
      <c r="C1430" s="1" t="s">
        <v>753</v>
      </c>
      <c r="D1430" s="1" t="s">
        <v>754</v>
      </c>
      <c r="F1430" s="1">
        <v>4.439E8</v>
      </c>
      <c r="G1430" s="1">
        <v>3.336E8</v>
      </c>
      <c r="H1430" s="1">
        <v>3.275E8</v>
      </c>
      <c r="I1430" s="1">
        <v>7.704E8</v>
      </c>
      <c r="J1430" s="1">
        <v>4.429E8</v>
      </c>
      <c r="K1430" s="1">
        <v>4.429E8</v>
      </c>
      <c r="L1430" s="1">
        <v>-9200000.0</v>
      </c>
      <c r="M1430" s="1">
        <v>1.103E8</v>
      </c>
      <c r="N1430" s="1">
        <v>1.0829E9</v>
      </c>
      <c r="O1430" s="1">
        <v>6.4E8</v>
      </c>
      <c r="P1430" s="1">
        <v>3.125E8</v>
      </c>
      <c r="Q1430" s="1">
        <v>1000000.0</v>
      </c>
      <c r="R1430" s="1">
        <v>3.336E8</v>
      </c>
      <c r="S1430" s="1">
        <v>3.336E8</v>
      </c>
    </row>
    <row r="1431">
      <c r="A1431" s="1">
        <v>1429.0</v>
      </c>
      <c r="B1431" s="2">
        <v>44347.0</v>
      </c>
      <c r="C1431" s="1" t="s">
        <v>753</v>
      </c>
      <c r="D1431" s="1" t="s">
        <v>754</v>
      </c>
      <c r="F1431" s="1">
        <v>3.459E8</v>
      </c>
      <c r="G1431" s="1">
        <v>2.63E8</v>
      </c>
      <c r="H1431" s="1">
        <v>3.596E8</v>
      </c>
      <c r="I1431" s="1">
        <v>7.134E8</v>
      </c>
      <c r="J1431" s="1">
        <v>3.538E8</v>
      </c>
      <c r="K1431" s="1">
        <v>3.538E8</v>
      </c>
      <c r="L1431" s="1">
        <v>-8100000.0</v>
      </c>
      <c r="M1431" s="1">
        <v>8.29E7</v>
      </c>
      <c r="N1431" s="1">
        <v>1.0292E9</v>
      </c>
      <c r="O1431" s="1">
        <v>6.754E8</v>
      </c>
      <c r="P1431" s="1">
        <v>3.158E8</v>
      </c>
      <c r="Q1431" s="1">
        <v>-7700000.0</v>
      </c>
      <c r="R1431" s="1">
        <v>2.63E8</v>
      </c>
      <c r="S1431" s="1">
        <v>2.63E8</v>
      </c>
    </row>
    <row r="1432">
      <c r="A1432" s="1">
        <v>1430.0</v>
      </c>
      <c r="B1432" s="2">
        <v>44255.0</v>
      </c>
      <c r="C1432" s="1" t="s">
        <v>753</v>
      </c>
      <c r="D1432" s="1" t="s">
        <v>754</v>
      </c>
      <c r="F1432" s="1">
        <v>4.626E8</v>
      </c>
      <c r="G1432" s="1">
        <v>3.505E8</v>
      </c>
      <c r="H1432" s="1">
        <v>3.147E8</v>
      </c>
      <c r="I1432" s="1">
        <v>7.833E8</v>
      </c>
      <c r="J1432" s="1">
        <v>4.686E8</v>
      </c>
      <c r="K1432" s="1">
        <v>4.686E8</v>
      </c>
      <c r="L1432" s="1">
        <v>-8800000.0</v>
      </c>
      <c r="M1432" s="1">
        <v>1.121E8</v>
      </c>
      <c r="N1432" s="1">
        <v>1.1117E9</v>
      </c>
      <c r="O1432" s="1">
        <v>6.431E8</v>
      </c>
      <c r="P1432" s="1">
        <v>3.284E8</v>
      </c>
      <c r="Q1432" s="1">
        <v>-6000000.0</v>
      </c>
      <c r="R1432" s="1">
        <v>3.505E8</v>
      </c>
      <c r="S1432" s="1">
        <v>3.505E8</v>
      </c>
    </row>
    <row r="1433">
      <c r="A1433" s="1">
        <v>1431.0</v>
      </c>
      <c r="B1433" s="2">
        <v>44165.0</v>
      </c>
      <c r="C1433" s="1" t="s">
        <v>753</v>
      </c>
      <c r="D1433" s="1" t="s">
        <v>754</v>
      </c>
      <c r="F1433" s="1">
        <v>3.496E8</v>
      </c>
      <c r="G1433" s="1">
        <v>2.724E8</v>
      </c>
      <c r="H1433" s="1">
        <v>3.095E8</v>
      </c>
      <c r="I1433" s="1">
        <v>6.638E8</v>
      </c>
      <c r="J1433" s="1">
        <v>3.543E8</v>
      </c>
      <c r="K1433" s="1">
        <v>3.543E8</v>
      </c>
      <c r="L1433" s="1">
        <v>-9000000.0</v>
      </c>
      <c r="M1433" s="1">
        <v>7.72E7</v>
      </c>
      <c r="N1433" s="1">
        <v>9.837E8</v>
      </c>
      <c r="O1433" s="1">
        <v>6.294E8</v>
      </c>
      <c r="P1433" s="1">
        <v>3.199E8</v>
      </c>
      <c r="Q1433" s="1">
        <v>-4700000.0</v>
      </c>
      <c r="R1433" s="1">
        <v>2.724E8</v>
      </c>
      <c r="S1433" s="1">
        <v>2.724E8</v>
      </c>
    </row>
    <row r="1434">
      <c r="A1434" s="1">
        <v>1432.0</v>
      </c>
      <c r="B1434" s="2">
        <v>44469.0</v>
      </c>
      <c r="C1434" s="1" t="s">
        <v>755</v>
      </c>
      <c r="D1434" s="1" t="s">
        <v>756</v>
      </c>
      <c r="E1434" s="1">
        <v>3.1077E7</v>
      </c>
      <c r="F1434" s="1">
        <v>4.3549E7</v>
      </c>
      <c r="G1434" s="1">
        <v>3.0379E7</v>
      </c>
      <c r="H1434" s="1">
        <v>1.29725E8</v>
      </c>
      <c r="I1434" s="1">
        <v>2.21428E8</v>
      </c>
      <c r="J1434" s="1">
        <v>4.3305E7</v>
      </c>
      <c r="K1434" s="1">
        <v>4.3305E7</v>
      </c>
      <c r="L1434" s="1">
        <v>158000.0</v>
      </c>
      <c r="M1434" s="1">
        <v>1.317E7</v>
      </c>
      <c r="N1434" s="1">
        <v>2.56194E8</v>
      </c>
      <c r="O1434" s="1">
        <v>2.12889E8</v>
      </c>
      <c r="P1434" s="1">
        <v>3.4766E7</v>
      </c>
      <c r="Q1434" s="1">
        <v>244000.0</v>
      </c>
      <c r="R1434" s="1">
        <v>3.0379E7</v>
      </c>
      <c r="S1434" s="1">
        <v>3.0379E7</v>
      </c>
    </row>
    <row r="1435">
      <c r="A1435" s="1">
        <v>1433.0</v>
      </c>
      <c r="B1435" s="2">
        <v>44377.0</v>
      </c>
      <c r="C1435" s="1" t="s">
        <v>755</v>
      </c>
      <c r="D1435" s="1" t="s">
        <v>756</v>
      </c>
      <c r="E1435" s="1">
        <v>2.8224E7</v>
      </c>
      <c r="F1435" s="1">
        <v>4.7236E7</v>
      </c>
      <c r="G1435" s="1">
        <v>5.2278E7</v>
      </c>
      <c r="H1435" s="1">
        <v>1.22042E8</v>
      </c>
      <c r="I1435" s="1">
        <v>2.13373E8</v>
      </c>
      <c r="J1435" s="1">
        <v>4.709E7</v>
      </c>
      <c r="K1435" s="1">
        <v>4.709E7</v>
      </c>
      <c r="L1435" s="1">
        <v>49000.0</v>
      </c>
      <c r="M1435" s="1">
        <v>-5042000.0</v>
      </c>
      <c r="N1435" s="1">
        <v>2.42146E8</v>
      </c>
      <c r="O1435" s="1">
        <v>1.95056E8</v>
      </c>
      <c r="P1435" s="1">
        <v>2.8773E7</v>
      </c>
      <c r="Q1435" s="1">
        <v>146000.0</v>
      </c>
      <c r="R1435" s="1">
        <v>5.2278E7</v>
      </c>
      <c r="S1435" s="1">
        <v>5.2278E7</v>
      </c>
    </row>
    <row r="1436">
      <c r="A1436" s="1">
        <v>1434.0</v>
      </c>
      <c r="B1436" s="2">
        <v>44286.0</v>
      </c>
      <c r="C1436" s="1" t="s">
        <v>755</v>
      </c>
      <c r="D1436" s="1" t="s">
        <v>756</v>
      </c>
      <c r="E1436" s="1">
        <v>2.4711E7</v>
      </c>
      <c r="F1436" s="1">
        <v>9.5175E7</v>
      </c>
      <c r="G1436" s="1">
        <v>6.4616E7</v>
      </c>
      <c r="H1436" s="1">
        <v>1.08952E8</v>
      </c>
      <c r="I1436" s="1">
        <v>2.43125E8</v>
      </c>
      <c r="J1436" s="1">
        <v>9.4546E7</v>
      </c>
      <c r="K1436" s="1">
        <v>9.4546E7</v>
      </c>
      <c r="L1436" s="1">
        <v>656000.0</v>
      </c>
      <c r="M1436" s="1">
        <v>3.0559E7</v>
      </c>
      <c r="N1436" s="1">
        <v>2.72198E8</v>
      </c>
      <c r="O1436" s="1">
        <v>1.77652E8</v>
      </c>
      <c r="P1436" s="1">
        <v>2.9073E7</v>
      </c>
      <c r="Q1436" s="1">
        <v>629000.0</v>
      </c>
      <c r="R1436" s="1">
        <v>6.4616E7</v>
      </c>
      <c r="S1436" s="1">
        <v>6.4616E7</v>
      </c>
    </row>
    <row r="1437">
      <c r="A1437" s="1">
        <v>1435.0</v>
      </c>
      <c r="B1437" s="2">
        <v>44196.0</v>
      </c>
      <c r="C1437" s="1" t="s">
        <v>755</v>
      </c>
      <c r="D1437" s="1" t="s">
        <v>756</v>
      </c>
      <c r="E1437" s="1">
        <v>2.5073E7</v>
      </c>
      <c r="F1437" s="1">
        <v>3.6601E7</v>
      </c>
      <c r="G1437" s="1">
        <v>2.4367E7</v>
      </c>
      <c r="H1437" s="1">
        <v>1.19201E8</v>
      </c>
      <c r="I1437" s="1">
        <v>1.9482E8</v>
      </c>
      <c r="J1437" s="1">
        <v>3.6247E7</v>
      </c>
      <c r="K1437" s="1">
        <v>3.6247E7</v>
      </c>
      <c r="L1437" s="1">
        <v>656000.0</v>
      </c>
      <c r="M1437" s="1">
        <v>1.2234E7</v>
      </c>
      <c r="N1437" s="1">
        <v>2.20947E8</v>
      </c>
      <c r="O1437" s="1">
        <v>1.847E8</v>
      </c>
      <c r="P1437" s="1">
        <v>2.6127E7</v>
      </c>
      <c r="Q1437" s="1">
        <v>354000.0</v>
      </c>
      <c r="R1437" s="1">
        <v>2.4367E7</v>
      </c>
      <c r="S1437" s="1">
        <v>2.4367E7</v>
      </c>
    </row>
    <row r="1438">
      <c r="A1438" s="1">
        <v>1436.0</v>
      </c>
      <c r="B1438" s="2">
        <v>44469.0</v>
      </c>
      <c r="C1438" s="1" t="s">
        <v>757</v>
      </c>
      <c r="D1438" s="1" t="s">
        <v>758</v>
      </c>
      <c r="E1438" s="1">
        <v>7.55E8</v>
      </c>
      <c r="F1438" s="1">
        <v>1.165E9</v>
      </c>
      <c r="G1438" s="1">
        <v>1.087E9</v>
      </c>
      <c r="H1438" s="1">
        <v>1.047E9</v>
      </c>
      <c r="I1438" s="1">
        <v>2.846E9</v>
      </c>
      <c r="J1438" s="1">
        <v>1.043E9</v>
      </c>
      <c r="K1438" s="1">
        <v>1.043E9</v>
      </c>
      <c r="M1438" s="1">
        <v>7.8E7</v>
      </c>
      <c r="N1438" s="1">
        <v>6.182E9</v>
      </c>
      <c r="O1438" s="1">
        <v>5.139E9</v>
      </c>
      <c r="P1438" s="1">
        <v>3.336E9</v>
      </c>
      <c r="Q1438" s="1">
        <v>1.22E8</v>
      </c>
      <c r="R1438" s="1">
        <v>1.087E9</v>
      </c>
      <c r="S1438" s="1">
        <v>1.087E9</v>
      </c>
    </row>
    <row r="1439">
      <c r="A1439" s="1">
        <v>1437.0</v>
      </c>
      <c r="B1439" s="2">
        <v>44377.0</v>
      </c>
      <c r="C1439" s="1" t="s">
        <v>757</v>
      </c>
      <c r="D1439" s="1" t="s">
        <v>758</v>
      </c>
      <c r="E1439" s="1">
        <v>7.46E8</v>
      </c>
      <c r="F1439" s="1">
        <v>1.356E9</v>
      </c>
      <c r="G1439" s="1">
        <v>1.184E9</v>
      </c>
      <c r="H1439" s="1">
        <v>1.15E9</v>
      </c>
      <c r="I1439" s="1">
        <v>3.024E9</v>
      </c>
      <c r="J1439" s="1">
        <v>1.128E9</v>
      </c>
      <c r="K1439" s="1">
        <v>1.128E9</v>
      </c>
      <c r="L1439" s="1">
        <v>-5.7E7</v>
      </c>
      <c r="M1439" s="1">
        <v>1.72E8</v>
      </c>
      <c r="N1439" s="1">
        <v>6.238E9</v>
      </c>
      <c r="O1439" s="1">
        <v>5.11E9</v>
      </c>
      <c r="P1439" s="1">
        <v>3.214E9</v>
      </c>
      <c r="Q1439" s="1">
        <v>2.28E8</v>
      </c>
      <c r="R1439" s="1">
        <v>1.184E9</v>
      </c>
      <c r="S1439" s="1">
        <v>1.184E9</v>
      </c>
    </row>
    <row r="1440">
      <c r="A1440" s="1">
        <v>1438.0</v>
      </c>
      <c r="B1440" s="2">
        <v>44286.0</v>
      </c>
      <c r="C1440" s="1" t="s">
        <v>757</v>
      </c>
      <c r="D1440" s="1" t="s">
        <v>758</v>
      </c>
      <c r="E1440" s="1">
        <v>7.41E8</v>
      </c>
      <c r="F1440" s="1">
        <v>8.72E8</v>
      </c>
      <c r="G1440" s="1">
        <v>1.097E9</v>
      </c>
      <c r="H1440" s="1">
        <v>1.126E9</v>
      </c>
      <c r="I1440" s="1">
        <v>2.967E9</v>
      </c>
      <c r="J1440" s="1">
        <v>1.1E9</v>
      </c>
      <c r="K1440" s="1">
        <v>1.1E9</v>
      </c>
      <c r="L1440" s="1">
        <v>-5.8E7</v>
      </c>
      <c r="M1440" s="1">
        <v>-2.25E8</v>
      </c>
      <c r="N1440" s="1">
        <v>6.033E9</v>
      </c>
      <c r="O1440" s="1">
        <v>4.933E9</v>
      </c>
      <c r="P1440" s="1">
        <v>3.066E9</v>
      </c>
      <c r="Q1440" s="1">
        <v>-2.28E8</v>
      </c>
      <c r="R1440" s="1">
        <v>1.097E9</v>
      </c>
      <c r="S1440" s="1">
        <v>1.097E9</v>
      </c>
    </row>
    <row r="1441">
      <c r="A1441" s="1">
        <v>1439.0</v>
      </c>
      <c r="B1441" s="2">
        <v>44196.0</v>
      </c>
      <c r="C1441" s="1" t="s">
        <v>757</v>
      </c>
      <c r="D1441" s="1" t="s">
        <v>758</v>
      </c>
      <c r="E1441" s="1">
        <v>7.32E8</v>
      </c>
      <c r="F1441" s="1">
        <v>1.859E9</v>
      </c>
      <c r="G1441" s="1">
        <v>1.567E9</v>
      </c>
      <c r="H1441" s="1">
        <v>1.174E9</v>
      </c>
      <c r="I1441" s="1">
        <v>2.913E9</v>
      </c>
      <c r="J1441" s="1">
        <v>1.007E9</v>
      </c>
      <c r="K1441" s="1">
        <v>1.007E9</v>
      </c>
      <c r="L1441" s="1">
        <v>-5.9E7</v>
      </c>
      <c r="M1441" s="1">
        <v>2.92E8</v>
      </c>
      <c r="N1441" s="1">
        <v>6.116E9</v>
      </c>
      <c r="O1441" s="1">
        <v>5.109E9</v>
      </c>
      <c r="P1441" s="1">
        <v>3.203E9</v>
      </c>
      <c r="Q1441" s="1">
        <v>8.52E8</v>
      </c>
      <c r="R1441" s="1">
        <v>1.567E9</v>
      </c>
      <c r="S1441" s="1">
        <v>1.567E9</v>
      </c>
    </row>
    <row r="1442">
      <c r="A1442" s="1">
        <v>1440.0</v>
      </c>
      <c r="B1442" s="2">
        <v>44469.0</v>
      </c>
      <c r="C1442" s="1" t="s">
        <v>759</v>
      </c>
      <c r="D1442" s="1" t="s">
        <v>760</v>
      </c>
      <c r="F1442" s="1">
        <v>1.225E8</v>
      </c>
      <c r="G1442" s="1">
        <v>8.61E7</v>
      </c>
      <c r="H1442" s="1">
        <v>3.627E8</v>
      </c>
      <c r="I1442" s="1">
        <v>7.433E8</v>
      </c>
      <c r="J1442" s="1">
        <v>2.529E8</v>
      </c>
      <c r="K1442" s="1">
        <v>2.529E8</v>
      </c>
      <c r="L1442" s="1">
        <v>-1.452E8</v>
      </c>
      <c r="M1442" s="1">
        <v>3.64E7</v>
      </c>
      <c r="N1442" s="1">
        <v>1.5118E9</v>
      </c>
      <c r="O1442" s="1">
        <v>1.2589E9</v>
      </c>
      <c r="P1442" s="1">
        <v>7.685E8</v>
      </c>
      <c r="Q1442" s="1">
        <v>-1.304E8</v>
      </c>
      <c r="R1442" s="1">
        <v>8.61E7</v>
      </c>
      <c r="S1442" s="1">
        <v>8.57E7</v>
      </c>
    </row>
    <row r="1443">
      <c r="A1443" s="1">
        <v>1441.0</v>
      </c>
      <c r="B1443" s="2">
        <v>44377.0</v>
      </c>
      <c r="C1443" s="1" t="s">
        <v>759</v>
      </c>
      <c r="D1443" s="1" t="s">
        <v>760</v>
      </c>
      <c r="F1443" s="1">
        <v>2.518E8</v>
      </c>
      <c r="G1443" s="1">
        <v>1.987E8</v>
      </c>
      <c r="H1443" s="1">
        <v>3.13E8</v>
      </c>
      <c r="I1443" s="1">
        <v>7.763E8</v>
      </c>
      <c r="J1443" s="1">
        <v>3.814E8</v>
      </c>
      <c r="K1443" s="1">
        <v>3.814E8</v>
      </c>
      <c r="L1443" s="1">
        <v>-1.382E8</v>
      </c>
      <c r="M1443" s="1">
        <v>5.31E7</v>
      </c>
      <c r="N1443" s="1">
        <v>1.5458E9</v>
      </c>
      <c r="O1443" s="1">
        <v>1.1644E9</v>
      </c>
      <c r="P1443" s="1">
        <v>7.695E8</v>
      </c>
      <c r="Q1443" s="1">
        <v>-1.296E8</v>
      </c>
      <c r="R1443" s="1">
        <v>1.987E8</v>
      </c>
      <c r="S1443" s="1">
        <v>1.977E8</v>
      </c>
    </row>
    <row r="1444">
      <c r="A1444" s="1">
        <v>1442.0</v>
      </c>
      <c r="B1444" s="2">
        <v>44286.0</v>
      </c>
      <c r="C1444" s="1" t="s">
        <v>759</v>
      </c>
      <c r="D1444" s="1" t="s">
        <v>760</v>
      </c>
      <c r="F1444" s="1">
        <v>1.115E8</v>
      </c>
      <c r="G1444" s="1">
        <v>9.1E7</v>
      </c>
      <c r="H1444" s="1">
        <v>3.261E8</v>
      </c>
      <c r="I1444" s="1">
        <v>6.24E8</v>
      </c>
      <c r="J1444" s="1">
        <v>2.166E8</v>
      </c>
      <c r="K1444" s="1">
        <v>2.166E8</v>
      </c>
      <c r="L1444" s="1">
        <v>-1.359E8</v>
      </c>
      <c r="M1444" s="1">
        <v>2.06E7</v>
      </c>
      <c r="N1444" s="1">
        <v>1.2749E9</v>
      </c>
      <c r="O1444" s="1">
        <v>1.0583E9</v>
      </c>
      <c r="P1444" s="1">
        <v>6.509E8</v>
      </c>
      <c r="Q1444" s="1">
        <v>-1.051E8</v>
      </c>
      <c r="R1444" s="1">
        <v>9.09E7</v>
      </c>
      <c r="S1444" s="1">
        <v>9.05E7</v>
      </c>
    </row>
    <row r="1445">
      <c r="A1445" s="1">
        <v>1443.0</v>
      </c>
      <c r="B1445" s="2">
        <v>44196.0</v>
      </c>
      <c r="C1445" s="1" t="s">
        <v>759</v>
      </c>
      <c r="D1445" s="1" t="s">
        <v>760</v>
      </c>
      <c r="F1445" s="1">
        <v>1.98E7</v>
      </c>
      <c r="G1445" s="1">
        <v>1.11E7</v>
      </c>
      <c r="H1445" s="1">
        <v>3.008E8</v>
      </c>
      <c r="I1445" s="1">
        <v>5.204E8</v>
      </c>
      <c r="J1445" s="1">
        <v>1.282E8</v>
      </c>
      <c r="K1445" s="1">
        <v>1.282E8</v>
      </c>
      <c r="L1445" s="1">
        <v>-1.363E8</v>
      </c>
      <c r="M1445" s="1">
        <v>7100000.0</v>
      </c>
      <c r="N1445" s="1">
        <v>1.0274E9</v>
      </c>
      <c r="O1445" s="1">
        <v>8.992E8</v>
      </c>
      <c r="P1445" s="1">
        <v>5.07E8</v>
      </c>
      <c r="Q1445" s="1">
        <v>-1.084E8</v>
      </c>
      <c r="R1445" s="1">
        <v>1.27E7</v>
      </c>
      <c r="S1445" s="1">
        <v>1.11E7</v>
      </c>
    </row>
    <row r="1446">
      <c r="A1446" s="1">
        <v>1444.0</v>
      </c>
      <c r="B1446" s="2">
        <v>44469.0</v>
      </c>
      <c r="C1446" s="1" t="s">
        <v>761</v>
      </c>
      <c r="D1446" s="1" t="s">
        <v>762</v>
      </c>
      <c r="E1446" s="1">
        <v>2.19E7</v>
      </c>
      <c r="F1446" s="1">
        <v>1.658E8</v>
      </c>
      <c r="G1446" s="1">
        <v>1.436E8</v>
      </c>
      <c r="H1446" s="1">
        <v>1.416E8</v>
      </c>
      <c r="I1446" s="1">
        <v>3.348E8</v>
      </c>
      <c r="J1446" s="1">
        <v>1.713E8</v>
      </c>
      <c r="K1446" s="1">
        <v>1.713E8</v>
      </c>
      <c r="L1446" s="1">
        <v>-2600000.0</v>
      </c>
      <c r="M1446" s="1">
        <v>2.21E7</v>
      </c>
      <c r="N1446" s="1">
        <v>9.692E8</v>
      </c>
      <c r="O1446" s="1">
        <v>7.979E8</v>
      </c>
      <c r="P1446" s="1">
        <v>6.344E8</v>
      </c>
      <c r="Q1446" s="1">
        <v>-5500000.0</v>
      </c>
      <c r="R1446" s="1">
        <v>1.437E8</v>
      </c>
      <c r="S1446" s="1">
        <v>1.436E8</v>
      </c>
    </row>
    <row r="1447">
      <c r="A1447" s="1">
        <v>1445.0</v>
      </c>
      <c r="B1447" s="2">
        <v>44377.0</v>
      </c>
      <c r="C1447" s="1" t="s">
        <v>761</v>
      </c>
      <c r="D1447" s="1" t="s">
        <v>762</v>
      </c>
      <c r="E1447" s="1">
        <v>2.1E7</v>
      </c>
      <c r="F1447" s="1">
        <v>1.577E8</v>
      </c>
      <c r="G1447" s="1">
        <v>1.321E8</v>
      </c>
      <c r="H1447" s="1">
        <v>1.521E8</v>
      </c>
      <c r="I1447" s="1">
        <v>3.41E8</v>
      </c>
      <c r="J1447" s="1">
        <v>1.679E8</v>
      </c>
      <c r="K1447" s="1">
        <v>1.679E8</v>
      </c>
      <c r="L1447" s="1">
        <v>-3800000.0</v>
      </c>
      <c r="M1447" s="1">
        <v>2.51E7</v>
      </c>
      <c r="N1447" s="1">
        <v>9.411E8</v>
      </c>
      <c r="O1447" s="1">
        <v>7.732E8</v>
      </c>
      <c r="P1447" s="1">
        <v>6.001E8</v>
      </c>
      <c r="Q1447" s="1">
        <v>-1.02E7</v>
      </c>
      <c r="R1447" s="1">
        <v>1.326E8</v>
      </c>
      <c r="S1447" s="1">
        <v>1.321E8</v>
      </c>
    </row>
    <row r="1448">
      <c r="A1448" s="1">
        <v>1446.0</v>
      </c>
      <c r="B1448" s="2">
        <v>44286.0</v>
      </c>
      <c r="C1448" s="1" t="s">
        <v>761</v>
      </c>
      <c r="D1448" s="1" t="s">
        <v>762</v>
      </c>
      <c r="E1448" s="1">
        <v>2.15E7</v>
      </c>
      <c r="F1448" s="1">
        <v>1.516E8</v>
      </c>
      <c r="G1448" s="1">
        <v>1.286E8</v>
      </c>
      <c r="H1448" s="1">
        <v>1.355E8</v>
      </c>
      <c r="I1448" s="1">
        <v>3.152E8</v>
      </c>
      <c r="J1448" s="1">
        <v>1.582E8</v>
      </c>
      <c r="K1448" s="1">
        <v>1.582E8</v>
      </c>
      <c r="L1448" s="1">
        <v>-5100000.0</v>
      </c>
      <c r="M1448" s="1">
        <v>2.05E7</v>
      </c>
      <c r="N1448" s="1">
        <v>8.659E8</v>
      </c>
      <c r="O1448" s="1">
        <v>7.077E8</v>
      </c>
      <c r="P1448" s="1">
        <v>5.507E8</v>
      </c>
      <c r="Q1448" s="1">
        <v>-6600000.0</v>
      </c>
      <c r="R1448" s="1">
        <v>1.311E8</v>
      </c>
      <c r="S1448" s="1">
        <v>1.286E8</v>
      </c>
    </row>
    <row r="1449">
      <c r="A1449" s="1">
        <v>1447.0</v>
      </c>
      <c r="B1449" s="2">
        <v>44196.0</v>
      </c>
      <c r="C1449" s="1" t="s">
        <v>761</v>
      </c>
      <c r="D1449" s="1" t="s">
        <v>762</v>
      </c>
      <c r="E1449" s="1">
        <v>2.01E7</v>
      </c>
      <c r="F1449" s="1">
        <v>1.107E8</v>
      </c>
      <c r="G1449" s="1">
        <v>1.03E8</v>
      </c>
      <c r="H1449" s="1">
        <v>1.423E8</v>
      </c>
      <c r="I1449" s="1">
        <v>2.855E8</v>
      </c>
      <c r="J1449" s="1">
        <v>1.231E8</v>
      </c>
      <c r="K1449" s="1">
        <v>1.231E8</v>
      </c>
      <c r="L1449" s="1">
        <v>-3900000.0</v>
      </c>
      <c r="M1449" s="1">
        <v>1.09E7</v>
      </c>
      <c r="N1449" s="1">
        <v>7.96E8</v>
      </c>
      <c r="O1449" s="1">
        <v>6.729E8</v>
      </c>
      <c r="P1449" s="1">
        <v>5.105E8</v>
      </c>
      <c r="Q1449" s="1">
        <v>-1.24E7</v>
      </c>
      <c r="R1449" s="1">
        <v>9.98E7</v>
      </c>
      <c r="S1449" s="1">
        <v>1.03E8</v>
      </c>
    </row>
    <row r="1450">
      <c r="A1450" s="1">
        <v>1448.0</v>
      </c>
      <c r="B1450" s="2">
        <v>44469.0</v>
      </c>
      <c r="C1450" s="1" t="s">
        <v>763</v>
      </c>
      <c r="D1450" s="1" t="s">
        <v>764</v>
      </c>
      <c r="F1450" s="1">
        <v>1.694E8</v>
      </c>
      <c r="G1450" s="1">
        <v>1.397E8</v>
      </c>
      <c r="H1450" s="1">
        <v>2.525E8</v>
      </c>
      <c r="I1450" s="1">
        <v>4.586E8</v>
      </c>
      <c r="J1450" s="1">
        <v>0.0</v>
      </c>
      <c r="K1450" s="1">
        <v>1.849E8</v>
      </c>
      <c r="M1450" s="1">
        <v>2.97E7</v>
      </c>
      <c r="N1450" s="1">
        <v>4.586E8</v>
      </c>
      <c r="O1450" s="1">
        <v>2.737E8</v>
      </c>
      <c r="P1450" s="1">
        <v>0.0</v>
      </c>
      <c r="Q1450" s="1">
        <v>-1.55E7</v>
      </c>
      <c r="R1450" s="1">
        <v>1.397E8</v>
      </c>
      <c r="S1450" s="1">
        <v>1.362E8</v>
      </c>
    </row>
    <row r="1451">
      <c r="A1451" s="1">
        <v>1449.0</v>
      </c>
      <c r="B1451" s="2">
        <v>44377.0</v>
      </c>
      <c r="C1451" s="1" t="s">
        <v>763</v>
      </c>
      <c r="D1451" s="1" t="s">
        <v>764</v>
      </c>
      <c r="F1451" s="1">
        <v>2.157E8</v>
      </c>
      <c r="G1451" s="1">
        <v>1.708E8</v>
      </c>
      <c r="H1451" s="1">
        <v>2.619E8</v>
      </c>
      <c r="I1451" s="1">
        <v>5.187E8</v>
      </c>
      <c r="J1451" s="1">
        <v>0.0</v>
      </c>
      <c r="K1451" s="1">
        <v>2.413E8</v>
      </c>
      <c r="M1451" s="1">
        <v>4.49E7</v>
      </c>
      <c r="N1451" s="1">
        <v>5.187E8</v>
      </c>
      <c r="O1451" s="1">
        <v>2.774E8</v>
      </c>
      <c r="P1451" s="1">
        <v>0.0</v>
      </c>
      <c r="Q1451" s="1">
        <v>-2.56E7</v>
      </c>
      <c r="R1451" s="1">
        <v>1.708E8</v>
      </c>
      <c r="S1451" s="1">
        <v>1.673E8</v>
      </c>
    </row>
    <row r="1452">
      <c r="A1452" s="1">
        <v>1450.0</v>
      </c>
      <c r="B1452" s="2">
        <v>44286.0</v>
      </c>
      <c r="C1452" s="1" t="s">
        <v>763</v>
      </c>
      <c r="D1452" s="1" t="s">
        <v>764</v>
      </c>
      <c r="F1452" s="1">
        <v>1.822E8</v>
      </c>
      <c r="G1452" s="1">
        <v>1.445E8</v>
      </c>
      <c r="H1452" s="1">
        <v>2.57E8</v>
      </c>
      <c r="I1452" s="1">
        <v>4.959E8</v>
      </c>
      <c r="J1452" s="1">
        <v>0.0</v>
      </c>
      <c r="K1452" s="1">
        <v>2.216E8</v>
      </c>
      <c r="M1452" s="1">
        <v>3.77E7</v>
      </c>
      <c r="N1452" s="1">
        <v>4.959E8</v>
      </c>
      <c r="O1452" s="1">
        <v>2.743E8</v>
      </c>
      <c r="P1452" s="1">
        <v>0.0</v>
      </c>
      <c r="Q1452" s="1">
        <v>-3.94E7</v>
      </c>
      <c r="R1452" s="1">
        <v>1.445E8</v>
      </c>
      <c r="S1452" s="1">
        <v>1.41E8</v>
      </c>
    </row>
    <row r="1453">
      <c r="A1453" s="1">
        <v>1451.0</v>
      </c>
      <c r="B1453" s="2">
        <v>44196.0</v>
      </c>
      <c r="C1453" s="1" t="s">
        <v>763</v>
      </c>
      <c r="D1453" s="1" t="s">
        <v>764</v>
      </c>
      <c r="F1453" s="1">
        <v>-1.001E8</v>
      </c>
      <c r="G1453" s="1">
        <v>-1.453E8</v>
      </c>
      <c r="H1453" s="1">
        <v>2.329E8</v>
      </c>
      <c r="I1453" s="1">
        <v>5.454E8</v>
      </c>
      <c r="J1453" s="1">
        <v>0.0</v>
      </c>
      <c r="K1453" s="1">
        <v>3.118E8</v>
      </c>
      <c r="M1453" s="1">
        <v>4.52E7</v>
      </c>
      <c r="N1453" s="1">
        <v>5.454E8</v>
      </c>
      <c r="O1453" s="1">
        <v>2.336E8</v>
      </c>
      <c r="P1453" s="1">
        <v>0.0</v>
      </c>
      <c r="Q1453" s="1">
        <v>-4.119E8</v>
      </c>
      <c r="R1453" s="1">
        <v>-1.453E8</v>
      </c>
      <c r="S1453" s="1">
        <v>-1.489E8</v>
      </c>
    </row>
    <row r="1454">
      <c r="A1454" s="1">
        <v>1452.0</v>
      </c>
      <c r="B1454" s="2">
        <v>44443.0</v>
      </c>
      <c r="C1454" s="1" t="s">
        <v>765</v>
      </c>
      <c r="D1454" s="1" t="s">
        <v>766</v>
      </c>
      <c r="F1454" s="1">
        <v>3.045E9</v>
      </c>
      <c r="G1454" s="1">
        <v>2.224E9</v>
      </c>
      <c r="H1454" s="1">
        <v>7.464E9</v>
      </c>
      <c r="I1454" s="1">
        <v>1.0804E10</v>
      </c>
      <c r="J1454" s="1">
        <v>3.34E9</v>
      </c>
      <c r="K1454" s="1">
        <v>3.34E9</v>
      </c>
      <c r="L1454" s="1">
        <v>-2.32E8</v>
      </c>
      <c r="M1454" s="1">
        <v>8.02E8</v>
      </c>
      <c r="N1454" s="1">
        <v>2.0189E10</v>
      </c>
      <c r="O1454" s="1">
        <v>1.6849E10</v>
      </c>
      <c r="P1454" s="1">
        <v>9.385E9</v>
      </c>
      <c r="Q1454" s="1">
        <v>-2.95E8</v>
      </c>
      <c r="R1454" s="1">
        <v>2.243E9</v>
      </c>
      <c r="S1454" s="1">
        <v>2.224E9</v>
      </c>
    </row>
    <row r="1455">
      <c r="A1455" s="1">
        <v>1453.0</v>
      </c>
      <c r="B1455" s="2">
        <v>44359.0</v>
      </c>
      <c r="C1455" s="1" t="s">
        <v>765</v>
      </c>
      <c r="D1455" s="1" t="s">
        <v>766</v>
      </c>
      <c r="F1455" s="1">
        <v>3.014E9</v>
      </c>
      <c r="G1455" s="1">
        <v>2.358E9</v>
      </c>
      <c r="H1455" s="1">
        <v>7.049E9</v>
      </c>
      <c r="I1455" s="1">
        <v>1.034E10</v>
      </c>
      <c r="J1455" s="1">
        <v>3.292E9</v>
      </c>
      <c r="K1455" s="1">
        <v>3.292E9</v>
      </c>
      <c r="L1455" s="1">
        <v>-1.94E8</v>
      </c>
      <c r="M1455" s="1">
        <v>6.42E8</v>
      </c>
      <c r="N1455" s="1">
        <v>1.9217E10</v>
      </c>
      <c r="O1455" s="1">
        <v>1.5925E10</v>
      </c>
      <c r="P1455" s="1">
        <v>8.877E9</v>
      </c>
      <c r="Q1455" s="1">
        <v>-2.78E8</v>
      </c>
      <c r="R1455" s="1">
        <v>2.372E9</v>
      </c>
      <c r="S1455" s="1">
        <v>2.358E9</v>
      </c>
    </row>
    <row r="1456">
      <c r="A1456" s="1">
        <v>1454.0</v>
      </c>
      <c r="B1456" s="2">
        <v>44275.0</v>
      </c>
      <c r="C1456" s="1" t="s">
        <v>765</v>
      </c>
      <c r="D1456" s="1" t="s">
        <v>766</v>
      </c>
      <c r="F1456" s="1">
        <v>2.174E9</v>
      </c>
      <c r="G1456" s="1">
        <v>1.714E9</v>
      </c>
      <c r="H1456" s="1">
        <v>5.852E9</v>
      </c>
      <c r="I1456" s="1">
        <v>8.151E9</v>
      </c>
      <c r="J1456" s="1">
        <v>2.3E9</v>
      </c>
      <c r="K1456" s="1">
        <v>2.3E9</v>
      </c>
      <c r="L1456" s="1">
        <v>-2.58E8</v>
      </c>
      <c r="M1456" s="1">
        <v>4.51E8</v>
      </c>
      <c r="N1456" s="1">
        <v>1.482E10</v>
      </c>
      <c r="O1456" s="1">
        <v>1.252E10</v>
      </c>
      <c r="P1456" s="1">
        <v>6.669E9</v>
      </c>
      <c r="Q1456" s="1">
        <v>-1.26E8</v>
      </c>
      <c r="R1456" s="1">
        <v>1.723E9</v>
      </c>
      <c r="S1456" s="1">
        <v>1.714E9</v>
      </c>
    </row>
    <row r="1457">
      <c r="A1457" s="1">
        <v>1455.0</v>
      </c>
      <c r="B1457" s="2">
        <v>44191.0</v>
      </c>
      <c r="C1457" s="1" t="s">
        <v>765</v>
      </c>
      <c r="D1457" s="1" t="s">
        <v>766</v>
      </c>
      <c r="E1457" s="1">
        <v>7.19E8</v>
      </c>
      <c r="F1457" s="1">
        <v>2.357E9</v>
      </c>
      <c r="G1457" s="1">
        <v>1.845E9</v>
      </c>
      <c r="H1457" s="1">
        <v>8.492E9</v>
      </c>
      <c r="I1457" s="1">
        <v>1.2057E10</v>
      </c>
      <c r="J1457" s="1">
        <v>2.856E9</v>
      </c>
      <c r="K1457" s="1">
        <v>2.856E9</v>
      </c>
      <c r="L1457" s="1">
        <v>-3.39E8</v>
      </c>
      <c r="M1457" s="1">
        <v>4.98E8</v>
      </c>
      <c r="N1457" s="1">
        <v>2.2455E10</v>
      </c>
      <c r="O1457" s="1">
        <v>1.9599E10</v>
      </c>
      <c r="P1457" s="1">
        <v>1.0398E10</v>
      </c>
      <c r="Q1457" s="1">
        <v>-4.99E8</v>
      </c>
      <c r="R1457" s="1">
        <v>1.859E9</v>
      </c>
      <c r="S1457" s="1">
        <v>1.845E9</v>
      </c>
    </row>
    <row r="1458">
      <c r="A1458" s="1">
        <v>1456.0</v>
      </c>
      <c r="B1458" s="2">
        <v>44472.0</v>
      </c>
      <c r="C1458" s="1" t="s">
        <v>767</v>
      </c>
      <c r="D1458" s="1" t="s">
        <v>768</v>
      </c>
      <c r="E1458" s="1">
        <v>6.8608E7</v>
      </c>
      <c r="F1458" s="1">
        <v>1.61668E8</v>
      </c>
      <c r="G1458" s="1">
        <v>1.27738E8</v>
      </c>
      <c r="H1458" s="1">
        <v>2.86097E8</v>
      </c>
      <c r="I1458" s="1">
        <v>6.41261E8</v>
      </c>
      <c r="J1458" s="1">
        <v>2.86556E8</v>
      </c>
      <c r="K1458" s="1">
        <v>2.86556E8</v>
      </c>
      <c r="L1458" s="1">
        <v>-4.3531E7</v>
      </c>
      <c r="M1458" s="1">
        <v>3.3883E7</v>
      </c>
      <c r="N1458" s="1">
        <v>1.166684E9</v>
      </c>
      <c r="O1458" s="1">
        <v>8.80128E8</v>
      </c>
      <c r="P1458" s="1">
        <v>5.25423E8</v>
      </c>
      <c r="Q1458" s="1">
        <v>-1.24888E8</v>
      </c>
      <c r="R1458" s="1">
        <v>1.27785E8</v>
      </c>
      <c r="S1458" s="1">
        <v>1.27738E8</v>
      </c>
    </row>
    <row r="1459">
      <c r="A1459" s="1">
        <v>1457.0</v>
      </c>
      <c r="B1459" s="2">
        <v>44381.0</v>
      </c>
      <c r="C1459" s="1" t="s">
        <v>767</v>
      </c>
      <c r="D1459" s="1" t="s">
        <v>768</v>
      </c>
      <c r="E1459" s="1">
        <v>6.5824E7</v>
      </c>
      <c r="F1459" s="1">
        <v>3.26057E8</v>
      </c>
      <c r="G1459" s="1">
        <v>2.4593E8</v>
      </c>
      <c r="H1459" s="1">
        <v>2.67182E8</v>
      </c>
      <c r="I1459" s="1">
        <v>6.87494E8</v>
      </c>
      <c r="J1459" s="1">
        <v>3.54488E8</v>
      </c>
      <c r="K1459" s="1">
        <v>3.54488E8</v>
      </c>
      <c r="L1459" s="1">
        <v>-1.675E7</v>
      </c>
      <c r="M1459" s="1">
        <v>8.0089E7</v>
      </c>
      <c r="N1459" s="1">
        <v>1.228471E9</v>
      </c>
      <c r="O1459" s="1">
        <v>8.73983E8</v>
      </c>
      <c r="P1459" s="1">
        <v>5.40977E8</v>
      </c>
      <c r="Q1459" s="1">
        <v>-2.8431E7</v>
      </c>
      <c r="R1459" s="1">
        <v>2.45968E8</v>
      </c>
      <c r="S1459" s="1">
        <v>2.4593E8</v>
      </c>
    </row>
    <row r="1460">
      <c r="A1460" s="1">
        <v>1458.0</v>
      </c>
      <c r="B1460" s="2">
        <v>44290.0</v>
      </c>
      <c r="C1460" s="1" t="s">
        <v>767</v>
      </c>
      <c r="D1460" s="1" t="s">
        <v>768</v>
      </c>
      <c r="E1460" s="1">
        <v>6.0216E7</v>
      </c>
      <c r="F1460" s="1">
        <v>4.80482E8</v>
      </c>
      <c r="G1460" s="1">
        <v>3.79305E8</v>
      </c>
      <c r="H1460" s="1">
        <v>2.3777E8</v>
      </c>
      <c r="I1460" s="1">
        <v>7.88127E8</v>
      </c>
      <c r="J1460" s="1">
        <v>4.90141E8</v>
      </c>
      <c r="K1460" s="1">
        <v>4.90141E8</v>
      </c>
      <c r="L1460" s="1">
        <v>-1.4126E7</v>
      </c>
      <c r="M1460" s="1">
        <v>1.01139E8</v>
      </c>
      <c r="N1460" s="1">
        <v>1.307689E9</v>
      </c>
      <c r="O1460" s="1">
        <v>8.17548E8</v>
      </c>
      <c r="P1460" s="1">
        <v>5.19562E8</v>
      </c>
      <c r="Q1460" s="1">
        <v>-9659000.0</v>
      </c>
      <c r="R1460" s="1">
        <v>3.79343E8</v>
      </c>
      <c r="S1460" s="1">
        <v>3.79305E8</v>
      </c>
    </row>
    <row r="1461">
      <c r="A1461" s="1">
        <v>1459.0</v>
      </c>
      <c r="B1461" s="2">
        <v>44199.0</v>
      </c>
      <c r="C1461" s="1" t="s">
        <v>767</v>
      </c>
      <c r="D1461" s="1" t="s">
        <v>768</v>
      </c>
      <c r="E1461" s="1">
        <v>5.6823E7</v>
      </c>
      <c r="F1461" s="1">
        <v>4.73091E8</v>
      </c>
      <c r="G1461" s="1">
        <v>3.80361E8</v>
      </c>
      <c r="H1461" s="1">
        <v>2.8197E8</v>
      </c>
      <c r="I1461" s="1">
        <v>8.36038E8</v>
      </c>
      <c r="J1461" s="1">
        <v>4.97245E8</v>
      </c>
      <c r="K1461" s="1">
        <v>4.97245E8</v>
      </c>
      <c r="L1461" s="1">
        <v>-1.1904E7</v>
      </c>
      <c r="M1461" s="1">
        <v>9.2657E7</v>
      </c>
      <c r="N1461" s="1">
        <v>1.354606E9</v>
      </c>
      <c r="O1461" s="1">
        <v>8.57361E8</v>
      </c>
      <c r="P1461" s="1">
        <v>5.18568E8</v>
      </c>
      <c r="Q1461" s="1">
        <v>-2.4154E7</v>
      </c>
      <c r="R1461" s="1">
        <v>3.80434E8</v>
      </c>
      <c r="S1461" s="1">
        <v>3.80361E8</v>
      </c>
    </row>
    <row r="1462">
      <c r="A1462" s="1">
        <v>1460.0</v>
      </c>
      <c r="B1462" s="2">
        <v>44472.0</v>
      </c>
      <c r="C1462" s="1" t="s">
        <v>769</v>
      </c>
      <c r="D1462" s="1" t="s">
        <v>770</v>
      </c>
      <c r="E1462" s="1">
        <v>2.739E9</v>
      </c>
      <c r="F1462" s="1">
        <v>7.836E9</v>
      </c>
      <c r="G1462" s="1">
        <v>8.146E9</v>
      </c>
      <c r="H1462" s="1">
        <v>1.6E9</v>
      </c>
      <c r="I1462" s="1">
        <v>1.4163E10</v>
      </c>
      <c r="J1462" s="1">
        <v>8.843E9</v>
      </c>
      <c r="K1462" s="1">
        <v>8.843E9</v>
      </c>
      <c r="L1462" s="1">
        <v>-3.25E8</v>
      </c>
      <c r="M1462" s="1">
        <v>-3.31E8</v>
      </c>
      <c r="N1462" s="1">
        <v>2.4094E10</v>
      </c>
      <c r="O1462" s="1">
        <v>1.5251E10</v>
      </c>
      <c r="P1462" s="1">
        <v>9.931E9</v>
      </c>
      <c r="Q1462" s="1">
        <v>-1.007E9</v>
      </c>
      <c r="R1462" s="1">
        <v>8.167E9</v>
      </c>
      <c r="S1462" s="1">
        <v>8.146E9</v>
      </c>
    </row>
    <row r="1463">
      <c r="A1463" s="1">
        <v>1461.0</v>
      </c>
      <c r="B1463" s="2">
        <v>44381.0</v>
      </c>
      <c r="C1463" s="1" t="s">
        <v>769</v>
      </c>
      <c r="D1463" s="1" t="s">
        <v>770</v>
      </c>
      <c r="E1463" s="1">
        <v>2.271E9</v>
      </c>
      <c r="F1463" s="1">
        <v>6.608E9</v>
      </c>
      <c r="G1463" s="1">
        <v>5.563E9</v>
      </c>
      <c r="H1463" s="1">
        <v>2.552E9</v>
      </c>
      <c r="I1463" s="1">
        <v>1.1985E10</v>
      </c>
      <c r="J1463" s="1">
        <v>6.231E9</v>
      </c>
      <c r="K1463" s="1">
        <v>6.231E9</v>
      </c>
      <c r="L1463" s="1">
        <v>-3.16E8</v>
      </c>
      <c r="M1463" s="1">
        <v>1.043E9</v>
      </c>
      <c r="N1463" s="1">
        <v>1.8977E10</v>
      </c>
      <c r="O1463" s="1">
        <v>1.2746E10</v>
      </c>
      <c r="P1463" s="1">
        <v>6.992E9</v>
      </c>
      <c r="Q1463" s="1">
        <v>3.77E8</v>
      </c>
      <c r="R1463" s="1">
        <v>5.565E9</v>
      </c>
      <c r="S1463" s="1">
        <v>5.563E9</v>
      </c>
    </row>
    <row r="1464">
      <c r="A1464" s="1">
        <v>1462.0</v>
      </c>
      <c r="B1464" s="2">
        <v>44290.0</v>
      </c>
      <c r="C1464" s="1" t="s">
        <v>769</v>
      </c>
      <c r="D1464" s="1" t="s">
        <v>770</v>
      </c>
      <c r="E1464" s="1">
        <v>2.011E9</v>
      </c>
      <c r="F1464" s="1">
        <v>5.682E9</v>
      </c>
      <c r="G1464" s="1">
        <v>4.877E9</v>
      </c>
      <c r="H1464" s="1">
        <v>2.385E9</v>
      </c>
      <c r="I1464" s="1">
        <v>1.041E10</v>
      </c>
      <c r="J1464" s="1">
        <v>5.142E9</v>
      </c>
      <c r="K1464" s="1">
        <v>5.142E9</v>
      </c>
      <c r="L1464" s="1">
        <v>-3.36E8</v>
      </c>
      <c r="M1464" s="1">
        <v>8.05E8</v>
      </c>
      <c r="N1464" s="1">
        <v>1.4582E10</v>
      </c>
      <c r="O1464" s="1">
        <v>9.44E9</v>
      </c>
      <c r="P1464" s="1">
        <v>4.172E9</v>
      </c>
      <c r="Q1464" s="1">
        <v>5.4E8</v>
      </c>
      <c r="R1464" s="1">
        <v>4.877E9</v>
      </c>
      <c r="S1464" s="1">
        <v>4.877E9</v>
      </c>
    </row>
    <row r="1465">
      <c r="A1465" s="1">
        <v>1463.0</v>
      </c>
      <c r="B1465" s="2">
        <v>44196.0</v>
      </c>
      <c r="C1465" s="1" t="s">
        <v>769</v>
      </c>
      <c r="D1465" s="1" t="s">
        <v>770</v>
      </c>
      <c r="E1465" s="1">
        <v>2.828E9</v>
      </c>
      <c r="F1465" s="1">
        <v>1.78E8</v>
      </c>
      <c r="G1465" s="1">
        <v>5.94E8</v>
      </c>
      <c r="H1465" s="1">
        <v>3.481E9</v>
      </c>
      <c r="I1465" s="1">
        <v>8.797E9</v>
      </c>
      <c r="J1465" s="1">
        <v>1.632E9</v>
      </c>
      <c r="K1465" s="1">
        <v>1.632E9</v>
      </c>
      <c r="L1465" s="1">
        <v>-3.47E8</v>
      </c>
      <c r="M1465" s="1">
        <v>-1.7E8</v>
      </c>
      <c r="N1465" s="1">
        <v>1.1684E10</v>
      </c>
      <c r="O1465" s="1">
        <v>1.0052E10</v>
      </c>
      <c r="P1465" s="1">
        <v>2.887E9</v>
      </c>
      <c r="Q1465" s="1">
        <v>-1.454E9</v>
      </c>
      <c r="R1465" s="1">
        <v>3.48E8</v>
      </c>
      <c r="S1465" s="1">
        <v>5.94E8</v>
      </c>
    </row>
    <row r="1466">
      <c r="A1466" s="1">
        <v>1464.0</v>
      </c>
      <c r="B1466" s="2">
        <v>44469.0</v>
      </c>
      <c r="C1466" s="1" t="s">
        <v>771</v>
      </c>
      <c r="D1466" s="1" t="s">
        <v>772</v>
      </c>
      <c r="F1466" s="1">
        <v>3.323E9</v>
      </c>
      <c r="G1466" s="1">
        <v>2.426E9</v>
      </c>
      <c r="H1466" s="1">
        <v>2.037E9</v>
      </c>
      <c r="I1466" s="1">
        <v>5.526E9</v>
      </c>
      <c r="J1466" s="1">
        <v>3.471E9</v>
      </c>
      <c r="K1466" s="1">
        <v>3.471E9</v>
      </c>
      <c r="L1466" s="1">
        <v>-2.01E8</v>
      </c>
      <c r="M1466" s="1">
        <v>7.35E8</v>
      </c>
      <c r="N1466" s="1">
        <v>8.122E9</v>
      </c>
      <c r="O1466" s="1">
        <v>4.651E9</v>
      </c>
      <c r="P1466" s="1">
        <v>2.596E9</v>
      </c>
      <c r="Q1466" s="1">
        <v>-1.48E8</v>
      </c>
      <c r="R1466" s="1">
        <v>2.588E9</v>
      </c>
      <c r="S1466" s="1">
        <v>2.419E9</v>
      </c>
    </row>
    <row r="1467">
      <c r="A1467" s="1">
        <v>1465.0</v>
      </c>
      <c r="B1467" s="2">
        <v>44377.0</v>
      </c>
      <c r="C1467" s="1" t="s">
        <v>771</v>
      </c>
      <c r="D1467" s="1" t="s">
        <v>772</v>
      </c>
      <c r="F1467" s="1">
        <v>2.944E9</v>
      </c>
      <c r="G1467" s="1">
        <v>2.172E9</v>
      </c>
      <c r="H1467" s="1">
        <v>2.041E9</v>
      </c>
      <c r="I1467" s="1">
        <v>5.241E9</v>
      </c>
      <c r="J1467" s="1">
        <v>3.181E9</v>
      </c>
      <c r="K1467" s="1">
        <v>3.181E9</v>
      </c>
      <c r="L1467" s="1">
        <v>-2.11E8</v>
      </c>
      <c r="M1467" s="1">
        <v>6.46E8</v>
      </c>
      <c r="N1467" s="1">
        <v>7.594E9</v>
      </c>
      <c r="O1467" s="1">
        <v>4.413E9</v>
      </c>
      <c r="P1467" s="1">
        <v>2.353E9</v>
      </c>
      <c r="Q1467" s="1">
        <v>-2.37E8</v>
      </c>
      <c r="R1467" s="1">
        <v>2.298E9</v>
      </c>
      <c r="S1467" s="1">
        <v>2.166E9</v>
      </c>
    </row>
    <row r="1468">
      <c r="A1468" s="1">
        <v>1466.0</v>
      </c>
      <c r="B1468" s="2">
        <v>44286.0</v>
      </c>
      <c r="C1468" s="1" t="s">
        <v>771</v>
      </c>
      <c r="D1468" s="1" t="s">
        <v>772</v>
      </c>
      <c r="F1468" s="1">
        <v>3.292E9</v>
      </c>
      <c r="G1468" s="1">
        <v>2.418E9</v>
      </c>
      <c r="H1468" s="1">
        <v>1.829E9</v>
      </c>
      <c r="I1468" s="1">
        <v>5.311E9</v>
      </c>
      <c r="J1468" s="1">
        <v>3.464E9</v>
      </c>
      <c r="K1468" s="1">
        <v>3.464E9</v>
      </c>
      <c r="L1468" s="1">
        <v>-2.09E8</v>
      </c>
      <c r="M1468" s="1">
        <v>6.97E8</v>
      </c>
      <c r="N1468" s="1">
        <v>7.585E9</v>
      </c>
      <c r="O1468" s="1">
        <v>4.121E9</v>
      </c>
      <c r="P1468" s="1">
        <v>2.274E9</v>
      </c>
      <c r="Q1468" s="1">
        <v>-1.72E8</v>
      </c>
      <c r="R1468" s="1">
        <v>2.595E9</v>
      </c>
      <c r="S1468" s="1">
        <v>2.411E9</v>
      </c>
    </row>
    <row r="1469">
      <c r="A1469" s="1">
        <v>1467.0</v>
      </c>
      <c r="B1469" s="2">
        <v>44196.0</v>
      </c>
      <c r="C1469" s="1" t="s">
        <v>771</v>
      </c>
      <c r="D1469" s="1" t="s">
        <v>772</v>
      </c>
      <c r="F1469" s="1">
        <v>2.732E9</v>
      </c>
      <c r="G1469" s="1">
        <v>1.976E9</v>
      </c>
      <c r="H1469" s="1">
        <v>1.9E9</v>
      </c>
      <c r="I1469" s="1">
        <v>4.872E9</v>
      </c>
      <c r="J1469" s="1">
        <v>2.954E9</v>
      </c>
      <c r="K1469" s="1">
        <v>2.954E9</v>
      </c>
      <c r="L1469" s="1">
        <v>-7.3E7</v>
      </c>
      <c r="M1469" s="1">
        <v>6.13E8</v>
      </c>
      <c r="N1469" s="1">
        <v>7.444E9</v>
      </c>
      <c r="O1469" s="1">
        <v>4.49E9</v>
      </c>
      <c r="P1469" s="1">
        <v>2.572E9</v>
      </c>
      <c r="Q1469" s="1">
        <v>-2.22E8</v>
      </c>
      <c r="R1469" s="1">
        <v>2.119E9</v>
      </c>
      <c r="S1469" s="1">
        <v>1.971E9</v>
      </c>
    </row>
    <row r="1470">
      <c r="A1470" s="1">
        <v>1468.0</v>
      </c>
      <c r="B1470" s="2">
        <v>44469.0</v>
      </c>
      <c r="C1470" s="1" t="s">
        <v>773</v>
      </c>
      <c r="D1470" s="1" t="s">
        <v>774</v>
      </c>
      <c r="F1470" s="1">
        <v>4.48E8</v>
      </c>
      <c r="G1470" s="1">
        <v>4.02E8</v>
      </c>
      <c r="H1470" s="1">
        <v>1.59E9</v>
      </c>
      <c r="I1470" s="1">
        <v>2.717E9</v>
      </c>
      <c r="J1470" s="1">
        <v>6.86E8</v>
      </c>
      <c r="K1470" s="1">
        <v>6.86E8</v>
      </c>
      <c r="L1470" s="1">
        <v>-1.51E8</v>
      </c>
      <c r="M1470" s="1">
        <v>-4.0E7</v>
      </c>
      <c r="N1470" s="1">
        <v>3.0246E10</v>
      </c>
      <c r="O1470" s="1">
        <v>2.956E10</v>
      </c>
      <c r="P1470" s="1">
        <v>2.7529E10</v>
      </c>
      <c r="Q1470" s="1">
        <v>-2.38E8</v>
      </c>
      <c r="R1470" s="1">
        <v>4.88E8</v>
      </c>
      <c r="S1470" s="1">
        <v>4.0E8</v>
      </c>
    </row>
    <row r="1471">
      <c r="A1471" s="1">
        <v>1469.0</v>
      </c>
      <c r="B1471" s="2">
        <v>44377.0</v>
      </c>
      <c r="C1471" s="1" t="s">
        <v>773</v>
      </c>
      <c r="D1471" s="1" t="s">
        <v>774</v>
      </c>
      <c r="F1471" s="1">
        <v>4.36E8</v>
      </c>
      <c r="G1471" s="1">
        <v>2.96E8</v>
      </c>
      <c r="H1471" s="1">
        <v>1.608E9</v>
      </c>
      <c r="I1471" s="1">
        <v>1.817E9</v>
      </c>
      <c r="J1471" s="1">
        <v>-2.62E8</v>
      </c>
      <c r="K1471" s="1">
        <v>-2.62E8</v>
      </c>
      <c r="L1471" s="1">
        <v>-1.43E8</v>
      </c>
      <c r="M1471" s="1">
        <v>6.2E7</v>
      </c>
      <c r="N1471" s="1">
        <v>2.7035E10</v>
      </c>
      <c r="O1471" s="1">
        <v>2.7297E10</v>
      </c>
      <c r="P1471" s="1">
        <v>2.5218E10</v>
      </c>
      <c r="Q1471" s="1">
        <v>6.98E8</v>
      </c>
      <c r="R1471" s="1">
        <v>3.74E8</v>
      </c>
      <c r="S1471" s="1">
        <v>2.91E8</v>
      </c>
    </row>
    <row r="1472">
      <c r="A1472" s="1">
        <v>1470.0</v>
      </c>
      <c r="B1472" s="2">
        <v>44286.0</v>
      </c>
      <c r="C1472" s="1" t="s">
        <v>773</v>
      </c>
      <c r="D1472" s="1" t="s">
        <v>774</v>
      </c>
      <c r="F1472" s="1">
        <v>-7.71E8</v>
      </c>
      <c r="G1472" s="1">
        <v>-6.54E8</v>
      </c>
      <c r="H1472" s="1">
        <v>1.788E9</v>
      </c>
      <c r="I1472" s="1">
        <v>1.577E9</v>
      </c>
      <c r="J1472" s="1">
        <v>-7.12E8</v>
      </c>
      <c r="K1472" s="1">
        <v>-7.12E8</v>
      </c>
      <c r="L1472" s="1">
        <v>-1.46E8</v>
      </c>
      <c r="M1472" s="1">
        <v>-1.32E8</v>
      </c>
      <c r="N1472" s="1">
        <v>2.1642E10</v>
      </c>
      <c r="O1472" s="1">
        <v>2.2354E10</v>
      </c>
      <c r="P1472" s="1">
        <v>2.0065E10</v>
      </c>
      <c r="Q1472" s="1">
        <v>-5.9E7</v>
      </c>
      <c r="R1472" s="1">
        <v>-6.39E8</v>
      </c>
      <c r="S1472" s="1">
        <v>-6.56E8</v>
      </c>
    </row>
    <row r="1473">
      <c r="A1473" s="1">
        <v>1471.0</v>
      </c>
      <c r="B1473" s="2">
        <v>44196.0</v>
      </c>
      <c r="C1473" s="1" t="s">
        <v>773</v>
      </c>
      <c r="D1473" s="1" t="s">
        <v>774</v>
      </c>
      <c r="F1473" s="1">
        <v>-6.91E8</v>
      </c>
      <c r="G1473" s="1">
        <v>-5.39E8</v>
      </c>
      <c r="H1473" s="1">
        <v>1.612E9</v>
      </c>
      <c r="I1473" s="1">
        <v>1.262E9</v>
      </c>
      <c r="J1473" s="1">
        <v>-7.99E8</v>
      </c>
      <c r="K1473" s="1">
        <v>-7.99E8</v>
      </c>
      <c r="L1473" s="1">
        <v>-1.39E8</v>
      </c>
      <c r="M1473" s="1">
        <v>-1.97E8</v>
      </c>
      <c r="N1473" s="1">
        <v>1.6412E10</v>
      </c>
      <c r="O1473" s="1">
        <v>1.7211E10</v>
      </c>
      <c r="P1473" s="1">
        <v>1.515E10</v>
      </c>
      <c r="Q1473" s="1">
        <v>1.08E8</v>
      </c>
      <c r="R1473" s="1">
        <v>-4.94E8</v>
      </c>
      <c r="S1473" s="1">
        <v>-5.41E8</v>
      </c>
    </row>
    <row r="1474">
      <c r="A1474" s="1">
        <v>1472.0</v>
      </c>
      <c r="B1474" s="2">
        <v>44469.0</v>
      </c>
      <c r="C1474" s="1" t="s">
        <v>775</v>
      </c>
      <c r="D1474" s="1" t="s">
        <v>776</v>
      </c>
      <c r="F1474" s="1">
        <v>4.15967E8</v>
      </c>
      <c r="G1474" s="1">
        <v>3.39798E8</v>
      </c>
      <c r="H1474" s="1">
        <v>7.9553E7</v>
      </c>
      <c r="I1474" s="1">
        <v>7.56104E8</v>
      </c>
      <c r="J1474" s="1">
        <v>4.57508E8</v>
      </c>
      <c r="K1474" s="1">
        <v>4.57508E8</v>
      </c>
      <c r="L1474" s="1">
        <v>-6.4067E7</v>
      </c>
      <c r="M1474" s="1">
        <v>7.1863E7</v>
      </c>
      <c r="N1474" s="1">
        <v>1.308254E9</v>
      </c>
      <c r="O1474" s="1">
        <v>8.50746E8</v>
      </c>
      <c r="P1474" s="1">
        <v>5.5215E8</v>
      </c>
      <c r="Q1474" s="1">
        <v>-4.1541E7</v>
      </c>
      <c r="R1474" s="1">
        <v>3.44104E8</v>
      </c>
      <c r="S1474" s="1">
        <v>3.39798E8</v>
      </c>
    </row>
    <row r="1475">
      <c r="A1475" s="1">
        <v>1473.0</v>
      </c>
      <c r="B1475" s="2">
        <v>44377.0</v>
      </c>
      <c r="C1475" s="1" t="s">
        <v>775</v>
      </c>
      <c r="D1475" s="1" t="s">
        <v>776</v>
      </c>
      <c r="F1475" s="1">
        <v>2.65996E8</v>
      </c>
      <c r="G1475" s="1">
        <v>2.15697E8</v>
      </c>
      <c r="H1475" s="1">
        <v>-2.8175E7</v>
      </c>
      <c r="I1475" s="1">
        <v>5.00724E8</v>
      </c>
      <c r="J1475" s="1">
        <v>3.06561E8</v>
      </c>
      <c r="K1475" s="1">
        <v>3.06561E8</v>
      </c>
      <c r="L1475" s="1">
        <v>-6.2777E7</v>
      </c>
      <c r="M1475" s="1">
        <v>4.656E7</v>
      </c>
      <c r="N1475" s="1">
        <v>1.000249E9</v>
      </c>
      <c r="O1475" s="1">
        <v>6.93688E8</v>
      </c>
      <c r="P1475" s="1">
        <v>4.99525E8</v>
      </c>
      <c r="Q1475" s="1">
        <v>-4.0565E7</v>
      </c>
      <c r="R1475" s="1">
        <v>2.19436E8</v>
      </c>
      <c r="S1475" s="1">
        <v>2.15697E8</v>
      </c>
    </row>
    <row r="1476">
      <c r="A1476" s="1">
        <v>1474.0</v>
      </c>
      <c r="B1476" s="2">
        <v>44286.0</v>
      </c>
      <c r="C1476" s="1" t="s">
        <v>775</v>
      </c>
      <c r="D1476" s="1" t="s">
        <v>776</v>
      </c>
      <c r="F1476" s="1">
        <v>3.6164E7</v>
      </c>
      <c r="G1476" s="1">
        <v>3.5641E7</v>
      </c>
      <c r="H1476" s="1">
        <v>-2.7791E7</v>
      </c>
      <c r="I1476" s="1">
        <v>2.68193E8</v>
      </c>
      <c r="J1476" s="1">
        <v>7.5325E7</v>
      </c>
      <c r="K1476" s="1">
        <v>7.5325E7</v>
      </c>
      <c r="L1476" s="1">
        <v>-6.1938E7</v>
      </c>
      <c r="M1476" s="1">
        <v>-4350000.0</v>
      </c>
      <c r="N1476" s="1">
        <v>6.96475E8</v>
      </c>
      <c r="O1476" s="1">
        <v>6.2115E8</v>
      </c>
      <c r="P1476" s="1">
        <v>4.28282E8</v>
      </c>
      <c r="Q1476" s="1">
        <v>-3.9161E7</v>
      </c>
      <c r="R1476" s="1">
        <v>4.0514E7</v>
      </c>
      <c r="S1476" s="1">
        <v>3.5641E7</v>
      </c>
    </row>
    <row r="1477">
      <c r="A1477" s="1">
        <v>1475.0</v>
      </c>
      <c r="B1477" s="2">
        <v>44196.0</v>
      </c>
      <c r="C1477" s="1" t="s">
        <v>775</v>
      </c>
      <c r="D1477" s="1" t="s">
        <v>776</v>
      </c>
      <c r="F1477" s="1">
        <v>-3.4431E7</v>
      </c>
      <c r="G1477" s="1">
        <v>-1.9391E7</v>
      </c>
      <c r="H1477" s="1">
        <v>-1.85105E8</v>
      </c>
      <c r="I1477" s="1">
        <v>7.5452E7</v>
      </c>
      <c r="J1477" s="1">
        <v>4.5018E7</v>
      </c>
      <c r="K1477" s="1">
        <v>4.5018E7</v>
      </c>
      <c r="L1477" s="1">
        <v>-6.408E7</v>
      </c>
      <c r="M1477" s="1">
        <v>-1.9913E7</v>
      </c>
      <c r="N1477" s="1">
        <v>7.40961E8</v>
      </c>
      <c r="O1477" s="1">
        <v>6.95943E8</v>
      </c>
      <c r="P1477" s="1">
        <v>6.65509E8</v>
      </c>
      <c r="Q1477" s="1">
        <v>-7.9449E7</v>
      </c>
      <c r="R1477" s="1">
        <v>-1.4518E7</v>
      </c>
      <c r="S1477" s="1">
        <v>-1.9391E7</v>
      </c>
    </row>
    <row r="1478">
      <c r="A1478" s="1">
        <v>1476.0</v>
      </c>
      <c r="B1478" s="2">
        <v>44469.0</v>
      </c>
      <c r="C1478" s="1" t="s">
        <v>777</v>
      </c>
      <c r="D1478" s="1" t="s">
        <v>778</v>
      </c>
      <c r="F1478" s="1">
        <v>1.336E9</v>
      </c>
      <c r="G1478" s="1">
        <v>1.045E9</v>
      </c>
      <c r="H1478" s="1">
        <v>7.2E7</v>
      </c>
      <c r="I1478" s="1">
        <v>2.697E9</v>
      </c>
      <c r="J1478" s="1">
        <v>1.384E9</v>
      </c>
      <c r="K1478" s="1">
        <v>1.384E9</v>
      </c>
      <c r="L1478" s="1">
        <v>-4.1E7</v>
      </c>
      <c r="M1478" s="1">
        <v>2.91E8</v>
      </c>
      <c r="N1478" s="1">
        <v>4.961E9</v>
      </c>
      <c r="O1478" s="1">
        <v>3.577E9</v>
      </c>
      <c r="P1478" s="1">
        <v>2.264E9</v>
      </c>
      <c r="Q1478" s="1">
        <v>-4.8E7</v>
      </c>
      <c r="R1478" s="1">
        <v>1.045E9</v>
      </c>
      <c r="S1478" s="1">
        <v>1.042E9</v>
      </c>
    </row>
    <row r="1479">
      <c r="A1479" s="1">
        <v>1477.0</v>
      </c>
      <c r="B1479" s="2">
        <v>44377.0</v>
      </c>
      <c r="C1479" s="1" t="s">
        <v>777</v>
      </c>
      <c r="D1479" s="1" t="s">
        <v>778</v>
      </c>
      <c r="F1479" s="1">
        <v>5.0E8</v>
      </c>
      <c r="G1479" s="1">
        <v>3.8E8</v>
      </c>
      <c r="H1479" s="1">
        <v>7.5E7</v>
      </c>
      <c r="I1479" s="1">
        <v>2.173E9</v>
      </c>
      <c r="J1479" s="1">
        <v>5.92E8</v>
      </c>
      <c r="K1479" s="1">
        <v>5.92E8</v>
      </c>
      <c r="L1479" s="1">
        <v>-4.1E7</v>
      </c>
      <c r="M1479" s="1">
        <v>1.2E8</v>
      </c>
      <c r="N1479" s="1">
        <v>4.269E9</v>
      </c>
      <c r="O1479" s="1">
        <v>3.677E9</v>
      </c>
      <c r="P1479" s="1">
        <v>2.096E9</v>
      </c>
      <c r="Q1479" s="1">
        <v>-9.2E7</v>
      </c>
      <c r="R1479" s="1">
        <v>3.8E8</v>
      </c>
      <c r="S1479" s="1">
        <v>3.79E8</v>
      </c>
    </row>
    <row r="1480">
      <c r="A1480" s="1">
        <v>1478.0</v>
      </c>
      <c r="B1480" s="2">
        <v>44286.0</v>
      </c>
      <c r="C1480" s="1" t="s">
        <v>777</v>
      </c>
      <c r="D1480" s="1" t="s">
        <v>778</v>
      </c>
      <c r="F1480" s="1">
        <v>-8.1E7</v>
      </c>
      <c r="G1480" s="1">
        <v>-7.0E7</v>
      </c>
      <c r="H1480" s="1">
        <v>6.8E7</v>
      </c>
      <c r="I1480" s="1">
        <v>1.444E9</v>
      </c>
      <c r="J1480" s="1">
        <v>1.69E8</v>
      </c>
      <c r="K1480" s="1">
        <v>1.69E8</v>
      </c>
      <c r="L1480" s="1">
        <v>-3.9E7</v>
      </c>
      <c r="M1480" s="1">
        <v>-1.1E7</v>
      </c>
      <c r="N1480" s="1">
        <v>3.064E9</v>
      </c>
      <c r="O1480" s="1">
        <v>2.895E9</v>
      </c>
      <c r="P1480" s="1">
        <v>1.62E9</v>
      </c>
      <c r="Q1480" s="1">
        <v>-2.5E8</v>
      </c>
      <c r="R1480" s="1">
        <v>-7.0E7</v>
      </c>
      <c r="S1480" s="1">
        <v>-7.0E7</v>
      </c>
    </row>
    <row r="1481">
      <c r="A1481" s="1">
        <v>1479.0</v>
      </c>
      <c r="B1481" s="2">
        <v>44196.0</v>
      </c>
      <c r="C1481" s="1" t="s">
        <v>777</v>
      </c>
      <c r="D1481" s="1" t="s">
        <v>778</v>
      </c>
      <c r="F1481" s="1">
        <v>-7.3E7</v>
      </c>
      <c r="G1481" s="1">
        <v>-3.0E7</v>
      </c>
      <c r="H1481" s="1">
        <v>6.4E7</v>
      </c>
      <c r="I1481" s="1">
        <v>7.45E8</v>
      </c>
      <c r="J1481" s="1">
        <v>-1.0E8</v>
      </c>
      <c r="K1481" s="1">
        <v>-1.0E8</v>
      </c>
      <c r="L1481" s="1">
        <v>-3.5E7</v>
      </c>
      <c r="M1481" s="1">
        <v>-4.3E7</v>
      </c>
      <c r="N1481" s="1">
        <v>2.016E9</v>
      </c>
      <c r="O1481" s="1">
        <v>2.116E9</v>
      </c>
      <c r="P1481" s="1">
        <v>1.271E9</v>
      </c>
      <c r="Q1481" s="1">
        <v>2.7E7</v>
      </c>
      <c r="R1481" s="1">
        <v>-3.0E7</v>
      </c>
      <c r="S1481" s="1">
        <v>-3.0E7</v>
      </c>
    </row>
    <row r="1482">
      <c r="A1482" s="1">
        <v>1480.0</v>
      </c>
      <c r="B1482" s="2">
        <v>44469.0</v>
      </c>
      <c r="C1482" s="1" t="s">
        <v>779</v>
      </c>
      <c r="D1482" s="1" t="s">
        <v>780</v>
      </c>
      <c r="F1482" s="1">
        <v>1.813E9</v>
      </c>
      <c r="G1482" s="1">
        <v>1.474E9</v>
      </c>
      <c r="H1482" s="1">
        <v>2.692E9</v>
      </c>
      <c r="I1482" s="1">
        <v>5.4E9</v>
      </c>
      <c r="J1482" s="1">
        <v>0.0</v>
      </c>
      <c r="K1482" s="1">
        <v>1.813E9</v>
      </c>
      <c r="M1482" s="1">
        <v>3.23E8</v>
      </c>
      <c r="N1482" s="1">
        <v>5.4E9</v>
      </c>
      <c r="O1482" s="1">
        <v>3.587E9</v>
      </c>
      <c r="P1482" s="1">
        <v>0.0</v>
      </c>
      <c r="Q1482" s="1">
        <v>0.0</v>
      </c>
      <c r="R1482" s="1">
        <v>1.49E9</v>
      </c>
      <c r="S1482" s="1">
        <v>1.408E9</v>
      </c>
    </row>
    <row r="1483">
      <c r="A1483" s="1">
        <v>1481.0</v>
      </c>
      <c r="B1483" s="2">
        <v>44377.0</v>
      </c>
      <c r="C1483" s="1" t="s">
        <v>779</v>
      </c>
      <c r="D1483" s="1" t="s">
        <v>780</v>
      </c>
      <c r="F1483" s="1">
        <v>1.315E9</v>
      </c>
      <c r="G1483" s="1">
        <v>1.091E9</v>
      </c>
      <c r="H1483" s="1">
        <v>2.257E9</v>
      </c>
      <c r="I1483" s="1">
        <v>4.365E9</v>
      </c>
      <c r="J1483" s="1">
        <v>0.0</v>
      </c>
      <c r="K1483" s="1">
        <v>1.315E9</v>
      </c>
      <c r="M1483" s="1">
        <v>2.12E8</v>
      </c>
      <c r="N1483" s="1">
        <v>4.365E9</v>
      </c>
      <c r="O1483" s="1">
        <v>3.05E9</v>
      </c>
      <c r="P1483" s="1">
        <v>0.0</v>
      </c>
      <c r="Q1483" s="1">
        <v>0.0</v>
      </c>
      <c r="R1483" s="1">
        <v>1.103E9</v>
      </c>
      <c r="S1483" s="1">
        <v>1.037E9</v>
      </c>
    </row>
    <row r="1484">
      <c r="A1484" s="1">
        <v>1482.0</v>
      </c>
      <c r="B1484" s="2">
        <v>44286.0</v>
      </c>
      <c r="C1484" s="1" t="s">
        <v>779</v>
      </c>
      <c r="D1484" s="1" t="s">
        <v>780</v>
      </c>
      <c r="F1484" s="1">
        <v>2.197E9</v>
      </c>
      <c r="G1484" s="1">
        <v>1.816E9</v>
      </c>
      <c r="H1484" s="1">
        <v>2.03E9</v>
      </c>
      <c r="I1484" s="1">
        <v>4.771E9</v>
      </c>
      <c r="J1484" s="1">
        <v>0.0</v>
      </c>
      <c r="K1484" s="1">
        <v>2.197E9</v>
      </c>
      <c r="M1484" s="1">
        <v>3.71E8</v>
      </c>
      <c r="N1484" s="1">
        <v>4.771E9</v>
      </c>
      <c r="O1484" s="1">
        <v>2.574E9</v>
      </c>
      <c r="P1484" s="1">
        <v>0.0</v>
      </c>
      <c r="Q1484" s="1">
        <v>0.0</v>
      </c>
      <c r="R1484" s="1">
        <v>1.826E9</v>
      </c>
      <c r="S1484" s="1">
        <v>1.75E9</v>
      </c>
    </row>
    <row r="1485">
      <c r="A1485" s="1">
        <v>1483.0</v>
      </c>
      <c r="B1485" s="2">
        <v>44196.0</v>
      </c>
      <c r="C1485" s="1" t="s">
        <v>779</v>
      </c>
      <c r="D1485" s="1" t="s">
        <v>780</v>
      </c>
      <c r="F1485" s="1">
        <v>1.754E9</v>
      </c>
      <c r="G1485" s="1">
        <v>2.2E8</v>
      </c>
      <c r="H1485" s="1">
        <v>2.096E9</v>
      </c>
      <c r="I1485" s="1">
        <v>4.462E9</v>
      </c>
      <c r="J1485" s="1">
        <v>0.0</v>
      </c>
      <c r="K1485" s="1">
        <v>1.754E9</v>
      </c>
      <c r="M1485" s="1">
        <v>2.98E8</v>
      </c>
      <c r="N1485" s="1">
        <v>4.462E9</v>
      </c>
      <c r="O1485" s="1">
        <v>2.708E9</v>
      </c>
      <c r="P1485" s="1">
        <v>0.0</v>
      </c>
      <c r="Q1485" s="1">
        <v>0.0</v>
      </c>
      <c r="R1485" s="1">
        <v>1.456E9</v>
      </c>
      <c r="S1485" s="1">
        <v>1.65E8</v>
      </c>
    </row>
    <row r="1486">
      <c r="A1486" s="1">
        <v>1484.0</v>
      </c>
      <c r="B1486" s="2">
        <v>44469.0</v>
      </c>
      <c r="C1486" s="1" t="s">
        <v>781</v>
      </c>
      <c r="D1486" s="1" t="s">
        <v>782</v>
      </c>
      <c r="F1486" s="1">
        <v>2.35051E8</v>
      </c>
      <c r="G1486" s="1">
        <v>1.84665E8</v>
      </c>
      <c r="H1486" s="1">
        <v>2.06023E8</v>
      </c>
      <c r="I1486" s="1">
        <v>4.41899E8</v>
      </c>
      <c r="J1486" s="1">
        <v>2.35876E8</v>
      </c>
      <c r="K1486" s="1">
        <v>2.35876E8</v>
      </c>
      <c r="L1486" s="1">
        <v>-2317000.0</v>
      </c>
      <c r="M1486" s="1">
        <v>5.0386E7</v>
      </c>
      <c r="N1486" s="1">
        <v>1.411448E9</v>
      </c>
      <c r="O1486" s="1">
        <v>1.175572E9</v>
      </c>
      <c r="P1486" s="1">
        <v>9.69549E8</v>
      </c>
      <c r="Q1486" s="1">
        <v>-825000.0</v>
      </c>
      <c r="R1486" s="1">
        <v>1.84665E8</v>
      </c>
      <c r="S1486" s="1">
        <v>1.84665E8</v>
      </c>
    </row>
    <row r="1487">
      <c r="A1487" s="1">
        <v>1485.0</v>
      </c>
      <c r="B1487" s="2">
        <v>44377.0</v>
      </c>
      <c r="C1487" s="1" t="s">
        <v>781</v>
      </c>
      <c r="D1487" s="1" t="s">
        <v>782</v>
      </c>
      <c r="F1487" s="1">
        <v>3.3668E8</v>
      </c>
      <c r="G1487" s="1">
        <v>2.59695E8</v>
      </c>
      <c r="H1487" s="1">
        <v>2.13099E8</v>
      </c>
      <c r="I1487" s="1">
        <v>5.51685E8</v>
      </c>
      <c r="J1487" s="1">
        <v>3.38586E8</v>
      </c>
      <c r="K1487" s="1">
        <v>3.38586E8</v>
      </c>
      <c r="L1487" s="1">
        <v>-1963000.0</v>
      </c>
      <c r="M1487" s="1">
        <v>7.6985E7</v>
      </c>
      <c r="N1487" s="1">
        <v>1.787833E9</v>
      </c>
      <c r="O1487" s="1">
        <v>1.449247E9</v>
      </c>
      <c r="P1487" s="1">
        <v>1.236148E9</v>
      </c>
      <c r="Q1487" s="1">
        <v>-1906000.0</v>
      </c>
      <c r="R1487" s="1">
        <v>2.59695E8</v>
      </c>
      <c r="S1487" s="1">
        <v>2.59695E8</v>
      </c>
    </row>
    <row r="1488">
      <c r="A1488" s="1">
        <v>1486.0</v>
      </c>
      <c r="B1488" s="2">
        <v>44286.0</v>
      </c>
      <c r="C1488" s="1" t="s">
        <v>781</v>
      </c>
      <c r="D1488" s="1" t="s">
        <v>782</v>
      </c>
      <c r="F1488" s="1">
        <v>1.26524E8</v>
      </c>
      <c r="G1488" s="1">
        <v>9.8655E7</v>
      </c>
      <c r="H1488" s="1">
        <v>1.721E8</v>
      </c>
      <c r="I1488" s="1">
        <v>3.01131E8</v>
      </c>
      <c r="J1488" s="1">
        <v>1.29031E8</v>
      </c>
      <c r="K1488" s="1">
        <v>1.29031E8</v>
      </c>
      <c r="L1488" s="1">
        <v>-2582000.0</v>
      </c>
      <c r="M1488" s="1">
        <v>2.7869E7</v>
      </c>
      <c r="N1488" s="1">
        <v>1.060745E9</v>
      </c>
      <c r="O1488" s="1">
        <v>9.31714E8</v>
      </c>
      <c r="P1488" s="1">
        <v>7.59614E8</v>
      </c>
      <c r="Q1488" s="1">
        <v>-2507000.0</v>
      </c>
      <c r="R1488" s="1">
        <v>9.8655E7</v>
      </c>
      <c r="S1488" s="1">
        <v>9.8655E7</v>
      </c>
    </row>
    <row r="1489">
      <c r="A1489" s="1">
        <v>1487.0</v>
      </c>
      <c r="B1489" s="2">
        <v>44196.0</v>
      </c>
      <c r="C1489" s="1" t="s">
        <v>781</v>
      </c>
      <c r="D1489" s="1" t="s">
        <v>782</v>
      </c>
      <c r="F1489" s="1">
        <v>7.1336E7</v>
      </c>
      <c r="G1489" s="1">
        <v>5.9173E7</v>
      </c>
      <c r="H1489" s="1">
        <v>1.64745E8</v>
      </c>
      <c r="I1489" s="1">
        <v>2.39095E8</v>
      </c>
      <c r="J1489" s="1">
        <v>7.435E7</v>
      </c>
      <c r="K1489" s="1">
        <v>7.435E7</v>
      </c>
      <c r="L1489" s="1">
        <v>-1361000.0</v>
      </c>
      <c r="M1489" s="1">
        <v>1.2163E7</v>
      </c>
      <c r="N1489" s="1">
        <v>8.39261E8</v>
      </c>
      <c r="O1489" s="1">
        <v>7.64911E8</v>
      </c>
      <c r="P1489" s="1">
        <v>6.00166E8</v>
      </c>
      <c r="Q1489" s="1">
        <v>-3014000.0</v>
      </c>
      <c r="R1489" s="1">
        <v>5.9173E7</v>
      </c>
      <c r="S1489" s="1">
        <v>5.9173E7</v>
      </c>
    </row>
    <row r="1490">
      <c r="A1490" s="1">
        <v>1488.0</v>
      </c>
      <c r="B1490" s="2">
        <v>44469.0</v>
      </c>
      <c r="C1490" s="1" t="s">
        <v>783</v>
      </c>
      <c r="D1490" s="1" t="s">
        <v>784</v>
      </c>
      <c r="E1490" s="1">
        <v>1.14E8</v>
      </c>
      <c r="F1490" s="1">
        <v>4.41E8</v>
      </c>
      <c r="G1490" s="1">
        <v>3.44E8</v>
      </c>
      <c r="H1490" s="1">
        <v>9.07E8</v>
      </c>
      <c r="I1490" s="1">
        <v>1.639E9</v>
      </c>
      <c r="J1490" s="1">
        <v>4.72E8</v>
      </c>
      <c r="K1490" s="1">
        <v>4.72E8</v>
      </c>
      <c r="L1490" s="1">
        <v>-3.0E7</v>
      </c>
      <c r="M1490" s="1">
        <v>9.6E7</v>
      </c>
      <c r="N1490" s="1">
        <v>4.372E9</v>
      </c>
      <c r="O1490" s="1">
        <v>3.9E9</v>
      </c>
      <c r="P1490" s="1">
        <v>2.733E9</v>
      </c>
      <c r="Q1490" s="1">
        <v>-3.1E7</v>
      </c>
      <c r="R1490" s="1">
        <v>3.45E8</v>
      </c>
      <c r="S1490" s="1">
        <v>3.44E8</v>
      </c>
    </row>
    <row r="1491">
      <c r="A1491" s="1">
        <v>1489.0</v>
      </c>
      <c r="B1491" s="2">
        <v>44377.0</v>
      </c>
      <c r="C1491" s="1" t="s">
        <v>783</v>
      </c>
      <c r="D1491" s="1" t="s">
        <v>784</v>
      </c>
      <c r="E1491" s="1">
        <v>1.07E8</v>
      </c>
      <c r="F1491" s="1">
        <v>5.93E8</v>
      </c>
      <c r="G1491" s="1">
        <v>4.31E8</v>
      </c>
      <c r="H1491" s="1">
        <v>9.55E8</v>
      </c>
      <c r="I1491" s="1">
        <v>1.73E9</v>
      </c>
      <c r="J1491" s="1">
        <v>5.2E8</v>
      </c>
      <c r="K1491" s="1">
        <v>5.2E8</v>
      </c>
      <c r="L1491" s="1">
        <v>-3.1E7</v>
      </c>
      <c r="M1491" s="1">
        <v>1.6E8</v>
      </c>
      <c r="N1491" s="1">
        <v>4.359E9</v>
      </c>
      <c r="O1491" s="1">
        <v>3.839E9</v>
      </c>
      <c r="P1491" s="1">
        <v>2.629E9</v>
      </c>
      <c r="Q1491" s="1">
        <v>7.3E7</v>
      </c>
      <c r="R1491" s="1">
        <v>4.33E8</v>
      </c>
      <c r="S1491" s="1">
        <v>4.31E8</v>
      </c>
    </row>
    <row r="1492">
      <c r="A1492" s="1">
        <v>1490.0</v>
      </c>
      <c r="B1492" s="2">
        <v>44286.0</v>
      </c>
      <c r="C1492" s="1" t="s">
        <v>783</v>
      </c>
      <c r="D1492" s="1" t="s">
        <v>784</v>
      </c>
      <c r="E1492" s="1">
        <v>1.02E8</v>
      </c>
      <c r="F1492" s="1">
        <v>4.99E8</v>
      </c>
      <c r="G1492" s="1">
        <v>3.78E8</v>
      </c>
      <c r="H1492" s="1">
        <v>8.91E8</v>
      </c>
      <c r="I1492" s="1">
        <v>1.649E9</v>
      </c>
      <c r="J1492" s="1">
        <v>5.13E8</v>
      </c>
      <c r="K1492" s="1">
        <v>5.13E8</v>
      </c>
      <c r="L1492" s="1">
        <v>-3.0E7</v>
      </c>
      <c r="M1492" s="1">
        <v>1.14E8</v>
      </c>
      <c r="N1492" s="1">
        <v>3.881E9</v>
      </c>
      <c r="O1492" s="1">
        <v>3.368E9</v>
      </c>
      <c r="P1492" s="1">
        <v>2.232E9</v>
      </c>
      <c r="Q1492" s="1">
        <v>-1.4E7</v>
      </c>
      <c r="R1492" s="1">
        <v>3.85E8</v>
      </c>
      <c r="S1492" s="1">
        <v>3.78E8</v>
      </c>
    </row>
    <row r="1493">
      <c r="A1493" s="1">
        <v>1491.0</v>
      </c>
      <c r="B1493" s="2">
        <v>44196.0</v>
      </c>
      <c r="C1493" s="1" t="s">
        <v>783</v>
      </c>
      <c r="D1493" s="1" t="s">
        <v>784</v>
      </c>
      <c r="E1493" s="1">
        <v>1.0E8</v>
      </c>
      <c r="F1493" s="1">
        <v>3.45E8</v>
      </c>
      <c r="G1493" s="1">
        <v>2.72E8</v>
      </c>
      <c r="H1493" s="1">
        <v>9.16E8</v>
      </c>
      <c r="I1493" s="1">
        <v>1.651E9</v>
      </c>
      <c r="J1493" s="1">
        <v>4.14E8</v>
      </c>
      <c r="K1493" s="1">
        <v>4.14E8</v>
      </c>
      <c r="L1493" s="1">
        <v>-3.1E7</v>
      </c>
      <c r="M1493" s="1">
        <v>6.7E7</v>
      </c>
      <c r="N1493" s="1">
        <v>3.757E9</v>
      </c>
      <c r="O1493" s="1">
        <v>3.343E9</v>
      </c>
      <c r="P1493" s="1">
        <v>2.106E9</v>
      </c>
      <c r="Q1493" s="1">
        <v>-6.9E7</v>
      </c>
      <c r="R1493" s="1">
        <v>2.78E8</v>
      </c>
      <c r="S1493" s="1">
        <v>2.72E8</v>
      </c>
    </row>
    <row r="1494">
      <c r="A1494" s="1">
        <v>1492.0</v>
      </c>
      <c r="B1494" s="2">
        <v>44469.0</v>
      </c>
      <c r="C1494" s="1" t="s">
        <v>785</v>
      </c>
      <c r="D1494" s="1" t="s">
        <v>785</v>
      </c>
      <c r="F1494" s="1">
        <v>2.6E8</v>
      </c>
      <c r="G1494" s="1">
        <v>2.07E8</v>
      </c>
      <c r="I1494" s="1">
        <v>7.57E8</v>
      </c>
      <c r="J1494" s="1">
        <v>4.31E8</v>
      </c>
      <c r="K1494" s="1">
        <v>4.31E8</v>
      </c>
      <c r="L1494" s="1">
        <v>-1.83E8</v>
      </c>
      <c r="M1494" s="1">
        <v>5.1E7</v>
      </c>
      <c r="N1494" s="1">
        <v>1.512E9</v>
      </c>
      <c r="O1494" s="1">
        <v>1.081E9</v>
      </c>
      <c r="P1494" s="1">
        <v>7.55E8</v>
      </c>
      <c r="Q1494" s="1">
        <v>-1.71E8</v>
      </c>
      <c r="R1494" s="1">
        <v>2.09E8</v>
      </c>
      <c r="S1494" s="1">
        <v>2.07E8</v>
      </c>
    </row>
    <row r="1495">
      <c r="A1495" s="1">
        <v>1493.0</v>
      </c>
      <c r="B1495" s="2">
        <v>44377.0</v>
      </c>
      <c r="C1495" s="1" t="s">
        <v>785</v>
      </c>
      <c r="D1495" s="1" t="s">
        <v>785</v>
      </c>
      <c r="F1495" s="1">
        <v>-1.91E8</v>
      </c>
      <c r="G1495" s="1">
        <v>1.9E7</v>
      </c>
      <c r="H1495" s="1">
        <v>-8000000.0</v>
      </c>
      <c r="I1495" s="1">
        <v>5.88E8</v>
      </c>
      <c r="J1495" s="1">
        <v>2.78E8</v>
      </c>
      <c r="K1495" s="1">
        <v>2.78E8</v>
      </c>
      <c r="L1495" s="1">
        <v>-4.74E8</v>
      </c>
      <c r="M1495" s="1">
        <v>3.45E8</v>
      </c>
      <c r="N1495" s="1">
        <v>1.288E9</v>
      </c>
      <c r="O1495" s="1">
        <v>1.01E9</v>
      </c>
      <c r="P1495" s="1">
        <v>7.0E8</v>
      </c>
      <c r="Q1495" s="1">
        <v>-4.69E8</v>
      </c>
      <c r="R1495" s="1">
        <v>-5.36E8</v>
      </c>
      <c r="S1495" s="1">
        <v>1.9E7</v>
      </c>
    </row>
    <row r="1496">
      <c r="A1496" s="1">
        <v>1494.0</v>
      </c>
      <c r="B1496" s="2">
        <v>44286.0</v>
      </c>
      <c r="C1496" s="1" t="s">
        <v>785</v>
      </c>
      <c r="D1496" s="1" t="s">
        <v>785</v>
      </c>
      <c r="F1496" s="1">
        <v>2.62E8</v>
      </c>
      <c r="G1496" s="1">
        <v>-1.84E9</v>
      </c>
      <c r="H1496" s="1">
        <v>-4000000.0</v>
      </c>
      <c r="I1496" s="1">
        <v>7.34E8</v>
      </c>
      <c r="J1496" s="1">
        <v>4.19E8</v>
      </c>
      <c r="K1496" s="1">
        <v>4.19E8</v>
      </c>
      <c r="L1496" s="1">
        <v>-1.53E8</v>
      </c>
      <c r="M1496" s="1">
        <v>5.9E7</v>
      </c>
      <c r="N1496" s="1">
        <v>1.498E9</v>
      </c>
      <c r="O1496" s="1">
        <v>1.079E9</v>
      </c>
      <c r="P1496" s="1">
        <v>7.64E8</v>
      </c>
      <c r="Q1496" s="1">
        <v>-1.57E8</v>
      </c>
      <c r="R1496" s="1">
        <v>2.03E8</v>
      </c>
      <c r="S1496" s="1">
        <v>-1.84E9</v>
      </c>
    </row>
    <row r="1497">
      <c r="A1497" s="1">
        <v>1495.0</v>
      </c>
      <c r="B1497" s="2">
        <v>44196.0</v>
      </c>
      <c r="C1497" s="1" t="s">
        <v>785</v>
      </c>
      <c r="D1497" s="1" t="s">
        <v>785</v>
      </c>
      <c r="F1497" s="1">
        <v>3.69E8</v>
      </c>
      <c r="G1497" s="1">
        <v>2.9E8</v>
      </c>
      <c r="H1497" s="1">
        <v>-6.0E7</v>
      </c>
      <c r="I1497" s="1">
        <v>1.115E9</v>
      </c>
      <c r="J1497" s="1">
        <v>7.66E8</v>
      </c>
      <c r="K1497" s="1">
        <v>7.66E8</v>
      </c>
      <c r="L1497" s="1">
        <v>-2.51E8</v>
      </c>
      <c r="M1497" s="1">
        <v>7.9E7</v>
      </c>
      <c r="N1497" s="1">
        <v>1.929E9</v>
      </c>
      <c r="O1497" s="1">
        <v>1.163E9</v>
      </c>
      <c r="P1497" s="1">
        <v>8.14E8</v>
      </c>
      <c r="Q1497" s="1">
        <v>-3.97E8</v>
      </c>
      <c r="R1497" s="1">
        <v>2.9E8</v>
      </c>
      <c r="S1497" s="1">
        <v>2.9E8</v>
      </c>
    </row>
    <row r="1498">
      <c r="A1498" s="1">
        <v>1496.0</v>
      </c>
      <c r="B1498" s="2">
        <v>44469.0</v>
      </c>
      <c r="C1498" s="1" t="s">
        <v>786</v>
      </c>
      <c r="D1498" s="1" t="s">
        <v>787</v>
      </c>
      <c r="F1498" s="1">
        <v>4.281E8</v>
      </c>
      <c r="G1498" s="1">
        <v>3.599E8</v>
      </c>
      <c r="H1498" s="1">
        <v>1.1965E9</v>
      </c>
      <c r="I1498" s="1">
        <v>1.6246E9</v>
      </c>
      <c r="J1498" s="1">
        <v>4.281E8</v>
      </c>
      <c r="K1498" s="1">
        <v>4.281E8</v>
      </c>
      <c r="M1498" s="1">
        <v>6.38E7</v>
      </c>
      <c r="N1498" s="1">
        <v>3.4237E9</v>
      </c>
      <c r="O1498" s="1">
        <v>2.9956E9</v>
      </c>
      <c r="P1498" s="1">
        <v>1.7991E9</v>
      </c>
      <c r="Q1498" s="1">
        <v>0.0</v>
      </c>
      <c r="R1498" s="1">
        <v>3.643E8</v>
      </c>
      <c r="S1498" s="1">
        <v>3.599E8</v>
      </c>
    </row>
    <row r="1499">
      <c r="A1499" s="1">
        <v>1497.0</v>
      </c>
      <c r="B1499" s="2">
        <v>44377.0</v>
      </c>
      <c r="C1499" s="1" t="s">
        <v>786</v>
      </c>
      <c r="D1499" s="1" t="s">
        <v>787</v>
      </c>
      <c r="F1499" s="1">
        <v>4.326E8</v>
      </c>
      <c r="G1499" s="1">
        <v>3.618E8</v>
      </c>
      <c r="H1499" s="1">
        <v>1.2651E9</v>
      </c>
      <c r="I1499" s="1">
        <v>1.6977E9</v>
      </c>
      <c r="J1499" s="1">
        <v>4.326E8</v>
      </c>
      <c r="K1499" s="1">
        <v>4.326E8</v>
      </c>
      <c r="M1499" s="1">
        <v>6.1E7</v>
      </c>
      <c r="N1499" s="1">
        <v>3.5394E9</v>
      </c>
      <c r="O1499" s="1">
        <v>3.1068E9</v>
      </c>
      <c r="P1499" s="1">
        <v>1.8417E9</v>
      </c>
      <c r="Q1499" s="1">
        <v>0.0</v>
      </c>
      <c r="R1499" s="1">
        <v>3.716E8</v>
      </c>
      <c r="S1499" s="1">
        <v>3.637E8</v>
      </c>
    </row>
    <row r="1500">
      <c r="A1500" s="1">
        <v>1498.0</v>
      </c>
      <c r="B1500" s="2">
        <v>44286.0</v>
      </c>
      <c r="C1500" s="1" t="s">
        <v>786</v>
      </c>
      <c r="D1500" s="1" t="s">
        <v>787</v>
      </c>
      <c r="F1500" s="1">
        <v>6.139E8</v>
      </c>
      <c r="G1500" s="1">
        <v>5.171E8</v>
      </c>
      <c r="H1500" s="1">
        <v>1.2017E9</v>
      </c>
      <c r="I1500" s="1">
        <v>1.8156E9</v>
      </c>
      <c r="J1500" s="1">
        <v>6.139E8</v>
      </c>
      <c r="K1500" s="1">
        <v>6.139E8</v>
      </c>
      <c r="M1500" s="1">
        <v>9.76E7</v>
      </c>
      <c r="N1500" s="1">
        <v>3.2085E9</v>
      </c>
      <c r="O1500" s="1">
        <v>2.5946E9</v>
      </c>
      <c r="P1500" s="1">
        <v>1.3929E9</v>
      </c>
      <c r="Q1500" s="1">
        <v>0.0</v>
      </c>
      <c r="R1500" s="1">
        <v>5.163E8</v>
      </c>
      <c r="S1500" s="1">
        <v>5.152E8</v>
      </c>
    </row>
    <row r="1501">
      <c r="A1501" s="1">
        <v>1499.0</v>
      </c>
      <c r="B1501" s="2">
        <v>44196.0</v>
      </c>
      <c r="C1501" s="1" t="s">
        <v>786</v>
      </c>
      <c r="D1501" s="1" t="s">
        <v>787</v>
      </c>
      <c r="F1501" s="1">
        <v>5.916E8</v>
      </c>
      <c r="G1501" s="1">
        <v>4.726E8</v>
      </c>
      <c r="H1501" s="1">
        <v>1.1618E9</v>
      </c>
      <c r="I1501" s="1">
        <v>1.7534E9</v>
      </c>
      <c r="J1501" s="1">
        <v>5.916E8</v>
      </c>
      <c r="K1501" s="1">
        <v>5.916E8</v>
      </c>
      <c r="M1501" s="1">
        <v>1.001E8</v>
      </c>
      <c r="N1501" s="1">
        <v>3.7651E9</v>
      </c>
      <c r="O1501" s="1">
        <v>3.1735E9</v>
      </c>
      <c r="P1501" s="1">
        <v>2.0117E9</v>
      </c>
      <c r="Q1501" s="1">
        <v>0.0</v>
      </c>
      <c r="R1501" s="1">
        <v>4.915E8</v>
      </c>
      <c r="S1501" s="1">
        <v>4.726E8</v>
      </c>
    </row>
    <row r="1502">
      <c r="A1502" s="1">
        <v>1500.0</v>
      </c>
      <c r="B1502" s="2">
        <v>44469.0</v>
      </c>
      <c r="C1502" s="1" t="s">
        <v>788</v>
      </c>
      <c r="D1502" s="1" t="s">
        <v>789</v>
      </c>
      <c r="F1502" s="1">
        <v>5.035E9</v>
      </c>
      <c r="G1502" s="1">
        <v>4.112E9</v>
      </c>
      <c r="H1502" s="1">
        <v>5.012E9</v>
      </c>
      <c r="I1502" s="1">
        <v>9.973E9</v>
      </c>
      <c r="J1502" s="1">
        <v>4.961E9</v>
      </c>
      <c r="K1502" s="1">
        <v>4.961E9</v>
      </c>
      <c r="L1502" s="1">
        <v>-1.09E8</v>
      </c>
      <c r="M1502" s="1">
        <v>9.09E8</v>
      </c>
      <c r="N1502" s="1">
        <v>2.0338E10</v>
      </c>
      <c r="O1502" s="1">
        <v>1.5377E10</v>
      </c>
      <c r="P1502" s="1">
        <v>1.0365E10</v>
      </c>
      <c r="Q1502" s="1">
        <v>7.4E7</v>
      </c>
      <c r="R1502" s="1">
        <v>4.126E9</v>
      </c>
      <c r="S1502" s="1">
        <v>4.042E9</v>
      </c>
    </row>
    <row r="1503">
      <c r="A1503" s="1">
        <v>1501.0</v>
      </c>
      <c r="B1503" s="2">
        <v>44377.0</v>
      </c>
      <c r="C1503" s="1" t="s">
        <v>788</v>
      </c>
      <c r="D1503" s="1" t="s">
        <v>789</v>
      </c>
      <c r="F1503" s="1">
        <v>3.564E9</v>
      </c>
      <c r="G1503" s="1">
        <v>2.906E9</v>
      </c>
      <c r="H1503" s="1">
        <v>4.616E9</v>
      </c>
      <c r="I1503" s="1">
        <v>9.289E9</v>
      </c>
      <c r="J1503" s="1">
        <v>4.673E9</v>
      </c>
      <c r="K1503" s="1">
        <v>4.673E9</v>
      </c>
      <c r="L1503" s="1">
        <v>-1.17E8</v>
      </c>
      <c r="M1503" s="1">
        <v>6.56E8</v>
      </c>
      <c r="N1503" s="1">
        <v>1.8946E10</v>
      </c>
      <c r="O1503" s="1">
        <v>1.4273E10</v>
      </c>
      <c r="P1503" s="1">
        <v>9.657E9</v>
      </c>
      <c r="Q1503" s="1">
        <v>-1.109E9</v>
      </c>
      <c r="R1503" s="1">
        <v>2.908E9</v>
      </c>
      <c r="S1503" s="1">
        <v>2.832E9</v>
      </c>
    </row>
    <row r="1504">
      <c r="A1504" s="1">
        <v>1502.0</v>
      </c>
      <c r="B1504" s="2">
        <v>44286.0</v>
      </c>
      <c r="C1504" s="1" t="s">
        <v>788</v>
      </c>
      <c r="D1504" s="1" t="s">
        <v>789</v>
      </c>
      <c r="F1504" s="1">
        <v>3.877E9</v>
      </c>
      <c r="G1504" s="1">
        <v>3.269E9</v>
      </c>
      <c r="H1504" s="1">
        <v>5.402E9</v>
      </c>
      <c r="I1504" s="1">
        <v>9.187E9</v>
      </c>
      <c r="J1504" s="1">
        <v>3.785E9</v>
      </c>
      <c r="K1504" s="1">
        <v>3.785E9</v>
      </c>
      <c r="L1504" s="1">
        <v>-1.06E8</v>
      </c>
      <c r="M1504" s="1">
        <v>6.28E8</v>
      </c>
      <c r="N1504" s="1">
        <v>1.8109E10</v>
      </c>
      <c r="O1504" s="1">
        <v>1.4324E10</v>
      </c>
      <c r="P1504" s="1">
        <v>8.922E9</v>
      </c>
      <c r="Q1504" s="1">
        <v>9.2E7</v>
      </c>
      <c r="R1504" s="1">
        <v>3.249E9</v>
      </c>
      <c r="S1504" s="1">
        <v>3.204E9</v>
      </c>
    </row>
    <row r="1505">
      <c r="A1505" s="1">
        <v>1503.0</v>
      </c>
      <c r="B1505" s="2">
        <v>44196.0</v>
      </c>
      <c r="C1505" s="1" t="s">
        <v>788</v>
      </c>
      <c r="D1505" s="1" t="s">
        <v>789</v>
      </c>
      <c r="F1505" s="1">
        <v>4.877E9</v>
      </c>
      <c r="G1505" s="1">
        <v>3.854E9</v>
      </c>
      <c r="H1505" s="1">
        <v>5.112E9</v>
      </c>
      <c r="I1505" s="1">
        <v>1.0492E10</v>
      </c>
      <c r="J1505" s="1">
        <v>5.38E9</v>
      </c>
      <c r="K1505" s="1">
        <v>5.38E9</v>
      </c>
      <c r="L1505" s="1">
        <v>-1.43E8</v>
      </c>
      <c r="M1505" s="1">
        <v>9.9E8</v>
      </c>
      <c r="N1505" s="1">
        <v>1.9745E10</v>
      </c>
      <c r="O1505" s="1">
        <v>1.4365E10</v>
      </c>
      <c r="P1505" s="1">
        <v>9.253E9</v>
      </c>
      <c r="Q1505" s="1">
        <v>-5.03E8</v>
      </c>
      <c r="R1505" s="1">
        <v>3.887E9</v>
      </c>
      <c r="S1505" s="1">
        <v>3.788E9</v>
      </c>
    </row>
    <row r="1506">
      <c r="A1506" s="1">
        <v>1504.0</v>
      </c>
      <c r="B1506" s="2">
        <v>44469.0</v>
      </c>
      <c r="C1506" s="1" t="s">
        <v>790</v>
      </c>
      <c r="D1506" s="1" t="s">
        <v>791</v>
      </c>
      <c r="F1506" s="1">
        <v>1.39E8</v>
      </c>
      <c r="G1506" s="1">
        <v>1.185E8</v>
      </c>
      <c r="I1506" s="1">
        <v>2.66E8</v>
      </c>
      <c r="J1506" s="1">
        <v>1.932E8</v>
      </c>
      <c r="K1506" s="1">
        <v>1.932E8</v>
      </c>
      <c r="L1506" s="1">
        <v>-5.42E7</v>
      </c>
      <c r="M1506" s="1">
        <v>2.05E7</v>
      </c>
      <c r="N1506" s="1">
        <v>1.18526E10</v>
      </c>
      <c r="O1506" s="1">
        <v>1.16594E10</v>
      </c>
      <c r="P1506" s="1">
        <v>1.15866E10</v>
      </c>
      <c r="Q1506" s="1">
        <v>-5.42E7</v>
      </c>
      <c r="R1506" s="1">
        <v>1.185E8</v>
      </c>
      <c r="S1506" s="1">
        <v>1.118E8</v>
      </c>
    </row>
    <row r="1507">
      <c r="A1507" s="1">
        <v>1505.0</v>
      </c>
      <c r="B1507" s="2">
        <v>44377.0</v>
      </c>
      <c r="C1507" s="1" t="s">
        <v>790</v>
      </c>
      <c r="D1507" s="1" t="s">
        <v>791</v>
      </c>
      <c r="F1507" s="1">
        <v>9.992E8</v>
      </c>
      <c r="G1507" s="1">
        <v>7.901E8</v>
      </c>
      <c r="I1507" s="1">
        <v>1.1235E9</v>
      </c>
      <c r="J1507" s="1">
        <v>1.0556E9</v>
      </c>
      <c r="K1507" s="1">
        <v>1.0556E9</v>
      </c>
      <c r="L1507" s="1">
        <v>-5.64E7</v>
      </c>
      <c r="M1507" s="1">
        <v>2.091E8</v>
      </c>
      <c r="N1507" s="1">
        <v>1.18992E10</v>
      </c>
      <c r="O1507" s="1">
        <v>1.08436E10</v>
      </c>
      <c r="P1507" s="1">
        <v>1.07757E10</v>
      </c>
      <c r="Q1507" s="1">
        <v>-5.64E7</v>
      </c>
      <c r="R1507" s="1">
        <v>7.901E8</v>
      </c>
      <c r="S1507" s="1">
        <v>7.834E8</v>
      </c>
    </row>
    <row r="1508">
      <c r="A1508" s="1">
        <v>1506.0</v>
      </c>
      <c r="B1508" s="2">
        <v>44286.0</v>
      </c>
      <c r="C1508" s="1" t="s">
        <v>790</v>
      </c>
      <c r="D1508" s="1" t="s">
        <v>791</v>
      </c>
      <c r="F1508" s="1">
        <v>1.8679E9</v>
      </c>
      <c r="G1508" s="1">
        <v>1.48E9</v>
      </c>
      <c r="I1508" s="1">
        <v>1.9736E9</v>
      </c>
      <c r="J1508" s="1">
        <v>1.9243E9</v>
      </c>
      <c r="K1508" s="1">
        <v>1.9243E9</v>
      </c>
      <c r="L1508" s="1">
        <v>-5.64E7</v>
      </c>
      <c r="M1508" s="1">
        <v>3.879E8</v>
      </c>
      <c r="N1508" s="1">
        <v>1.14396E10</v>
      </c>
      <c r="O1508" s="1">
        <v>9.5153E9</v>
      </c>
      <c r="P1508" s="1">
        <v>9.466E9</v>
      </c>
      <c r="Q1508" s="1">
        <v>-5.64E7</v>
      </c>
      <c r="R1508" s="1">
        <v>1.48E9</v>
      </c>
      <c r="S1508" s="1">
        <v>1.4733E9</v>
      </c>
    </row>
    <row r="1509">
      <c r="A1509" s="1">
        <v>1507.0</v>
      </c>
      <c r="B1509" s="2">
        <v>44196.0</v>
      </c>
      <c r="C1509" s="1" t="s">
        <v>790</v>
      </c>
      <c r="D1509" s="1" t="s">
        <v>791</v>
      </c>
      <c r="F1509" s="1">
        <v>2.1062E9</v>
      </c>
      <c r="G1509" s="1">
        <v>1.6843E9</v>
      </c>
      <c r="I1509" s="1">
        <v>2.2282E9</v>
      </c>
      <c r="J1509" s="1">
        <v>2.1624E9</v>
      </c>
      <c r="K1509" s="1">
        <v>2.1624E9</v>
      </c>
      <c r="L1509" s="1">
        <v>-5.62E7</v>
      </c>
      <c r="M1509" s="1">
        <v>4.219E8</v>
      </c>
      <c r="N1509" s="1">
        <v>1.14103E10</v>
      </c>
      <c r="O1509" s="1">
        <v>9.2479E9</v>
      </c>
      <c r="P1509" s="1">
        <v>9.1821E9</v>
      </c>
      <c r="Q1509" s="1">
        <v>-5.62E7</v>
      </c>
      <c r="R1509" s="1">
        <v>1.6843E9</v>
      </c>
      <c r="S1509" s="1">
        <v>1.6775E9</v>
      </c>
    </row>
    <row r="1510">
      <c r="A1510" s="1">
        <v>1508.0</v>
      </c>
      <c r="B1510" s="2">
        <v>44469.0</v>
      </c>
      <c r="C1510" s="1" t="s">
        <v>792</v>
      </c>
      <c r="D1510" s="1" t="s">
        <v>793</v>
      </c>
      <c r="F1510" s="1">
        <v>8.57166E8</v>
      </c>
      <c r="G1510" s="1">
        <v>7.23538E8</v>
      </c>
      <c r="H1510" s="1">
        <v>6.697E7</v>
      </c>
      <c r="I1510" s="1">
        <v>9.65871E8</v>
      </c>
      <c r="J1510" s="1">
        <v>5.03682E8</v>
      </c>
      <c r="K1510" s="1">
        <v>5.03682E8</v>
      </c>
      <c r="L1510" s="1">
        <v>-6.3638E7</v>
      </c>
      <c r="M1510" s="1">
        <v>5.9435E7</v>
      </c>
      <c r="N1510" s="1">
        <v>1.274867E9</v>
      </c>
      <c r="O1510" s="1">
        <v>7.71185E8</v>
      </c>
      <c r="P1510" s="1">
        <v>3.08996E8</v>
      </c>
      <c r="Q1510" s="1">
        <v>3.53484E8</v>
      </c>
      <c r="R1510" s="1">
        <v>7.97731E8</v>
      </c>
      <c r="S1510" s="1">
        <v>7.22007E8</v>
      </c>
    </row>
    <row r="1511">
      <c r="A1511" s="1">
        <v>1509.0</v>
      </c>
      <c r="B1511" s="2">
        <v>44377.0</v>
      </c>
      <c r="C1511" s="1" t="s">
        <v>792</v>
      </c>
      <c r="D1511" s="1" t="s">
        <v>793</v>
      </c>
      <c r="F1511" s="1">
        <v>6.99508E8</v>
      </c>
      <c r="G1511" s="1">
        <v>6.00176E8</v>
      </c>
      <c r="H1511" s="1">
        <v>7.4342E7</v>
      </c>
      <c r="I1511" s="1">
        <v>9.33029E8</v>
      </c>
      <c r="J1511" s="1">
        <v>4.58757E8</v>
      </c>
      <c r="K1511" s="1">
        <v>4.58757E8</v>
      </c>
      <c r="L1511" s="1">
        <v>-6.8412E7</v>
      </c>
      <c r="M1511" s="1">
        <v>4.9195E7</v>
      </c>
      <c r="N1511" s="1">
        <v>1.223261E9</v>
      </c>
      <c r="O1511" s="1">
        <v>7.64504E8</v>
      </c>
      <c r="P1511" s="1">
        <v>2.90232E8</v>
      </c>
      <c r="Q1511" s="1">
        <v>2.40751E8</v>
      </c>
      <c r="R1511" s="1">
        <v>6.50313E8</v>
      </c>
      <c r="S1511" s="1">
        <v>5.98625E8</v>
      </c>
    </row>
    <row r="1512">
      <c r="A1512" s="1">
        <v>1510.0</v>
      </c>
      <c r="B1512" s="2">
        <v>44286.0</v>
      </c>
      <c r="C1512" s="1" t="s">
        <v>792</v>
      </c>
      <c r="D1512" s="1" t="s">
        <v>793</v>
      </c>
      <c r="F1512" s="1">
        <v>4.2541E8</v>
      </c>
      <c r="G1512" s="1">
        <v>3.67347E8</v>
      </c>
      <c r="H1512" s="1">
        <v>7.8032E7</v>
      </c>
      <c r="I1512" s="1">
        <v>8.88031E8</v>
      </c>
      <c r="J1512" s="1">
        <v>4.0898E8</v>
      </c>
      <c r="K1512" s="1">
        <v>4.0898E8</v>
      </c>
      <c r="L1512" s="1">
        <v>-7.1281E7</v>
      </c>
      <c r="M1512" s="1">
        <v>2.5717E7</v>
      </c>
      <c r="N1512" s="1">
        <v>1.215365E9</v>
      </c>
      <c r="O1512" s="1">
        <v>8.06385E8</v>
      </c>
      <c r="P1512" s="1">
        <v>3.27334E8</v>
      </c>
      <c r="Q1512" s="1">
        <v>1.643E7</v>
      </c>
      <c r="R1512" s="1">
        <v>3.99693E8</v>
      </c>
      <c r="S1512" s="1">
        <v>3.65815E8</v>
      </c>
    </row>
    <row r="1513">
      <c r="A1513" s="1">
        <v>1511.0</v>
      </c>
      <c r="B1513" s="2">
        <v>44196.0</v>
      </c>
      <c r="C1513" s="1" t="s">
        <v>792</v>
      </c>
      <c r="D1513" s="1" t="s">
        <v>793</v>
      </c>
      <c r="F1513" s="1">
        <v>3.48887E8</v>
      </c>
      <c r="G1513" s="1">
        <v>2.81894E8</v>
      </c>
      <c r="H1513" s="1">
        <v>6.6144E7</v>
      </c>
      <c r="I1513" s="1">
        <v>9.01146E8</v>
      </c>
      <c r="J1513" s="1">
        <v>4.13499E8</v>
      </c>
      <c r="K1513" s="1">
        <v>4.13499E8</v>
      </c>
      <c r="L1513" s="1">
        <v>-7.6856E7</v>
      </c>
      <c r="M1513" s="1">
        <v>4.088E7</v>
      </c>
      <c r="N1513" s="1">
        <v>1.192123E9</v>
      </c>
      <c r="O1513" s="1">
        <v>7.78624E8</v>
      </c>
      <c r="P1513" s="1">
        <v>2.90977E8</v>
      </c>
      <c r="Q1513" s="1">
        <v>-6.4612E7</v>
      </c>
      <c r="R1513" s="1">
        <v>3.08007E8</v>
      </c>
      <c r="S1513" s="1">
        <v>2.8047E8</v>
      </c>
    </row>
    <row r="1514">
      <c r="A1514" s="1">
        <v>1512.0</v>
      </c>
      <c r="B1514" s="2">
        <v>44469.0</v>
      </c>
      <c r="C1514" s="1" t="s">
        <v>794</v>
      </c>
      <c r="D1514" s="1" t="s">
        <v>795</v>
      </c>
      <c r="F1514" s="1">
        <v>1.824E9</v>
      </c>
      <c r="G1514" s="1">
        <v>1.53E9</v>
      </c>
      <c r="H1514" s="1">
        <v>3.386E9</v>
      </c>
      <c r="I1514" s="1">
        <v>5.192E9</v>
      </c>
      <c r="J1514" s="1">
        <v>1.806E9</v>
      </c>
      <c r="K1514" s="1">
        <v>1.806E9</v>
      </c>
      <c r="M1514" s="1">
        <v>2.59E8</v>
      </c>
      <c r="N1514" s="1">
        <v>2.1641E10</v>
      </c>
      <c r="O1514" s="1">
        <v>1.9835E10</v>
      </c>
      <c r="P1514" s="1">
        <v>1.6449E10</v>
      </c>
      <c r="Q1514" s="1">
        <v>1.8E7</v>
      </c>
      <c r="R1514" s="1">
        <v>1.565E9</v>
      </c>
      <c r="S1514" s="1">
        <v>1.506E9</v>
      </c>
    </row>
    <row r="1515">
      <c r="A1515" s="1">
        <v>1513.0</v>
      </c>
      <c r="B1515" s="2">
        <v>44377.0</v>
      </c>
      <c r="C1515" s="1" t="s">
        <v>794</v>
      </c>
      <c r="D1515" s="1" t="s">
        <v>795</v>
      </c>
      <c r="F1515" s="1">
        <v>2.792E9</v>
      </c>
      <c r="G1515" s="1">
        <v>2.158E9</v>
      </c>
      <c r="H1515" s="1">
        <v>3.23E9</v>
      </c>
      <c r="I1515" s="1">
        <v>5.943E9</v>
      </c>
      <c r="J1515" s="1">
        <v>2.713E9</v>
      </c>
      <c r="K1515" s="1">
        <v>2.713E9</v>
      </c>
      <c r="M1515" s="1">
        <v>6.09E8</v>
      </c>
      <c r="N1515" s="1">
        <v>1.5857E10</v>
      </c>
      <c r="O1515" s="1">
        <v>1.3144E10</v>
      </c>
      <c r="P1515" s="1">
        <v>9.914E9</v>
      </c>
      <c r="Q1515" s="1">
        <v>7.9E7</v>
      </c>
      <c r="R1515" s="1">
        <v>2.183E9</v>
      </c>
      <c r="S1515" s="1">
        <v>2.127E9</v>
      </c>
    </row>
    <row r="1516">
      <c r="A1516" s="1">
        <v>1514.0</v>
      </c>
      <c r="B1516" s="2">
        <v>44286.0</v>
      </c>
      <c r="C1516" s="1" t="s">
        <v>794</v>
      </c>
      <c r="D1516" s="1" t="s">
        <v>795</v>
      </c>
      <c r="F1516" s="1">
        <v>3.44E9</v>
      </c>
      <c r="G1516" s="1">
        <v>2.828E9</v>
      </c>
      <c r="H1516" s="1">
        <v>3.314E9</v>
      </c>
      <c r="I1516" s="1">
        <v>6.726E9</v>
      </c>
      <c r="J1516" s="1">
        <v>3.412E9</v>
      </c>
      <c r="K1516" s="1">
        <v>3.412E9</v>
      </c>
      <c r="M1516" s="1">
        <v>6.36E8</v>
      </c>
      <c r="N1516" s="1">
        <v>1.6949E10</v>
      </c>
      <c r="O1516" s="1">
        <v>1.3537E10</v>
      </c>
      <c r="P1516" s="1">
        <v>1.0223E10</v>
      </c>
      <c r="Q1516" s="1">
        <v>2.8E7</v>
      </c>
      <c r="R1516" s="1">
        <v>2.804E9</v>
      </c>
      <c r="S1516" s="1">
        <v>2.784E9</v>
      </c>
    </row>
    <row r="1517">
      <c r="A1517" s="1">
        <v>1515.0</v>
      </c>
      <c r="B1517" s="2">
        <v>44196.0</v>
      </c>
      <c r="C1517" s="1" t="s">
        <v>794</v>
      </c>
      <c r="D1517" s="1" t="s">
        <v>795</v>
      </c>
      <c r="F1517" s="1">
        <v>9.34E8</v>
      </c>
      <c r="G1517" s="1">
        <v>8.19E8</v>
      </c>
      <c r="H1517" s="1">
        <v>3.719E9</v>
      </c>
      <c r="I1517" s="1">
        <v>4.638E9</v>
      </c>
      <c r="J1517" s="1">
        <v>9.19E8</v>
      </c>
      <c r="K1517" s="1">
        <v>9.19E8</v>
      </c>
      <c r="M1517" s="1">
        <v>-8.8E7</v>
      </c>
      <c r="N1517" s="1">
        <v>1.6048E10</v>
      </c>
      <c r="O1517" s="1">
        <v>1.5129E10</v>
      </c>
      <c r="P1517" s="1">
        <v>1.141E10</v>
      </c>
      <c r="Q1517" s="1">
        <v>1.5E7</v>
      </c>
      <c r="R1517" s="1">
        <v>1.022E9</v>
      </c>
      <c r="S1517" s="1">
        <v>8.14E8</v>
      </c>
    </row>
    <row r="1518">
      <c r="A1518" s="1">
        <v>1516.0</v>
      </c>
      <c r="B1518" s="2">
        <v>44469.0</v>
      </c>
      <c r="C1518" s="1" t="s">
        <v>796</v>
      </c>
      <c r="D1518" s="1" t="s">
        <v>796</v>
      </c>
      <c r="E1518" s="1">
        <v>7.8403E7</v>
      </c>
      <c r="F1518" s="1">
        <v>1.69522E8</v>
      </c>
      <c r="G1518" s="1">
        <v>2.92943E8</v>
      </c>
      <c r="H1518" s="1">
        <v>1.77887E8</v>
      </c>
      <c r="I1518" s="1">
        <v>3.80908E8</v>
      </c>
      <c r="J1518" s="1">
        <v>1.1693E8</v>
      </c>
      <c r="K1518" s="1">
        <v>1.1693E8</v>
      </c>
      <c r="M1518" s="1">
        <v>-1.23421E8</v>
      </c>
      <c r="N1518" s="1">
        <v>4.80656E8</v>
      </c>
      <c r="O1518" s="1">
        <v>3.63726E8</v>
      </c>
      <c r="P1518" s="1">
        <v>9.9748E7</v>
      </c>
      <c r="Q1518" s="1">
        <v>5.2592E7</v>
      </c>
      <c r="R1518" s="1">
        <v>2.92943E8</v>
      </c>
      <c r="S1518" s="1">
        <v>2.92943E8</v>
      </c>
    </row>
    <row r="1519">
      <c r="A1519" s="1">
        <v>1517.0</v>
      </c>
      <c r="B1519" s="2">
        <v>44377.0</v>
      </c>
      <c r="C1519" s="1" t="s">
        <v>796</v>
      </c>
      <c r="D1519" s="1" t="s">
        <v>796</v>
      </c>
      <c r="E1519" s="1">
        <v>7.8134E7</v>
      </c>
      <c r="F1519" s="1">
        <v>5.8469E7</v>
      </c>
      <c r="G1519" s="1">
        <v>5.1203E7</v>
      </c>
      <c r="H1519" s="1">
        <v>1.80878E8</v>
      </c>
      <c r="I1519" s="1">
        <v>3.40591E8</v>
      </c>
      <c r="J1519" s="1">
        <v>7.4068E7</v>
      </c>
      <c r="K1519" s="1">
        <v>7.4068E7</v>
      </c>
      <c r="L1519" s="1">
        <v>-1.3178E7</v>
      </c>
      <c r="M1519" s="1">
        <v>7266000.0</v>
      </c>
      <c r="N1519" s="1">
        <v>4.35668E8</v>
      </c>
      <c r="O1519" s="1">
        <v>3.616E8</v>
      </c>
      <c r="P1519" s="1">
        <v>9.5077E7</v>
      </c>
      <c r="Q1519" s="1">
        <v>-1.5599E7</v>
      </c>
      <c r="R1519" s="1">
        <v>5.1203E7</v>
      </c>
      <c r="S1519" s="1">
        <v>5.1203E7</v>
      </c>
    </row>
    <row r="1520">
      <c r="A1520" s="1">
        <v>1518.0</v>
      </c>
      <c r="B1520" s="2">
        <v>44286.0</v>
      </c>
      <c r="C1520" s="1" t="s">
        <v>796</v>
      </c>
      <c r="D1520" s="1" t="s">
        <v>796</v>
      </c>
      <c r="E1520" s="1">
        <v>7.2545E7</v>
      </c>
      <c r="F1520" s="1">
        <v>8.6357E7</v>
      </c>
      <c r="G1520" s="1">
        <v>1.09262E8</v>
      </c>
      <c r="H1520" s="1">
        <v>1.79673E8</v>
      </c>
      <c r="I1520" s="1">
        <v>3.72337E8</v>
      </c>
      <c r="J1520" s="1">
        <v>1.12469E8</v>
      </c>
      <c r="K1520" s="1">
        <v>1.12469E8</v>
      </c>
      <c r="L1520" s="1">
        <v>-1.2925E7</v>
      </c>
      <c r="M1520" s="1">
        <v>-2.2905E7</v>
      </c>
      <c r="N1520" s="1">
        <v>4.61785E8</v>
      </c>
      <c r="O1520" s="1">
        <v>3.49316E8</v>
      </c>
      <c r="P1520" s="1">
        <v>8.9448E7</v>
      </c>
      <c r="Q1520" s="1">
        <v>-2.6112E7</v>
      </c>
      <c r="R1520" s="1">
        <v>1.09262E8</v>
      </c>
      <c r="S1520" s="1">
        <v>1.09262E8</v>
      </c>
    </row>
    <row r="1521">
      <c r="A1521" s="1">
        <v>1519.0</v>
      </c>
      <c r="B1521" s="2">
        <v>44196.0</v>
      </c>
      <c r="C1521" s="1" t="s">
        <v>796</v>
      </c>
      <c r="D1521" s="1" t="s">
        <v>796</v>
      </c>
      <c r="E1521" s="1">
        <v>7.0835E7</v>
      </c>
      <c r="F1521" s="1">
        <v>7.7407E7</v>
      </c>
      <c r="G1521" s="1">
        <v>2.3515E7</v>
      </c>
      <c r="H1521" s="1">
        <v>1.70337E8</v>
      </c>
      <c r="I1521" s="1">
        <v>3.4222E8</v>
      </c>
      <c r="J1521" s="1">
        <v>9.4485E7</v>
      </c>
      <c r="K1521" s="1">
        <v>9.4485E7</v>
      </c>
      <c r="L1521" s="1">
        <v>-1.1518E7</v>
      </c>
      <c r="M1521" s="1">
        <v>5.3892E7</v>
      </c>
      <c r="N1521" s="1">
        <v>4.2905E8</v>
      </c>
      <c r="O1521" s="1">
        <v>3.34565E8</v>
      </c>
      <c r="P1521" s="1">
        <v>8.683E7</v>
      </c>
      <c r="Q1521" s="1">
        <v>-1.7078E7</v>
      </c>
      <c r="R1521" s="1">
        <v>2.3515E7</v>
      </c>
      <c r="S1521" s="1">
        <v>2.3515E7</v>
      </c>
    </row>
    <row r="1522">
      <c r="A1522" s="1">
        <v>1520.0</v>
      </c>
      <c r="B1522" s="2">
        <v>44469.0</v>
      </c>
      <c r="C1522" s="1" t="s">
        <v>797</v>
      </c>
      <c r="D1522" s="1" t="s">
        <v>798</v>
      </c>
      <c r="F1522" s="1">
        <v>-2.246E9</v>
      </c>
      <c r="G1522" s="1">
        <v>-1.564E9</v>
      </c>
      <c r="H1522" s="1">
        <v>-8.2E7</v>
      </c>
      <c r="I1522" s="1">
        <v>2.49E8</v>
      </c>
      <c r="J1522" s="1">
        <v>4.8E7</v>
      </c>
      <c r="K1522" s="1">
        <v>4.8E7</v>
      </c>
      <c r="L1522" s="1">
        <v>-1.44E8</v>
      </c>
      <c r="M1522" s="1">
        <v>-6.82E8</v>
      </c>
      <c r="N1522" s="1">
        <v>1.903E9</v>
      </c>
      <c r="O1522" s="1">
        <v>1.855E9</v>
      </c>
      <c r="P1522" s="1">
        <v>1.654E9</v>
      </c>
      <c r="Q1522" s="1">
        <v>-2.294E9</v>
      </c>
      <c r="R1522" s="1">
        <v>-1.564E9</v>
      </c>
      <c r="S1522" s="1">
        <v>-1.564E9</v>
      </c>
    </row>
    <row r="1523">
      <c r="A1523" s="1">
        <v>1521.0</v>
      </c>
      <c r="B1523" s="2">
        <v>44377.0</v>
      </c>
      <c r="C1523" s="1" t="s">
        <v>797</v>
      </c>
      <c r="D1523" s="1" t="s">
        <v>798</v>
      </c>
      <c r="F1523" s="1">
        <v>-2.39E8</v>
      </c>
      <c r="G1523" s="1">
        <v>-1.77E8</v>
      </c>
      <c r="H1523" s="1">
        <v>-8.2E7</v>
      </c>
      <c r="I1523" s="1">
        <v>4.85E8</v>
      </c>
      <c r="J1523" s="1">
        <v>2.45E8</v>
      </c>
      <c r="K1523" s="1">
        <v>2.45E8</v>
      </c>
      <c r="L1523" s="1">
        <v>-1.47E8</v>
      </c>
      <c r="M1523" s="1">
        <v>-6.2E7</v>
      </c>
      <c r="N1523" s="1">
        <v>1.874E9</v>
      </c>
      <c r="O1523" s="1">
        <v>1.629E9</v>
      </c>
      <c r="P1523" s="1">
        <v>1.389E9</v>
      </c>
      <c r="Q1523" s="1">
        <v>-4.84E8</v>
      </c>
      <c r="R1523" s="1">
        <v>-1.77E8</v>
      </c>
      <c r="S1523" s="1">
        <v>-1.77E8</v>
      </c>
    </row>
    <row r="1524">
      <c r="A1524" s="1">
        <v>1522.0</v>
      </c>
      <c r="B1524" s="2">
        <v>44286.0</v>
      </c>
      <c r="C1524" s="1" t="s">
        <v>797</v>
      </c>
      <c r="D1524" s="1" t="s">
        <v>798</v>
      </c>
      <c r="F1524" s="1">
        <v>7.65E8</v>
      </c>
      <c r="G1524" s="1">
        <v>6.48E8</v>
      </c>
      <c r="H1524" s="1">
        <v>-8.2E7</v>
      </c>
      <c r="I1524" s="1">
        <v>1.082E9</v>
      </c>
      <c r="J1524" s="1">
        <v>8.23E8</v>
      </c>
      <c r="K1524" s="1">
        <v>8.23E8</v>
      </c>
      <c r="L1524" s="1">
        <v>-1.46E8</v>
      </c>
      <c r="M1524" s="1">
        <v>1.17E8</v>
      </c>
      <c r="N1524" s="1">
        <v>2.889E9</v>
      </c>
      <c r="O1524" s="1">
        <v>2.066E9</v>
      </c>
      <c r="P1524" s="1">
        <v>1.807E9</v>
      </c>
      <c r="Q1524" s="1">
        <v>-5.8E7</v>
      </c>
      <c r="R1524" s="1">
        <v>6.48E8</v>
      </c>
      <c r="S1524" s="1">
        <v>6.48E8</v>
      </c>
    </row>
    <row r="1525">
      <c r="A1525" s="1">
        <v>1523.0</v>
      </c>
      <c r="B1525" s="2">
        <v>44196.0</v>
      </c>
      <c r="C1525" s="1" t="s">
        <v>797</v>
      </c>
      <c r="D1525" s="1" t="s">
        <v>798</v>
      </c>
      <c r="F1525" s="1">
        <v>5.53E8</v>
      </c>
      <c r="G1525" s="1">
        <v>4.31E8</v>
      </c>
      <c r="H1525" s="1">
        <v>-6.3E7</v>
      </c>
      <c r="I1525" s="1">
        <v>7.61E8</v>
      </c>
      <c r="J1525" s="1">
        <v>4.95E8</v>
      </c>
      <c r="K1525" s="1">
        <v>4.95E8</v>
      </c>
      <c r="L1525" s="1">
        <v>-1.47E8</v>
      </c>
      <c r="M1525" s="1">
        <v>1.22E8</v>
      </c>
      <c r="N1525" s="1">
        <v>2.402E9</v>
      </c>
      <c r="O1525" s="1">
        <v>1.907E9</v>
      </c>
      <c r="P1525" s="1">
        <v>1.641E9</v>
      </c>
      <c r="Q1525" s="1">
        <v>5.8E7</v>
      </c>
      <c r="R1525" s="1">
        <v>4.31E8</v>
      </c>
      <c r="S1525" s="1">
        <v>4.31E8</v>
      </c>
    </row>
    <row r="1526">
      <c r="A1526" s="1">
        <v>1524.0</v>
      </c>
      <c r="B1526" s="2">
        <v>44469.0</v>
      </c>
      <c r="C1526" s="1" t="s">
        <v>799</v>
      </c>
      <c r="D1526" s="1" t="s">
        <v>800</v>
      </c>
      <c r="F1526" s="1">
        <v>4.91628E8</v>
      </c>
      <c r="G1526" s="1">
        <v>4.90091E8</v>
      </c>
      <c r="H1526" s="1">
        <v>3.1682E7</v>
      </c>
      <c r="I1526" s="1">
        <v>6.91057E8</v>
      </c>
      <c r="J1526" s="1">
        <v>4.70823E8</v>
      </c>
      <c r="K1526" s="1">
        <v>4.70823E8</v>
      </c>
      <c r="L1526" s="1">
        <v>-2.3736E7</v>
      </c>
      <c r="M1526" s="1">
        <v>0.0</v>
      </c>
      <c r="N1526" s="1">
        <v>9.27791E8</v>
      </c>
      <c r="O1526" s="1">
        <v>4.56968E8</v>
      </c>
      <c r="P1526" s="1">
        <v>2.36734E8</v>
      </c>
      <c r="Q1526" s="1">
        <v>2.0805E7</v>
      </c>
      <c r="R1526" s="1">
        <v>4.91628E8</v>
      </c>
      <c r="S1526" s="1">
        <v>4.42327E8</v>
      </c>
    </row>
    <row r="1527">
      <c r="A1527" s="1">
        <v>1525.0</v>
      </c>
      <c r="B1527" s="2">
        <v>44377.0</v>
      </c>
      <c r="C1527" s="1" t="s">
        <v>799</v>
      </c>
      <c r="D1527" s="1" t="s">
        <v>800</v>
      </c>
      <c r="F1527" s="1">
        <v>4.1173E8</v>
      </c>
      <c r="G1527" s="1">
        <v>4.10426E8</v>
      </c>
      <c r="H1527" s="1">
        <v>2.764E7</v>
      </c>
      <c r="I1527" s="1">
        <v>6.39795E8</v>
      </c>
      <c r="J1527" s="1">
        <v>4.39327E8</v>
      </c>
      <c r="K1527" s="1">
        <v>4.39327E8</v>
      </c>
      <c r="L1527" s="1">
        <v>-2.1994E7</v>
      </c>
      <c r="M1527" s="1">
        <v>0.0</v>
      </c>
      <c r="N1527" s="1">
        <v>8.58381E8</v>
      </c>
      <c r="O1527" s="1">
        <v>4.19054E8</v>
      </c>
      <c r="P1527" s="1">
        <v>2.18586E8</v>
      </c>
      <c r="Q1527" s="1">
        <v>-2.7597E7</v>
      </c>
      <c r="R1527" s="1">
        <v>4.1173E8</v>
      </c>
      <c r="S1527" s="1">
        <v>3.46249E8</v>
      </c>
    </row>
    <row r="1528">
      <c r="A1528" s="1">
        <v>1526.0</v>
      </c>
      <c r="B1528" s="2">
        <v>44286.0</v>
      </c>
      <c r="C1528" s="1" t="s">
        <v>799</v>
      </c>
      <c r="D1528" s="1" t="s">
        <v>800</v>
      </c>
      <c r="F1528" s="1">
        <v>4.34262E8</v>
      </c>
      <c r="G1528" s="1">
        <v>4.33036E8</v>
      </c>
      <c r="H1528" s="1">
        <v>1.8374E7</v>
      </c>
      <c r="I1528" s="1">
        <v>5.58295E8</v>
      </c>
      <c r="J1528" s="1">
        <v>3.91862E8</v>
      </c>
      <c r="K1528" s="1">
        <v>3.91862E8</v>
      </c>
      <c r="L1528" s="1">
        <v>-1.525E7</v>
      </c>
      <c r="M1528" s="1">
        <v>0.0</v>
      </c>
      <c r="N1528" s="1">
        <v>7.86718E8</v>
      </c>
      <c r="O1528" s="1">
        <v>3.94856E8</v>
      </c>
      <c r="P1528" s="1">
        <v>2.28423E8</v>
      </c>
      <c r="Q1528" s="1">
        <v>4.24E7</v>
      </c>
      <c r="R1528" s="1">
        <v>4.34262E8</v>
      </c>
      <c r="S1528" s="1">
        <v>3.8581E8</v>
      </c>
    </row>
    <row r="1529">
      <c r="A1529" s="1">
        <v>1527.0</v>
      </c>
      <c r="B1529" s="2">
        <v>44196.0</v>
      </c>
      <c r="C1529" s="1" t="s">
        <v>799</v>
      </c>
      <c r="D1529" s="1" t="s">
        <v>800</v>
      </c>
      <c r="F1529" s="1">
        <v>3.52432E8</v>
      </c>
      <c r="G1529" s="1">
        <v>3.51267E8</v>
      </c>
      <c r="H1529" s="1">
        <v>2.0453E7</v>
      </c>
      <c r="I1529" s="1">
        <v>5.59854E8</v>
      </c>
      <c r="J1529" s="1">
        <v>3.97895E8</v>
      </c>
      <c r="K1529" s="1">
        <v>3.97895E8</v>
      </c>
      <c r="L1529" s="1">
        <v>-1.6036E7</v>
      </c>
      <c r="M1529" s="1">
        <v>0.0</v>
      </c>
      <c r="N1529" s="1">
        <v>7.65378E8</v>
      </c>
      <c r="O1529" s="1">
        <v>3.67483E8</v>
      </c>
      <c r="P1529" s="1">
        <v>2.05524E8</v>
      </c>
      <c r="Q1529" s="1">
        <v>-4.5463E7</v>
      </c>
      <c r="R1529" s="1">
        <v>3.52432E8</v>
      </c>
      <c r="S1529" s="1">
        <v>2.92166E8</v>
      </c>
    </row>
    <row r="1530">
      <c r="A1530" s="1">
        <v>1528.0</v>
      </c>
      <c r="B1530" s="2">
        <v>44469.0</v>
      </c>
      <c r="C1530" s="1" t="s">
        <v>801</v>
      </c>
      <c r="D1530" s="1" t="s">
        <v>802</v>
      </c>
      <c r="F1530" s="1">
        <v>6.20402E8</v>
      </c>
      <c r="G1530" s="1">
        <v>4.75549E8</v>
      </c>
      <c r="H1530" s="1">
        <v>3.20506E8</v>
      </c>
      <c r="I1530" s="1">
        <v>9.4565E8</v>
      </c>
      <c r="J1530" s="1">
        <v>6.23044E8</v>
      </c>
      <c r="K1530" s="1">
        <v>6.23044E8</v>
      </c>
      <c r="L1530" s="1">
        <v>-115000.0</v>
      </c>
      <c r="M1530" s="1">
        <v>1.44853E8</v>
      </c>
      <c r="N1530" s="1">
        <v>3.47905E9</v>
      </c>
      <c r="O1530" s="1">
        <v>2.856006E9</v>
      </c>
      <c r="P1530" s="1">
        <v>2.5334E9</v>
      </c>
      <c r="Q1530" s="1">
        <v>-2642000.0</v>
      </c>
      <c r="R1530" s="1">
        <v>4.75549E8</v>
      </c>
      <c r="S1530" s="1">
        <v>4.71707E8</v>
      </c>
    </row>
    <row r="1531">
      <c r="A1531" s="1">
        <v>1529.0</v>
      </c>
      <c r="B1531" s="2">
        <v>44377.0</v>
      </c>
      <c r="C1531" s="1" t="s">
        <v>801</v>
      </c>
      <c r="D1531" s="1" t="s">
        <v>802</v>
      </c>
      <c r="F1531" s="1">
        <v>6.39473E8</v>
      </c>
      <c r="G1531" s="1">
        <v>5.03399E8</v>
      </c>
      <c r="H1531" s="1">
        <v>2.72286E8</v>
      </c>
      <c r="I1531" s="1">
        <v>9.13238E8</v>
      </c>
      <c r="J1531" s="1">
        <v>6.36833E8</v>
      </c>
      <c r="K1531" s="1">
        <v>6.36833E8</v>
      </c>
      <c r="L1531" s="1">
        <v>-138000.0</v>
      </c>
      <c r="M1531" s="1">
        <v>1.36074E8</v>
      </c>
      <c r="N1531" s="1">
        <v>3.359484E9</v>
      </c>
      <c r="O1531" s="1">
        <v>2.722651E9</v>
      </c>
      <c r="P1531" s="1">
        <v>2.446246E9</v>
      </c>
      <c r="Q1531" s="1">
        <v>2640000.0</v>
      </c>
      <c r="R1531" s="1">
        <v>5.03399E8</v>
      </c>
      <c r="S1531" s="1">
        <v>4.99374E8</v>
      </c>
    </row>
    <row r="1532">
      <c r="A1532" s="1">
        <v>1530.0</v>
      </c>
      <c r="B1532" s="2">
        <v>44286.0</v>
      </c>
      <c r="C1532" s="1" t="s">
        <v>801</v>
      </c>
      <c r="D1532" s="1" t="s">
        <v>802</v>
      </c>
      <c r="F1532" s="1">
        <v>3.94052E8</v>
      </c>
      <c r="G1532" s="1">
        <v>3.04107E8</v>
      </c>
      <c r="H1532" s="1">
        <v>2.71686E8</v>
      </c>
      <c r="I1532" s="1">
        <v>7.29746E8</v>
      </c>
      <c r="J1532" s="1">
        <v>4.55566E8</v>
      </c>
      <c r="K1532" s="1">
        <v>4.55566E8</v>
      </c>
      <c r="L1532" s="1">
        <v>-135000.0</v>
      </c>
      <c r="M1532" s="1">
        <v>8.9945E7</v>
      </c>
      <c r="N1532" s="1">
        <v>2.729791E9</v>
      </c>
      <c r="O1532" s="1">
        <v>2.274225E9</v>
      </c>
      <c r="P1532" s="1">
        <v>2.000045E9</v>
      </c>
      <c r="Q1532" s="1">
        <v>-6.1514E7</v>
      </c>
      <c r="R1532" s="1">
        <v>3.04107E8</v>
      </c>
      <c r="S1532" s="1">
        <v>3.01655E8</v>
      </c>
    </row>
    <row r="1533">
      <c r="A1533" s="1">
        <v>1531.0</v>
      </c>
      <c r="B1533" s="2">
        <v>44196.0</v>
      </c>
      <c r="C1533" s="1" t="s">
        <v>801</v>
      </c>
      <c r="D1533" s="1" t="s">
        <v>802</v>
      </c>
      <c r="F1533" s="1">
        <v>5.2375E8</v>
      </c>
      <c r="G1533" s="1">
        <v>4.38111E8</v>
      </c>
      <c r="H1533" s="1">
        <v>2.79757E8</v>
      </c>
      <c r="I1533" s="1">
        <v>8.11261E8</v>
      </c>
      <c r="J1533" s="1">
        <v>5.28796E8</v>
      </c>
      <c r="K1533" s="1">
        <v>5.28796E8</v>
      </c>
      <c r="L1533" s="1">
        <v>-226000.0</v>
      </c>
      <c r="M1533" s="1">
        <v>8.5639E7</v>
      </c>
      <c r="N1533" s="1">
        <v>3.192364E9</v>
      </c>
      <c r="O1533" s="1">
        <v>2.663568E9</v>
      </c>
      <c r="P1533" s="1">
        <v>2.381103E9</v>
      </c>
      <c r="Q1533" s="1">
        <v>-5046000.0</v>
      </c>
      <c r="R1533" s="1">
        <v>4.38111E8</v>
      </c>
      <c r="S1533" s="1">
        <v>4.34234E8</v>
      </c>
    </row>
    <row r="1534">
      <c r="A1534" s="1">
        <v>1532.0</v>
      </c>
      <c r="B1534" s="2">
        <v>44409.0</v>
      </c>
      <c r="C1534" s="1" t="s">
        <v>803</v>
      </c>
      <c r="D1534" s="1" t="s">
        <v>803</v>
      </c>
      <c r="F1534" s="1">
        <v>2.527E8</v>
      </c>
      <c r="G1534" s="1">
        <v>1.819E8</v>
      </c>
      <c r="H1534" s="1">
        <v>1.048E9</v>
      </c>
      <c r="I1534" s="1">
        <v>1.3336E9</v>
      </c>
      <c r="J1534" s="1">
        <v>2.856E8</v>
      </c>
      <c r="K1534" s="1">
        <v>2.856E8</v>
      </c>
      <c r="L1534" s="1">
        <v>-2.73E7</v>
      </c>
      <c r="M1534" s="1">
        <v>7.09E7</v>
      </c>
      <c r="N1534" s="1">
        <v>2.3132E9</v>
      </c>
      <c r="O1534" s="1">
        <v>2.0276E9</v>
      </c>
      <c r="P1534" s="1">
        <v>9.796E8</v>
      </c>
      <c r="Q1534" s="1">
        <v>-3.29E7</v>
      </c>
      <c r="R1534" s="1">
        <v>1.818E8</v>
      </c>
      <c r="S1534" s="1">
        <v>1.819E8</v>
      </c>
    </row>
    <row r="1535">
      <c r="A1535" s="1">
        <v>1533.0</v>
      </c>
      <c r="B1535" s="2">
        <v>44318.0</v>
      </c>
      <c r="C1535" s="1" t="s">
        <v>803</v>
      </c>
      <c r="D1535" s="1" t="s">
        <v>803</v>
      </c>
      <c r="F1535" s="1">
        <v>1.68E8</v>
      </c>
      <c r="G1535" s="1">
        <v>9.99E7</v>
      </c>
      <c r="H1535" s="1">
        <v>9.841E8</v>
      </c>
      <c r="I1535" s="1">
        <v>1.2291E9</v>
      </c>
      <c r="J1535" s="1">
        <v>2.45E8</v>
      </c>
      <c r="K1535" s="1">
        <v>2.45E8</v>
      </c>
      <c r="L1535" s="1">
        <v>-3.05E7</v>
      </c>
      <c r="M1535" s="1">
        <v>6.83E7</v>
      </c>
      <c r="N1535" s="1">
        <v>2.0793E9</v>
      </c>
      <c r="O1535" s="1">
        <v>1.8343E9</v>
      </c>
      <c r="P1535" s="1">
        <v>8.502E8</v>
      </c>
      <c r="Q1535" s="1">
        <v>-7.7E7</v>
      </c>
      <c r="R1535" s="1">
        <v>9.97E7</v>
      </c>
      <c r="S1535" s="1">
        <v>9.99E7</v>
      </c>
    </row>
    <row r="1536">
      <c r="A1536" s="1">
        <v>1534.0</v>
      </c>
      <c r="B1536" s="2">
        <v>44227.0</v>
      </c>
      <c r="C1536" s="1" t="s">
        <v>803</v>
      </c>
      <c r="D1536" s="1" t="s">
        <v>803</v>
      </c>
      <c r="F1536" s="1">
        <v>-8200000.0</v>
      </c>
      <c r="G1536" s="1">
        <v>-5.77E7</v>
      </c>
      <c r="H1536" s="1">
        <v>1.1112E9</v>
      </c>
      <c r="I1536" s="1">
        <v>1.0583E9</v>
      </c>
      <c r="J1536" s="1">
        <v>-5.29E7</v>
      </c>
      <c r="K1536" s="1">
        <v>-5.29E7</v>
      </c>
      <c r="L1536" s="1">
        <v>-3.59E7</v>
      </c>
      <c r="M1536" s="1">
        <v>4.99E7</v>
      </c>
      <c r="N1536" s="1">
        <v>2.0898E9</v>
      </c>
      <c r="O1536" s="1">
        <v>2.1427E9</v>
      </c>
      <c r="P1536" s="1">
        <v>1.0315E9</v>
      </c>
      <c r="Q1536" s="1">
        <v>4.47E7</v>
      </c>
      <c r="R1536" s="1">
        <v>-5.81E7</v>
      </c>
      <c r="S1536" s="1">
        <v>-5.77E7</v>
      </c>
    </row>
    <row r="1537">
      <c r="A1537" s="1">
        <v>1535.0</v>
      </c>
      <c r="B1537" s="2">
        <v>44136.0</v>
      </c>
      <c r="C1537" s="1" t="s">
        <v>803</v>
      </c>
      <c r="D1537" s="1" t="s">
        <v>803</v>
      </c>
      <c r="F1537" s="1">
        <v>8.86E7</v>
      </c>
      <c r="G1537" s="1">
        <v>6.98E7</v>
      </c>
      <c r="H1537" s="1">
        <v>9.829E8</v>
      </c>
      <c r="I1537" s="1">
        <v>1.1013E9</v>
      </c>
      <c r="J1537" s="1">
        <v>1.184E8</v>
      </c>
      <c r="K1537" s="1">
        <v>1.184E8</v>
      </c>
      <c r="L1537" s="1">
        <v>-3.44E7</v>
      </c>
      <c r="M1537" s="1">
        <v>1.91E7</v>
      </c>
      <c r="N1537" s="1">
        <v>2.1181E9</v>
      </c>
      <c r="O1537" s="1">
        <v>1.9997E9</v>
      </c>
      <c r="P1537" s="1">
        <v>1.0168E9</v>
      </c>
      <c r="Q1537" s="1">
        <v>-2.98E7</v>
      </c>
      <c r="R1537" s="1">
        <v>6.95E7</v>
      </c>
      <c r="S1537" s="1">
        <v>6.98E7</v>
      </c>
    </row>
    <row r="1538">
      <c r="A1538" s="1">
        <v>1536.0</v>
      </c>
      <c r="B1538" s="2">
        <v>44471.0</v>
      </c>
      <c r="C1538" s="1" t="s">
        <v>804</v>
      </c>
      <c r="D1538" s="1" t="s">
        <v>805</v>
      </c>
      <c r="E1538" s="1">
        <v>1.58377E8</v>
      </c>
      <c r="F1538" s="1">
        <v>3.51787E8</v>
      </c>
      <c r="G1538" s="1">
        <v>3.19189E8</v>
      </c>
      <c r="H1538" s="1">
        <v>9.3489E7</v>
      </c>
      <c r="I1538" s="1">
        <v>6.21553E8</v>
      </c>
      <c r="J1538" s="1">
        <v>3.6286E8</v>
      </c>
      <c r="K1538" s="1">
        <v>3.6286E8</v>
      </c>
      <c r="L1538" s="1">
        <v>-1.5327E7</v>
      </c>
      <c r="M1538" s="1">
        <v>3.2598E7</v>
      </c>
      <c r="N1538" s="1">
        <v>1.255248E9</v>
      </c>
      <c r="O1538" s="1">
        <v>8.92388E8</v>
      </c>
      <c r="P1538" s="1">
        <v>6.33695E8</v>
      </c>
      <c r="Q1538" s="1">
        <v>-1.1073E7</v>
      </c>
      <c r="R1538" s="1">
        <v>3.19189E8</v>
      </c>
      <c r="S1538" s="1">
        <v>3.19189E8</v>
      </c>
    </row>
    <row r="1539">
      <c r="A1539" s="1">
        <v>1537.0</v>
      </c>
      <c r="B1539" s="2">
        <v>44380.0</v>
      </c>
      <c r="C1539" s="1" t="s">
        <v>804</v>
      </c>
      <c r="D1539" s="1" t="s">
        <v>805</v>
      </c>
      <c r="E1539" s="1">
        <v>1.52079E8</v>
      </c>
      <c r="F1539" s="1">
        <v>2.98614E8</v>
      </c>
      <c r="G1539" s="1">
        <v>2.85626E8</v>
      </c>
      <c r="H1539" s="1">
        <v>9.0299E7</v>
      </c>
      <c r="I1539" s="1">
        <v>5.46183E8</v>
      </c>
      <c r="J1539" s="1">
        <v>2.98302E8</v>
      </c>
      <c r="K1539" s="1">
        <v>2.98302E8</v>
      </c>
      <c r="L1539" s="1">
        <v>-1.5279E7</v>
      </c>
      <c r="M1539" s="1">
        <v>1.2988E7</v>
      </c>
      <c r="N1539" s="1">
        <v>1.110351E9</v>
      </c>
      <c r="O1539" s="1">
        <v>8.12049E8</v>
      </c>
      <c r="P1539" s="1">
        <v>5.64168E8</v>
      </c>
      <c r="Q1539" s="1">
        <v>312000.0</v>
      </c>
      <c r="R1539" s="1">
        <v>2.85626E8</v>
      </c>
      <c r="S1539" s="1">
        <v>2.85626E8</v>
      </c>
    </row>
    <row r="1540">
      <c r="A1540" s="1">
        <v>1538.0</v>
      </c>
      <c r="B1540" s="2">
        <v>44289.0</v>
      </c>
      <c r="C1540" s="1" t="s">
        <v>804</v>
      </c>
      <c r="D1540" s="1" t="s">
        <v>805</v>
      </c>
      <c r="E1540" s="1">
        <v>1.47285E8</v>
      </c>
      <c r="F1540" s="1">
        <v>2.86786E8</v>
      </c>
      <c r="G1540" s="1">
        <v>2.98737E8</v>
      </c>
      <c r="H1540" s="1">
        <v>7.8123E7</v>
      </c>
      <c r="I1540" s="1">
        <v>5.28475E8</v>
      </c>
      <c r="J1540" s="1">
        <v>3.22258E8</v>
      </c>
      <c r="K1540" s="1">
        <v>3.22258E8</v>
      </c>
      <c r="L1540" s="1">
        <v>-1.8339E7</v>
      </c>
      <c r="M1540" s="1">
        <v>-1.1951E7</v>
      </c>
      <c r="N1540" s="1">
        <v>1.07273E9</v>
      </c>
      <c r="O1540" s="1">
        <v>7.50472E8</v>
      </c>
      <c r="P1540" s="1">
        <v>5.44255E8</v>
      </c>
      <c r="Q1540" s="1">
        <v>-3.5472E7</v>
      </c>
      <c r="R1540" s="1">
        <v>2.98737E8</v>
      </c>
      <c r="S1540" s="1">
        <v>2.98737E8</v>
      </c>
    </row>
    <row r="1541">
      <c r="A1541" s="1">
        <v>1539.0</v>
      </c>
      <c r="B1541" s="2">
        <v>44198.0</v>
      </c>
      <c r="C1541" s="1" t="s">
        <v>804</v>
      </c>
      <c r="D1541" s="1" t="s">
        <v>805</v>
      </c>
      <c r="E1541" s="1">
        <v>1.36697E8</v>
      </c>
      <c r="F1541" s="1">
        <v>2.23516E8</v>
      </c>
      <c r="G1541" s="1">
        <v>2.01035E8</v>
      </c>
      <c r="H1541" s="1">
        <v>9.3139E7</v>
      </c>
      <c r="I1541" s="1">
        <v>5.37752E8</v>
      </c>
      <c r="J1541" s="1">
        <v>3.00198E8</v>
      </c>
      <c r="K1541" s="1">
        <v>3.00198E8</v>
      </c>
      <c r="L1541" s="1">
        <v>-1.7453E7</v>
      </c>
      <c r="M1541" s="1">
        <v>2.2481E7</v>
      </c>
      <c r="N1541" s="1">
        <v>1.094834E9</v>
      </c>
      <c r="O1541" s="1">
        <v>7.94636E8</v>
      </c>
      <c r="P1541" s="1">
        <v>5.57082E8</v>
      </c>
      <c r="Q1541" s="1">
        <v>-7.6682E7</v>
      </c>
      <c r="R1541" s="1">
        <v>2.01035E8</v>
      </c>
      <c r="S1541" s="1">
        <v>2.01035E8</v>
      </c>
    </row>
    <row r="1542">
      <c r="A1542" s="1">
        <v>1540.0</v>
      </c>
      <c r="B1542" s="2">
        <v>44465.0</v>
      </c>
      <c r="C1542" s="1" t="s">
        <v>806</v>
      </c>
      <c r="D1542" s="1" t="s">
        <v>807</v>
      </c>
      <c r="E1542" s="1">
        <v>1.879E9</v>
      </c>
      <c r="F1542" s="1">
        <v>3.285E9</v>
      </c>
      <c r="G1542" s="1">
        <v>2.798E9</v>
      </c>
      <c r="H1542" s="1">
        <v>6.18E8</v>
      </c>
      <c r="I1542" s="1">
        <v>5.399E9</v>
      </c>
      <c r="J1542" s="1">
        <v>2.902E9</v>
      </c>
      <c r="K1542" s="1">
        <v>2.902E9</v>
      </c>
      <c r="L1542" s="1">
        <v>-1.38E8</v>
      </c>
      <c r="M1542" s="1">
        <v>4.87E8</v>
      </c>
      <c r="N1542" s="1">
        <v>9.336E9</v>
      </c>
      <c r="O1542" s="1">
        <v>6.434E9</v>
      </c>
      <c r="P1542" s="1">
        <v>3.937E9</v>
      </c>
      <c r="Q1542" s="1">
        <v>3.83E8</v>
      </c>
      <c r="R1542" s="1">
        <v>2.798E9</v>
      </c>
      <c r="S1542" s="1">
        <v>2.798E9</v>
      </c>
    </row>
    <row r="1543">
      <c r="A1543" s="1">
        <v>1541.0</v>
      </c>
      <c r="B1543" s="2">
        <v>44374.0</v>
      </c>
      <c r="C1543" s="1" t="s">
        <v>806</v>
      </c>
      <c r="D1543" s="1" t="s">
        <v>807</v>
      </c>
      <c r="E1543" s="1">
        <v>1.864E9</v>
      </c>
      <c r="F1543" s="1">
        <v>2.257E9</v>
      </c>
      <c r="G1543" s="1">
        <v>2.027E9</v>
      </c>
      <c r="H1543" s="1">
        <v>5.97E8</v>
      </c>
      <c r="I1543" s="1">
        <v>4.656E9</v>
      </c>
      <c r="J1543" s="1">
        <v>2.195E9</v>
      </c>
      <c r="K1543" s="1">
        <v>2.195E9</v>
      </c>
      <c r="L1543" s="1">
        <v>-1.38E8</v>
      </c>
      <c r="M1543" s="1">
        <v>2.3E8</v>
      </c>
      <c r="N1543" s="1">
        <v>8.06E9</v>
      </c>
      <c r="O1543" s="1">
        <v>5.865E9</v>
      </c>
      <c r="P1543" s="1">
        <v>3.404E9</v>
      </c>
      <c r="Q1543" s="1">
        <v>6.2E7</v>
      </c>
      <c r="R1543" s="1">
        <v>2.027E9</v>
      </c>
      <c r="S1543" s="1">
        <v>2.027E9</v>
      </c>
    </row>
    <row r="1544">
      <c r="A1544" s="1">
        <v>1542.0</v>
      </c>
      <c r="B1544" s="2">
        <v>44283.0</v>
      </c>
      <c r="C1544" s="1" t="s">
        <v>806</v>
      </c>
      <c r="D1544" s="1" t="s">
        <v>807</v>
      </c>
      <c r="E1544" s="1">
        <v>1.78E9</v>
      </c>
      <c r="F1544" s="1">
        <v>2.129E9</v>
      </c>
      <c r="G1544" s="1">
        <v>1.762E9</v>
      </c>
      <c r="H1544" s="1">
        <v>5.57E8</v>
      </c>
      <c r="I1544" s="1">
        <v>4.503E9</v>
      </c>
      <c r="J1544" s="1">
        <v>2.166E9</v>
      </c>
      <c r="K1544" s="1">
        <v>2.166E9</v>
      </c>
      <c r="L1544" s="1">
        <v>-1.41E8</v>
      </c>
      <c r="M1544" s="1">
        <v>3.67E8</v>
      </c>
      <c r="N1544" s="1">
        <v>7.935E9</v>
      </c>
      <c r="O1544" s="1">
        <v>5.769E9</v>
      </c>
      <c r="P1544" s="1">
        <v>3.432E9</v>
      </c>
      <c r="Q1544" s="1">
        <v>-3.7E7</v>
      </c>
      <c r="R1544" s="1">
        <v>1.762E9</v>
      </c>
      <c r="S1544" s="1">
        <v>1.762E9</v>
      </c>
    </row>
    <row r="1545">
      <c r="A1545" s="1">
        <v>1543.0</v>
      </c>
      <c r="B1545" s="2">
        <v>44192.0</v>
      </c>
      <c r="C1545" s="1" t="s">
        <v>806</v>
      </c>
      <c r="D1545" s="1" t="s">
        <v>807</v>
      </c>
      <c r="E1545" s="1">
        <v>1.653E9</v>
      </c>
      <c r="F1545" s="1">
        <v>2.604E9</v>
      </c>
      <c r="G1545" s="1">
        <v>2.455E9</v>
      </c>
      <c r="H1545" s="1">
        <v>5.67E8</v>
      </c>
      <c r="I1545" s="1">
        <v>4.746E9</v>
      </c>
      <c r="J1545" s="1">
        <v>2.526E9</v>
      </c>
      <c r="K1545" s="1">
        <v>2.526E9</v>
      </c>
      <c r="L1545" s="1">
        <v>-1.41E8</v>
      </c>
      <c r="M1545" s="1">
        <v>1.49E8</v>
      </c>
      <c r="N1545" s="1">
        <v>8.235E9</v>
      </c>
      <c r="O1545" s="1">
        <v>5.709E9</v>
      </c>
      <c r="P1545" s="1">
        <v>3.489E9</v>
      </c>
      <c r="Q1545" s="1">
        <v>7.8E7</v>
      </c>
      <c r="R1545" s="1">
        <v>2.455E9</v>
      </c>
      <c r="S1545" s="1">
        <v>2.455E9</v>
      </c>
    </row>
    <row r="1546">
      <c r="A1546" s="1">
        <v>1544.0</v>
      </c>
      <c r="B1546" s="2">
        <v>44469.0</v>
      </c>
      <c r="C1546" s="1" t="s">
        <v>808</v>
      </c>
      <c r="D1546" s="1" t="s">
        <v>809</v>
      </c>
      <c r="F1546" s="1">
        <v>2.36979E8</v>
      </c>
      <c r="G1546" s="1">
        <v>1.74365E8</v>
      </c>
      <c r="H1546" s="1">
        <v>2.74846E8</v>
      </c>
      <c r="I1546" s="1">
        <v>5.34676E8</v>
      </c>
      <c r="J1546" s="1">
        <v>2.37058E8</v>
      </c>
      <c r="K1546" s="1">
        <v>2.37058E8</v>
      </c>
      <c r="L1546" s="1">
        <v>-1.7259E7</v>
      </c>
      <c r="M1546" s="1">
        <v>6.1581E7</v>
      </c>
      <c r="N1546" s="1">
        <v>3.353278E9</v>
      </c>
      <c r="O1546" s="1">
        <v>3.11622E9</v>
      </c>
      <c r="P1546" s="1">
        <v>2.818602E9</v>
      </c>
      <c r="Q1546" s="1">
        <v>-78999.0</v>
      </c>
      <c r="R1546" s="1">
        <v>1.75398E8</v>
      </c>
      <c r="S1546" s="1">
        <v>1.74365E8</v>
      </c>
    </row>
    <row r="1547">
      <c r="A1547" s="1">
        <v>1545.0</v>
      </c>
      <c r="B1547" s="2">
        <v>44377.0</v>
      </c>
      <c r="C1547" s="1" t="s">
        <v>808</v>
      </c>
      <c r="D1547" s="1" t="s">
        <v>809</v>
      </c>
      <c r="F1547" s="1">
        <v>1.59922E8</v>
      </c>
      <c r="G1547" s="1">
        <v>1.17033E8</v>
      </c>
      <c r="H1547" s="1">
        <v>2.7011E8</v>
      </c>
      <c r="I1547" s="1">
        <v>4.47711E8</v>
      </c>
      <c r="J1547" s="1">
        <v>1.5631E8</v>
      </c>
      <c r="K1547" s="1">
        <v>1.5631E8</v>
      </c>
      <c r="L1547" s="1">
        <v>-1.3109E7</v>
      </c>
      <c r="M1547" s="1">
        <v>4.0951E7</v>
      </c>
      <c r="N1547" s="1">
        <v>2.999816E9</v>
      </c>
      <c r="O1547" s="1">
        <v>2.843506E9</v>
      </c>
      <c r="P1547" s="1">
        <v>2.552105E9</v>
      </c>
      <c r="Q1547" s="1">
        <v>3612000.0</v>
      </c>
      <c r="R1547" s="1">
        <v>1.18971E8</v>
      </c>
      <c r="S1547" s="1">
        <v>1.17033E8</v>
      </c>
    </row>
    <row r="1548">
      <c r="A1548" s="1">
        <v>1546.0</v>
      </c>
      <c r="B1548" s="2">
        <v>44286.0</v>
      </c>
      <c r="C1548" s="1" t="s">
        <v>808</v>
      </c>
      <c r="D1548" s="1" t="s">
        <v>809</v>
      </c>
      <c r="F1548" s="1">
        <v>1.05043E8</v>
      </c>
      <c r="G1548" s="1">
        <v>8.9761E7</v>
      </c>
      <c r="H1548" s="1">
        <v>2.43352E8</v>
      </c>
      <c r="I1548" s="1">
        <v>3.7289E8</v>
      </c>
      <c r="J1548" s="1">
        <v>1.08183E8</v>
      </c>
      <c r="K1548" s="1">
        <v>1.08183E8</v>
      </c>
      <c r="L1548" s="1">
        <v>-1.2475E7</v>
      </c>
      <c r="M1548" s="1">
        <v>1.3724E7</v>
      </c>
      <c r="N1548" s="1">
        <v>2.703581E9</v>
      </c>
      <c r="O1548" s="1">
        <v>2.595398E9</v>
      </c>
      <c r="P1548" s="1">
        <v>2.330691E9</v>
      </c>
      <c r="Q1548" s="1">
        <v>-3140000.0</v>
      </c>
      <c r="R1548" s="1">
        <v>9.1319E7</v>
      </c>
      <c r="S1548" s="1">
        <v>8.9761E7</v>
      </c>
    </row>
    <row r="1549">
      <c r="A1549" s="1">
        <v>1547.0</v>
      </c>
      <c r="B1549" s="2">
        <v>44196.0</v>
      </c>
      <c r="C1549" s="1" t="s">
        <v>808</v>
      </c>
      <c r="D1549" s="1" t="s">
        <v>809</v>
      </c>
      <c r="F1549" s="1">
        <v>1.71722E8</v>
      </c>
      <c r="G1549" s="1">
        <v>1.70051E8</v>
      </c>
      <c r="H1549" s="1">
        <v>2.65775E8</v>
      </c>
      <c r="I1549" s="1">
        <v>4.65873E8</v>
      </c>
      <c r="J1549" s="1">
        <v>1.78768E8</v>
      </c>
      <c r="K1549" s="1">
        <v>1.78768E8</v>
      </c>
      <c r="L1549" s="1">
        <v>-1.1304E7</v>
      </c>
      <c r="M1549" s="1">
        <v>-239000.0</v>
      </c>
      <c r="N1549" s="1">
        <v>2.912185E9</v>
      </c>
      <c r="O1549" s="1">
        <v>2.733417E9</v>
      </c>
      <c r="P1549" s="1">
        <v>2.446312E9</v>
      </c>
      <c r="Q1549" s="1">
        <v>-7046000.0</v>
      </c>
      <c r="R1549" s="1">
        <v>1.71961E8</v>
      </c>
      <c r="S1549" s="1">
        <v>1.70051E8</v>
      </c>
    </row>
    <row r="1550">
      <c r="A1550" s="1">
        <v>1548.0</v>
      </c>
      <c r="B1550" s="2">
        <v>44469.0</v>
      </c>
      <c r="C1550" s="1" t="s">
        <v>810</v>
      </c>
      <c r="D1550" s="1" t="s">
        <v>811</v>
      </c>
      <c r="F1550" s="1">
        <v>6.8E8</v>
      </c>
      <c r="G1550" s="1">
        <v>5.05E8</v>
      </c>
      <c r="H1550" s="1">
        <v>4.21E8</v>
      </c>
      <c r="I1550" s="1">
        <v>1.111E9</v>
      </c>
      <c r="J1550" s="1">
        <v>6.65E8</v>
      </c>
      <c r="K1550" s="1">
        <v>6.65E8</v>
      </c>
      <c r="L1550" s="1">
        <v>-3.8E7</v>
      </c>
      <c r="M1550" s="1">
        <v>1.53E8</v>
      </c>
      <c r="N1550" s="1">
        <v>2.774E9</v>
      </c>
      <c r="O1550" s="1">
        <v>2.109E9</v>
      </c>
      <c r="P1550" s="1">
        <v>1.663E9</v>
      </c>
      <c r="Q1550" s="1">
        <v>1.5E7</v>
      </c>
      <c r="R1550" s="1">
        <v>5.27E8</v>
      </c>
      <c r="S1550" s="1">
        <v>5.03E8</v>
      </c>
    </row>
    <row r="1551">
      <c r="A1551" s="1">
        <v>1549.0</v>
      </c>
      <c r="B1551" s="2">
        <v>44377.0</v>
      </c>
      <c r="C1551" s="1" t="s">
        <v>810</v>
      </c>
      <c r="D1551" s="1" t="s">
        <v>811</v>
      </c>
      <c r="F1551" s="1">
        <v>8.27E8</v>
      </c>
      <c r="G1551" s="1">
        <v>6.31E8</v>
      </c>
      <c r="H1551" s="1">
        <v>4.2E8</v>
      </c>
      <c r="I1551" s="1">
        <v>9.97E8</v>
      </c>
      <c r="J1551" s="1">
        <v>5.54E8</v>
      </c>
      <c r="K1551" s="1">
        <v>5.54E8</v>
      </c>
      <c r="L1551" s="1">
        <v>-3.8E7</v>
      </c>
      <c r="M1551" s="1">
        <v>1.77E8</v>
      </c>
      <c r="N1551" s="1">
        <v>2.55E9</v>
      </c>
      <c r="O1551" s="1">
        <v>1.996E9</v>
      </c>
      <c r="P1551" s="1">
        <v>1.553E9</v>
      </c>
      <c r="Q1551" s="1">
        <v>2.73E8</v>
      </c>
      <c r="R1551" s="1">
        <v>6.5E8</v>
      </c>
      <c r="S1551" s="1">
        <v>6.28E8</v>
      </c>
    </row>
    <row r="1552">
      <c r="A1552" s="1">
        <v>1550.0</v>
      </c>
      <c r="B1552" s="2">
        <v>44286.0</v>
      </c>
      <c r="C1552" s="1" t="s">
        <v>810</v>
      </c>
      <c r="D1552" s="1" t="s">
        <v>811</v>
      </c>
      <c r="F1552" s="1">
        <v>6.43E8</v>
      </c>
      <c r="G1552" s="1">
        <v>4.69E8</v>
      </c>
      <c r="H1552" s="1">
        <v>3.97E8</v>
      </c>
      <c r="I1552" s="1">
        <v>1.105E9</v>
      </c>
      <c r="J1552" s="1">
        <v>6.81E8</v>
      </c>
      <c r="K1552" s="1">
        <v>6.81E8</v>
      </c>
      <c r="L1552" s="1">
        <v>-3.8E7</v>
      </c>
      <c r="M1552" s="1">
        <v>1.53E8</v>
      </c>
      <c r="N1552" s="1">
        <v>2.72E9</v>
      </c>
      <c r="O1552" s="1">
        <v>2.039E9</v>
      </c>
      <c r="P1552" s="1">
        <v>1.615E9</v>
      </c>
      <c r="Q1552" s="1">
        <v>-3.8E7</v>
      </c>
      <c r="R1552" s="1">
        <v>4.9E8</v>
      </c>
      <c r="S1552" s="1">
        <v>4.68E8</v>
      </c>
    </row>
    <row r="1553">
      <c r="A1553" s="1">
        <v>1551.0</v>
      </c>
      <c r="B1553" s="2">
        <v>44196.0</v>
      </c>
      <c r="C1553" s="1" t="s">
        <v>810</v>
      </c>
      <c r="D1553" s="1" t="s">
        <v>811</v>
      </c>
      <c r="F1553" s="1">
        <v>8.0E8</v>
      </c>
      <c r="G1553" s="1">
        <v>5.79E8</v>
      </c>
      <c r="H1553" s="1">
        <v>4.36E8</v>
      </c>
      <c r="I1553" s="1">
        <v>1.294E9</v>
      </c>
      <c r="J1553" s="1">
        <v>8.35E8</v>
      </c>
      <c r="K1553" s="1">
        <v>8.35E8</v>
      </c>
      <c r="L1553" s="1">
        <v>-4.0E7</v>
      </c>
      <c r="M1553" s="1">
        <v>1.91E8</v>
      </c>
      <c r="N1553" s="1">
        <v>3.002E9</v>
      </c>
      <c r="O1553" s="1">
        <v>2.167E9</v>
      </c>
      <c r="P1553" s="1">
        <v>1.708E9</v>
      </c>
      <c r="Q1553" s="1">
        <v>-3.5E7</v>
      </c>
      <c r="R1553" s="1">
        <v>6.09E8</v>
      </c>
      <c r="S1553" s="1">
        <v>5.76E8</v>
      </c>
    </row>
    <row r="1554">
      <c r="A1554" s="1">
        <v>1552.0</v>
      </c>
      <c r="B1554" s="2">
        <v>44464.0</v>
      </c>
      <c r="C1554" s="1" t="s">
        <v>812</v>
      </c>
      <c r="D1554" s="1" t="s">
        <v>813</v>
      </c>
      <c r="F1554" s="1">
        <v>2.381E8</v>
      </c>
      <c r="G1554" s="1">
        <v>1.933E8</v>
      </c>
      <c r="H1554" s="1">
        <v>7.551E8</v>
      </c>
      <c r="I1554" s="1">
        <v>1.0117E9</v>
      </c>
      <c r="J1554" s="1">
        <v>2.515E8</v>
      </c>
      <c r="K1554" s="1">
        <v>2.515E8</v>
      </c>
      <c r="L1554" s="1">
        <v>-1.36E7</v>
      </c>
      <c r="M1554" s="1">
        <v>4.48E7</v>
      </c>
      <c r="N1554" s="1">
        <v>1.5041E9</v>
      </c>
      <c r="O1554" s="1">
        <v>1.2526E9</v>
      </c>
      <c r="P1554" s="1">
        <v>4.924E8</v>
      </c>
      <c r="Q1554" s="1">
        <v>-1.34E7</v>
      </c>
      <c r="R1554" s="1">
        <v>1.933E8</v>
      </c>
      <c r="S1554" s="1">
        <v>1.933E8</v>
      </c>
    </row>
    <row r="1555">
      <c r="A1555" s="1">
        <v>1553.0</v>
      </c>
      <c r="B1555" s="2">
        <v>44373.0</v>
      </c>
      <c r="C1555" s="1" t="s">
        <v>812</v>
      </c>
      <c r="D1555" s="1" t="s">
        <v>813</v>
      </c>
      <c r="F1555" s="1">
        <v>2.1E8</v>
      </c>
      <c r="G1555" s="1">
        <v>1.647E8</v>
      </c>
      <c r="H1555" s="1">
        <v>6.774E8</v>
      </c>
      <c r="I1555" s="1">
        <v>9.601E8</v>
      </c>
      <c r="J1555" s="1">
        <v>2.302E8</v>
      </c>
      <c r="K1555" s="1">
        <v>2.302E8</v>
      </c>
      <c r="L1555" s="1">
        <v>-1.33E7</v>
      </c>
      <c r="M1555" s="1">
        <v>4.53E7</v>
      </c>
      <c r="N1555" s="1">
        <v>1.3763E9</v>
      </c>
      <c r="O1555" s="1">
        <v>1.1461E9</v>
      </c>
      <c r="P1555" s="1">
        <v>4.162E8</v>
      </c>
      <c r="Q1555" s="1">
        <v>-2.02E7</v>
      </c>
      <c r="R1555" s="1">
        <v>1.647E8</v>
      </c>
      <c r="S1555" s="1">
        <v>1.647E8</v>
      </c>
    </row>
    <row r="1556">
      <c r="A1556" s="1">
        <v>1554.0</v>
      </c>
      <c r="B1556" s="2">
        <v>44282.0</v>
      </c>
      <c r="C1556" s="1" t="s">
        <v>812</v>
      </c>
      <c r="D1556" s="1" t="s">
        <v>813</v>
      </c>
      <c r="F1556" s="1">
        <v>-3.53E7</v>
      </c>
      <c r="G1556" s="1">
        <v>-7.41E7</v>
      </c>
      <c r="H1556" s="1">
        <v>9.017E8</v>
      </c>
      <c r="I1556" s="1">
        <v>8.093E8</v>
      </c>
      <c r="J1556" s="1">
        <v>4.1E7</v>
      </c>
      <c r="K1556" s="1">
        <v>4.1E7</v>
      </c>
      <c r="L1556" s="1">
        <v>-1.39E7</v>
      </c>
      <c r="M1556" s="1">
        <v>3.88E7</v>
      </c>
      <c r="N1556" s="1">
        <v>1.287E9</v>
      </c>
      <c r="O1556" s="1">
        <v>1.246E9</v>
      </c>
      <c r="P1556" s="1">
        <v>4.777E8</v>
      </c>
      <c r="Q1556" s="1">
        <v>-7.63E7</v>
      </c>
      <c r="R1556" s="1">
        <v>-7.41E7</v>
      </c>
      <c r="S1556" s="1">
        <v>-7.41E7</v>
      </c>
    </row>
    <row r="1557">
      <c r="A1557" s="1">
        <v>1555.0</v>
      </c>
      <c r="B1557" s="2">
        <v>44191.0</v>
      </c>
      <c r="C1557" s="1" t="s">
        <v>812</v>
      </c>
      <c r="D1557" s="1" t="s">
        <v>813</v>
      </c>
      <c r="F1557" s="1">
        <v>1.622E8</v>
      </c>
      <c r="G1557" s="1">
        <v>1.198E8</v>
      </c>
      <c r="H1557" s="1">
        <v>6.873E8</v>
      </c>
      <c r="I1557" s="1">
        <v>9.374E8</v>
      </c>
      <c r="J1557" s="1">
        <v>1.889E8</v>
      </c>
      <c r="K1557" s="1">
        <v>1.889E8</v>
      </c>
      <c r="L1557" s="1">
        <v>-1.22E7</v>
      </c>
      <c r="M1557" s="1">
        <v>4.24E7</v>
      </c>
      <c r="N1557" s="1">
        <v>1.4328E9</v>
      </c>
      <c r="O1557" s="1">
        <v>1.2439E9</v>
      </c>
      <c r="P1557" s="1">
        <v>4.954E8</v>
      </c>
      <c r="Q1557" s="1">
        <v>-2.67E7</v>
      </c>
      <c r="R1557" s="1">
        <v>1.198E8</v>
      </c>
      <c r="S1557" s="1">
        <v>1.198E8</v>
      </c>
    </row>
    <row r="1558">
      <c r="A1558" s="1">
        <v>1556.0</v>
      </c>
      <c r="B1558" s="2">
        <v>44469.0</v>
      </c>
      <c r="C1558" s="1" t="s">
        <v>814</v>
      </c>
      <c r="D1558" s="1" t="s">
        <v>815</v>
      </c>
      <c r="F1558" s="1">
        <v>5.6E8</v>
      </c>
      <c r="G1558" s="1">
        <v>4.29E8</v>
      </c>
      <c r="H1558" s="1">
        <v>1.902E9</v>
      </c>
      <c r="I1558" s="1">
        <v>2.539E9</v>
      </c>
      <c r="J1558" s="1">
        <v>0.0</v>
      </c>
      <c r="K1558" s="1">
        <v>5.65E8</v>
      </c>
      <c r="M1558" s="1">
        <v>1.31E8</v>
      </c>
      <c r="N1558" s="1">
        <v>2.69E9</v>
      </c>
      <c r="O1558" s="1">
        <v>2.125E9</v>
      </c>
      <c r="P1558" s="1">
        <v>1.51E8</v>
      </c>
      <c r="Q1558" s="1">
        <v>-5000000.0</v>
      </c>
      <c r="R1558" s="1">
        <v>4.29E8</v>
      </c>
      <c r="S1558" s="1">
        <v>4.29E8</v>
      </c>
    </row>
    <row r="1559">
      <c r="A1559" s="1">
        <v>1557.0</v>
      </c>
      <c r="B1559" s="2">
        <v>44377.0</v>
      </c>
      <c r="C1559" s="1" t="s">
        <v>814</v>
      </c>
      <c r="D1559" s="1" t="s">
        <v>815</v>
      </c>
      <c r="F1559" s="1">
        <v>3.85E8</v>
      </c>
      <c r="G1559" s="1">
        <v>3.07E8</v>
      </c>
      <c r="H1559" s="1">
        <v>1.776E9</v>
      </c>
      <c r="I1559" s="1">
        <v>2.356E9</v>
      </c>
      <c r="J1559" s="1">
        <v>0.0</v>
      </c>
      <c r="K1559" s="1">
        <v>4.89E8</v>
      </c>
      <c r="M1559" s="1">
        <v>7.8E7</v>
      </c>
      <c r="N1559" s="1">
        <v>2.499E9</v>
      </c>
      <c r="O1559" s="1">
        <v>2.01E9</v>
      </c>
      <c r="P1559" s="1">
        <v>1.43E8</v>
      </c>
      <c r="Q1559" s="1">
        <v>-1.04E8</v>
      </c>
      <c r="R1559" s="1">
        <v>3.07E8</v>
      </c>
      <c r="S1559" s="1">
        <v>3.07E8</v>
      </c>
    </row>
    <row r="1560">
      <c r="A1560" s="1">
        <v>1558.0</v>
      </c>
      <c r="B1560" s="2">
        <v>44286.0</v>
      </c>
      <c r="C1560" s="1" t="s">
        <v>814</v>
      </c>
      <c r="D1560" s="1" t="s">
        <v>815</v>
      </c>
      <c r="F1560" s="1">
        <v>4.47E8</v>
      </c>
      <c r="G1560" s="1">
        <v>3.55E8</v>
      </c>
      <c r="H1560" s="1">
        <v>1.75E9</v>
      </c>
      <c r="I1560" s="1">
        <v>2.27E9</v>
      </c>
      <c r="J1560" s="1">
        <v>0.0</v>
      </c>
      <c r="K1560" s="1">
        <v>4.51E8</v>
      </c>
      <c r="M1560" s="1">
        <v>9.2E7</v>
      </c>
      <c r="N1560" s="1">
        <v>2.408E9</v>
      </c>
      <c r="O1560" s="1">
        <v>1.957E9</v>
      </c>
      <c r="P1560" s="1">
        <v>1.38E8</v>
      </c>
      <c r="Q1560" s="1">
        <v>-4000000.0</v>
      </c>
      <c r="R1560" s="1">
        <v>3.55E8</v>
      </c>
      <c r="S1560" s="1">
        <v>3.55E8</v>
      </c>
    </row>
    <row r="1561">
      <c r="A1561" s="1">
        <v>1559.0</v>
      </c>
      <c r="B1561" s="2">
        <v>44196.0</v>
      </c>
      <c r="C1561" s="1" t="s">
        <v>814</v>
      </c>
      <c r="D1561" s="1" t="s">
        <v>815</v>
      </c>
      <c r="F1561" s="1">
        <v>3.99E8</v>
      </c>
      <c r="G1561" s="1">
        <v>3.12E8</v>
      </c>
      <c r="H1561" s="1">
        <v>1.61E9</v>
      </c>
      <c r="I1561" s="1">
        <v>2.107E9</v>
      </c>
      <c r="J1561" s="1">
        <v>0.0</v>
      </c>
      <c r="K1561" s="1">
        <v>4.37E8</v>
      </c>
      <c r="M1561" s="1">
        <v>8.7E7</v>
      </c>
      <c r="N1561" s="1">
        <v>2.234E9</v>
      </c>
      <c r="O1561" s="1">
        <v>1.797E9</v>
      </c>
      <c r="P1561" s="1">
        <v>1.27E8</v>
      </c>
      <c r="Q1561" s="1">
        <v>-3.8E7</v>
      </c>
      <c r="R1561" s="1">
        <v>3.12E8</v>
      </c>
      <c r="S1561" s="1">
        <v>3.11E8</v>
      </c>
    </row>
    <row r="1562">
      <c r="A1562" s="1">
        <v>1560.0</v>
      </c>
      <c r="B1562" s="2">
        <v>44469.0</v>
      </c>
      <c r="C1562" s="1" t="s">
        <v>816</v>
      </c>
      <c r="D1562" s="1" t="s">
        <v>817</v>
      </c>
      <c r="E1562" s="1">
        <v>6.76E8</v>
      </c>
      <c r="F1562" s="1">
        <v>1.476E9</v>
      </c>
      <c r="G1562" s="1">
        <v>1.393E9</v>
      </c>
      <c r="H1562" s="1">
        <v>7.23E8</v>
      </c>
      <c r="I1562" s="1">
        <v>3.128E9</v>
      </c>
      <c r="J1562" s="1">
        <v>1.854E9</v>
      </c>
      <c r="K1562" s="1">
        <v>1.854E9</v>
      </c>
      <c r="L1562" s="1">
        <v>-3.58E8</v>
      </c>
      <c r="M1562" s="1">
        <v>3000000.0</v>
      </c>
      <c r="N1562" s="1">
        <v>1.6213E10</v>
      </c>
      <c r="O1562" s="1">
        <v>1.4359E10</v>
      </c>
      <c r="P1562" s="1">
        <v>1.3085E10</v>
      </c>
      <c r="Q1562" s="1">
        <v>-3.78E8</v>
      </c>
      <c r="R1562" s="1">
        <v>1.473E9</v>
      </c>
      <c r="S1562" s="1">
        <v>1.393E9</v>
      </c>
    </row>
    <row r="1563">
      <c r="A1563" s="1">
        <v>1561.0</v>
      </c>
      <c r="B1563" s="2">
        <v>44377.0</v>
      </c>
      <c r="C1563" s="1" t="s">
        <v>816</v>
      </c>
      <c r="D1563" s="1" t="s">
        <v>817</v>
      </c>
      <c r="E1563" s="1">
        <v>6.57E8</v>
      </c>
      <c r="F1563" s="1">
        <v>1.43E9</v>
      </c>
      <c r="G1563" s="1">
        <v>1.032E9</v>
      </c>
      <c r="H1563" s="1">
        <v>8.23E8</v>
      </c>
      <c r="I1563" s="1">
        <v>3.226E9</v>
      </c>
      <c r="J1563" s="1">
        <v>1.828E9</v>
      </c>
      <c r="K1563" s="1">
        <v>1.828E9</v>
      </c>
      <c r="L1563" s="1">
        <v>-3.46E8</v>
      </c>
      <c r="M1563" s="1">
        <v>3.42E8</v>
      </c>
      <c r="N1563" s="1">
        <v>1.588E10</v>
      </c>
      <c r="O1563" s="1">
        <v>1.4052E10</v>
      </c>
      <c r="P1563" s="1">
        <v>1.2654E10</v>
      </c>
      <c r="Q1563" s="1">
        <v>-3.98E8</v>
      </c>
      <c r="R1563" s="1">
        <v>1.088E9</v>
      </c>
      <c r="S1563" s="1">
        <v>1.032E9</v>
      </c>
    </row>
    <row r="1564">
      <c r="A1564" s="1">
        <v>1562.0</v>
      </c>
      <c r="B1564" s="2">
        <v>44286.0</v>
      </c>
      <c r="C1564" s="1" t="s">
        <v>816</v>
      </c>
      <c r="D1564" s="1" t="s">
        <v>817</v>
      </c>
      <c r="E1564" s="1">
        <v>5.89E8</v>
      </c>
      <c r="F1564" s="1">
        <v>1.158E9</v>
      </c>
      <c r="G1564" s="1">
        <v>7.53E8</v>
      </c>
      <c r="H1564" s="1">
        <v>6.89E8</v>
      </c>
      <c r="I1564" s="1">
        <v>2.734E9</v>
      </c>
      <c r="J1564" s="1">
        <v>1.543E9</v>
      </c>
      <c r="K1564" s="1">
        <v>1.543E9</v>
      </c>
      <c r="L1564" s="1">
        <v>-3.57E8</v>
      </c>
      <c r="M1564" s="1">
        <v>3.45E8</v>
      </c>
      <c r="N1564" s="1">
        <v>1.5251E10</v>
      </c>
      <c r="O1564" s="1">
        <v>1.3708E10</v>
      </c>
      <c r="P1564" s="1">
        <v>1.2517E10</v>
      </c>
      <c r="Q1564" s="1">
        <v>-3.85E8</v>
      </c>
      <c r="R1564" s="1">
        <v>8.13E8</v>
      </c>
      <c r="S1564" s="1">
        <v>7.53E8</v>
      </c>
    </row>
    <row r="1565">
      <c r="A1565" s="1">
        <v>1563.0</v>
      </c>
      <c r="B1565" s="2">
        <v>44196.0</v>
      </c>
      <c r="C1565" s="1" t="s">
        <v>816</v>
      </c>
      <c r="D1565" s="1" t="s">
        <v>817</v>
      </c>
      <c r="E1565" s="1">
        <v>7.1E8</v>
      </c>
      <c r="F1565" s="1">
        <v>3.7E7</v>
      </c>
      <c r="G1565" s="1">
        <v>1.35E8</v>
      </c>
      <c r="H1565" s="1">
        <v>1.065E9</v>
      </c>
      <c r="I1565" s="1">
        <v>2.309E9</v>
      </c>
      <c r="J1565" s="1">
        <v>5.57E8</v>
      </c>
      <c r="K1565" s="1">
        <v>5.57E8</v>
      </c>
      <c r="L1565" s="1">
        <v>-3.67E8</v>
      </c>
      <c r="M1565" s="1">
        <v>-1.78E8</v>
      </c>
      <c r="N1565" s="1">
        <v>1.6419E10</v>
      </c>
      <c r="O1565" s="1">
        <v>1.5862E10</v>
      </c>
      <c r="P1565" s="1">
        <v>1.411E10</v>
      </c>
      <c r="Q1565" s="1">
        <v>-5.2E8</v>
      </c>
      <c r="R1565" s="1">
        <v>2.15E8</v>
      </c>
      <c r="S1565" s="1">
        <v>1.35E8</v>
      </c>
    </row>
    <row r="1566">
      <c r="A1566" s="1">
        <v>1564.0</v>
      </c>
      <c r="B1566" s="2">
        <v>44469.0</v>
      </c>
      <c r="C1566" s="1" t="s">
        <v>818</v>
      </c>
      <c r="D1566" s="1" t="s">
        <v>819</v>
      </c>
      <c r="F1566" s="1">
        <v>1.41355E8</v>
      </c>
      <c r="G1566" s="1">
        <v>1.34996E8</v>
      </c>
      <c r="H1566" s="1">
        <v>2.3813E7</v>
      </c>
      <c r="I1566" s="1">
        <v>4.62213E8</v>
      </c>
      <c r="J1566" s="1">
        <v>2.39568E8</v>
      </c>
      <c r="K1566" s="1">
        <v>2.39568E8</v>
      </c>
      <c r="L1566" s="1">
        <v>-7.6156E7</v>
      </c>
      <c r="M1566" s="1">
        <v>6079000.0</v>
      </c>
      <c r="N1566" s="1">
        <v>4.91875E8</v>
      </c>
      <c r="O1566" s="1">
        <v>2.52307E8</v>
      </c>
      <c r="P1566" s="1">
        <v>2.9662E7</v>
      </c>
      <c r="Q1566" s="1">
        <v>-9.8213E7</v>
      </c>
      <c r="R1566" s="1">
        <v>1.35276E8</v>
      </c>
      <c r="S1566" s="1">
        <v>1.34996E8</v>
      </c>
    </row>
    <row r="1567">
      <c r="A1567" s="1">
        <v>1565.0</v>
      </c>
      <c r="B1567" s="2">
        <v>44377.0</v>
      </c>
      <c r="C1567" s="1" t="s">
        <v>818</v>
      </c>
      <c r="D1567" s="1" t="s">
        <v>819</v>
      </c>
      <c r="F1567" s="1">
        <v>1.33993E8</v>
      </c>
      <c r="G1567" s="1">
        <v>1.24479E8</v>
      </c>
      <c r="H1567" s="1">
        <v>2.1849E7</v>
      </c>
      <c r="I1567" s="1">
        <v>4.32548E8</v>
      </c>
      <c r="J1567" s="1">
        <v>2.2291E8</v>
      </c>
      <c r="K1567" s="1">
        <v>2.2291E8</v>
      </c>
      <c r="L1567" s="1">
        <v>-7.3674E7</v>
      </c>
      <c r="M1567" s="1">
        <v>9225000.0</v>
      </c>
      <c r="N1567" s="1">
        <v>4.64282E8</v>
      </c>
      <c r="O1567" s="1">
        <v>2.41372E8</v>
      </c>
      <c r="P1567" s="1">
        <v>3.1734E7</v>
      </c>
      <c r="Q1567" s="1">
        <v>-8.8917E7</v>
      </c>
      <c r="R1567" s="1">
        <v>1.24768E8</v>
      </c>
      <c r="S1567" s="1">
        <v>1.24479E8</v>
      </c>
    </row>
    <row r="1568">
      <c r="A1568" s="1">
        <v>1566.0</v>
      </c>
      <c r="B1568" s="2">
        <v>44286.0</v>
      </c>
      <c r="C1568" s="1" t="s">
        <v>818</v>
      </c>
      <c r="D1568" s="1" t="s">
        <v>819</v>
      </c>
      <c r="F1568" s="1">
        <v>1.02461E8</v>
      </c>
      <c r="G1568" s="1">
        <v>9.594E7</v>
      </c>
      <c r="H1568" s="1">
        <v>2.0796E7</v>
      </c>
      <c r="I1568" s="1">
        <v>4.14305E8</v>
      </c>
      <c r="J1568" s="1">
        <v>2.15524E8</v>
      </c>
      <c r="K1568" s="1">
        <v>2.15524E8</v>
      </c>
      <c r="L1568" s="1">
        <v>-7.3075E7</v>
      </c>
      <c r="M1568" s="1">
        <v>6225000.0</v>
      </c>
      <c r="N1568" s="1">
        <v>4.42804E8</v>
      </c>
      <c r="O1568" s="1">
        <v>2.2728E8</v>
      </c>
      <c r="P1568" s="1">
        <v>2.8499E7</v>
      </c>
      <c r="Q1568" s="1">
        <v>-1.13063E8</v>
      </c>
      <c r="R1568" s="1">
        <v>9.6236E7</v>
      </c>
      <c r="S1568" s="1">
        <v>9.594E7</v>
      </c>
    </row>
    <row r="1569">
      <c r="A1569" s="1">
        <v>1567.0</v>
      </c>
      <c r="B1569" s="2">
        <v>44196.0</v>
      </c>
      <c r="C1569" s="1" t="s">
        <v>818</v>
      </c>
      <c r="D1569" s="1" t="s">
        <v>819</v>
      </c>
      <c r="F1569" s="1">
        <v>1.2265E8</v>
      </c>
      <c r="G1569" s="1">
        <v>1.17931E8</v>
      </c>
      <c r="H1569" s="1">
        <v>1.6674E7</v>
      </c>
      <c r="I1569" s="1">
        <v>3.90941E8</v>
      </c>
      <c r="J1569" s="1">
        <v>1.99226E8</v>
      </c>
      <c r="K1569" s="1">
        <v>1.99226E8</v>
      </c>
      <c r="L1569" s="1">
        <v>-7.8764E7</v>
      </c>
      <c r="M1569" s="1">
        <v>4500000.0</v>
      </c>
      <c r="N1569" s="1">
        <v>4.18076E8</v>
      </c>
      <c r="O1569" s="1">
        <v>2.1885E8</v>
      </c>
      <c r="P1569" s="1">
        <v>2.7135E7</v>
      </c>
      <c r="Q1569" s="1">
        <v>-7.6576E7</v>
      </c>
      <c r="R1569" s="1">
        <v>1.1815E8</v>
      </c>
      <c r="S1569" s="1">
        <v>1.17931E8</v>
      </c>
    </row>
    <row r="1570">
      <c r="A1570" s="1">
        <v>1568.0</v>
      </c>
      <c r="B1570" s="2">
        <v>44469.0</v>
      </c>
      <c r="C1570" s="1" t="s">
        <v>820</v>
      </c>
      <c r="D1570" s="1" t="s">
        <v>821</v>
      </c>
      <c r="F1570" s="1">
        <v>1.18848E8</v>
      </c>
      <c r="G1570" s="1">
        <v>1.17406E8</v>
      </c>
      <c r="H1570" s="1">
        <v>1.7789E7</v>
      </c>
      <c r="I1570" s="1">
        <v>2.42371E8</v>
      </c>
      <c r="J1570" s="1">
        <v>1.48311E8</v>
      </c>
      <c r="K1570" s="1">
        <v>1.48311E8</v>
      </c>
      <c r="L1570" s="1">
        <v>-3.6148E7</v>
      </c>
      <c r="M1570" s="1">
        <v>0.0</v>
      </c>
      <c r="N1570" s="1">
        <v>3.21618E8</v>
      </c>
      <c r="O1570" s="1">
        <v>1.73307E8</v>
      </c>
      <c r="P1570" s="1">
        <v>7.9247E7</v>
      </c>
      <c r="Q1570" s="1">
        <v>-2.9463E7</v>
      </c>
      <c r="R1570" s="1">
        <v>1.18848E8</v>
      </c>
      <c r="S1570" s="1">
        <v>1.17406E8</v>
      </c>
    </row>
    <row r="1571">
      <c r="A1571" s="1">
        <v>1569.0</v>
      </c>
      <c r="B1571" s="2">
        <v>44377.0</v>
      </c>
      <c r="C1571" s="1" t="s">
        <v>820</v>
      </c>
      <c r="D1571" s="1" t="s">
        <v>821</v>
      </c>
      <c r="F1571" s="1">
        <v>9.6832E7</v>
      </c>
      <c r="G1571" s="1">
        <v>9.549E7</v>
      </c>
      <c r="H1571" s="1">
        <v>1.9187E7</v>
      </c>
      <c r="I1571" s="1">
        <v>2.05581E8</v>
      </c>
      <c r="J1571" s="1">
        <v>1.11E8</v>
      </c>
      <c r="K1571" s="1">
        <v>1.11E8</v>
      </c>
      <c r="L1571" s="1">
        <v>-3.5962E7</v>
      </c>
      <c r="M1571" s="1">
        <v>0.0</v>
      </c>
      <c r="N1571" s="1">
        <v>2.87594E8</v>
      </c>
      <c r="O1571" s="1">
        <v>1.76594E8</v>
      </c>
      <c r="P1571" s="1">
        <v>8.2013E7</v>
      </c>
      <c r="Q1571" s="1">
        <v>-1.4168E7</v>
      </c>
      <c r="R1571" s="1">
        <v>9.6832E7</v>
      </c>
      <c r="S1571" s="1">
        <v>9.549E7</v>
      </c>
    </row>
    <row r="1572">
      <c r="A1572" s="1">
        <v>1570.0</v>
      </c>
      <c r="B1572" s="2">
        <v>44286.0</v>
      </c>
      <c r="C1572" s="1" t="s">
        <v>820</v>
      </c>
      <c r="D1572" s="1" t="s">
        <v>821</v>
      </c>
      <c r="F1572" s="1">
        <v>8.1625E7</v>
      </c>
      <c r="G1572" s="1">
        <v>8.0656E7</v>
      </c>
      <c r="H1572" s="1">
        <v>2.1287E7</v>
      </c>
      <c r="I1572" s="1">
        <v>2.04621E8</v>
      </c>
      <c r="J1572" s="1">
        <v>1.05377E8</v>
      </c>
      <c r="K1572" s="1">
        <v>1.05377E8</v>
      </c>
      <c r="L1572" s="1">
        <v>-3.7094E7</v>
      </c>
      <c r="M1572" s="1">
        <v>0.0</v>
      </c>
      <c r="N1572" s="1">
        <v>2.86369E8</v>
      </c>
      <c r="O1572" s="1">
        <v>1.80992E8</v>
      </c>
      <c r="P1572" s="1">
        <v>8.1748E7</v>
      </c>
      <c r="Q1572" s="1">
        <v>-2.3752E7</v>
      </c>
      <c r="R1572" s="1">
        <v>8.1625E7</v>
      </c>
      <c r="S1572" s="1">
        <v>8.0656E7</v>
      </c>
    </row>
    <row r="1573">
      <c r="A1573" s="1">
        <v>1571.0</v>
      </c>
      <c r="B1573" s="2">
        <v>44196.0</v>
      </c>
      <c r="C1573" s="1" t="s">
        <v>820</v>
      </c>
      <c r="D1573" s="1" t="s">
        <v>821</v>
      </c>
      <c r="F1573" s="1">
        <v>3.8861E7</v>
      </c>
      <c r="G1573" s="1">
        <v>3.8487E7</v>
      </c>
      <c r="H1573" s="1">
        <v>2.0512E7</v>
      </c>
      <c r="I1573" s="1">
        <v>1.87145E8</v>
      </c>
      <c r="J1573" s="1">
        <v>7.1922E7</v>
      </c>
      <c r="K1573" s="1">
        <v>7.1922E7</v>
      </c>
      <c r="L1573" s="1">
        <v>-3.8301E7</v>
      </c>
      <c r="M1573" s="1">
        <v>-355000.0</v>
      </c>
      <c r="N1573" s="1">
        <v>2.67858E8</v>
      </c>
      <c r="O1573" s="1">
        <v>1.95936E8</v>
      </c>
      <c r="P1573" s="1">
        <v>8.0713E7</v>
      </c>
      <c r="Q1573" s="1">
        <v>-3.3061E7</v>
      </c>
      <c r="R1573" s="1">
        <v>3.9216E7</v>
      </c>
      <c r="S1573" s="1">
        <v>3.8487E7</v>
      </c>
    </row>
    <row r="1574">
      <c r="A1574" s="1">
        <v>1572.0</v>
      </c>
      <c r="B1574" s="2">
        <v>44469.0</v>
      </c>
      <c r="C1574" s="1" t="s">
        <v>822</v>
      </c>
      <c r="D1574" s="1" t="s">
        <v>823</v>
      </c>
      <c r="F1574" s="1">
        <v>1.8166E9</v>
      </c>
      <c r="G1574" s="1">
        <v>1.6322E9</v>
      </c>
      <c r="H1574" s="1">
        <v>4.45E8</v>
      </c>
      <c r="I1574" s="1">
        <v>2.3342E9</v>
      </c>
      <c r="J1574" s="1">
        <v>1.8472E9</v>
      </c>
      <c r="K1574" s="1">
        <v>1.8472E9</v>
      </c>
      <c r="L1574" s="1">
        <v>-1.42E7</v>
      </c>
      <c r="M1574" s="1">
        <v>1.844E8</v>
      </c>
      <c r="N1574" s="1">
        <v>3.4528E9</v>
      </c>
      <c r="O1574" s="1">
        <v>1.6056E9</v>
      </c>
      <c r="P1574" s="1">
        <v>1.1186E9</v>
      </c>
      <c r="Q1574" s="1">
        <v>-3.06E7</v>
      </c>
      <c r="R1574" s="1">
        <v>1.6322E9</v>
      </c>
      <c r="S1574" s="1">
        <v>1.6322E9</v>
      </c>
    </row>
    <row r="1575">
      <c r="A1575" s="1">
        <v>1573.0</v>
      </c>
      <c r="B1575" s="2">
        <v>44377.0</v>
      </c>
      <c r="C1575" s="1" t="s">
        <v>822</v>
      </c>
      <c r="D1575" s="1" t="s">
        <v>823</v>
      </c>
      <c r="F1575" s="1">
        <v>3.7528E9</v>
      </c>
      <c r="G1575" s="1">
        <v>3.0989E9</v>
      </c>
      <c r="H1575" s="1">
        <v>4.147E8</v>
      </c>
      <c r="I1575" s="1">
        <v>3.7306E9</v>
      </c>
      <c r="J1575" s="1">
        <v>3.3472E9</v>
      </c>
      <c r="K1575" s="1">
        <v>3.3472E9</v>
      </c>
      <c r="L1575" s="1">
        <v>-1.44E7</v>
      </c>
      <c r="M1575" s="1">
        <v>6.539E8</v>
      </c>
      <c r="N1575" s="1">
        <v>5.1385E9</v>
      </c>
      <c r="O1575" s="1">
        <v>1.7913E9</v>
      </c>
      <c r="P1575" s="1">
        <v>1.4079E9</v>
      </c>
      <c r="Q1575" s="1">
        <v>4.056E8</v>
      </c>
      <c r="R1575" s="1">
        <v>3.0989E9</v>
      </c>
      <c r="S1575" s="1">
        <v>3.0989E9</v>
      </c>
    </row>
    <row r="1576">
      <c r="A1576" s="1">
        <v>1574.0</v>
      </c>
      <c r="B1576" s="2">
        <v>44286.0</v>
      </c>
      <c r="C1576" s="1" t="s">
        <v>822</v>
      </c>
      <c r="D1576" s="1" t="s">
        <v>823</v>
      </c>
      <c r="F1576" s="1">
        <v>1.253E9</v>
      </c>
      <c r="G1576" s="1">
        <v>1.1152E9</v>
      </c>
      <c r="H1576" s="1">
        <v>4.056E8</v>
      </c>
      <c r="I1576" s="1">
        <v>1.4778E9</v>
      </c>
      <c r="J1576" s="1">
        <v>1.1127E9</v>
      </c>
      <c r="K1576" s="1">
        <v>1.1127E9</v>
      </c>
      <c r="L1576" s="1">
        <v>-1.46E7</v>
      </c>
      <c r="M1576" s="1">
        <v>1.378E8</v>
      </c>
      <c r="N1576" s="1">
        <v>2.5287E9</v>
      </c>
      <c r="O1576" s="1">
        <v>1.416E9</v>
      </c>
      <c r="P1576" s="1">
        <v>1.0509E9</v>
      </c>
      <c r="Q1576" s="1">
        <v>1.403E8</v>
      </c>
      <c r="R1576" s="1">
        <v>1.1152E9</v>
      </c>
      <c r="S1576" s="1">
        <v>1.1152E9</v>
      </c>
    </row>
    <row r="1577">
      <c r="A1577" s="1">
        <v>1575.0</v>
      </c>
      <c r="B1577" s="2">
        <v>44196.0</v>
      </c>
      <c r="C1577" s="1" t="s">
        <v>822</v>
      </c>
      <c r="D1577" s="1" t="s">
        <v>823</v>
      </c>
      <c r="F1577" s="1">
        <v>1.2246E9</v>
      </c>
      <c r="G1577" s="1">
        <v>1.1492E9</v>
      </c>
      <c r="H1577" s="1">
        <v>3.985E8</v>
      </c>
      <c r="I1577" s="1">
        <v>1.1386E9</v>
      </c>
      <c r="J1577" s="1">
        <v>8.853E8</v>
      </c>
      <c r="K1577" s="1">
        <v>8.853E8</v>
      </c>
      <c r="L1577" s="1">
        <v>-1.48E7</v>
      </c>
      <c r="M1577" s="1">
        <v>7.54E7</v>
      </c>
      <c r="N1577" s="1">
        <v>2.2362E9</v>
      </c>
      <c r="O1577" s="1">
        <v>1.3509E9</v>
      </c>
      <c r="P1577" s="1">
        <v>1.0976E9</v>
      </c>
      <c r="Q1577" s="1">
        <v>3.393E8</v>
      </c>
      <c r="R1577" s="1">
        <v>1.1492E9</v>
      </c>
      <c r="S1577" s="1">
        <v>1.1492E9</v>
      </c>
    </row>
    <row r="1578">
      <c r="A1578" s="1">
        <v>1576.0</v>
      </c>
      <c r="B1578" s="2">
        <v>44469.0</v>
      </c>
      <c r="C1578" s="1" t="s">
        <v>824</v>
      </c>
      <c r="D1578" s="1" t="s">
        <v>825</v>
      </c>
      <c r="F1578" s="1">
        <v>8.31E8</v>
      </c>
      <c r="G1578" s="1">
        <v>6.51E8</v>
      </c>
      <c r="H1578" s="1">
        <v>7.4E8</v>
      </c>
      <c r="I1578" s="1">
        <v>1.767E9</v>
      </c>
      <c r="J1578" s="1">
        <v>0.0</v>
      </c>
      <c r="K1578" s="1">
        <v>8.49E8</v>
      </c>
      <c r="M1578" s="1">
        <v>1.8E8</v>
      </c>
      <c r="N1578" s="1">
        <v>1.767E9</v>
      </c>
      <c r="O1578" s="1">
        <v>9.18E8</v>
      </c>
      <c r="P1578" s="1">
        <v>0.0</v>
      </c>
      <c r="Q1578" s="1">
        <v>-1.8E7</v>
      </c>
      <c r="R1578" s="1">
        <v>6.51E8</v>
      </c>
      <c r="S1578" s="1">
        <v>6.24E8</v>
      </c>
    </row>
    <row r="1579">
      <c r="A1579" s="1">
        <v>1577.0</v>
      </c>
      <c r="B1579" s="2">
        <v>44377.0</v>
      </c>
      <c r="C1579" s="1" t="s">
        <v>824</v>
      </c>
      <c r="D1579" s="1" t="s">
        <v>825</v>
      </c>
      <c r="F1579" s="1">
        <v>1.021E9</v>
      </c>
      <c r="G1579" s="1">
        <v>7.9E8</v>
      </c>
      <c r="H1579" s="1">
        <v>7.23E8</v>
      </c>
      <c r="I1579" s="1">
        <v>1.919E9</v>
      </c>
      <c r="J1579" s="1">
        <v>0.0</v>
      </c>
      <c r="K1579" s="1">
        <v>1.023E9</v>
      </c>
      <c r="M1579" s="1">
        <v>2.31E8</v>
      </c>
      <c r="N1579" s="1">
        <v>1.919E9</v>
      </c>
      <c r="O1579" s="1">
        <v>8.96E8</v>
      </c>
      <c r="P1579" s="1">
        <v>0.0</v>
      </c>
      <c r="Q1579" s="1">
        <v>-2000000.0</v>
      </c>
      <c r="R1579" s="1">
        <v>7.9E8</v>
      </c>
      <c r="S1579" s="1">
        <v>7.48E8</v>
      </c>
    </row>
    <row r="1580">
      <c r="A1580" s="1">
        <v>1578.0</v>
      </c>
      <c r="B1580" s="2">
        <v>44286.0</v>
      </c>
      <c r="C1580" s="1" t="s">
        <v>824</v>
      </c>
      <c r="D1580" s="1" t="s">
        <v>825</v>
      </c>
      <c r="F1580" s="1">
        <v>8.22E8</v>
      </c>
      <c r="G1580" s="1">
        <v>6.42E8</v>
      </c>
      <c r="H1580" s="1">
        <v>7.32E8</v>
      </c>
      <c r="I1580" s="1">
        <v>1.75E9</v>
      </c>
      <c r="J1580" s="1">
        <v>0.0</v>
      </c>
      <c r="K1580" s="1">
        <v>8.3E8</v>
      </c>
      <c r="M1580" s="1">
        <v>1.8E8</v>
      </c>
      <c r="N1580" s="1">
        <v>1.75E9</v>
      </c>
      <c r="O1580" s="1">
        <v>9.2E8</v>
      </c>
      <c r="P1580" s="1">
        <v>0.0</v>
      </c>
      <c r="Q1580" s="1">
        <v>-8000000.0</v>
      </c>
      <c r="R1580" s="1">
        <v>6.42E8</v>
      </c>
      <c r="S1580" s="1">
        <v>6.14E8</v>
      </c>
    </row>
    <row r="1581">
      <c r="A1581" s="1">
        <v>1579.0</v>
      </c>
      <c r="B1581" s="2">
        <v>44196.0</v>
      </c>
      <c r="C1581" s="1" t="s">
        <v>824</v>
      </c>
      <c r="D1581" s="1" t="s">
        <v>825</v>
      </c>
      <c r="F1581" s="1">
        <v>7.37E8</v>
      </c>
      <c r="G1581" s="1">
        <v>6.16E8</v>
      </c>
      <c r="H1581" s="1">
        <v>7.49E8</v>
      </c>
      <c r="I1581" s="1">
        <v>1.722E9</v>
      </c>
      <c r="J1581" s="1">
        <v>0.0</v>
      </c>
      <c r="K1581" s="1">
        <v>7.82E8</v>
      </c>
      <c r="M1581" s="1">
        <v>1.21E8</v>
      </c>
      <c r="N1581" s="1">
        <v>1.722E9</v>
      </c>
      <c r="O1581" s="1">
        <v>9.4E8</v>
      </c>
      <c r="P1581" s="1">
        <v>0.0</v>
      </c>
      <c r="Q1581" s="1">
        <v>-4.5E7</v>
      </c>
      <c r="R1581" s="1">
        <v>6.16E8</v>
      </c>
      <c r="S1581" s="1">
        <v>5.88E8</v>
      </c>
    </row>
    <row r="1582">
      <c r="A1582" s="1">
        <v>1580.0</v>
      </c>
      <c r="B1582" s="2">
        <v>44469.0</v>
      </c>
      <c r="C1582" s="1" t="s">
        <v>826</v>
      </c>
      <c r="D1582" s="1" t="s">
        <v>827</v>
      </c>
      <c r="F1582" s="1">
        <v>4.707E8</v>
      </c>
      <c r="G1582" s="1">
        <v>3.503E8</v>
      </c>
      <c r="H1582" s="1">
        <v>2.99E8</v>
      </c>
      <c r="I1582" s="1">
        <v>1.1899E9</v>
      </c>
      <c r="J1582" s="1">
        <v>5.688E8</v>
      </c>
      <c r="K1582" s="1">
        <v>5.688E8</v>
      </c>
      <c r="L1582" s="1">
        <v>-7.81E7</v>
      </c>
      <c r="M1582" s="1">
        <v>1.199E8</v>
      </c>
      <c r="N1582" s="1">
        <v>2.9339E9</v>
      </c>
      <c r="O1582" s="1">
        <v>2.3651E9</v>
      </c>
      <c r="P1582" s="1">
        <v>1.744E9</v>
      </c>
      <c r="Q1582" s="1">
        <v>-9.81E7</v>
      </c>
      <c r="R1582" s="1">
        <v>3.508E8</v>
      </c>
      <c r="S1582" s="1">
        <v>3.503E8</v>
      </c>
    </row>
    <row r="1583">
      <c r="A1583" s="1">
        <v>1581.0</v>
      </c>
      <c r="B1583" s="2">
        <v>44377.0</v>
      </c>
      <c r="C1583" s="1" t="s">
        <v>826</v>
      </c>
      <c r="D1583" s="1" t="s">
        <v>827</v>
      </c>
      <c r="F1583" s="1">
        <v>4.274E8</v>
      </c>
      <c r="G1583" s="1">
        <v>3.311E8</v>
      </c>
      <c r="H1583" s="1">
        <v>2.995E8</v>
      </c>
      <c r="I1583" s="1">
        <v>1.1621E9</v>
      </c>
      <c r="J1583" s="1">
        <v>5.389E8</v>
      </c>
      <c r="K1583" s="1">
        <v>5.389E8</v>
      </c>
      <c r="L1583" s="1">
        <v>-7.84E7</v>
      </c>
      <c r="M1583" s="1">
        <v>9.54E7</v>
      </c>
      <c r="N1583" s="1">
        <v>2.8128E9</v>
      </c>
      <c r="O1583" s="1">
        <v>2.2739E9</v>
      </c>
      <c r="P1583" s="1">
        <v>1.6507E9</v>
      </c>
      <c r="Q1583" s="1">
        <v>-1.115E8</v>
      </c>
      <c r="R1583" s="1">
        <v>3.32E8</v>
      </c>
      <c r="S1583" s="1">
        <v>3.311E8</v>
      </c>
    </row>
    <row r="1584">
      <c r="A1584" s="1">
        <v>1582.0</v>
      </c>
      <c r="B1584" s="2">
        <v>44286.0</v>
      </c>
      <c r="C1584" s="1" t="s">
        <v>826</v>
      </c>
      <c r="D1584" s="1" t="s">
        <v>827</v>
      </c>
      <c r="F1584" s="1">
        <v>4.001E8</v>
      </c>
      <c r="G1584" s="1">
        <v>2.959E8</v>
      </c>
      <c r="H1584" s="1">
        <v>2.654E8</v>
      </c>
      <c r="I1584" s="1">
        <v>1.0621E9</v>
      </c>
      <c r="J1584" s="1">
        <v>4.941E8</v>
      </c>
      <c r="K1584" s="1">
        <v>4.941E8</v>
      </c>
      <c r="L1584" s="1">
        <v>-7.84E7</v>
      </c>
      <c r="M1584" s="1">
        <v>1.037E8</v>
      </c>
      <c r="N1584" s="1">
        <v>2.5964E9</v>
      </c>
      <c r="O1584" s="1">
        <v>2.1023E9</v>
      </c>
      <c r="P1584" s="1">
        <v>1.5343E9</v>
      </c>
      <c r="Q1584" s="1">
        <v>-9.4E7</v>
      </c>
      <c r="R1584" s="1">
        <v>2.964E8</v>
      </c>
      <c r="S1584" s="1">
        <v>2.959E8</v>
      </c>
    </row>
    <row r="1585">
      <c r="A1585" s="1">
        <v>1583.0</v>
      </c>
      <c r="B1585" s="2">
        <v>44196.0</v>
      </c>
      <c r="C1585" s="1" t="s">
        <v>826</v>
      </c>
      <c r="D1585" s="1" t="s">
        <v>827</v>
      </c>
      <c r="F1585" s="1">
        <v>2.013E8</v>
      </c>
      <c r="G1585" s="1">
        <v>2.354E8</v>
      </c>
      <c r="H1585" s="1">
        <v>3.437E8</v>
      </c>
      <c r="I1585" s="1">
        <v>1.112E9</v>
      </c>
      <c r="J1585" s="1">
        <v>4.803E8</v>
      </c>
      <c r="K1585" s="1">
        <v>4.803E8</v>
      </c>
      <c r="L1585" s="1">
        <v>-7.06E7</v>
      </c>
      <c r="M1585" s="1">
        <v>-3.5E7</v>
      </c>
      <c r="N1585" s="1">
        <v>2.5732E9</v>
      </c>
      <c r="O1585" s="1">
        <v>2.0929E9</v>
      </c>
      <c r="P1585" s="1">
        <v>1.4612E9</v>
      </c>
      <c r="Q1585" s="1">
        <v>-2.79E8</v>
      </c>
      <c r="R1585" s="1">
        <v>2.363E8</v>
      </c>
      <c r="S1585" s="1">
        <v>2.354E8</v>
      </c>
    </row>
    <row r="1586">
      <c r="A1586" s="1">
        <v>1584.0</v>
      </c>
      <c r="B1586" s="2">
        <v>44469.0</v>
      </c>
      <c r="C1586" s="1" t="s">
        <v>828</v>
      </c>
      <c r="D1586" s="1" t="s">
        <v>829</v>
      </c>
      <c r="E1586" s="1">
        <v>5.995E7</v>
      </c>
      <c r="F1586" s="1">
        <v>2.58788E8</v>
      </c>
      <c r="G1586" s="1">
        <v>2.03613E8</v>
      </c>
      <c r="H1586" s="1">
        <v>1.76719E8</v>
      </c>
      <c r="I1586" s="1">
        <v>5.17348E8</v>
      </c>
      <c r="J1586" s="1">
        <v>2.61913E8</v>
      </c>
      <c r="K1586" s="1">
        <v>2.61913E8</v>
      </c>
      <c r="L1586" s="1">
        <v>-5360000.0</v>
      </c>
      <c r="M1586" s="1">
        <v>5.5175E7</v>
      </c>
      <c r="N1586" s="1">
        <v>9.04015E8</v>
      </c>
      <c r="O1586" s="1">
        <v>6.42102E8</v>
      </c>
      <c r="P1586" s="1">
        <v>3.86667E8</v>
      </c>
      <c r="Q1586" s="1">
        <v>-3125000.0</v>
      </c>
      <c r="R1586" s="1">
        <v>2.03613E8</v>
      </c>
      <c r="S1586" s="1">
        <v>2.03613E8</v>
      </c>
    </row>
    <row r="1587">
      <c r="A1587" s="1">
        <v>1585.0</v>
      </c>
      <c r="B1587" s="2">
        <v>44377.0</v>
      </c>
      <c r="C1587" s="1" t="s">
        <v>828</v>
      </c>
      <c r="D1587" s="1" t="s">
        <v>829</v>
      </c>
      <c r="E1587" s="1">
        <v>5.9875E7</v>
      </c>
      <c r="F1587" s="1">
        <v>2.39211E8</v>
      </c>
      <c r="G1587" s="1">
        <v>1.951E8</v>
      </c>
      <c r="H1587" s="1">
        <v>1.81483E8</v>
      </c>
      <c r="I1587" s="1">
        <v>5.01758E8</v>
      </c>
      <c r="J1587" s="1">
        <v>2.41638E8</v>
      </c>
      <c r="K1587" s="1">
        <v>2.41638E8</v>
      </c>
      <c r="L1587" s="1">
        <v>-5345000.0</v>
      </c>
      <c r="M1587" s="1">
        <v>4.4111E7</v>
      </c>
      <c r="N1587" s="1">
        <v>8.76103E8</v>
      </c>
      <c r="O1587" s="1">
        <v>6.34465E8</v>
      </c>
      <c r="P1587" s="1">
        <v>3.74345E8</v>
      </c>
      <c r="Q1587" s="1">
        <v>-2427000.0</v>
      </c>
      <c r="R1587" s="1">
        <v>1.951E8</v>
      </c>
      <c r="S1587" s="1">
        <v>1.951E8</v>
      </c>
    </row>
    <row r="1588">
      <c r="A1588" s="1">
        <v>1586.0</v>
      </c>
      <c r="B1588" s="2">
        <v>44286.0</v>
      </c>
      <c r="C1588" s="1" t="s">
        <v>828</v>
      </c>
      <c r="D1588" s="1" t="s">
        <v>829</v>
      </c>
      <c r="E1588" s="1">
        <v>5.5941E7</v>
      </c>
      <c r="F1588" s="1">
        <v>2.18005E8</v>
      </c>
      <c r="G1588" s="1">
        <v>-7.8481E7</v>
      </c>
      <c r="H1588" s="1">
        <v>1.60446E8</v>
      </c>
      <c r="I1588" s="1">
        <v>4.58182E8</v>
      </c>
      <c r="J1588" s="1">
        <v>2.23426E8</v>
      </c>
      <c r="K1588" s="1">
        <v>2.23426E8</v>
      </c>
      <c r="L1588" s="1">
        <v>-5878000.0</v>
      </c>
      <c r="M1588" s="1">
        <v>2.96486E8</v>
      </c>
      <c r="N1588" s="1">
        <v>7.68767E8</v>
      </c>
      <c r="O1588" s="1">
        <v>5.45341E8</v>
      </c>
      <c r="P1588" s="1">
        <v>3.10585E8</v>
      </c>
      <c r="Q1588" s="1">
        <v>-5421000.0</v>
      </c>
      <c r="R1588" s="1">
        <v>-7.8481E7</v>
      </c>
      <c r="S1588" s="1">
        <v>-7.8481E7</v>
      </c>
    </row>
    <row r="1589">
      <c r="A1589" s="1">
        <v>1587.0</v>
      </c>
      <c r="B1589" s="2">
        <v>44196.0</v>
      </c>
      <c r="C1589" s="1" t="s">
        <v>828</v>
      </c>
      <c r="D1589" s="1" t="s">
        <v>829</v>
      </c>
      <c r="E1589" s="1">
        <v>5.4935E7</v>
      </c>
      <c r="F1589" s="1">
        <v>2.10592E8</v>
      </c>
      <c r="G1589" s="1">
        <v>1.79514E8</v>
      </c>
      <c r="H1589" s="1">
        <v>1.6947E8</v>
      </c>
      <c r="I1589" s="1">
        <v>4.78879E8</v>
      </c>
      <c r="J1589" s="1">
        <v>2.35621E8</v>
      </c>
      <c r="K1589" s="1">
        <v>2.35621E8</v>
      </c>
      <c r="L1589" s="1">
        <v>-5924000.0</v>
      </c>
      <c r="M1589" s="1">
        <v>3.1078E7</v>
      </c>
      <c r="N1589" s="1">
        <v>8.00011E8</v>
      </c>
      <c r="O1589" s="1">
        <v>5.6439E8</v>
      </c>
      <c r="P1589" s="1">
        <v>3.21132E8</v>
      </c>
      <c r="Q1589" s="1">
        <v>-2.5029E7</v>
      </c>
      <c r="R1589" s="1">
        <v>1.79514E8</v>
      </c>
      <c r="S1589" s="1">
        <v>1.79514E8</v>
      </c>
    </row>
    <row r="1590">
      <c r="A1590" s="1">
        <v>1588.0</v>
      </c>
      <c r="B1590" s="2">
        <v>44469.0</v>
      </c>
      <c r="C1590" s="1" t="s">
        <v>830</v>
      </c>
      <c r="D1590" s="1" t="s">
        <v>831</v>
      </c>
      <c r="F1590" s="1">
        <v>2.27658E8</v>
      </c>
      <c r="G1590" s="1">
        <v>1.70871E8</v>
      </c>
      <c r="H1590" s="1">
        <v>4.95576E8</v>
      </c>
      <c r="I1590" s="1">
        <v>7.25327E8</v>
      </c>
      <c r="J1590" s="1">
        <v>2.29179E8</v>
      </c>
      <c r="K1590" s="1">
        <v>2.29179E8</v>
      </c>
      <c r="M1590" s="1">
        <v>5.6787E7</v>
      </c>
      <c r="N1590" s="1">
        <v>1.712566E9</v>
      </c>
      <c r="O1590" s="1">
        <v>1.483387E9</v>
      </c>
      <c r="P1590" s="1">
        <v>9.87239E8</v>
      </c>
      <c r="Q1590" s="1">
        <v>-1521000.0</v>
      </c>
      <c r="R1590" s="1">
        <v>1.70871E8</v>
      </c>
      <c r="S1590" s="1">
        <v>1.70871E8</v>
      </c>
    </row>
    <row r="1591">
      <c r="A1591" s="1">
        <v>1589.0</v>
      </c>
      <c r="B1591" s="2">
        <v>44377.0</v>
      </c>
      <c r="C1591" s="1" t="s">
        <v>830</v>
      </c>
      <c r="D1591" s="1" t="s">
        <v>831</v>
      </c>
      <c r="F1591" s="1">
        <v>2.03862E8</v>
      </c>
      <c r="G1591" s="1">
        <v>1.49213E8</v>
      </c>
      <c r="H1591" s="1">
        <v>4.88093E8</v>
      </c>
      <c r="I1591" s="1">
        <v>6.64872E8</v>
      </c>
      <c r="J1591" s="1">
        <v>1.76203E8</v>
      </c>
      <c r="K1591" s="1">
        <v>1.76203E8</v>
      </c>
      <c r="L1591" s="1">
        <v>-151000.0</v>
      </c>
      <c r="M1591" s="1">
        <v>5.4649E7</v>
      </c>
      <c r="N1591" s="1">
        <v>1.580581E9</v>
      </c>
      <c r="O1591" s="1">
        <v>1.404378E9</v>
      </c>
      <c r="P1591" s="1">
        <v>9.15709E8</v>
      </c>
      <c r="Q1591" s="1">
        <v>2.7659E7</v>
      </c>
      <c r="R1591" s="1">
        <v>1.49213E8</v>
      </c>
      <c r="S1591" s="1">
        <v>1.49213E8</v>
      </c>
    </row>
    <row r="1592">
      <c r="A1592" s="1">
        <v>1590.0</v>
      </c>
      <c r="B1592" s="2">
        <v>44286.0</v>
      </c>
      <c r="C1592" s="1" t="s">
        <v>830</v>
      </c>
      <c r="D1592" s="1" t="s">
        <v>831</v>
      </c>
      <c r="F1592" s="1">
        <v>1.50106E8</v>
      </c>
      <c r="G1592" s="1">
        <v>1.10598E8</v>
      </c>
      <c r="H1592" s="1">
        <v>4.23062E8</v>
      </c>
      <c r="I1592" s="1">
        <v>5.61711E8</v>
      </c>
      <c r="J1592" s="1">
        <v>1.38073E8</v>
      </c>
      <c r="K1592" s="1">
        <v>1.38073E8</v>
      </c>
      <c r="L1592" s="1">
        <v>-151000.0</v>
      </c>
      <c r="M1592" s="1">
        <v>3.9508E7</v>
      </c>
      <c r="N1592" s="1">
        <v>1.39838E9</v>
      </c>
      <c r="O1592" s="1">
        <v>1.260307E9</v>
      </c>
      <c r="P1592" s="1">
        <v>8.36669E8</v>
      </c>
      <c r="Q1592" s="1">
        <v>1.2033E7</v>
      </c>
      <c r="R1592" s="1">
        <v>1.10598E8</v>
      </c>
      <c r="S1592" s="1">
        <v>1.10598E8</v>
      </c>
    </row>
    <row r="1593">
      <c r="A1593" s="1">
        <v>1591.0</v>
      </c>
      <c r="B1593" s="2">
        <v>44196.0</v>
      </c>
      <c r="C1593" s="1" t="s">
        <v>830</v>
      </c>
      <c r="D1593" s="1" t="s">
        <v>831</v>
      </c>
      <c r="F1593" s="1">
        <v>1.29585E8</v>
      </c>
      <c r="G1593" s="1">
        <v>9.4416E7</v>
      </c>
      <c r="H1593" s="1">
        <v>4.25162E8</v>
      </c>
      <c r="I1593" s="1">
        <v>5.14327E8</v>
      </c>
      <c r="J1593" s="1">
        <v>8.8948E7</v>
      </c>
      <c r="K1593" s="1">
        <v>8.8948E7</v>
      </c>
      <c r="L1593" s="1">
        <v>-151000.0</v>
      </c>
      <c r="M1593" s="1">
        <v>3.5169E7</v>
      </c>
      <c r="N1593" s="1">
        <v>1.304086E9</v>
      </c>
      <c r="O1593" s="1">
        <v>1.215138E9</v>
      </c>
      <c r="P1593" s="1">
        <v>7.89759E8</v>
      </c>
      <c r="Q1593" s="1">
        <v>4.0637E7</v>
      </c>
      <c r="R1593" s="1">
        <v>9.4416E7</v>
      </c>
      <c r="S1593" s="1">
        <v>9.4416E7</v>
      </c>
    </row>
    <row r="1594">
      <c r="A1594" s="1">
        <v>1592.0</v>
      </c>
      <c r="B1594" s="2">
        <v>44469.0</v>
      </c>
      <c r="C1594" s="1" t="s">
        <v>832</v>
      </c>
      <c r="D1594" s="1" t="s">
        <v>833</v>
      </c>
      <c r="F1594" s="1">
        <v>4300000.0</v>
      </c>
      <c r="G1594" s="1">
        <v>7.85E7</v>
      </c>
      <c r="H1594" s="1">
        <v>4.627E8</v>
      </c>
      <c r="I1594" s="1">
        <v>7.194E8</v>
      </c>
      <c r="J1594" s="1">
        <v>2.567E8</v>
      </c>
      <c r="K1594" s="1">
        <v>2.567E8</v>
      </c>
      <c r="L1594" s="1">
        <v>-2.63E7</v>
      </c>
      <c r="M1594" s="1">
        <v>-7.03E7</v>
      </c>
      <c r="N1594" s="1">
        <v>1.8078E9</v>
      </c>
      <c r="O1594" s="1">
        <v>1.5511E9</v>
      </c>
      <c r="P1594" s="1">
        <v>1.0884E9</v>
      </c>
      <c r="Q1594" s="1">
        <v>-2.524E8</v>
      </c>
      <c r="R1594" s="1">
        <v>7.46E7</v>
      </c>
      <c r="S1594" s="1">
        <v>7.85E7</v>
      </c>
    </row>
    <row r="1595">
      <c r="A1595" s="1">
        <v>1593.0</v>
      </c>
      <c r="B1595" s="2">
        <v>44377.0</v>
      </c>
      <c r="C1595" s="1" t="s">
        <v>832</v>
      </c>
      <c r="D1595" s="1" t="s">
        <v>833</v>
      </c>
      <c r="F1595" s="1">
        <v>3.135E8</v>
      </c>
      <c r="G1595" s="1">
        <v>2.713E8</v>
      </c>
      <c r="H1595" s="1">
        <v>4.716E8</v>
      </c>
      <c r="I1595" s="1">
        <v>7.644E8</v>
      </c>
      <c r="J1595" s="1">
        <v>2.928E8</v>
      </c>
      <c r="K1595" s="1">
        <v>2.928E8</v>
      </c>
      <c r="L1595" s="1">
        <v>-2.24E7</v>
      </c>
      <c r="M1595" s="1">
        <v>4.45E7</v>
      </c>
      <c r="N1595" s="1">
        <v>1.8482E9</v>
      </c>
      <c r="O1595" s="1">
        <v>1.5554E9</v>
      </c>
      <c r="P1595" s="1">
        <v>1.0838E9</v>
      </c>
      <c r="Q1595" s="1">
        <v>2.07E7</v>
      </c>
      <c r="R1595" s="1">
        <v>2.69E8</v>
      </c>
      <c r="S1595" s="1">
        <v>2.709E8</v>
      </c>
    </row>
    <row r="1596">
      <c r="A1596" s="1">
        <v>1594.0</v>
      </c>
      <c r="B1596" s="2">
        <v>44286.0</v>
      </c>
      <c r="C1596" s="1" t="s">
        <v>832</v>
      </c>
      <c r="D1596" s="1" t="s">
        <v>833</v>
      </c>
      <c r="F1596" s="1">
        <v>5.077E8</v>
      </c>
      <c r="G1596" s="1">
        <v>4.15E8</v>
      </c>
      <c r="H1596" s="1">
        <v>4.288E8</v>
      </c>
      <c r="I1596" s="1">
        <v>7.674E8</v>
      </c>
      <c r="J1596" s="1">
        <v>3.386E8</v>
      </c>
      <c r="K1596" s="1">
        <v>3.386E8</v>
      </c>
      <c r="L1596" s="1">
        <v>-2.33E7</v>
      </c>
      <c r="M1596" s="1">
        <v>9.74E7</v>
      </c>
      <c r="N1596" s="1">
        <v>1.7761E9</v>
      </c>
      <c r="O1596" s="1">
        <v>1.4375E9</v>
      </c>
      <c r="P1596" s="1">
        <v>1.0087E9</v>
      </c>
      <c r="Q1596" s="1">
        <v>1.691E8</v>
      </c>
      <c r="R1596" s="1">
        <v>4.103E8</v>
      </c>
      <c r="S1596" s="1">
        <v>4.141E8</v>
      </c>
    </row>
    <row r="1597">
      <c r="A1597" s="1">
        <v>1595.0</v>
      </c>
      <c r="B1597" s="2">
        <v>44196.0</v>
      </c>
      <c r="C1597" s="1" t="s">
        <v>832</v>
      </c>
      <c r="D1597" s="1" t="s">
        <v>833</v>
      </c>
      <c r="F1597" s="1">
        <v>7.007E8</v>
      </c>
      <c r="G1597" s="1">
        <v>5.933E8</v>
      </c>
      <c r="H1597" s="1">
        <v>3.82E8</v>
      </c>
      <c r="I1597" s="1">
        <v>6.465E8</v>
      </c>
      <c r="J1597" s="1">
        <v>2.645E8</v>
      </c>
      <c r="K1597" s="1">
        <v>2.645E8</v>
      </c>
      <c r="L1597" s="1">
        <v>-2.26E7</v>
      </c>
      <c r="M1597" s="1">
        <v>1.103E8</v>
      </c>
      <c r="N1597" s="1">
        <v>1.5653E9</v>
      </c>
      <c r="O1597" s="1">
        <v>1.3008E9</v>
      </c>
      <c r="P1597" s="1">
        <v>9.188E8</v>
      </c>
      <c r="Q1597" s="1">
        <v>4.362E8</v>
      </c>
      <c r="R1597" s="1">
        <v>5.904E8</v>
      </c>
      <c r="S1597" s="1">
        <v>5.926E8</v>
      </c>
    </row>
    <row r="1598">
      <c r="A1598" s="1">
        <v>1596.0</v>
      </c>
      <c r="B1598" s="2">
        <v>44469.0</v>
      </c>
      <c r="C1598" s="1" t="s">
        <v>834</v>
      </c>
      <c r="D1598" s="1" t="s">
        <v>835</v>
      </c>
      <c r="F1598" s="1">
        <v>1.27072E8</v>
      </c>
      <c r="G1598" s="1">
        <v>9.3853E7</v>
      </c>
      <c r="H1598" s="1">
        <v>1.94261E8</v>
      </c>
      <c r="I1598" s="1">
        <v>3.44725E8</v>
      </c>
      <c r="J1598" s="1">
        <v>1.26847E8</v>
      </c>
      <c r="K1598" s="1">
        <v>1.26847E8</v>
      </c>
      <c r="L1598" s="1">
        <v>-222000.0</v>
      </c>
      <c r="M1598" s="1">
        <v>3.3219E7</v>
      </c>
      <c r="N1598" s="1">
        <v>6.50199E8</v>
      </c>
      <c r="O1598" s="1">
        <v>5.23352E8</v>
      </c>
      <c r="P1598" s="1">
        <v>3.05474E8</v>
      </c>
      <c r="Q1598" s="1">
        <v>225000.0</v>
      </c>
      <c r="R1598" s="1">
        <v>9.3853E7</v>
      </c>
      <c r="S1598" s="1">
        <v>9.3853E7</v>
      </c>
    </row>
    <row r="1599">
      <c r="A1599" s="1">
        <v>1597.0</v>
      </c>
      <c r="B1599" s="2">
        <v>44377.0</v>
      </c>
      <c r="C1599" s="1" t="s">
        <v>834</v>
      </c>
      <c r="D1599" s="1" t="s">
        <v>835</v>
      </c>
      <c r="F1599" s="1">
        <v>1.33939E8</v>
      </c>
      <c r="G1599" s="1">
        <v>9.8854E7</v>
      </c>
      <c r="H1599" s="1">
        <v>1.83482E8</v>
      </c>
      <c r="I1599" s="1">
        <v>3.40342E8</v>
      </c>
      <c r="J1599" s="1">
        <v>1.33554E8</v>
      </c>
      <c r="K1599" s="1">
        <v>1.33554E8</v>
      </c>
      <c r="L1599" s="1">
        <v>-506000.0</v>
      </c>
      <c r="M1599" s="1">
        <v>3.5085E7</v>
      </c>
      <c r="N1599" s="1">
        <v>6.38204E8</v>
      </c>
      <c r="O1599" s="1">
        <v>5.0465E8</v>
      </c>
      <c r="P1599" s="1">
        <v>2.97862E8</v>
      </c>
      <c r="Q1599" s="1">
        <v>385000.0</v>
      </c>
      <c r="R1599" s="1">
        <v>9.8854E7</v>
      </c>
      <c r="S1599" s="1">
        <v>9.8854E7</v>
      </c>
    </row>
    <row r="1600">
      <c r="A1600" s="1">
        <v>1598.0</v>
      </c>
      <c r="B1600" s="2">
        <v>44286.0</v>
      </c>
      <c r="C1600" s="1" t="s">
        <v>834</v>
      </c>
      <c r="D1600" s="1" t="s">
        <v>835</v>
      </c>
      <c r="F1600" s="1">
        <v>1.19852E8</v>
      </c>
      <c r="G1600" s="1">
        <v>9.2643E7</v>
      </c>
      <c r="H1600" s="1">
        <v>1.62208E8</v>
      </c>
      <c r="I1600" s="1">
        <v>2.74002E8</v>
      </c>
      <c r="J1600" s="1">
        <v>8.8198E7</v>
      </c>
      <c r="K1600" s="1">
        <v>8.8198E7</v>
      </c>
      <c r="L1600" s="1">
        <v>-606000.0</v>
      </c>
      <c r="M1600" s="1">
        <v>2.7209E7</v>
      </c>
      <c r="N1600" s="1">
        <v>5.35554E8</v>
      </c>
      <c r="O1600" s="1">
        <v>4.47356E8</v>
      </c>
      <c r="P1600" s="1">
        <v>2.61552E8</v>
      </c>
      <c r="Q1600" s="1">
        <v>3.1654E7</v>
      </c>
      <c r="R1600" s="1">
        <v>9.2643E7</v>
      </c>
      <c r="S1600" s="1">
        <v>9.2643E7</v>
      </c>
    </row>
    <row r="1601">
      <c r="A1601" s="1">
        <v>1599.0</v>
      </c>
      <c r="B1601" s="2">
        <v>44196.0</v>
      </c>
      <c r="C1601" s="1" t="s">
        <v>834</v>
      </c>
      <c r="D1601" s="1" t="s">
        <v>835</v>
      </c>
      <c r="F1601" s="1">
        <v>8.6898E7</v>
      </c>
      <c r="G1601" s="1">
        <v>6.2619E7</v>
      </c>
      <c r="H1601" s="1">
        <v>1.59086E8</v>
      </c>
      <c r="I1601" s="1">
        <v>2.69948E8</v>
      </c>
      <c r="J1601" s="1">
        <v>8.8459E7</v>
      </c>
      <c r="K1601" s="1">
        <v>8.8459E7</v>
      </c>
      <c r="L1601" s="1">
        <v>-591000.0</v>
      </c>
      <c r="M1601" s="1">
        <v>2.4279E7</v>
      </c>
      <c r="N1601" s="1">
        <v>5.36292E8</v>
      </c>
      <c r="O1601" s="1">
        <v>4.47833E8</v>
      </c>
      <c r="P1601" s="1">
        <v>2.66344E8</v>
      </c>
      <c r="Q1601" s="1">
        <v>-1561000.0</v>
      </c>
      <c r="R1601" s="1">
        <v>6.2619E7</v>
      </c>
      <c r="S1601" s="1">
        <v>6.2619E7</v>
      </c>
    </row>
    <row r="1602">
      <c r="A1602" s="1">
        <v>1600.0</v>
      </c>
      <c r="B1602" s="2">
        <v>44469.0</v>
      </c>
      <c r="C1602" s="1" t="s">
        <v>836</v>
      </c>
      <c r="D1602" s="1" t="s">
        <v>837</v>
      </c>
      <c r="F1602" s="1">
        <v>3.436E8</v>
      </c>
      <c r="G1602" s="1">
        <v>2.895E8</v>
      </c>
      <c r="H1602" s="1">
        <v>5.926E8</v>
      </c>
      <c r="I1602" s="1">
        <v>9.961E8</v>
      </c>
      <c r="J1602" s="1">
        <v>4.035E8</v>
      </c>
      <c r="K1602" s="1">
        <v>4.035E8</v>
      </c>
      <c r="L1602" s="1">
        <v>-5.82E7</v>
      </c>
      <c r="M1602" s="1">
        <v>8.38E7</v>
      </c>
      <c r="N1602" s="1">
        <v>1.4628E9</v>
      </c>
      <c r="O1602" s="1">
        <v>1.0593E9</v>
      </c>
      <c r="P1602" s="1">
        <v>4.667E8</v>
      </c>
      <c r="Q1602" s="1">
        <v>-5.99E7</v>
      </c>
      <c r="R1602" s="1">
        <v>2.598E8</v>
      </c>
      <c r="S1602" s="1">
        <v>2.895E8</v>
      </c>
    </row>
    <row r="1603">
      <c r="A1603" s="1">
        <v>1601.0</v>
      </c>
      <c r="B1603" s="2">
        <v>44377.0</v>
      </c>
      <c r="C1603" s="1" t="s">
        <v>836</v>
      </c>
      <c r="D1603" s="1" t="s">
        <v>837</v>
      </c>
      <c r="F1603" s="1">
        <v>3.436E8</v>
      </c>
      <c r="G1603" s="1">
        <v>0.0</v>
      </c>
      <c r="H1603" s="1">
        <v>5.926E8</v>
      </c>
      <c r="I1603" s="1">
        <v>0.0</v>
      </c>
      <c r="J1603" s="1">
        <v>0.0</v>
      </c>
      <c r="K1603" s="1">
        <v>4.035E8</v>
      </c>
      <c r="L1603" s="1">
        <v>-5.82E7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2.598E8</v>
      </c>
      <c r="S1603" s="1">
        <v>2.895E8</v>
      </c>
    </row>
    <row r="1604">
      <c r="A1604" s="1">
        <v>1602.0</v>
      </c>
      <c r="B1604" s="2">
        <v>44286.0</v>
      </c>
      <c r="C1604" s="1" t="s">
        <v>836</v>
      </c>
      <c r="D1604" s="1" t="s">
        <v>837</v>
      </c>
      <c r="F1604" s="1">
        <v>3.669E8</v>
      </c>
      <c r="G1604" s="1">
        <v>2.89E8</v>
      </c>
      <c r="H1604" s="1">
        <v>5.933E8</v>
      </c>
      <c r="I1604" s="1">
        <v>9.938E8</v>
      </c>
      <c r="J1604" s="1">
        <v>4.005E8</v>
      </c>
      <c r="K1604" s="1">
        <v>4.005E8</v>
      </c>
      <c r="L1604" s="1">
        <v>-6.06E7</v>
      </c>
      <c r="M1604" s="1">
        <v>7.79E7</v>
      </c>
      <c r="N1604" s="1">
        <v>1.5286E9</v>
      </c>
      <c r="O1604" s="1">
        <v>1.1281E9</v>
      </c>
      <c r="P1604" s="1">
        <v>5.348E8</v>
      </c>
      <c r="Q1604" s="1">
        <v>-3.36E7</v>
      </c>
      <c r="R1604" s="1">
        <v>2.89E8</v>
      </c>
      <c r="S1604" s="1">
        <v>2.89E8</v>
      </c>
    </row>
    <row r="1605">
      <c r="A1605" s="1">
        <v>1603.0</v>
      </c>
      <c r="B1605" s="2">
        <v>44196.0</v>
      </c>
      <c r="C1605" s="1" t="s">
        <v>836</v>
      </c>
      <c r="D1605" s="1" t="s">
        <v>837</v>
      </c>
      <c r="E1605" s="1">
        <v>4.461E8</v>
      </c>
      <c r="F1605" s="1">
        <v>3.175E8</v>
      </c>
      <c r="G1605" s="1">
        <v>2.558E8</v>
      </c>
      <c r="H1605" s="1">
        <v>1.534E8</v>
      </c>
      <c r="I1605" s="1">
        <v>9.666E8</v>
      </c>
      <c r="J1605" s="1">
        <v>3.671E8</v>
      </c>
      <c r="K1605" s="1">
        <v>3.671E8</v>
      </c>
      <c r="L1605" s="1">
        <v>-6.37E7</v>
      </c>
      <c r="M1605" s="1">
        <v>6.17E7</v>
      </c>
      <c r="N1605" s="1">
        <v>1.5053E9</v>
      </c>
      <c r="O1605" s="1">
        <v>1.1382E9</v>
      </c>
      <c r="P1605" s="1">
        <v>5.387E8</v>
      </c>
      <c r="Q1605" s="1">
        <v>-4.96E7</v>
      </c>
      <c r="R1605" s="1">
        <v>2.558E8</v>
      </c>
      <c r="S1605" s="1">
        <v>2.558E8</v>
      </c>
    </row>
    <row r="1606">
      <c r="A1606" s="1">
        <v>1604.0</v>
      </c>
      <c r="B1606" s="2">
        <v>44408.0</v>
      </c>
      <c r="C1606" s="1" t="s">
        <v>838</v>
      </c>
      <c r="D1606" s="1" t="s">
        <v>839</v>
      </c>
      <c r="F1606" s="1">
        <v>6.57608E8</v>
      </c>
      <c r="G1606" s="1">
        <v>4.94258E8</v>
      </c>
      <c r="H1606" s="1">
        <v>7.17788E8</v>
      </c>
      <c r="I1606" s="1">
        <v>1.394103E9</v>
      </c>
      <c r="J1606" s="1">
        <v>6.76315E8</v>
      </c>
      <c r="K1606" s="1">
        <v>6.76315E8</v>
      </c>
      <c r="L1606" s="1">
        <v>-1.8906E7</v>
      </c>
      <c r="M1606" s="1">
        <v>1.6335E8</v>
      </c>
      <c r="N1606" s="1">
        <v>4.804974E9</v>
      </c>
      <c r="O1606" s="1">
        <v>4.128659E9</v>
      </c>
      <c r="P1606" s="1">
        <v>3.410871E9</v>
      </c>
      <c r="Q1606" s="1">
        <v>-1.8707E7</v>
      </c>
      <c r="R1606" s="1">
        <v>4.94258E8</v>
      </c>
      <c r="S1606" s="1">
        <v>4.94258E8</v>
      </c>
    </row>
    <row r="1607">
      <c r="A1607" s="1">
        <v>1605.0</v>
      </c>
      <c r="B1607" s="2">
        <v>44317.0</v>
      </c>
      <c r="C1607" s="1" t="s">
        <v>838</v>
      </c>
      <c r="D1607" s="1" t="s">
        <v>839</v>
      </c>
      <c r="F1607" s="1">
        <v>6.23582E8</v>
      </c>
      <c r="G1607" s="1">
        <v>4.76479E8</v>
      </c>
      <c r="H1607" s="1">
        <v>6.75053E8</v>
      </c>
      <c r="I1607" s="1">
        <v>1.317684E9</v>
      </c>
      <c r="J1607" s="1">
        <v>6.42631E8</v>
      </c>
      <c r="K1607" s="1">
        <v>6.42631E8</v>
      </c>
      <c r="L1607" s="1">
        <v>-1.9285E7</v>
      </c>
      <c r="M1607" s="1">
        <v>1.47103E8</v>
      </c>
      <c r="N1607" s="1">
        <v>4.51608E9</v>
      </c>
      <c r="O1607" s="1">
        <v>3.873449E9</v>
      </c>
      <c r="P1607" s="1">
        <v>3.198396E9</v>
      </c>
      <c r="Q1607" s="1">
        <v>-1.9049E7</v>
      </c>
      <c r="R1607" s="1">
        <v>4.76479E8</v>
      </c>
      <c r="S1607" s="1">
        <v>4.76479E8</v>
      </c>
    </row>
    <row r="1608">
      <c r="A1608" s="1">
        <v>1606.0</v>
      </c>
      <c r="B1608" s="2">
        <v>44226.0</v>
      </c>
      <c r="C1608" s="1" t="s">
        <v>838</v>
      </c>
      <c r="D1608" s="1" t="s">
        <v>839</v>
      </c>
      <c r="F1608" s="1">
        <v>3.82851E8</v>
      </c>
      <c r="G1608" s="1">
        <v>2.3798E8</v>
      </c>
      <c r="H1608" s="1">
        <v>1.291999E9</v>
      </c>
      <c r="I1608" s="1">
        <v>1.934002E9</v>
      </c>
      <c r="J1608" s="1">
        <v>6.42003E8</v>
      </c>
      <c r="K1608" s="1">
        <v>6.42003E8</v>
      </c>
      <c r="L1608" s="1">
        <v>-1.938E7</v>
      </c>
      <c r="M1608" s="1">
        <v>1.44871E8</v>
      </c>
      <c r="N1608" s="1">
        <v>4.249671E9</v>
      </c>
      <c r="O1608" s="1">
        <v>3.607668E9</v>
      </c>
      <c r="P1608" s="1">
        <v>2.315669E9</v>
      </c>
      <c r="Q1608" s="1">
        <v>-2.59152E8</v>
      </c>
      <c r="R1608" s="1">
        <v>2.3798E8</v>
      </c>
      <c r="S1608" s="1">
        <v>2.3798E8</v>
      </c>
    </row>
    <row r="1609">
      <c r="A1609" s="1">
        <v>1607.0</v>
      </c>
      <c r="B1609" s="2">
        <v>44135.0</v>
      </c>
      <c r="C1609" s="1" t="s">
        <v>838</v>
      </c>
      <c r="D1609" s="1" t="s">
        <v>839</v>
      </c>
      <c r="F1609" s="1">
        <v>1.36493E8</v>
      </c>
      <c r="G1609" s="1">
        <v>1.31197E8</v>
      </c>
      <c r="H1609" s="1">
        <v>8.77857E8</v>
      </c>
      <c r="I1609" s="1">
        <v>1.04309E9</v>
      </c>
      <c r="J1609" s="1">
        <v>1.65233E8</v>
      </c>
      <c r="K1609" s="1">
        <v>1.65233E8</v>
      </c>
      <c r="L1609" s="1">
        <v>-2.907E7</v>
      </c>
      <c r="M1609" s="1">
        <v>5296000.0</v>
      </c>
      <c r="N1609" s="1">
        <v>3.754509E9</v>
      </c>
      <c r="O1609" s="1">
        <v>3.589276E9</v>
      </c>
      <c r="P1609" s="1">
        <v>2.711419E9</v>
      </c>
      <c r="Q1609" s="1">
        <v>-2.874E7</v>
      </c>
      <c r="R1609" s="1">
        <v>1.31197E8</v>
      </c>
      <c r="S1609" s="1">
        <v>1.31197E8</v>
      </c>
    </row>
    <row r="1610">
      <c r="A1610" s="1">
        <v>1608.0</v>
      </c>
      <c r="B1610" s="2">
        <v>44469.0</v>
      </c>
      <c r="C1610" s="1" t="s">
        <v>840</v>
      </c>
      <c r="D1610" s="1" t="s">
        <v>841</v>
      </c>
      <c r="F1610" s="1">
        <v>-1.424554E9</v>
      </c>
      <c r="G1610" s="1">
        <v>-1.424554E9</v>
      </c>
      <c r="H1610" s="1">
        <v>3.30472E8</v>
      </c>
      <c r="I1610" s="1">
        <v>-3.49683E8</v>
      </c>
      <c r="J1610" s="1">
        <v>-1.006062E9</v>
      </c>
      <c r="K1610" s="1">
        <v>-1.006062E9</v>
      </c>
      <c r="L1610" s="1">
        <v>-4.30661E8</v>
      </c>
      <c r="M1610" s="1">
        <v>0.0</v>
      </c>
      <c r="N1610" s="1">
        <v>4.56958E8</v>
      </c>
      <c r="O1610" s="1">
        <v>1.46302E9</v>
      </c>
      <c r="P1610" s="1">
        <v>8.06641E8</v>
      </c>
      <c r="Q1610" s="1">
        <v>-4.18492E8</v>
      </c>
      <c r="R1610" s="1">
        <v>-1.424554E9</v>
      </c>
      <c r="S1610" s="1">
        <v>-1.424554E9</v>
      </c>
    </row>
    <row r="1611">
      <c r="A1611" s="1">
        <v>1609.0</v>
      </c>
      <c r="B1611" s="2">
        <v>44377.0</v>
      </c>
      <c r="C1611" s="1" t="s">
        <v>840</v>
      </c>
      <c r="D1611" s="1" t="s">
        <v>841</v>
      </c>
      <c r="F1611" s="1">
        <v>-1.347255E9</v>
      </c>
      <c r="G1611" s="1">
        <v>-1.347255E9</v>
      </c>
      <c r="H1611" s="1">
        <v>2.90369E8</v>
      </c>
      <c r="I1611" s="1">
        <v>-3.69105E8</v>
      </c>
      <c r="J1611" s="1">
        <v>-9.82913E8</v>
      </c>
      <c r="K1611" s="1">
        <v>-9.82913E8</v>
      </c>
      <c r="L1611" s="1">
        <v>-3.04811E8</v>
      </c>
      <c r="M1611" s="1">
        <v>0.0</v>
      </c>
      <c r="N1611" s="1">
        <v>5.0914E7</v>
      </c>
      <c r="O1611" s="1">
        <v>1.033827E9</v>
      </c>
      <c r="P1611" s="1">
        <v>4.20019E8</v>
      </c>
      <c r="Q1611" s="1">
        <v>-3.64342E8</v>
      </c>
      <c r="R1611" s="1">
        <v>-1.347255E9</v>
      </c>
      <c r="S1611" s="1">
        <v>-1.347255E9</v>
      </c>
    </row>
    <row r="1612">
      <c r="A1612" s="1">
        <v>1610.0</v>
      </c>
      <c r="B1612" s="2">
        <v>44286.0</v>
      </c>
      <c r="C1612" s="1" t="s">
        <v>840</v>
      </c>
      <c r="D1612" s="1" t="s">
        <v>841</v>
      </c>
      <c r="F1612" s="1">
        <v>-1.131722E9</v>
      </c>
      <c r="G1612" s="1">
        <v>-1.131722E9</v>
      </c>
      <c r="H1612" s="1">
        <v>2.63171E8</v>
      </c>
      <c r="I1612" s="1">
        <v>-2.36343E8</v>
      </c>
      <c r="J1612" s="1">
        <v>-8.0968E8</v>
      </c>
      <c r="K1612" s="1">
        <v>-8.0968E8</v>
      </c>
      <c r="L1612" s="1">
        <v>-2.72514E8</v>
      </c>
      <c r="M1612" s="1">
        <v>0.0</v>
      </c>
      <c r="N1612" s="1">
        <v>4.2014E7</v>
      </c>
      <c r="O1612" s="1">
        <v>8.51694E8</v>
      </c>
      <c r="P1612" s="1">
        <v>2.78357E8</v>
      </c>
      <c r="Q1612" s="1">
        <v>-3.22042E8</v>
      </c>
      <c r="R1612" s="1">
        <v>-1.131722E9</v>
      </c>
      <c r="S1612" s="1">
        <v>-1.131722E9</v>
      </c>
    </row>
    <row r="1613">
      <c r="A1613" s="1">
        <v>1611.0</v>
      </c>
      <c r="B1613" s="2">
        <v>44196.0</v>
      </c>
      <c r="C1613" s="1" t="s">
        <v>840</v>
      </c>
      <c r="D1613" s="1" t="s">
        <v>841</v>
      </c>
      <c r="F1613" s="1">
        <v>-1.381935E9</v>
      </c>
      <c r="G1613" s="1">
        <v>-1.366935E9</v>
      </c>
      <c r="H1613" s="1">
        <v>2.51349E8</v>
      </c>
      <c r="I1613" s="1">
        <v>-2.35306E8</v>
      </c>
      <c r="J1613" s="1">
        <v>-8.04683E8</v>
      </c>
      <c r="K1613" s="1">
        <v>-8.04683E8</v>
      </c>
      <c r="L1613" s="1">
        <v>-2.73089E8</v>
      </c>
      <c r="M1613" s="1">
        <v>-1.5E7</v>
      </c>
      <c r="N1613" s="1">
        <v>3.4138E7</v>
      </c>
      <c r="O1613" s="1">
        <v>8.38821E8</v>
      </c>
      <c r="P1613" s="1">
        <v>2.69444E8</v>
      </c>
      <c r="Q1613" s="1">
        <v>-5.77252E8</v>
      </c>
      <c r="R1613" s="1">
        <v>-1.366935E9</v>
      </c>
      <c r="S1613" s="1">
        <v>-1.366935E9</v>
      </c>
    </row>
    <row r="1614">
      <c r="A1614" s="1">
        <v>1612.0</v>
      </c>
      <c r="B1614" s="2">
        <v>44469.0</v>
      </c>
      <c r="C1614" s="1" t="s">
        <v>842</v>
      </c>
      <c r="D1614" s="1" t="s">
        <v>843</v>
      </c>
      <c r="F1614" s="1">
        <v>1.074E9</v>
      </c>
      <c r="G1614" s="1">
        <v>7.97E8</v>
      </c>
      <c r="H1614" s="1">
        <v>3.58E8</v>
      </c>
      <c r="I1614" s="1">
        <v>1.544E9</v>
      </c>
      <c r="J1614" s="1">
        <v>1.145E9</v>
      </c>
      <c r="K1614" s="1">
        <v>1.145E9</v>
      </c>
      <c r="L1614" s="1">
        <v>-3.1E7</v>
      </c>
      <c r="M1614" s="1">
        <v>2.13E8</v>
      </c>
      <c r="N1614" s="1">
        <v>2.087E9</v>
      </c>
      <c r="O1614" s="1">
        <v>9.42E8</v>
      </c>
      <c r="P1614" s="1">
        <v>5.43E8</v>
      </c>
      <c r="Q1614" s="1">
        <v>-7.1E7</v>
      </c>
      <c r="R1614" s="1">
        <v>8.61E8</v>
      </c>
      <c r="S1614" s="1">
        <v>7.97E8</v>
      </c>
    </row>
    <row r="1615">
      <c r="A1615" s="1">
        <v>1613.0</v>
      </c>
      <c r="B1615" s="2">
        <v>44377.0</v>
      </c>
      <c r="C1615" s="1" t="s">
        <v>842</v>
      </c>
      <c r="D1615" s="1" t="s">
        <v>843</v>
      </c>
      <c r="F1615" s="1">
        <v>1.144E9</v>
      </c>
      <c r="G1615" s="1">
        <v>7.98E8</v>
      </c>
      <c r="H1615" s="1">
        <v>3.1E8</v>
      </c>
      <c r="I1615" s="1">
        <v>1.573E9</v>
      </c>
      <c r="J1615" s="1">
        <v>1.218E9</v>
      </c>
      <c r="K1615" s="1">
        <v>1.218E9</v>
      </c>
      <c r="L1615" s="1">
        <v>-3.2E7</v>
      </c>
      <c r="M1615" s="1">
        <v>2.87E8</v>
      </c>
      <c r="N1615" s="1">
        <v>2.106E9</v>
      </c>
      <c r="O1615" s="1">
        <v>8.88E8</v>
      </c>
      <c r="P1615" s="1">
        <v>5.33E8</v>
      </c>
      <c r="Q1615" s="1">
        <v>-7.4E7</v>
      </c>
      <c r="R1615" s="1">
        <v>8.57E8</v>
      </c>
      <c r="S1615" s="1">
        <v>7.98E8</v>
      </c>
    </row>
    <row r="1616">
      <c r="A1616" s="1">
        <v>1614.0</v>
      </c>
      <c r="B1616" s="2">
        <v>44286.0</v>
      </c>
      <c r="C1616" s="1" t="s">
        <v>842</v>
      </c>
      <c r="D1616" s="1" t="s">
        <v>843</v>
      </c>
      <c r="F1616" s="1">
        <v>1.056E9</v>
      </c>
      <c r="G1616" s="1">
        <v>7.55E8</v>
      </c>
      <c r="H1616" s="1">
        <v>2.98E8</v>
      </c>
      <c r="I1616" s="1">
        <v>1.489E9</v>
      </c>
      <c r="J1616" s="1">
        <v>1.141E9</v>
      </c>
      <c r="K1616" s="1">
        <v>1.141E9</v>
      </c>
      <c r="L1616" s="1">
        <v>-3.2E7</v>
      </c>
      <c r="M1616" s="1">
        <v>2.48E8</v>
      </c>
      <c r="N1616" s="1">
        <v>2.016E9</v>
      </c>
      <c r="O1616" s="1">
        <v>8.75E8</v>
      </c>
      <c r="P1616" s="1">
        <v>5.27E8</v>
      </c>
      <c r="Q1616" s="1">
        <v>-8.5E7</v>
      </c>
      <c r="R1616" s="1">
        <v>8.08E8</v>
      </c>
      <c r="S1616" s="1">
        <v>7.55E8</v>
      </c>
    </row>
    <row r="1617">
      <c r="A1617" s="1">
        <v>1615.0</v>
      </c>
      <c r="B1617" s="2">
        <v>44196.0</v>
      </c>
      <c r="C1617" s="1" t="s">
        <v>842</v>
      </c>
      <c r="D1617" s="1" t="s">
        <v>843</v>
      </c>
      <c r="F1617" s="1">
        <v>6.4E8</v>
      </c>
      <c r="G1617" s="1">
        <v>4.54E8</v>
      </c>
      <c r="H1617" s="1">
        <v>3.84E8</v>
      </c>
      <c r="I1617" s="1">
        <v>1.308E9</v>
      </c>
      <c r="J1617" s="1">
        <v>8.72E8</v>
      </c>
      <c r="K1617" s="1">
        <v>8.72E8</v>
      </c>
      <c r="L1617" s="1">
        <v>-3.2E7</v>
      </c>
      <c r="M1617" s="1">
        <v>1.35E8</v>
      </c>
      <c r="N1617" s="1">
        <v>1.867E9</v>
      </c>
      <c r="O1617" s="1">
        <v>9.95E8</v>
      </c>
      <c r="P1617" s="1">
        <v>5.59E8</v>
      </c>
      <c r="Q1617" s="1">
        <v>-2.32E8</v>
      </c>
      <c r="R1617" s="1">
        <v>5.05E8</v>
      </c>
      <c r="S1617" s="1">
        <v>4.54E8</v>
      </c>
    </row>
    <row r="1618">
      <c r="A1618" s="1">
        <v>1616.0</v>
      </c>
      <c r="B1618" s="2">
        <v>44408.0</v>
      </c>
      <c r="C1618" s="1" t="s">
        <v>844</v>
      </c>
      <c r="D1618" s="1" t="s">
        <v>845</v>
      </c>
      <c r="E1618" s="1">
        <v>1.02E9</v>
      </c>
      <c r="F1618" s="1">
        <v>8.26E8</v>
      </c>
      <c r="G1618" s="1">
        <v>5.35E8</v>
      </c>
      <c r="H1618" s="1">
        <v>3.321E9</v>
      </c>
      <c r="I1618" s="1">
        <v>4.727E9</v>
      </c>
      <c r="J1618" s="1">
        <v>3.86E8</v>
      </c>
      <c r="K1618" s="1">
        <v>3.86E8</v>
      </c>
      <c r="L1618" s="1">
        <v>-4.1E7</v>
      </c>
      <c r="M1618" s="1">
        <v>2.91E8</v>
      </c>
      <c r="N1618" s="1">
        <v>6.34E9</v>
      </c>
      <c r="O1618" s="1">
        <v>5.954E9</v>
      </c>
      <c r="P1618" s="1">
        <v>1.613E9</v>
      </c>
      <c r="Q1618" s="1">
        <v>4.4E8</v>
      </c>
      <c r="R1618" s="1">
        <v>5.35E8</v>
      </c>
      <c r="S1618" s="1">
        <v>5.35E8</v>
      </c>
    </row>
    <row r="1619">
      <c r="A1619" s="1">
        <v>1617.0</v>
      </c>
      <c r="B1619" s="2">
        <v>44316.0</v>
      </c>
      <c r="C1619" s="1" t="s">
        <v>844</v>
      </c>
      <c r="D1619" s="1" t="s">
        <v>845</v>
      </c>
      <c r="E1619" s="1">
        <v>9.51E8</v>
      </c>
      <c r="F1619" s="1">
        <v>6.04E8</v>
      </c>
      <c r="G1619" s="1">
        <v>4.69E8</v>
      </c>
      <c r="H1619" s="1">
        <v>3.103E9</v>
      </c>
      <c r="I1619" s="1">
        <v>4.408E9</v>
      </c>
      <c r="J1619" s="1">
        <v>3.54E8</v>
      </c>
      <c r="K1619" s="1">
        <v>3.54E8</v>
      </c>
      <c r="L1619" s="1">
        <v>-3.4E7</v>
      </c>
      <c r="M1619" s="1">
        <v>1.35E8</v>
      </c>
      <c r="N1619" s="1">
        <v>5.963E9</v>
      </c>
      <c r="O1619" s="1">
        <v>5.609E9</v>
      </c>
      <c r="P1619" s="1">
        <v>1.555E9</v>
      </c>
      <c r="Q1619" s="1">
        <v>2.5E8</v>
      </c>
      <c r="R1619" s="1">
        <v>4.69E8</v>
      </c>
      <c r="S1619" s="1">
        <v>4.69E8</v>
      </c>
    </row>
    <row r="1620">
      <c r="A1620" s="1">
        <v>1618.0</v>
      </c>
      <c r="B1620" s="2">
        <v>44227.0</v>
      </c>
      <c r="C1620" s="1" t="s">
        <v>844</v>
      </c>
      <c r="D1620" s="1" t="s">
        <v>845</v>
      </c>
      <c r="E1620" s="1">
        <v>9.39E8</v>
      </c>
      <c r="F1620" s="1">
        <v>4.25E8</v>
      </c>
      <c r="G1620" s="1">
        <v>2.67E8</v>
      </c>
      <c r="H1620" s="1">
        <v>3.206E9</v>
      </c>
      <c r="I1620" s="1">
        <v>4.338E9</v>
      </c>
      <c r="J1620" s="1">
        <v>1.93E8</v>
      </c>
      <c r="K1620" s="1">
        <v>1.93E8</v>
      </c>
      <c r="L1620" s="1">
        <v>-1.02E8</v>
      </c>
      <c r="M1620" s="1">
        <v>1.58E8</v>
      </c>
      <c r="N1620" s="1">
        <v>5.817E9</v>
      </c>
      <c r="O1620" s="1">
        <v>5.624E9</v>
      </c>
      <c r="P1620" s="1">
        <v>1.479E9</v>
      </c>
      <c r="Q1620" s="1">
        <v>2.32E8</v>
      </c>
      <c r="R1620" s="1">
        <v>2.67E8</v>
      </c>
      <c r="S1620" s="1">
        <v>2.67E8</v>
      </c>
    </row>
    <row r="1621">
      <c r="A1621" s="1">
        <v>1619.0</v>
      </c>
      <c r="B1621" s="2">
        <v>44135.0</v>
      </c>
      <c r="C1621" s="1" t="s">
        <v>844</v>
      </c>
      <c r="D1621" s="1" t="s">
        <v>845</v>
      </c>
      <c r="E1621" s="1">
        <v>9.02E8</v>
      </c>
      <c r="F1621" s="1">
        <v>1.25E9</v>
      </c>
      <c r="G1621" s="1">
        <v>1.081E9</v>
      </c>
      <c r="H1621" s="1">
        <v>2.899E9</v>
      </c>
      <c r="I1621" s="1">
        <v>4.025E9</v>
      </c>
      <c r="J1621" s="1">
        <v>2.24E8</v>
      </c>
      <c r="K1621" s="1">
        <v>2.24E8</v>
      </c>
      <c r="L1621" s="1">
        <v>-2.9E7</v>
      </c>
      <c r="M1621" s="1">
        <v>1.69E8</v>
      </c>
      <c r="N1621" s="1">
        <v>5.419E9</v>
      </c>
      <c r="O1621" s="1">
        <v>5.195E9</v>
      </c>
      <c r="P1621" s="1">
        <v>1.394E9</v>
      </c>
      <c r="Q1621" s="1">
        <v>1.026E9</v>
      </c>
      <c r="R1621" s="1">
        <v>1.081E9</v>
      </c>
      <c r="S1621" s="1">
        <v>1.081E9</v>
      </c>
    </row>
    <row r="1622">
      <c r="A1622" s="1">
        <v>1620.0</v>
      </c>
      <c r="B1622" s="2">
        <v>44469.0</v>
      </c>
      <c r="C1622" s="1" t="s">
        <v>846</v>
      </c>
      <c r="D1622" s="1" t="s">
        <v>847</v>
      </c>
      <c r="F1622" s="1">
        <v>3.6964E7</v>
      </c>
      <c r="G1622" s="1">
        <v>4.7798E7</v>
      </c>
      <c r="H1622" s="1">
        <v>5.0771E7</v>
      </c>
      <c r="I1622" s="1">
        <v>4.43552E8</v>
      </c>
      <c r="J1622" s="1">
        <v>2.21229E8</v>
      </c>
      <c r="K1622" s="1">
        <v>2.21229E8</v>
      </c>
      <c r="L1622" s="1">
        <v>-1.05953E8</v>
      </c>
      <c r="M1622" s="1">
        <v>-1.0834E7</v>
      </c>
      <c r="N1622" s="1">
        <v>5.89305E8</v>
      </c>
      <c r="O1622" s="1">
        <v>3.68076E8</v>
      </c>
      <c r="P1622" s="1">
        <v>1.45753E8</v>
      </c>
      <c r="Q1622" s="1">
        <v>-1.84265E8</v>
      </c>
      <c r="R1622" s="1">
        <v>4.7798E7</v>
      </c>
      <c r="S1622" s="1">
        <v>4.7798E7</v>
      </c>
    </row>
    <row r="1623">
      <c r="A1623" s="1">
        <v>1621.0</v>
      </c>
      <c r="B1623" s="2">
        <v>44377.0</v>
      </c>
      <c r="C1623" s="1" t="s">
        <v>846</v>
      </c>
      <c r="D1623" s="1" t="s">
        <v>847</v>
      </c>
      <c r="F1623" s="1">
        <v>1.99919E8</v>
      </c>
      <c r="G1623" s="1">
        <v>1.52669E8</v>
      </c>
      <c r="H1623" s="1">
        <v>5.371E7</v>
      </c>
      <c r="I1623" s="1">
        <v>4.32975E8</v>
      </c>
      <c r="J1623" s="1">
        <v>2.03239E8</v>
      </c>
      <c r="K1623" s="1">
        <v>2.03239E8</v>
      </c>
      <c r="L1623" s="1">
        <v>-1.07221E8</v>
      </c>
      <c r="M1623" s="1">
        <v>4.725E7</v>
      </c>
      <c r="N1623" s="1">
        <v>5.75528E8</v>
      </c>
      <c r="O1623" s="1">
        <v>3.72289E8</v>
      </c>
      <c r="P1623" s="1">
        <v>1.42553E8</v>
      </c>
      <c r="Q1623" s="1">
        <v>-3320000.0</v>
      </c>
      <c r="R1623" s="1">
        <v>1.52669E8</v>
      </c>
      <c r="S1623" s="1">
        <v>1.52669E8</v>
      </c>
    </row>
    <row r="1624">
      <c r="A1624" s="1">
        <v>1622.0</v>
      </c>
      <c r="B1624" s="2">
        <v>44286.0</v>
      </c>
      <c r="C1624" s="1" t="s">
        <v>846</v>
      </c>
      <c r="D1624" s="1" t="s">
        <v>847</v>
      </c>
      <c r="F1624" s="1">
        <v>-3.2667E7</v>
      </c>
      <c r="G1624" s="1">
        <v>-1.1745E7</v>
      </c>
      <c r="H1624" s="1">
        <v>5.1381E7</v>
      </c>
      <c r="I1624" s="1">
        <v>4.13964E8</v>
      </c>
      <c r="J1624" s="1">
        <v>1.78062E8</v>
      </c>
      <c r="K1624" s="1">
        <v>1.78062E8</v>
      </c>
      <c r="L1624" s="1">
        <v>-1.0679E8</v>
      </c>
      <c r="M1624" s="1">
        <v>-2.0922E7</v>
      </c>
      <c r="N1624" s="1">
        <v>5.48739E8</v>
      </c>
      <c r="O1624" s="1">
        <v>3.70677E8</v>
      </c>
      <c r="P1624" s="1">
        <v>1.34775E8</v>
      </c>
      <c r="Q1624" s="1">
        <v>-2.10729E8</v>
      </c>
      <c r="R1624" s="1">
        <v>-1.1745E7</v>
      </c>
      <c r="S1624" s="1">
        <v>-1.1745E7</v>
      </c>
    </row>
    <row r="1625">
      <c r="A1625" s="1">
        <v>1623.0</v>
      </c>
      <c r="B1625" s="2">
        <v>44196.0</v>
      </c>
      <c r="C1625" s="1" t="s">
        <v>846</v>
      </c>
      <c r="D1625" s="1" t="s">
        <v>847</v>
      </c>
      <c r="F1625" s="1">
        <v>1.40533E8</v>
      </c>
      <c r="G1625" s="1">
        <v>1.05782E8</v>
      </c>
      <c r="H1625" s="1">
        <v>4.7192E7</v>
      </c>
      <c r="I1625" s="1">
        <v>4.03891E8</v>
      </c>
      <c r="J1625" s="1">
        <v>1.7592E8</v>
      </c>
      <c r="K1625" s="1">
        <v>1.7592E8</v>
      </c>
      <c r="L1625" s="1">
        <v>-1.03196E8</v>
      </c>
      <c r="M1625" s="1">
        <v>3.4347E7</v>
      </c>
      <c r="N1625" s="1">
        <v>5.35907E8</v>
      </c>
      <c r="O1625" s="1">
        <v>3.59987E8</v>
      </c>
      <c r="P1625" s="1">
        <v>1.32016E8</v>
      </c>
      <c r="Q1625" s="1">
        <v>-3.5387E7</v>
      </c>
      <c r="R1625" s="1">
        <v>1.06186E8</v>
      </c>
      <c r="S1625" s="1">
        <v>1.05782E8</v>
      </c>
    </row>
    <row r="1626">
      <c r="A1626" s="1">
        <v>1624.0</v>
      </c>
      <c r="B1626" s="2">
        <v>44469.0</v>
      </c>
      <c r="C1626" s="1" t="s">
        <v>848</v>
      </c>
      <c r="D1626" s="1" t="s">
        <v>849</v>
      </c>
      <c r="E1626" s="1">
        <v>1.4E8</v>
      </c>
      <c r="F1626" s="1">
        <v>6.91E8</v>
      </c>
      <c r="G1626" s="1">
        <v>5.5E8</v>
      </c>
      <c r="H1626" s="1">
        <v>8.0E7</v>
      </c>
      <c r="I1626" s="1">
        <v>9.85E8</v>
      </c>
      <c r="J1626" s="1">
        <v>7.65E8</v>
      </c>
      <c r="K1626" s="1">
        <v>7.65E8</v>
      </c>
      <c r="L1626" s="1">
        <v>-1.3E8</v>
      </c>
      <c r="M1626" s="1">
        <v>1.29E8</v>
      </c>
      <c r="N1626" s="1">
        <v>5.847E9</v>
      </c>
      <c r="O1626" s="1">
        <v>5.082E9</v>
      </c>
      <c r="P1626" s="1">
        <v>4.862E9</v>
      </c>
      <c r="Q1626" s="1">
        <v>-7.4E7</v>
      </c>
      <c r="R1626" s="1">
        <v>5.62E8</v>
      </c>
      <c r="S1626" s="1">
        <v>5.5E8</v>
      </c>
    </row>
    <row r="1627">
      <c r="A1627" s="1">
        <v>1625.0</v>
      </c>
      <c r="B1627" s="2">
        <v>44377.0</v>
      </c>
      <c r="C1627" s="1" t="s">
        <v>848</v>
      </c>
      <c r="D1627" s="1" t="s">
        <v>849</v>
      </c>
      <c r="E1627" s="1">
        <v>1.34E8</v>
      </c>
      <c r="F1627" s="1">
        <v>5.42E8</v>
      </c>
      <c r="G1627" s="1">
        <v>4.31E8</v>
      </c>
      <c r="H1627" s="1">
        <v>7.0E7</v>
      </c>
      <c r="I1627" s="1">
        <v>8.66E8</v>
      </c>
      <c r="J1627" s="1">
        <v>6.62E8</v>
      </c>
      <c r="K1627" s="1">
        <v>6.62E8</v>
      </c>
      <c r="L1627" s="1">
        <v>-1.36E8</v>
      </c>
      <c r="M1627" s="1">
        <v>9.9E7</v>
      </c>
      <c r="N1627" s="1">
        <v>5.634E9</v>
      </c>
      <c r="O1627" s="1">
        <v>4.972E9</v>
      </c>
      <c r="P1627" s="1">
        <v>4.768E9</v>
      </c>
      <c r="Q1627" s="1">
        <v>-1.2E8</v>
      </c>
      <c r="R1627" s="1">
        <v>4.43E8</v>
      </c>
      <c r="S1627" s="1">
        <v>4.31E8</v>
      </c>
    </row>
    <row r="1628">
      <c r="A1628" s="1">
        <v>1626.0</v>
      </c>
      <c r="B1628" s="2">
        <v>44286.0</v>
      </c>
      <c r="C1628" s="1" t="s">
        <v>848</v>
      </c>
      <c r="D1628" s="1" t="s">
        <v>849</v>
      </c>
      <c r="E1628" s="1">
        <v>1.35E8</v>
      </c>
      <c r="F1628" s="1">
        <v>3.86E8</v>
      </c>
      <c r="G1628" s="1">
        <v>2.99E8</v>
      </c>
      <c r="H1628" s="1">
        <v>8.1E7</v>
      </c>
      <c r="I1628" s="1">
        <v>7.19E8</v>
      </c>
      <c r="J1628" s="1">
        <v>5.03E8</v>
      </c>
      <c r="K1628" s="1">
        <v>5.03E8</v>
      </c>
      <c r="L1628" s="1">
        <v>-1.36E8</v>
      </c>
      <c r="M1628" s="1">
        <v>7.4E7</v>
      </c>
      <c r="N1628" s="1">
        <v>5.223E9</v>
      </c>
      <c r="O1628" s="1">
        <v>4.72E9</v>
      </c>
      <c r="P1628" s="1">
        <v>4.504E9</v>
      </c>
      <c r="Q1628" s="1">
        <v>-1.17E8</v>
      </c>
      <c r="R1628" s="1">
        <v>3.12E8</v>
      </c>
      <c r="S1628" s="1">
        <v>2.99E8</v>
      </c>
    </row>
    <row r="1629">
      <c r="A1629" s="1">
        <v>1627.0</v>
      </c>
      <c r="B1629" s="2">
        <v>44196.0</v>
      </c>
      <c r="C1629" s="1" t="s">
        <v>848</v>
      </c>
      <c r="D1629" s="1" t="s">
        <v>849</v>
      </c>
      <c r="E1629" s="1">
        <v>1.28E8</v>
      </c>
      <c r="F1629" s="1">
        <v>4.71E8</v>
      </c>
      <c r="G1629" s="1">
        <v>3.74E8</v>
      </c>
      <c r="H1629" s="1">
        <v>7.2E7</v>
      </c>
      <c r="I1629" s="1">
        <v>7.04E8</v>
      </c>
      <c r="J1629" s="1">
        <v>5.04E8</v>
      </c>
      <c r="K1629" s="1">
        <v>5.04E8</v>
      </c>
      <c r="L1629" s="1">
        <v>-1.44E8</v>
      </c>
      <c r="M1629" s="1">
        <v>8.9E7</v>
      </c>
      <c r="N1629" s="1">
        <v>5.532E9</v>
      </c>
      <c r="O1629" s="1">
        <v>5.028E9</v>
      </c>
      <c r="P1629" s="1">
        <v>4.828E9</v>
      </c>
      <c r="Q1629" s="1">
        <v>-3.3E7</v>
      </c>
      <c r="R1629" s="1">
        <v>3.82E8</v>
      </c>
      <c r="S1629" s="1">
        <v>3.74E8</v>
      </c>
    </row>
    <row r="1630">
      <c r="A1630" s="1">
        <v>1628.0</v>
      </c>
      <c r="B1630" s="2">
        <v>44470.0</v>
      </c>
      <c r="C1630" s="1" t="s">
        <v>850</v>
      </c>
      <c r="D1630" s="1" t="s">
        <v>851</v>
      </c>
      <c r="E1630" s="1">
        <v>2.33E8</v>
      </c>
      <c r="F1630" s="1">
        <v>5.33E8</v>
      </c>
      <c r="G1630" s="1">
        <v>5.26E8</v>
      </c>
      <c r="H1630" s="1">
        <v>1.33E8</v>
      </c>
      <c r="I1630" s="1">
        <v>9.56E8</v>
      </c>
      <c r="J1630" s="1">
        <v>5.87E8</v>
      </c>
      <c r="K1630" s="1">
        <v>5.87E8</v>
      </c>
      <c r="L1630" s="1">
        <v>-5.9E7</v>
      </c>
      <c r="M1630" s="1">
        <v>7000000.0</v>
      </c>
      <c r="N1630" s="1">
        <v>3.115E9</v>
      </c>
      <c r="O1630" s="1">
        <v>2.528E9</v>
      </c>
      <c r="P1630" s="1">
        <v>2.159E9</v>
      </c>
      <c r="Q1630" s="1">
        <v>-5.4E7</v>
      </c>
      <c r="R1630" s="1">
        <v>5.26E8</v>
      </c>
      <c r="S1630" s="1">
        <v>5.26E8</v>
      </c>
    </row>
    <row r="1631">
      <c r="A1631" s="1">
        <v>1629.0</v>
      </c>
      <c r="B1631" s="2">
        <v>44379.0</v>
      </c>
      <c r="C1631" s="1" t="s">
        <v>850</v>
      </c>
      <c r="D1631" s="1" t="s">
        <v>851</v>
      </c>
      <c r="E1631" s="1">
        <v>2.32E8</v>
      </c>
      <c r="F1631" s="1">
        <v>4.97E8</v>
      </c>
      <c r="G1631" s="1">
        <v>4.82E8</v>
      </c>
      <c r="H1631" s="1">
        <v>1.36E8</v>
      </c>
      <c r="I1631" s="1">
        <v>8.85E8</v>
      </c>
      <c r="J1631" s="1">
        <v>5.14E8</v>
      </c>
      <c r="K1631" s="1">
        <v>5.14E8</v>
      </c>
      <c r="L1631" s="1">
        <v>-5.9E7</v>
      </c>
      <c r="M1631" s="1">
        <v>1.5E7</v>
      </c>
      <c r="N1631" s="1">
        <v>3.013E9</v>
      </c>
      <c r="O1631" s="1">
        <v>2.499E9</v>
      </c>
      <c r="P1631" s="1">
        <v>2.128E9</v>
      </c>
      <c r="Q1631" s="1">
        <v>-1.7E7</v>
      </c>
      <c r="R1631" s="1">
        <v>4.82E8</v>
      </c>
      <c r="S1631" s="1">
        <v>4.82E8</v>
      </c>
    </row>
    <row r="1632">
      <c r="A1632" s="1">
        <v>1630.0</v>
      </c>
      <c r="B1632" s="2">
        <v>44288.0</v>
      </c>
      <c r="C1632" s="1" t="s">
        <v>850</v>
      </c>
      <c r="D1632" s="1" t="s">
        <v>851</v>
      </c>
      <c r="E1632" s="1">
        <v>2.27E8</v>
      </c>
      <c r="F1632" s="1">
        <v>3.39E8</v>
      </c>
      <c r="G1632" s="1">
        <v>3.29E8</v>
      </c>
      <c r="H1632" s="1">
        <v>1.26E8</v>
      </c>
      <c r="I1632" s="1">
        <v>7.4E8</v>
      </c>
      <c r="J1632" s="1">
        <v>3.84E8</v>
      </c>
      <c r="K1632" s="1">
        <v>3.84E8</v>
      </c>
      <c r="L1632" s="1">
        <v>-5.9E7</v>
      </c>
      <c r="M1632" s="1">
        <v>1.0E7</v>
      </c>
      <c r="N1632" s="1">
        <v>2.731E9</v>
      </c>
      <c r="O1632" s="1">
        <v>2.347E9</v>
      </c>
      <c r="P1632" s="1">
        <v>1.991E9</v>
      </c>
      <c r="Q1632" s="1">
        <v>-4.5E7</v>
      </c>
      <c r="R1632" s="1">
        <v>3.29E8</v>
      </c>
      <c r="S1632" s="1">
        <v>3.29E8</v>
      </c>
    </row>
    <row r="1633">
      <c r="A1633" s="1">
        <v>1631.0</v>
      </c>
      <c r="B1633" s="2">
        <v>44197.0</v>
      </c>
      <c r="C1633" s="1" t="s">
        <v>850</v>
      </c>
      <c r="D1633" s="1" t="s">
        <v>851</v>
      </c>
      <c r="E1633" s="1">
        <v>2.21E8</v>
      </c>
      <c r="F1633" s="1">
        <v>2.91E8</v>
      </c>
      <c r="G1633" s="1">
        <v>2.8E8</v>
      </c>
      <c r="H1633" s="1">
        <v>1.22E8</v>
      </c>
      <c r="I1633" s="1">
        <v>6.96E8</v>
      </c>
      <c r="J1633" s="1">
        <v>3.5E8</v>
      </c>
      <c r="K1633" s="1">
        <v>3.5E8</v>
      </c>
      <c r="L1633" s="1">
        <v>-5.2E7</v>
      </c>
      <c r="M1633" s="1">
        <v>1.1E7</v>
      </c>
      <c r="N1633" s="1">
        <v>2.623E9</v>
      </c>
      <c r="O1633" s="1">
        <v>2.273E9</v>
      </c>
      <c r="P1633" s="1">
        <v>1.927E9</v>
      </c>
      <c r="Q1633" s="1">
        <v>-5.9E7</v>
      </c>
      <c r="R1633" s="1">
        <v>2.8E8</v>
      </c>
      <c r="S1633" s="1">
        <v>2.8E8</v>
      </c>
    </row>
    <row r="1634">
      <c r="A1634" s="1">
        <v>1632.0</v>
      </c>
      <c r="B1634" s="2">
        <v>44469.0</v>
      </c>
      <c r="C1634" s="1" t="s">
        <v>852</v>
      </c>
      <c r="D1634" s="1" t="s">
        <v>853</v>
      </c>
      <c r="F1634" s="1">
        <v>1.544E8</v>
      </c>
      <c r="G1634" s="1">
        <v>1.077E8</v>
      </c>
      <c r="H1634" s="1">
        <v>1.896E8</v>
      </c>
      <c r="I1634" s="1">
        <v>4.037E8</v>
      </c>
      <c r="J1634" s="1">
        <v>2.044E8</v>
      </c>
      <c r="K1634" s="1">
        <v>2.044E8</v>
      </c>
      <c r="L1634" s="1">
        <v>-4.44E7</v>
      </c>
      <c r="M1634" s="1">
        <v>4.66E7</v>
      </c>
      <c r="N1634" s="1">
        <v>1.4067E9</v>
      </c>
      <c r="O1634" s="1">
        <v>1.2023E9</v>
      </c>
      <c r="P1634" s="1">
        <v>1.003E9</v>
      </c>
      <c r="Q1634" s="1">
        <v>-5.0E7</v>
      </c>
      <c r="R1634" s="1">
        <v>1.078E8</v>
      </c>
      <c r="S1634" s="1">
        <v>1.077E8</v>
      </c>
    </row>
    <row r="1635">
      <c r="A1635" s="1">
        <v>1633.0</v>
      </c>
      <c r="B1635" s="2">
        <v>44377.0</v>
      </c>
      <c r="C1635" s="1" t="s">
        <v>852</v>
      </c>
      <c r="D1635" s="1" t="s">
        <v>853</v>
      </c>
      <c r="F1635" s="1">
        <v>1.544E8</v>
      </c>
      <c r="G1635" s="1">
        <v>1.081E8</v>
      </c>
      <c r="H1635" s="1">
        <v>1.906E8</v>
      </c>
      <c r="I1635" s="1">
        <v>4.007E8</v>
      </c>
      <c r="J1635" s="1">
        <v>2.004E8</v>
      </c>
      <c r="K1635" s="1">
        <v>2.004E8</v>
      </c>
      <c r="L1635" s="1">
        <v>-4.41E7</v>
      </c>
      <c r="M1635" s="1">
        <v>4.58E7</v>
      </c>
      <c r="N1635" s="1">
        <v>1.3285E9</v>
      </c>
      <c r="O1635" s="1">
        <v>1.1281E9</v>
      </c>
      <c r="P1635" s="1">
        <v>9.278E8</v>
      </c>
      <c r="Q1635" s="1">
        <v>-4.6E7</v>
      </c>
      <c r="R1635" s="1">
        <v>1.086E8</v>
      </c>
      <c r="S1635" s="1">
        <v>1.081E8</v>
      </c>
    </row>
    <row r="1636">
      <c r="A1636" s="1">
        <v>1634.0</v>
      </c>
      <c r="B1636" s="2">
        <v>44286.0</v>
      </c>
      <c r="C1636" s="1" t="s">
        <v>852</v>
      </c>
      <c r="D1636" s="1" t="s">
        <v>853</v>
      </c>
      <c r="F1636" s="1">
        <v>1.604E8</v>
      </c>
      <c r="G1636" s="1">
        <v>1.101E8</v>
      </c>
      <c r="H1636" s="1">
        <v>1.877E8</v>
      </c>
      <c r="I1636" s="1">
        <v>4.011E8</v>
      </c>
      <c r="J1636" s="1">
        <v>2.037E8</v>
      </c>
      <c r="K1636" s="1">
        <v>2.037E8</v>
      </c>
      <c r="L1636" s="1">
        <v>-4.51E7</v>
      </c>
      <c r="M1636" s="1">
        <v>5.46E7</v>
      </c>
      <c r="N1636" s="1">
        <v>1.2671E9</v>
      </c>
      <c r="O1636" s="1">
        <v>1.0634E9</v>
      </c>
      <c r="P1636" s="1">
        <v>8.66E8</v>
      </c>
      <c r="Q1636" s="1">
        <v>-4.33E7</v>
      </c>
      <c r="R1636" s="1">
        <v>1.058E8</v>
      </c>
      <c r="S1636" s="1">
        <v>1.101E8</v>
      </c>
    </row>
    <row r="1637">
      <c r="A1637" s="1">
        <v>1635.0</v>
      </c>
      <c r="B1637" s="2">
        <v>44196.0</v>
      </c>
      <c r="C1637" s="1" t="s">
        <v>852</v>
      </c>
      <c r="D1637" s="1" t="s">
        <v>853</v>
      </c>
      <c r="F1637" s="1">
        <v>1.849E8</v>
      </c>
      <c r="G1637" s="1">
        <v>1.422E8</v>
      </c>
      <c r="H1637" s="1">
        <v>1.95E8</v>
      </c>
      <c r="I1637" s="1">
        <v>4.244E8</v>
      </c>
      <c r="J1637" s="1">
        <v>2.199E8</v>
      </c>
      <c r="K1637" s="1">
        <v>2.199E8</v>
      </c>
      <c r="L1637" s="1">
        <v>-4.61E7</v>
      </c>
      <c r="M1637" s="1">
        <v>4.74E7</v>
      </c>
      <c r="N1637" s="1">
        <v>1.3409E9</v>
      </c>
      <c r="O1637" s="1">
        <v>1.121E9</v>
      </c>
      <c r="P1637" s="1">
        <v>9.165E8</v>
      </c>
      <c r="Q1637" s="1">
        <v>-3.5E7</v>
      </c>
      <c r="R1637" s="1">
        <v>1.375E8</v>
      </c>
      <c r="S1637" s="1">
        <v>1.421E8</v>
      </c>
    </row>
    <row r="1638">
      <c r="A1638" s="1">
        <v>1636.0</v>
      </c>
      <c r="B1638" s="2">
        <v>44469.0</v>
      </c>
      <c r="C1638" s="1" t="s">
        <v>854</v>
      </c>
      <c r="D1638" s="1" t="s">
        <v>855</v>
      </c>
      <c r="F1638" s="1">
        <v>-9.74E8</v>
      </c>
      <c r="G1638" s="1">
        <v>-6.37E8</v>
      </c>
      <c r="H1638" s="1">
        <v>6.6E7</v>
      </c>
      <c r="I1638" s="1">
        <v>9.75E8</v>
      </c>
      <c r="J1638" s="1">
        <v>4.38E8</v>
      </c>
      <c r="K1638" s="1">
        <v>4.38E8</v>
      </c>
      <c r="L1638" s="1">
        <v>-2.59E8</v>
      </c>
      <c r="M1638" s="1">
        <v>-3.42E8</v>
      </c>
      <c r="N1638" s="1">
        <v>3.013E9</v>
      </c>
      <c r="O1638" s="1">
        <v>2.575E9</v>
      </c>
      <c r="P1638" s="1">
        <v>2.038E9</v>
      </c>
      <c r="Q1638" s="1">
        <v>-1.412E9</v>
      </c>
      <c r="R1638" s="1">
        <v>-6.32E8</v>
      </c>
      <c r="S1638" s="1">
        <v>-6.48E8</v>
      </c>
    </row>
    <row r="1639">
      <c r="A1639" s="1">
        <v>1637.0</v>
      </c>
      <c r="B1639" s="2">
        <v>44377.0</v>
      </c>
      <c r="C1639" s="1" t="s">
        <v>854</v>
      </c>
      <c r="D1639" s="1" t="s">
        <v>855</v>
      </c>
      <c r="F1639" s="1">
        <v>5.93E8</v>
      </c>
      <c r="G1639" s="1">
        <v>4.44E8</v>
      </c>
      <c r="H1639" s="1">
        <v>1.5E7</v>
      </c>
      <c r="I1639" s="1">
        <v>9.15E8</v>
      </c>
      <c r="J1639" s="1">
        <v>4.37E8</v>
      </c>
      <c r="K1639" s="1">
        <v>4.37E8</v>
      </c>
      <c r="L1639" s="1">
        <v>-2.59E8</v>
      </c>
      <c r="M1639" s="1">
        <v>1.39E8</v>
      </c>
      <c r="N1639" s="1">
        <v>2.741E9</v>
      </c>
      <c r="O1639" s="1">
        <v>2.304E9</v>
      </c>
      <c r="P1639" s="1">
        <v>1.826E9</v>
      </c>
      <c r="Q1639" s="1">
        <v>1.56E8</v>
      </c>
      <c r="R1639" s="1">
        <v>4.54E8</v>
      </c>
      <c r="S1639" s="1">
        <v>4.24E8</v>
      </c>
    </row>
    <row r="1640">
      <c r="A1640" s="1">
        <v>1638.0</v>
      </c>
      <c r="B1640" s="2">
        <v>44286.0</v>
      </c>
      <c r="C1640" s="1" t="s">
        <v>854</v>
      </c>
      <c r="D1640" s="1" t="s">
        <v>855</v>
      </c>
      <c r="F1640" s="1">
        <v>1.086E9</v>
      </c>
      <c r="G1640" s="1">
        <v>8.95E8</v>
      </c>
      <c r="H1640" s="1">
        <v>-2.9E7</v>
      </c>
      <c r="I1640" s="1">
        <v>1.415E9</v>
      </c>
      <c r="J1640" s="1">
        <v>1.002E9</v>
      </c>
      <c r="K1640" s="1">
        <v>1.002E9</v>
      </c>
      <c r="L1640" s="1">
        <v>-2.59E8</v>
      </c>
      <c r="M1640" s="1">
        <v>1.58E8</v>
      </c>
      <c r="N1640" s="1">
        <v>3.259E9</v>
      </c>
      <c r="O1640" s="1">
        <v>2.257E9</v>
      </c>
      <c r="P1640" s="1">
        <v>1.844E9</v>
      </c>
      <c r="Q1640" s="1">
        <v>8.4E7</v>
      </c>
      <c r="R1640" s="1">
        <v>9.28E8</v>
      </c>
      <c r="S1640" s="1">
        <v>8.74E8</v>
      </c>
    </row>
    <row r="1641">
      <c r="A1641" s="1">
        <v>1639.0</v>
      </c>
      <c r="B1641" s="2">
        <v>44196.0</v>
      </c>
      <c r="C1641" s="1" t="s">
        <v>854</v>
      </c>
      <c r="D1641" s="1" t="s">
        <v>855</v>
      </c>
      <c r="F1641" s="1">
        <v>6.21E8</v>
      </c>
      <c r="G1641" s="1">
        <v>4.61E8</v>
      </c>
      <c r="H1641" s="1">
        <v>5.7E7</v>
      </c>
      <c r="I1641" s="1">
        <v>1.163E9</v>
      </c>
      <c r="J1641" s="1">
        <v>6.82E8</v>
      </c>
      <c r="K1641" s="1">
        <v>6.82E8</v>
      </c>
      <c r="L1641" s="1">
        <v>-2.63E8</v>
      </c>
      <c r="M1641" s="1">
        <v>1.89E8</v>
      </c>
      <c r="N1641" s="1">
        <v>3.171E9</v>
      </c>
      <c r="O1641" s="1">
        <v>2.489E9</v>
      </c>
      <c r="P1641" s="1">
        <v>2.008E9</v>
      </c>
      <c r="Q1641" s="1">
        <v>-6.1E7</v>
      </c>
      <c r="R1641" s="1">
        <v>4.32E8</v>
      </c>
      <c r="S1641" s="1">
        <v>4.14E8</v>
      </c>
    </row>
    <row r="1642">
      <c r="A1642" s="1">
        <v>1640.0</v>
      </c>
      <c r="B1642" s="2">
        <v>44469.0</v>
      </c>
      <c r="C1642" s="1" t="s">
        <v>856</v>
      </c>
      <c r="D1642" s="1" t="s">
        <v>857</v>
      </c>
      <c r="E1642" s="1">
        <v>3.58E8</v>
      </c>
      <c r="F1642" s="1">
        <v>6.8E7</v>
      </c>
      <c r="G1642" s="1">
        <v>6.3E7</v>
      </c>
      <c r="H1642" s="1">
        <v>7.3E8</v>
      </c>
      <c r="I1642" s="1">
        <v>1.162E9</v>
      </c>
      <c r="J1642" s="1">
        <v>7.4E7</v>
      </c>
      <c r="K1642" s="1">
        <v>7.4E7</v>
      </c>
      <c r="L1642" s="1">
        <v>-7000000.0</v>
      </c>
      <c r="M1642" s="1">
        <v>5000000.0</v>
      </c>
      <c r="N1642" s="1">
        <v>1.512E9</v>
      </c>
      <c r="O1642" s="1">
        <v>1.438E9</v>
      </c>
      <c r="P1642" s="1">
        <v>3.5E8</v>
      </c>
      <c r="Q1642" s="1">
        <v>-6000000.0</v>
      </c>
      <c r="R1642" s="1">
        <v>6.3E7</v>
      </c>
      <c r="S1642" s="1">
        <v>6.3E7</v>
      </c>
    </row>
    <row r="1643">
      <c r="A1643" s="1">
        <v>1641.0</v>
      </c>
      <c r="B1643" s="2">
        <v>44377.0</v>
      </c>
      <c r="C1643" s="1" t="s">
        <v>856</v>
      </c>
      <c r="D1643" s="1" t="s">
        <v>857</v>
      </c>
      <c r="E1643" s="1">
        <v>3.33E8</v>
      </c>
      <c r="F1643" s="1">
        <v>5.0E7</v>
      </c>
      <c r="G1643" s="1">
        <v>5.9E7</v>
      </c>
      <c r="H1643" s="1">
        <v>6.96E8</v>
      </c>
      <c r="I1643" s="1">
        <v>1.08E9</v>
      </c>
      <c r="J1643" s="1">
        <v>5.1E7</v>
      </c>
      <c r="K1643" s="1">
        <v>5.1E7</v>
      </c>
      <c r="L1643" s="1">
        <v>-7000000.0</v>
      </c>
      <c r="M1643" s="1">
        <v>-9000000.0</v>
      </c>
      <c r="N1643" s="1">
        <v>1.409E9</v>
      </c>
      <c r="O1643" s="1">
        <v>1.358E9</v>
      </c>
      <c r="P1643" s="1">
        <v>3.29E8</v>
      </c>
      <c r="Q1643" s="1">
        <v>-1000000.0</v>
      </c>
      <c r="R1643" s="1">
        <v>5.9E7</v>
      </c>
      <c r="S1643" s="1">
        <v>5.9E7</v>
      </c>
    </row>
    <row r="1644">
      <c r="A1644" s="1">
        <v>1642.0</v>
      </c>
      <c r="B1644" s="2">
        <v>44286.0</v>
      </c>
      <c r="C1644" s="1" t="s">
        <v>856</v>
      </c>
      <c r="D1644" s="1" t="s">
        <v>857</v>
      </c>
      <c r="E1644" s="1">
        <v>3.14E8</v>
      </c>
      <c r="F1644" s="1">
        <v>9.9E7</v>
      </c>
      <c r="G1644" s="1">
        <v>8.2E7</v>
      </c>
      <c r="H1644" s="1">
        <v>6.5E8</v>
      </c>
      <c r="I1644" s="1">
        <v>1.061E9</v>
      </c>
      <c r="J1644" s="1">
        <v>9.7E7</v>
      </c>
      <c r="K1644" s="1">
        <v>9.7E7</v>
      </c>
      <c r="L1644" s="1">
        <v>-7000000.0</v>
      </c>
      <c r="M1644" s="1">
        <v>1.7E7</v>
      </c>
      <c r="N1644" s="1">
        <v>1.36E9</v>
      </c>
      <c r="O1644" s="1">
        <v>1.263E9</v>
      </c>
      <c r="P1644" s="1">
        <v>2.99E8</v>
      </c>
      <c r="Q1644" s="1">
        <v>2000000.0</v>
      </c>
      <c r="R1644" s="1">
        <v>8.2E7</v>
      </c>
      <c r="S1644" s="1">
        <v>8.2E7</v>
      </c>
    </row>
    <row r="1645">
      <c r="A1645" s="1">
        <v>1643.0</v>
      </c>
      <c r="B1645" s="2">
        <v>44196.0</v>
      </c>
      <c r="C1645" s="1" t="s">
        <v>856</v>
      </c>
      <c r="D1645" s="1" t="s">
        <v>857</v>
      </c>
      <c r="E1645" s="1">
        <v>2.84297E8</v>
      </c>
      <c r="F1645" s="1">
        <v>1.336E7</v>
      </c>
      <c r="G1645" s="1">
        <v>1.6648E7</v>
      </c>
      <c r="H1645" s="1">
        <v>6.68999E8</v>
      </c>
      <c r="I1645" s="1">
        <v>9.71226E8</v>
      </c>
      <c r="J1645" s="1">
        <v>1.793E7</v>
      </c>
      <c r="K1645" s="1">
        <v>1.793E7</v>
      </c>
      <c r="L1645" s="1">
        <v>-7708000.0</v>
      </c>
      <c r="M1645" s="1">
        <v>-3288000.0</v>
      </c>
      <c r="N1645" s="1">
        <v>1.25033E9</v>
      </c>
      <c r="O1645" s="1">
        <v>1.2324E9</v>
      </c>
      <c r="P1645" s="1">
        <v>2.79104E8</v>
      </c>
      <c r="Q1645" s="1">
        <v>-4570000.0</v>
      </c>
      <c r="R1645" s="1">
        <v>1.6648E7</v>
      </c>
      <c r="S1645" s="1">
        <v>1.6648E7</v>
      </c>
    </row>
    <row r="1646">
      <c r="A1646" s="1">
        <v>1644.0</v>
      </c>
      <c r="B1646" s="2">
        <v>44469.0</v>
      </c>
      <c r="C1646" s="1" t="s">
        <v>858</v>
      </c>
      <c r="D1646" s="1" t="s">
        <v>859</v>
      </c>
      <c r="F1646" s="1">
        <v>6.115E8</v>
      </c>
      <c r="G1646" s="1">
        <v>5.022E8</v>
      </c>
      <c r="H1646" s="1">
        <v>1.37E9</v>
      </c>
      <c r="I1646" s="1">
        <v>2.1396E9</v>
      </c>
      <c r="J1646" s="1">
        <v>6.929E8</v>
      </c>
      <c r="K1646" s="1">
        <v>6.929E8</v>
      </c>
      <c r="L1646" s="1">
        <v>-8.31E7</v>
      </c>
      <c r="M1646" s="1">
        <v>1.093E8</v>
      </c>
      <c r="N1646" s="1">
        <v>5.1467E9</v>
      </c>
      <c r="O1646" s="1">
        <v>4.4538E9</v>
      </c>
      <c r="P1646" s="1">
        <v>3.0071E9</v>
      </c>
      <c r="Q1646" s="1">
        <v>-8.14E7</v>
      </c>
      <c r="R1646" s="1">
        <v>5.022E8</v>
      </c>
      <c r="S1646" s="1">
        <v>5.022E8</v>
      </c>
    </row>
    <row r="1647">
      <c r="A1647" s="1">
        <v>1645.0</v>
      </c>
      <c r="B1647" s="2">
        <v>44377.0</v>
      </c>
      <c r="C1647" s="1" t="s">
        <v>858</v>
      </c>
      <c r="D1647" s="1" t="s">
        <v>859</v>
      </c>
      <c r="F1647" s="1">
        <v>8.192E8</v>
      </c>
      <c r="G1647" s="1">
        <v>6.486E8</v>
      </c>
      <c r="H1647" s="1">
        <v>1.4389E9</v>
      </c>
      <c r="I1647" s="1">
        <v>2.4114E9</v>
      </c>
      <c r="J1647" s="1">
        <v>8.922E8</v>
      </c>
      <c r="K1647" s="1">
        <v>8.922E8</v>
      </c>
      <c r="L1647" s="1">
        <v>-8.35E7</v>
      </c>
      <c r="M1647" s="1">
        <v>1.706E8</v>
      </c>
      <c r="N1647" s="1">
        <v>5.3798E9</v>
      </c>
      <c r="O1647" s="1">
        <v>4.4876E9</v>
      </c>
      <c r="P1647" s="1">
        <v>2.9684E9</v>
      </c>
      <c r="Q1647" s="1">
        <v>-7.3E7</v>
      </c>
      <c r="R1647" s="1">
        <v>6.486E8</v>
      </c>
      <c r="S1647" s="1">
        <v>6.486E8</v>
      </c>
    </row>
    <row r="1648">
      <c r="A1648" s="1">
        <v>1646.0</v>
      </c>
      <c r="B1648" s="2">
        <v>44286.0</v>
      </c>
      <c r="C1648" s="1" t="s">
        <v>858</v>
      </c>
      <c r="D1648" s="1" t="s">
        <v>859</v>
      </c>
      <c r="F1648" s="1">
        <v>5.09E8</v>
      </c>
      <c r="G1648" s="1">
        <v>4.096E8</v>
      </c>
      <c r="H1648" s="1">
        <v>1.3268E9</v>
      </c>
      <c r="I1648" s="1">
        <v>2.112E9</v>
      </c>
      <c r="J1648" s="1">
        <v>7.035E8</v>
      </c>
      <c r="K1648" s="1">
        <v>7.035E8</v>
      </c>
      <c r="L1648" s="1">
        <v>-8.32E7</v>
      </c>
      <c r="M1648" s="1">
        <v>9.94E7</v>
      </c>
      <c r="N1648" s="1">
        <v>4.656E9</v>
      </c>
      <c r="O1648" s="1">
        <v>3.9525E9</v>
      </c>
      <c r="P1648" s="1">
        <v>2.544E9</v>
      </c>
      <c r="Q1648" s="1">
        <v>-1.945E8</v>
      </c>
      <c r="R1648" s="1">
        <v>4.096E8</v>
      </c>
      <c r="S1648" s="1">
        <v>4.096E8</v>
      </c>
    </row>
    <row r="1649">
      <c r="A1649" s="1">
        <v>1647.0</v>
      </c>
      <c r="B1649" s="2">
        <v>44196.0</v>
      </c>
      <c r="C1649" s="1" t="s">
        <v>858</v>
      </c>
      <c r="D1649" s="1" t="s">
        <v>859</v>
      </c>
      <c r="F1649" s="1">
        <v>5.039E8</v>
      </c>
      <c r="G1649" s="1">
        <v>4.07E8</v>
      </c>
      <c r="H1649" s="1">
        <v>1.465E9</v>
      </c>
      <c r="I1649" s="1">
        <v>2.1287E9</v>
      </c>
      <c r="J1649" s="1">
        <v>5.682E8</v>
      </c>
      <c r="K1649" s="1">
        <v>5.682E8</v>
      </c>
      <c r="L1649" s="1">
        <v>-8.28E7</v>
      </c>
      <c r="M1649" s="1">
        <v>9.69E7</v>
      </c>
      <c r="N1649" s="1">
        <v>4.4888E9</v>
      </c>
      <c r="O1649" s="1">
        <v>3.9206E9</v>
      </c>
      <c r="P1649" s="1">
        <v>2.3601E9</v>
      </c>
      <c r="Q1649" s="1">
        <v>-6.43E7</v>
      </c>
      <c r="R1649" s="1">
        <v>4.07E8</v>
      </c>
      <c r="S1649" s="1">
        <v>4.07E8</v>
      </c>
    </row>
    <row r="1650">
      <c r="A1650" s="1">
        <v>1648.0</v>
      </c>
      <c r="B1650" s="2">
        <v>44469.0</v>
      </c>
      <c r="C1650" s="1" t="s">
        <v>860</v>
      </c>
      <c r="D1650" s="1" t="s">
        <v>861</v>
      </c>
      <c r="F1650" s="1">
        <v>8.4591E8</v>
      </c>
      <c r="G1650" s="1">
        <v>6.8077E8</v>
      </c>
      <c r="H1650" s="1">
        <v>9.4211E7</v>
      </c>
      <c r="I1650" s="1">
        <v>1.049169E9</v>
      </c>
      <c r="J1650" s="1">
        <v>6.12324E8</v>
      </c>
      <c r="K1650" s="1">
        <v>6.12324E8</v>
      </c>
      <c r="L1650" s="1">
        <v>-1.99772E8</v>
      </c>
      <c r="M1650" s="1">
        <v>6.7262E7</v>
      </c>
      <c r="N1650" s="1">
        <v>1.296554E9</v>
      </c>
      <c r="O1650" s="1">
        <v>6.8423E8</v>
      </c>
      <c r="P1650" s="1">
        <v>2.47385E8</v>
      </c>
      <c r="Q1650" s="1">
        <v>2.33586E8</v>
      </c>
      <c r="R1650" s="1">
        <v>7.78648E8</v>
      </c>
      <c r="S1650" s="1">
        <v>6.79936E8</v>
      </c>
    </row>
    <row r="1651">
      <c r="A1651" s="1">
        <v>1649.0</v>
      </c>
      <c r="B1651" s="2">
        <v>44377.0</v>
      </c>
      <c r="C1651" s="1" t="s">
        <v>860</v>
      </c>
      <c r="D1651" s="1" t="s">
        <v>861</v>
      </c>
      <c r="F1651" s="1">
        <v>7.52872E8</v>
      </c>
      <c r="G1651" s="1">
        <v>6.18091E8</v>
      </c>
      <c r="H1651" s="1">
        <v>7.4518E7</v>
      </c>
      <c r="I1651" s="1">
        <v>1.024342E9</v>
      </c>
      <c r="J1651" s="1">
        <v>6.04723E8</v>
      </c>
      <c r="K1651" s="1">
        <v>6.04723E8</v>
      </c>
      <c r="L1651" s="1">
        <v>-2.00419E8</v>
      </c>
      <c r="M1651" s="1">
        <v>4.7003E7</v>
      </c>
      <c r="N1651" s="1">
        <v>1.254146E9</v>
      </c>
      <c r="O1651" s="1">
        <v>6.49423E8</v>
      </c>
      <c r="P1651" s="1">
        <v>2.29804E8</v>
      </c>
      <c r="Q1651" s="1">
        <v>1.48149E8</v>
      </c>
      <c r="R1651" s="1">
        <v>7.05869E8</v>
      </c>
      <c r="S1651" s="1">
        <v>6.17257E8</v>
      </c>
    </row>
    <row r="1652">
      <c r="A1652" s="1">
        <v>1650.0</v>
      </c>
      <c r="B1652" s="2">
        <v>44286.0</v>
      </c>
      <c r="C1652" s="1" t="s">
        <v>860</v>
      </c>
      <c r="D1652" s="1" t="s">
        <v>861</v>
      </c>
      <c r="F1652" s="1">
        <v>5.04562E8</v>
      </c>
      <c r="G1652" s="1">
        <v>4.46694E8</v>
      </c>
      <c r="H1652" s="1">
        <v>7.2061E7</v>
      </c>
      <c r="I1652" s="1">
        <v>1.015965E9</v>
      </c>
      <c r="J1652" s="1">
        <v>6.04612E8</v>
      </c>
      <c r="K1652" s="1">
        <v>6.04612E8</v>
      </c>
      <c r="L1652" s="1">
        <v>-2.02016E8</v>
      </c>
      <c r="M1652" s="1">
        <v>-5898000.0</v>
      </c>
      <c r="N1652" s="1">
        <v>1.239951E9</v>
      </c>
      <c r="O1652" s="1">
        <v>6.35339E8</v>
      </c>
      <c r="P1652" s="1">
        <v>2.23986E8</v>
      </c>
      <c r="Q1652" s="1">
        <v>-1.0005E8</v>
      </c>
      <c r="R1652" s="1">
        <v>5.1046E8</v>
      </c>
      <c r="S1652" s="1">
        <v>4.4586E8</v>
      </c>
    </row>
    <row r="1653">
      <c r="A1653" s="1">
        <v>1651.0</v>
      </c>
      <c r="B1653" s="2">
        <v>44196.0</v>
      </c>
      <c r="C1653" s="1" t="s">
        <v>860</v>
      </c>
      <c r="D1653" s="1" t="s">
        <v>861</v>
      </c>
      <c r="F1653" s="1">
        <v>3.11154E8</v>
      </c>
      <c r="G1653" s="1">
        <v>2.72317E8</v>
      </c>
      <c r="H1653" s="1">
        <v>8.426E7</v>
      </c>
      <c r="I1653" s="1">
        <v>9.1745E8</v>
      </c>
      <c r="J1653" s="1">
        <v>4.63187E8</v>
      </c>
      <c r="K1653" s="1">
        <v>4.63187E8</v>
      </c>
      <c r="L1653" s="1">
        <v>-1.97855E8</v>
      </c>
      <c r="M1653" s="1">
        <v>-1572000.0</v>
      </c>
      <c r="N1653" s="1">
        <v>1.132568E9</v>
      </c>
      <c r="O1653" s="1">
        <v>6.69381E8</v>
      </c>
      <c r="P1653" s="1">
        <v>2.15118E8</v>
      </c>
      <c r="Q1653" s="1">
        <v>-1.52033E8</v>
      </c>
      <c r="R1653" s="1">
        <v>3.12726E8</v>
      </c>
      <c r="S1653" s="1">
        <v>2.71483E8</v>
      </c>
    </row>
    <row r="1654">
      <c r="A1654" s="1">
        <v>1652.0</v>
      </c>
      <c r="B1654" s="2">
        <v>44470.0</v>
      </c>
      <c r="C1654" s="1" t="s">
        <v>862</v>
      </c>
      <c r="D1654" s="1" t="s">
        <v>863</v>
      </c>
      <c r="E1654" s="1">
        <v>1.492E8</v>
      </c>
      <c r="F1654" s="1">
        <v>3.162E8</v>
      </c>
      <c r="G1654" s="1">
        <v>3.263E8</v>
      </c>
      <c r="H1654" s="1">
        <v>1.005E8</v>
      </c>
      <c r="I1654" s="1">
        <v>6.137E8</v>
      </c>
      <c r="J1654" s="1">
        <v>3.359E8</v>
      </c>
      <c r="K1654" s="1">
        <v>3.359E8</v>
      </c>
      <c r="L1654" s="1">
        <v>-1.08E7</v>
      </c>
      <c r="M1654" s="1">
        <v>-1.01E7</v>
      </c>
      <c r="N1654" s="1">
        <v>1.3109E9</v>
      </c>
      <c r="O1654" s="1">
        <v>9.75E8</v>
      </c>
      <c r="P1654" s="1">
        <v>6.972E8</v>
      </c>
      <c r="Q1654" s="1">
        <v>-1.97E7</v>
      </c>
      <c r="R1654" s="1">
        <v>3.263E8</v>
      </c>
      <c r="S1654" s="1">
        <v>3.263E8</v>
      </c>
    </row>
    <row r="1655">
      <c r="A1655" s="1">
        <v>1653.0</v>
      </c>
      <c r="B1655" s="2">
        <v>44379.0</v>
      </c>
      <c r="C1655" s="1" t="s">
        <v>862</v>
      </c>
      <c r="D1655" s="1" t="s">
        <v>863</v>
      </c>
      <c r="E1655" s="1">
        <v>1.308E8</v>
      </c>
      <c r="F1655" s="1">
        <v>3.362E8</v>
      </c>
      <c r="G1655" s="1">
        <v>3.378E8</v>
      </c>
      <c r="H1655" s="1">
        <v>8.51E7</v>
      </c>
      <c r="I1655" s="1">
        <v>5.586E8</v>
      </c>
      <c r="J1655" s="1">
        <v>3.403E8</v>
      </c>
      <c r="K1655" s="1">
        <v>3.403E8</v>
      </c>
      <c r="L1655" s="1">
        <v>-2600000.0</v>
      </c>
      <c r="M1655" s="1">
        <v>-1600000.0</v>
      </c>
      <c r="N1655" s="1">
        <v>1.1164E9</v>
      </c>
      <c r="O1655" s="1">
        <v>7.761E8</v>
      </c>
      <c r="P1655" s="1">
        <v>5.578E8</v>
      </c>
      <c r="Q1655" s="1">
        <v>-4100000.0</v>
      </c>
      <c r="R1655" s="1">
        <v>3.378E8</v>
      </c>
      <c r="S1655" s="1">
        <v>3.378E8</v>
      </c>
    </row>
    <row r="1656">
      <c r="A1656" s="1">
        <v>1654.0</v>
      </c>
      <c r="B1656" s="2">
        <v>44288.0</v>
      </c>
      <c r="C1656" s="1" t="s">
        <v>862</v>
      </c>
      <c r="D1656" s="1" t="s">
        <v>863</v>
      </c>
      <c r="E1656" s="1">
        <v>1.307E8</v>
      </c>
      <c r="F1656" s="1">
        <v>3.755E8</v>
      </c>
      <c r="G1656" s="1">
        <v>3.25E8</v>
      </c>
      <c r="H1656" s="1">
        <v>7.02E7</v>
      </c>
      <c r="I1656" s="1">
        <v>5.784E8</v>
      </c>
      <c r="J1656" s="1">
        <v>3.747E8</v>
      </c>
      <c r="K1656" s="1">
        <v>3.747E8</v>
      </c>
      <c r="L1656" s="1">
        <v>-2600000.0</v>
      </c>
      <c r="M1656" s="1">
        <v>5.05E7</v>
      </c>
      <c r="N1656" s="1">
        <v>1.1718E9</v>
      </c>
      <c r="O1656" s="1">
        <v>7.971E8</v>
      </c>
      <c r="P1656" s="1">
        <v>5.934E8</v>
      </c>
      <c r="Q1656" s="1">
        <v>800000.0</v>
      </c>
      <c r="R1656" s="1">
        <v>3.25E8</v>
      </c>
      <c r="S1656" s="1">
        <v>3.25E8</v>
      </c>
    </row>
    <row r="1657">
      <c r="A1657" s="1">
        <v>1655.0</v>
      </c>
      <c r="B1657" s="2">
        <v>44197.0</v>
      </c>
      <c r="C1657" s="1" t="s">
        <v>862</v>
      </c>
      <c r="D1657" s="1" t="s">
        <v>863</v>
      </c>
      <c r="E1657" s="1">
        <v>1.216E8</v>
      </c>
      <c r="F1657" s="1">
        <v>5.709E8</v>
      </c>
      <c r="G1657" s="1">
        <v>5.093E8</v>
      </c>
      <c r="H1657" s="1">
        <v>6.66E7</v>
      </c>
      <c r="I1657" s="1">
        <v>7.617E8</v>
      </c>
      <c r="J1657" s="1">
        <v>5.707E8</v>
      </c>
      <c r="K1657" s="1">
        <v>5.707E8</v>
      </c>
      <c r="L1657" s="1">
        <v>-2600000.0</v>
      </c>
      <c r="M1657" s="1">
        <v>6.16E7</v>
      </c>
      <c r="N1657" s="1">
        <v>1.51E9</v>
      </c>
      <c r="O1657" s="1">
        <v>9.393E8</v>
      </c>
      <c r="P1657" s="1">
        <v>7.483E8</v>
      </c>
      <c r="Q1657" s="1">
        <v>200000.0</v>
      </c>
      <c r="R1657" s="1">
        <v>5.093E8</v>
      </c>
      <c r="S1657" s="1">
        <v>5.093E8</v>
      </c>
    </row>
    <row r="1658">
      <c r="A1658" s="1">
        <v>1656.0</v>
      </c>
      <c r="B1658" s="2">
        <v>44471.0</v>
      </c>
      <c r="C1658" s="1" t="s">
        <v>864</v>
      </c>
      <c r="D1658" s="1" t="s">
        <v>865</v>
      </c>
      <c r="F1658" s="1">
        <v>2.624E8</v>
      </c>
      <c r="G1658" s="1">
        <v>1.962E8</v>
      </c>
      <c r="H1658" s="1">
        <v>3.156E8</v>
      </c>
      <c r="I1658" s="1">
        <v>5.913E8</v>
      </c>
      <c r="J1658" s="1">
        <v>2.757E8</v>
      </c>
      <c r="K1658" s="1">
        <v>2.757E8</v>
      </c>
      <c r="L1658" s="1">
        <v>-1.32E7</v>
      </c>
      <c r="M1658" s="1">
        <v>6.09E7</v>
      </c>
      <c r="N1658" s="1">
        <v>1.125E9</v>
      </c>
      <c r="O1658" s="1">
        <v>8.493E8</v>
      </c>
      <c r="P1658" s="1">
        <v>5.337E8</v>
      </c>
      <c r="Q1658" s="1">
        <v>-1.33E7</v>
      </c>
      <c r="R1658" s="1">
        <v>2.015E8</v>
      </c>
      <c r="S1658" s="1">
        <v>1.962E8</v>
      </c>
    </row>
    <row r="1659">
      <c r="A1659" s="1">
        <v>1657.0</v>
      </c>
      <c r="B1659" s="2">
        <v>44380.0</v>
      </c>
      <c r="C1659" s="1" t="s">
        <v>864</v>
      </c>
      <c r="D1659" s="1" t="s">
        <v>865</v>
      </c>
      <c r="F1659" s="1">
        <v>2.761E8</v>
      </c>
      <c r="G1659" s="1">
        <v>2.08E8</v>
      </c>
      <c r="H1659" s="1">
        <v>3.222E8</v>
      </c>
      <c r="I1659" s="1">
        <v>6.119E8</v>
      </c>
      <c r="J1659" s="1">
        <v>2.897E8</v>
      </c>
      <c r="K1659" s="1">
        <v>2.897E8</v>
      </c>
      <c r="L1659" s="1">
        <v>-1.42E7</v>
      </c>
      <c r="M1659" s="1">
        <v>6.29E7</v>
      </c>
      <c r="N1659" s="1">
        <v>1.1683E9</v>
      </c>
      <c r="O1659" s="1">
        <v>8.786E8</v>
      </c>
      <c r="P1659" s="1">
        <v>5.564E8</v>
      </c>
      <c r="Q1659" s="1">
        <v>-1.36E7</v>
      </c>
      <c r="R1659" s="1">
        <v>2.132E8</v>
      </c>
      <c r="S1659" s="1">
        <v>2.08E8</v>
      </c>
    </row>
    <row r="1660">
      <c r="A1660" s="1">
        <v>1658.0</v>
      </c>
      <c r="B1660" s="2">
        <v>44289.0</v>
      </c>
      <c r="C1660" s="1" t="s">
        <v>864</v>
      </c>
      <c r="D1660" s="1" t="s">
        <v>865</v>
      </c>
      <c r="F1660" s="1">
        <v>2.567E8</v>
      </c>
      <c r="G1660" s="1">
        <v>1.926E8</v>
      </c>
      <c r="H1660" s="1">
        <v>3.089E8</v>
      </c>
      <c r="I1660" s="1">
        <v>5.789E8</v>
      </c>
      <c r="J1660" s="1">
        <v>2.7E8</v>
      </c>
      <c r="K1660" s="1">
        <v>2.7E8</v>
      </c>
      <c r="L1660" s="1">
        <v>-1.43E7</v>
      </c>
      <c r="M1660" s="1">
        <v>5.91E7</v>
      </c>
      <c r="N1660" s="1">
        <v>1.1132E9</v>
      </c>
      <c r="O1660" s="1">
        <v>8.432E8</v>
      </c>
      <c r="P1660" s="1">
        <v>5.343E8</v>
      </c>
      <c r="Q1660" s="1">
        <v>-1.33E7</v>
      </c>
      <c r="R1660" s="1">
        <v>1.976E8</v>
      </c>
      <c r="S1660" s="1">
        <v>1.926E8</v>
      </c>
    </row>
    <row r="1661">
      <c r="A1661" s="1">
        <v>1659.0</v>
      </c>
      <c r="B1661" s="2">
        <v>44198.0</v>
      </c>
      <c r="C1661" s="1" t="s">
        <v>864</v>
      </c>
      <c r="D1661" s="1" t="s">
        <v>865</v>
      </c>
      <c r="F1661" s="1">
        <v>2.72E8</v>
      </c>
      <c r="G1661" s="1">
        <v>2.089E8</v>
      </c>
      <c r="H1661" s="1">
        <v>2.945E8</v>
      </c>
      <c r="I1661" s="1">
        <v>5.857E8</v>
      </c>
      <c r="J1661" s="1">
        <v>2.912E8</v>
      </c>
      <c r="K1661" s="1">
        <v>2.912E8</v>
      </c>
      <c r="L1661" s="1">
        <v>-1.53E7</v>
      </c>
      <c r="M1661" s="1">
        <v>5.82E7</v>
      </c>
      <c r="N1661" s="1">
        <v>1.1678E9</v>
      </c>
      <c r="O1661" s="1">
        <v>8.766E8</v>
      </c>
      <c r="P1661" s="1">
        <v>5.821E8</v>
      </c>
      <c r="Q1661" s="1">
        <v>-1.92E7</v>
      </c>
      <c r="R1661" s="1">
        <v>2.138E8</v>
      </c>
      <c r="S1661" s="1">
        <v>2.089E8</v>
      </c>
    </row>
    <row r="1662">
      <c r="A1662" s="1">
        <v>1660.0</v>
      </c>
      <c r="B1662" s="2">
        <v>44469.0</v>
      </c>
      <c r="C1662" s="1" t="s">
        <v>866</v>
      </c>
      <c r="D1662" s="1" t="s">
        <v>867</v>
      </c>
      <c r="F1662" s="1">
        <v>1.478E9</v>
      </c>
      <c r="G1662" s="1">
        <v>1.101E9</v>
      </c>
      <c r="H1662" s="1">
        <v>-1.42E8</v>
      </c>
      <c r="I1662" s="1">
        <v>3.07E9</v>
      </c>
      <c r="J1662" s="1">
        <v>1.74E9</v>
      </c>
      <c r="K1662" s="1">
        <v>1.74E9</v>
      </c>
      <c r="L1662" s="1">
        <v>-4.55E8</v>
      </c>
      <c r="M1662" s="1">
        <v>3.72E8</v>
      </c>
      <c r="N1662" s="1">
        <v>6.238E9</v>
      </c>
      <c r="O1662" s="1">
        <v>4.498E9</v>
      </c>
      <c r="P1662" s="1">
        <v>3.168E9</v>
      </c>
      <c r="Q1662" s="1">
        <v>-2.62E8</v>
      </c>
      <c r="R1662" s="1">
        <v>1.106E9</v>
      </c>
      <c r="S1662" s="1">
        <v>1.101E9</v>
      </c>
    </row>
    <row r="1663">
      <c r="A1663" s="1">
        <v>1661.0</v>
      </c>
      <c r="B1663" s="2">
        <v>44377.0</v>
      </c>
      <c r="C1663" s="1" t="s">
        <v>866</v>
      </c>
      <c r="D1663" s="1" t="s">
        <v>867</v>
      </c>
      <c r="F1663" s="1">
        <v>3.6E8</v>
      </c>
      <c r="G1663" s="1">
        <v>3.72E8</v>
      </c>
      <c r="H1663" s="1">
        <v>-1.42E8</v>
      </c>
      <c r="I1663" s="1">
        <v>2.361E9</v>
      </c>
      <c r="J1663" s="1">
        <v>8.39E8</v>
      </c>
      <c r="K1663" s="1">
        <v>8.39E8</v>
      </c>
      <c r="L1663" s="1">
        <v>-4.54E8</v>
      </c>
      <c r="M1663" s="1">
        <v>-1.2E7</v>
      </c>
      <c r="N1663" s="1">
        <v>5.198E9</v>
      </c>
      <c r="O1663" s="1">
        <v>4.359E9</v>
      </c>
      <c r="P1663" s="1">
        <v>2.837E9</v>
      </c>
      <c r="Q1663" s="1">
        <v>-4.79E8</v>
      </c>
      <c r="R1663" s="1">
        <v>3.72E8</v>
      </c>
      <c r="S1663" s="1">
        <v>3.72E8</v>
      </c>
    </row>
    <row r="1664">
      <c r="A1664" s="1">
        <v>1662.0</v>
      </c>
      <c r="B1664" s="2">
        <v>44286.0</v>
      </c>
      <c r="C1664" s="1" t="s">
        <v>866</v>
      </c>
      <c r="D1664" s="1" t="s">
        <v>867</v>
      </c>
      <c r="F1664" s="1">
        <v>1.293E9</v>
      </c>
      <c r="G1664" s="1">
        <v>1.135E9</v>
      </c>
      <c r="H1664" s="1">
        <v>-1.43E8</v>
      </c>
      <c r="I1664" s="1">
        <v>2.818E9</v>
      </c>
      <c r="J1664" s="1">
        <v>1.745E9</v>
      </c>
      <c r="K1664" s="1">
        <v>1.745E9</v>
      </c>
      <c r="L1664" s="1">
        <v>-4.54E8</v>
      </c>
      <c r="M1664" s="1">
        <v>1.9E8</v>
      </c>
      <c r="N1664" s="1">
        <v>5.91E9</v>
      </c>
      <c r="O1664" s="1">
        <v>4.165E9</v>
      </c>
      <c r="P1664" s="1">
        <v>3.092E9</v>
      </c>
      <c r="Q1664" s="1">
        <v>-4.52E8</v>
      </c>
      <c r="R1664" s="1">
        <v>1.103E9</v>
      </c>
      <c r="S1664" s="1">
        <v>1.135E9</v>
      </c>
    </row>
    <row r="1665">
      <c r="A1665" s="1">
        <v>1663.0</v>
      </c>
      <c r="B1665" s="2">
        <v>44196.0</v>
      </c>
      <c r="C1665" s="1" t="s">
        <v>866</v>
      </c>
      <c r="D1665" s="1" t="s">
        <v>867</v>
      </c>
      <c r="F1665" s="1">
        <v>3.03E8</v>
      </c>
      <c r="G1665" s="1">
        <v>3.87E8</v>
      </c>
      <c r="H1665" s="1">
        <v>-1.04E8</v>
      </c>
      <c r="I1665" s="1">
        <v>2.08E9</v>
      </c>
      <c r="J1665" s="1">
        <v>8.07E8</v>
      </c>
      <c r="K1665" s="1">
        <v>8.07E8</v>
      </c>
      <c r="L1665" s="1">
        <v>-4.82E8</v>
      </c>
      <c r="M1665" s="1">
        <v>-5.0E7</v>
      </c>
      <c r="N1665" s="1">
        <v>5.117E9</v>
      </c>
      <c r="O1665" s="1">
        <v>4.31E9</v>
      </c>
      <c r="P1665" s="1">
        <v>3.037E9</v>
      </c>
      <c r="Q1665" s="1">
        <v>-5.04E8</v>
      </c>
      <c r="R1665" s="1">
        <v>3.53E8</v>
      </c>
      <c r="S1665" s="1">
        <v>3.87E8</v>
      </c>
    </row>
    <row r="1666">
      <c r="A1666" s="1">
        <v>1664.0</v>
      </c>
      <c r="B1666" s="2">
        <v>44469.0</v>
      </c>
      <c r="C1666" s="1" t="s">
        <v>868</v>
      </c>
      <c r="D1666" s="1" t="s">
        <v>869</v>
      </c>
      <c r="F1666" s="1">
        <v>6.0E8</v>
      </c>
      <c r="G1666" s="1">
        <v>4.46E8</v>
      </c>
      <c r="I1666" s="1">
        <v>8.72E8</v>
      </c>
      <c r="J1666" s="1">
        <v>-5.9E7</v>
      </c>
      <c r="K1666" s="1">
        <v>-5.9E7</v>
      </c>
      <c r="L1666" s="1">
        <v>-1.06E8</v>
      </c>
      <c r="M1666" s="1">
        <v>1.54E8</v>
      </c>
      <c r="N1666" s="1">
        <v>4.679E9</v>
      </c>
      <c r="O1666" s="1">
        <v>4.738E9</v>
      </c>
      <c r="P1666" s="1">
        <v>3.807E9</v>
      </c>
      <c r="Q1666" s="1">
        <v>6.59E8</v>
      </c>
      <c r="R1666" s="1">
        <v>4.46E8</v>
      </c>
      <c r="S1666" s="1">
        <v>4.46E8</v>
      </c>
    </row>
    <row r="1667">
      <c r="A1667" s="1">
        <v>1665.0</v>
      </c>
      <c r="B1667" s="2">
        <v>44377.0</v>
      </c>
      <c r="C1667" s="1" t="s">
        <v>868</v>
      </c>
      <c r="D1667" s="1" t="s">
        <v>869</v>
      </c>
      <c r="F1667" s="1">
        <v>5.02E8</v>
      </c>
      <c r="G1667" s="1">
        <v>3.48E8</v>
      </c>
      <c r="I1667" s="1">
        <v>6.88E8</v>
      </c>
      <c r="J1667" s="1">
        <v>-1.61E8</v>
      </c>
      <c r="K1667" s="1">
        <v>-1.61E8</v>
      </c>
      <c r="L1667" s="1">
        <v>-1.08E8</v>
      </c>
      <c r="M1667" s="1">
        <v>1.54E8</v>
      </c>
      <c r="N1667" s="1">
        <v>4.008E9</v>
      </c>
      <c r="O1667" s="1">
        <v>4.169E9</v>
      </c>
      <c r="P1667" s="1">
        <v>3.32E9</v>
      </c>
      <c r="Q1667" s="1">
        <v>6.63E8</v>
      </c>
      <c r="R1667" s="1">
        <v>3.48E8</v>
      </c>
      <c r="S1667" s="1">
        <v>3.48E8</v>
      </c>
    </row>
    <row r="1668">
      <c r="A1668" s="1">
        <v>1666.0</v>
      </c>
      <c r="B1668" s="2">
        <v>44286.0</v>
      </c>
      <c r="C1668" s="1" t="s">
        <v>868</v>
      </c>
      <c r="D1668" s="1" t="s">
        <v>869</v>
      </c>
      <c r="F1668" s="1">
        <v>1.46E8</v>
      </c>
      <c r="G1668" s="1">
        <v>1.16E8</v>
      </c>
      <c r="I1668" s="1">
        <v>-5.44E8</v>
      </c>
      <c r="J1668" s="1">
        <v>-1.268E9</v>
      </c>
      <c r="K1668" s="1">
        <v>-1.268E9</v>
      </c>
      <c r="L1668" s="1">
        <v>-1.03E8</v>
      </c>
      <c r="M1668" s="1">
        <v>3.0E7</v>
      </c>
      <c r="N1668" s="1">
        <v>2.052E9</v>
      </c>
      <c r="O1668" s="1">
        <v>3.32E9</v>
      </c>
      <c r="P1668" s="1">
        <v>2.596E9</v>
      </c>
      <c r="Q1668" s="1">
        <v>1.414E9</v>
      </c>
      <c r="R1668" s="1">
        <v>1.16E8</v>
      </c>
      <c r="S1668" s="1">
        <v>1.16E8</v>
      </c>
    </row>
    <row r="1669">
      <c r="A1669" s="1">
        <v>1667.0</v>
      </c>
      <c r="B1669" s="2">
        <v>44196.0</v>
      </c>
      <c r="C1669" s="1" t="s">
        <v>868</v>
      </c>
      <c r="D1669" s="1" t="s">
        <v>869</v>
      </c>
      <c r="F1669" s="1">
        <v>-1.331E9</v>
      </c>
      <c r="G1669" s="1">
        <v>-9.08E8</v>
      </c>
      <c r="H1669" s="1">
        <v>1.68E8</v>
      </c>
      <c r="I1669" s="1">
        <v>-6.01E8</v>
      </c>
      <c r="J1669" s="1">
        <v>-1.2E9</v>
      </c>
      <c r="K1669" s="1">
        <v>-1.2E9</v>
      </c>
      <c r="L1669" s="1">
        <v>-1.02E8</v>
      </c>
      <c r="M1669" s="1">
        <v>-4.23E8</v>
      </c>
      <c r="N1669" s="1">
        <v>2.013E9</v>
      </c>
      <c r="O1669" s="1">
        <v>3.213E9</v>
      </c>
      <c r="P1669" s="1">
        <v>2.614E9</v>
      </c>
      <c r="Q1669" s="1">
        <v>-1.31E8</v>
      </c>
      <c r="R1669" s="1">
        <v>-9.08E8</v>
      </c>
      <c r="S1669" s="1">
        <v>-9.08E8</v>
      </c>
    </row>
    <row r="1670">
      <c r="A1670" s="1">
        <v>1668.0</v>
      </c>
      <c r="B1670" s="2">
        <v>44380.0</v>
      </c>
      <c r="C1670" s="1" t="s">
        <v>870</v>
      </c>
      <c r="D1670" s="1" t="s">
        <v>871</v>
      </c>
      <c r="F1670" s="1">
        <v>5.322E8</v>
      </c>
      <c r="G1670" s="1">
        <v>4.595E8</v>
      </c>
      <c r="H1670" s="1">
        <v>8.789E8</v>
      </c>
      <c r="I1670" s="1">
        <v>1.5457E9</v>
      </c>
      <c r="J1670" s="1">
        <v>6.211E8</v>
      </c>
      <c r="K1670" s="1">
        <v>6.211E8</v>
      </c>
      <c r="L1670" s="1">
        <v>-4.65E7</v>
      </c>
      <c r="M1670" s="1">
        <v>7.37E7</v>
      </c>
      <c r="N1670" s="1">
        <v>4.3009E9</v>
      </c>
      <c r="O1670" s="1">
        <v>3.6798E9</v>
      </c>
      <c r="P1670" s="1">
        <v>2.7552E9</v>
      </c>
      <c r="Q1670" s="1">
        <v>-8.89E7</v>
      </c>
      <c r="R1670" s="1">
        <v>4.585E8</v>
      </c>
      <c r="S1670" s="1">
        <v>4.547E8</v>
      </c>
    </row>
    <row r="1671">
      <c r="A1671" s="1">
        <v>1669.0</v>
      </c>
      <c r="B1671" s="2">
        <v>44289.0</v>
      </c>
      <c r="C1671" s="1" t="s">
        <v>870</v>
      </c>
      <c r="D1671" s="1" t="s">
        <v>871</v>
      </c>
      <c r="F1671" s="1">
        <v>6.063E8</v>
      </c>
      <c r="G1671" s="1">
        <v>4.874E8</v>
      </c>
      <c r="H1671" s="1">
        <v>8.274E8</v>
      </c>
      <c r="I1671" s="1">
        <v>1.5695E9</v>
      </c>
      <c r="J1671" s="1">
        <v>7.492E8</v>
      </c>
      <c r="K1671" s="1">
        <v>7.492E8</v>
      </c>
      <c r="L1671" s="1">
        <v>-4.75E7</v>
      </c>
      <c r="M1671" s="1">
        <v>1.195E8</v>
      </c>
      <c r="N1671" s="1">
        <v>4.1971E9</v>
      </c>
      <c r="O1671" s="1">
        <v>3.4479E9</v>
      </c>
      <c r="P1671" s="1">
        <v>2.6276E9</v>
      </c>
      <c r="Q1671" s="1">
        <v>-1.429E8</v>
      </c>
      <c r="R1671" s="1">
        <v>4.868E8</v>
      </c>
      <c r="S1671" s="1">
        <v>4.78E8</v>
      </c>
    </row>
    <row r="1672">
      <c r="A1672" s="1">
        <v>1670.0</v>
      </c>
      <c r="B1672" s="2">
        <v>44198.0</v>
      </c>
      <c r="C1672" s="1" t="s">
        <v>870</v>
      </c>
      <c r="D1672" s="1" t="s">
        <v>871</v>
      </c>
      <c r="F1672" s="1">
        <v>5.351E8</v>
      </c>
      <c r="G1672" s="1">
        <v>4.673E8</v>
      </c>
      <c r="H1672" s="1">
        <v>8.353E8</v>
      </c>
      <c r="I1672" s="1">
        <v>1.5683E9</v>
      </c>
      <c r="J1672" s="1">
        <v>7.531E8</v>
      </c>
      <c r="K1672" s="1">
        <v>7.531E8</v>
      </c>
      <c r="L1672" s="1">
        <v>-5.34E7</v>
      </c>
      <c r="M1672" s="1">
        <v>6.74E7</v>
      </c>
      <c r="N1672" s="1">
        <v>4.4076E9</v>
      </c>
      <c r="O1672" s="1">
        <v>3.6545E9</v>
      </c>
      <c r="P1672" s="1">
        <v>2.8393E9</v>
      </c>
      <c r="Q1672" s="1">
        <v>-2.18E8</v>
      </c>
      <c r="R1672" s="1">
        <v>4.677E8</v>
      </c>
      <c r="S1672" s="1">
        <v>4.58E8</v>
      </c>
    </row>
    <row r="1673">
      <c r="A1673" s="1">
        <v>1671.0</v>
      </c>
      <c r="B1673" s="2">
        <v>44100.0</v>
      </c>
      <c r="C1673" s="1" t="s">
        <v>870</v>
      </c>
      <c r="D1673" s="1" t="s">
        <v>871</v>
      </c>
      <c r="F1673" s="1">
        <v>4.736E8</v>
      </c>
      <c r="G1673" s="1">
        <v>3.949E8</v>
      </c>
      <c r="H1673" s="1">
        <v>6.953E8</v>
      </c>
      <c r="I1673" s="1">
        <v>1.3833E9</v>
      </c>
      <c r="J1673" s="1">
        <v>6.143E8</v>
      </c>
      <c r="K1673" s="1">
        <v>6.143E8</v>
      </c>
      <c r="L1673" s="1">
        <v>-5.27E7</v>
      </c>
      <c r="M1673" s="1">
        <v>7.84E7</v>
      </c>
      <c r="N1673" s="1">
        <v>3.8502E9</v>
      </c>
      <c r="O1673" s="1">
        <v>3.2359E9</v>
      </c>
      <c r="P1673" s="1">
        <v>2.4669E9</v>
      </c>
      <c r="Q1673" s="1">
        <v>-1.407E8</v>
      </c>
      <c r="R1673" s="1">
        <v>3.952E8</v>
      </c>
      <c r="S1673" s="1">
        <v>3.855E8</v>
      </c>
    </row>
    <row r="1674">
      <c r="A1674" s="1">
        <v>1672.0</v>
      </c>
      <c r="B1674" s="2">
        <v>44374.0</v>
      </c>
      <c r="C1674" s="1" t="s">
        <v>872</v>
      </c>
      <c r="D1674" s="1" t="s">
        <v>873</v>
      </c>
      <c r="F1674" s="1">
        <v>1.4113E9</v>
      </c>
      <c r="G1674" s="1">
        <v>1.1534E9</v>
      </c>
      <c r="H1674" s="1">
        <v>4.949E8</v>
      </c>
      <c r="I1674" s="1">
        <v>2.3236E9</v>
      </c>
      <c r="J1674" s="1">
        <v>1.403E9</v>
      </c>
      <c r="K1674" s="1">
        <v>1.403E9</v>
      </c>
      <c r="L1674" s="1">
        <v>-1.134E8</v>
      </c>
      <c r="M1674" s="1">
        <v>2.571E8</v>
      </c>
      <c r="N1674" s="1">
        <v>7.4965E9</v>
      </c>
      <c r="O1674" s="1">
        <v>6.0935E9</v>
      </c>
      <c r="P1674" s="1">
        <v>5.1729E9</v>
      </c>
      <c r="Q1674" s="1">
        <v>8300000.0</v>
      </c>
      <c r="R1674" s="1">
        <v>1.1542E9</v>
      </c>
      <c r="S1674" s="1">
        <v>1.1534E9</v>
      </c>
    </row>
    <row r="1675">
      <c r="A1675" s="1">
        <v>1673.0</v>
      </c>
      <c r="B1675" s="2">
        <v>44283.0</v>
      </c>
      <c r="C1675" s="1" t="s">
        <v>872</v>
      </c>
      <c r="D1675" s="1" t="s">
        <v>873</v>
      </c>
      <c r="F1675" s="1">
        <v>8.899E8</v>
      </c>
      <c r="G1675" s="1">
        <v>6.594E8</v>
      </c>
      <c r="H1675" s="1">
        <v>4.644E8</v>
      </c>
      <c r="I1675" s="1">
        <v>1.8523E9</v>
      </c>
      <c r="J1675" s="1">
        <v>9.335E8</v>
      </c>
      <c r="K1675" s="1">
        <v>9.335E8</v>
      </c>
      <c r="L1675" s="1">
        <v>-1.186E8</v>
      </c>
      <c r="M1675" s="1">
        <v>2.305E8</v>
      </c>
      <c r="N1675" s="1">
        <v>6.668E9</v>
      </c>
      <c r="O1675" s="1">
        <v>5.7345E9</v>
      </c>
      <c r="P1675" s="1">
        <v>4.8157E9</v>
      </c>
      <c r="Q1675" s="1">
        <v>-4.36E7</v>
      </c>
      <c r="R1675" s="1">
        <v>6.594E8</v>
      </c>
      <c r="S1675" s="1">
        <v>6.594E8</v>
      </c>
    </row>
    <row r="1676">
      <c r="A1676" s="1">
        <v>1674.0</v>
      </c>
      <c r="B1676" s="2">
        <v>44192.0</v>
      </c>
      <c r="C1676" s="1" t="s">
        <v>872</v>
      </c>
      <c r="D1676" s="1" t="s">
        <v>873</v>
      </c>
      <c r="F1676" s="1">
        <v>8.083E8</v>
      </c>
      <c r="G1676" s="1">
        <v>6.222E8</v>
      </c>
      <c r="H1676" s="1">
        <v>4.721E8</v>
      </c>
      <c r="I1676" s="1">
        <v>1.833E9</v>
      </c>
      <c r="J1676" s="1">
        <v>9.03E8</v>
      </c>
      <c r="K1676" s="1">
        <v>9.03E8</v>
      </c>
      <c r="L1676" s="1">
        <v>-1.207E8</v>
      </c>
      <c r="M1676" s="1">
        <v>1.861E8</v>
      </c>
      <c r="N1676" s="1">
        <v>6.7494E9</v>
      </c>
      <c r="O1676" s="1">
        <v>5.8464E9</v>
      </c>
      <c r="P1676" s="1">
        <v>4.9164E9</v>
      </c>
      <c r="Q1676" s="1">
        <v>-9.47E7</v>
      </c>
      <c r="R1676" s="1">
        <v>6.222E8</v>
      </c>
      <c r="S1676" s="1">
        <v>6.222E8</v>
      </c>
    </row>
    <row r="1677">
      <c r="A1677" s="1">
        <v>1675.0</v>
      </c>
      <c r="B1677" s="2">
        <v>44101.0</v>
      </c>
      <c r="C1677" s="1" t="s">
        <v>872</v>
      </c>
      <c r="D1677" s="1" t="s">
        <v>873</v>
      </c>
      <c r="F1677" s="1">
        <v>4.424E8</v>
      </c>
      <c r="G1677" s="1">
        <v>3.926E8</v>
      </c>
      <c r="H1677" s="1">
        <v>4.39E8</v>
      </c>
      <c r="I1677" s="1">
        <v>1.6251E9</v>
      </c>
      <c r="J1677" s="1">
        <v>7.231E8</v>
      </c>
      <c r="K1677" s="1">
        <v>7.231E8</v>
      </c>
      <c r="L1677" s="1">
        <v>-1.249E8</v>
      </c>
      <c r="M1677" s="1">
        <v>4.97E7</v>
      </c>
      <c r="N1677" s="1">
        <v>6.2031E9</v>
      </c>
      <c r="O1677" s="1">
        <v>5.48E9</v>
      </c>
      <c r="P1677" s="1">
        <v>4.578E9</v>
      </c>
      <c r="Q1677" s="1">
        <v>-2.807E8</v>
      </c>
      <c r="R1677" s="1">
        <v>3.927E8</v>
      </c>
      <c r="S1677" s="1">
        <v>3.926E8</v>
      </c>
    </row>
    <row r="1678">
      <c r="A1678" s="1">
        <v>1676.0</v>
      </c>
      <c r="B1678" s="2">
        <v>44377.0</v>
      </c>
      <c r="C1678" s="1" t="s">
        <v>874</v>
      </c>
      <c r="D1678" s="1" t="s">
        <v>875</v>
      </c>
      <c r="F1678" s="1">
        <v>9.38E8</v>
      </c>
      <c r="G1678" s="1">
        <v>7.63E8</v>
      </c>
      <c r="H1678" s="1">
        <v>1.591E9</v>
      </c>
      <c r="I1678" s="1">
        <v>3.049E9</v>
      </c>
      <c r="J1678" s="1">
        <v>0.0</v>
      </c>
      <c r="K1678" s="1">
        <v>1.012E9</v>
      </c>
      <c r="M1678" s="1">
        <v>1.75E8</v>
      </c>
      <c r="N1678" s="1">
        <v>3.049E9</v>
      </c>
      <c r="O1678" s="1">
        <v>2.037E9</v>
      </c>
      <c r="P1678" s="1">
        <v>0.0</v>
      </c>
      <c r="Q1678" s="1">
        <v>-7.4E7</v>
      </c>
      <c r="R1678" s="1">
        <v>7.63E8</v>
      </c>
      <c r="S1678" s="1">
        <v>7.28E8</v>
      </c>
    </row>
    <row r="1679">
      <c r="A1679" s="1">
        <v>1677.0</v>
      </c>
      <c r="B1679" s="2">
        <v>44286.0</v>
      </c>
      <c r="C1679" s="1" t="s">
        <v>874</v>
      </c>
      <c r="D1679" s="1" t="s">
        <v>875</v>
      </c>
      <c r="F1679" s="1">
        <v>6.27E8</v>
      </c>
      <c r="G1679" s="1">
        <v>5.19E8</v>
      </c>
      <c r="H1679" s="1">
        <v>1.789E9</v>
      </c>
      <c r="I1679" s="1">
        <v>2.959E9</v>
      </c>
      <c r="J1679" s="1">
        <v>0.0</v>
      </c>
      <c r="K1679" s="1">
        <v>6.95E8</v>
      </c>
      <c r="M1679" s="1">
        <v>1.08E8</v>
      </c>
      <c r="N1679" s="1">
        <v>2.959E9</v>
      </c>
      <c r="O1679" s="1">
        <v>2.264E9</v>
      </c>
      <c r="P1679" s="1">
        <v>0.0</v>
      </c>
      <c r="Q1679" s="1">
        <v>-6.8E7</v>
      </c>
      <c r="R1679" s="1">
        <v>5.19E8</v>
      </c>
      <c r="S1679" s="1">
        <v>4.89E8</v>
      </c>
    </row>
    <row r="1680">
      <c r="A1680" s="1">
        <v>1678.0</v>
      </c>
      <c r="B1680" s="2">
        <v>44196.0</v>
      </c>
      <c r="C1680" s="1" t="s">
        <v>874</v>
      </c>
      <c r="D1680" s="1" t="s">
        <v>875</v>
      </c>
      <c r="F1680" s="1">
        <v>6.41E8</v>
      </c>
      <c r="G1680" s="1">
        <v>5.37E8</v>
      </c>
      <c r="H1680" s="1">
        <v>1.579E9</v>
      </c>
      <c r="I1680" s="1">
        <v>2.917E9</v>
      </c>
      <c r="J1680" s="1">
        <v>0.0</v>
      </c>
      <c r="K1680" s="1">
        <v>8.45E8</v>
      </c>
      <c r="M1680" s="1">
        <v>1.04E8</v>
      </c>
      <c r="N1680" s="1">
        <v>2.917E9</v>
      </c>
      <c r="O1680" s="1">
        <v>2.072E9</v>
      </c>
      <c r="P1680" s="1">
        <v>0.0</v>
      </c>
      <c r="Q1680" s="1">
        <v>-2.04E8</v>
      </c>
      <c r="R1680" s="1">
        <v>5.37E8</v>
      </c>
      <c r="S1680" s="1">
        <v>4.98E8</v>
      </c>
    </row>
    <row r="1681">
      <c r="A1681" s="1">
        <v>1679.0</v>
      </c>
      <c r="B1681" s="2">
        <v>44104.0</v>
      </c>
      <c r="C1681" s="1" t="s">
        <v>874</v>
      </c>
      <c r="D1681" s="1" t="s">
        <v>875</v>
      </c>
      <c r="F1681" s="1">
        <v>6.81E8</v>
      </c>
      <c r="G1681" s="1">
        <v>5.55E8</v>
      </c>
      <c r="H1681" s="1">
        <v>1.586E9</v>
      </c>
      <c r="I1681" s="1">
        <v>2.784E9</v>
      </c>
      <c r="J1681" s="1">
        <v>0.0</v>
      </c>
      <c r="K1681" s="1">
        <v>7.55E8</v>
      </c>
      <c r="M1681" s="1">
        <v>1.26E8</v>
      </c>
      <c r="N1681" s="1">
        <v>2.784E9</v>
      </c>
      <c r="O1681" s="1">
        <v>2.029E9</v>
      </c>
      <c r="P1681" s="1">
        <v>0.0</v>
      </c>
      <c r="Q1681" s="1">
        <v>-7.4E7</v>
      </c>
      <c r="R1681" s="1">
        <v>5.55E8</v>
      </c>
      <c r="S1681" s="1">
        <v>5.17E8</v>
      </c>
    </row>
    <row r="1682">
      <c r="A1682" s="1">
        <v>1680.0</v>
      </c>
      <c r="B1682" s="2">
        <v>44377.0</v>
      </c>
      <c r="C1682" s="1" t="s">
        <v>876</v>
      </c>
      <c r="D1682" s="1" t="s">
        <v>877</v>
      </c>
      <c r="E1682" s="1">
        <v>1.8192E7</v>
      </c>
      <c r="F1682" s="1">
        <v>-2.8977E7</v>
      </c>
      <c r="G1682" s="1">
        <v>-2.1807E7</v>
      </c>
      <c r="H1682" s="1">
        <v>2.52756E8</v>
      </c>
      <c r="I1682" s="1">
        <v>4.26282E8</v>
      </c>
      <c r="J1682" s="1">
        <v>1.55334E8</v>
      </c>
      <c r="K1682" s="1">
        <v>1.55334E8</v>
      </c>
      <c r="L1682" s="1">
        <v>-2.1812E7</v>
      </c>
      <c r="M1682" s="1">
        <v>-7075000.0</v>
      </c>
      <c r="N1682" s="1">
        <v>9.68422E8</v>
      </c>
      <c r="O1682" s="1">
        <v>8.13088E8</v>
      </c>
      <c r="P1682" s="1">
        <v>5.4214E8</v>
      </c>
      <c r="Q1682" s="1">
        <v>-1.84311E8</v>
      </c>
      <c r="R1682" s="1">
        <v>-2.1902E7</v>
      </c>
      <c r="S1682" s="1">
        <v>-2.1807E7</v>
      </c>
    </row>
    <row r="1683">
      <c r="A1683" s="1">
        <v>1681.0</v>
      </c>
      <c r="B1683" s="2">
        <v>44286.0</v>
      </c>
      <c r="C1683" s="1" t="s">
        <v>876</v>
      </c>
      <c r="D1683" s="1" t="s">
        <v>877</v>
      </c>
      <c r="E1683" s="1">
        <v>1.7514E7</v>
      </c>
      <c r="F1683" s="1">
        <v>1.37519E8</v>
      </c>
      <c r="G1683" s="1">
        <v>8.8851E7</v>
      </c>
      <c r="H1683" s="1">
        <v>1.9942E8</v>
      </c>
      <c r="I1683" s="1">
        <v>3.86852E8</v>
      </c>
      <c r="J1683" s="1">
        <v>1.69918E8</v>
      </c>
      <c r="K1683" s="1">
        <v>1.69918E8</v>
      </c>
      <c r="L1683" s="1">
        <v>-1.0124E7</v>
      </c>
      <c r="M1683" s="1">
        <v>4.9369E7</v>
      </c>
      <c r="N1683" s="1">
        <v>8.73531E8</v>
      </c>
      <c r="O1683" s="1">
        <v>7.03613E8</v>
      </c>
      <c r="P1683" s="1">
        <v>4.86679E8</v>
      </c>
      <c r="Q1683" s="1">
        <v>-3.2399E7</v>
      </c>
      <c r="R1683" s="1">
        <v>8.815E7</v>
      </c>
      <c r="S1683" s="1">
        <v>8.8851E7</v>
      </c>
    </row>
    <row r="1684">
      <c r="A1684" s="1">
        <v>1682.0</v>
      </c>
      <c r="B1684" s="2">
        <v>44196.0</v>
      </c>
      <c r="C1684" s="1" t="s">
        <v>876</v>
      </c>
      <c r="D1684" s="1" t="s">
        <v>877</v>
      </c>
      <c r="E1684" s="1">
        <v>1.6438E7</v>
      </c>
      <c r="F1684" s="1">
        <v>1.3943E8</v>
      </c>
      <c r="G1684" s="1">
        <v>1.14501E8</v>
      </c>
      <c r="H1684" s="1">
        <v>1.7081E8</v>
      </c>
      <c r="I1684" s="1">
        <v>3.53112E8</v>
      </c>
      <c r="J1684" s="1">
        <v>1.65864E8</v>
      </c>
      <c r="K1684" s="1">
        <v>1.65864E8</v>
      </c>
      <c r="L1684" s="1">
        <v>-8899000.0</v>
      </c>
      <c r="M1684" s="1">
        <v>2.4842E7</v>
      </c>
      <c r="N1684" s="1">
        <v>8.08924E8</v>
      </c>
      <c r="O1684" s="1">
        <v>6.4306E8</v>
      </c>
      <c r="P1684" s="1">
        <v>4.55812E8</v>
      </c>
      <c r="Q1684" s="1">
        <v>-2.6434E7</v>
      </c>
      <c r="R1684" s="1">
        <v>1.14588E8</v>
      </c>
      <c r="S1684" s="1">
        <v>1.14501E8</v>
      </c>
    </row>
    <row r="1685">
      <c r="A1685" s="1">
        <v>1683.0</v>
      </c>
      <c r="B1685" s="2">
        <v>44104.0</v>
      </c>
      <c r="C1685" s="1" t="s">
        <v>876</v>
      </c>
      <c r="D1685" s="1" t="s">
        <v>877</v>
      </c>
      <c r="E1685" s="1">
        <v>1.6143E7</v>
      </c>
      <c r="F1685" s="1">
        <v>1.33786E8</v>
      </c>
      <c r="G1685" s="1">
        <v>1.05858E8</v>
      </c>
      <c r="H1685" s="1">
        <v>1.71572E8</v>
      </c>
      <c r="I1685" s="1">
        <v>3.34576E8</v>
      </c>
      <c r="J1685" s="1">
        <v>1.46861E8</v>
      </c>
      <c r="K1685" s="1">
        <v>1.46861E8</v>
      </c>
      <c r="L1685" s="1">
        <v>-8665000.0</v>
      </c>
      <c r="M1685" s="1">
        <v>2.7778E7</v>
      </c>
      <c r="N1685" s="1">
        <v>7.56132E8</v>
      </c>
      <c r="O1685" s="1">
        <v>6.09271E8</v>
      </c>
      <c r="P1685" s="1">
        <v>4.21556E8</v>
      </c>
      <c r="Q1685" s="1">
        <v>-1.3075E7</v>
      </c>
      <c r="R1685" s="1">
        <v>1.06008E8</v>
      </c>
      <c r="S1685" s="1">
        <v>1.05858E8</v>
      </c>
    </row>
    <row r="1686">
      <c r="A1686" s="1">
        <v>1684.0</v>
      </c>
      <c r="B1686" s="2">
        <v>44377.0</v>
      </c>
      <c r="C1686" s="1" t="s">
        <v>878</v>
      </c>
      <c r="D1686" s="1" t="s">
        <v>879</v>
      </c>
      <c r="E1686" s="1">
        <v>3.1E8</v>
      </c>
      <c r="F1686" s="1">
        <v>6.62E8</v>
      </c>
      <c r="G1686" s="1">
        <v>5.92E8</v>
      </c>
      <c r="H1686" s="1">
        <v>1.505E9</v>
      </c>
      <c r="I1686" s="1">
        <v>2.772E9</v>
      </c>
      <c r="J1686" s="1">
        <v>8.08E8</v>
      </c>
      <c r="K1686" s="1">
        <v>8.08E8</v>
      </c>
      <c r="M1686" s="1">
        <v>7.0E7</v>
      </c>
      <c r="N1686" s="1">
        <v>4.294E9</v>
      </c>
      <c r="O1686" s="1">
        <v>3.486E9</v>
      </c>
      <c r="P1686" s="1">
        <v>1.522E9</v>
      </c>
      <c r="Q1686" s="1">
        <v>-1.46E8</v>
      </c>
      <c r="R1686" s="1">
        <v>5.92E8</v>
      </c>
      <c r="S1686" s="1">
        <v>5.92E8</v>
      </c>
    </row>
    <row r="1687">
      <c r="A1687" s="1">
        <v>1685.0</v>
      </c>
      <c r="B1687" s="2">
        <v>44286.0</v>
      </c>
      <c r="C1687" s="1" t="s">
        <v>878</v>
      </c>
      <c r="D1687" s="1" t="s">
        <v>879</v>
      </c>
      <c r="E1687" s="1">
        <v>2.88E8</v>
      </c>
      <c r="F1687" s="1">
        <v>3.67E8</v>
      </c>
      <c r="G1687" s="1">
        <v>3.02E8</v>
      </c>
      <c r="H1687" s="1">
        <v>1.394E9</v>
      </c>
      <c r="I1687" s="1">
        <v>2.586E9</v>
      </c>
      <c r="J1687" s="1">
        <v>7.23E8</v>
      </c>
      <c r="K1687" s="1">
        <v>7.23E8</v>
      </c>
      <c r="M1687" s="1">
        <v>6.5E7</v>
      </c>
      <c r="N1687" s="1">
        <v>3.953E9</v>
      </c>
      <c r="O1687" s="1">
        <v>3.23E9</v>
      </c>
      <c r="P1687" s="1">
        <v>1.367E9</v>
      </c>
      <c r="Q1687" s="1">
        <v>-3.56E8</v>
      </c>
      <c r="R1687" s="1">
        <v>3.02E8</v>
      </c>
      <c r="S1687" s="1">
        <v>3.02E8</v>
      </c>
    </row>
    <row r="1688">
      <c r="A1688" s="1">
        <v>1686.0</v>
      </c>
      <c r="B1688" s="2">
        <v>44196.0</v>
      </c>
      <c r="C1688" s="1" t="s">
        <v>878</v>
      </c>
      <c r="D1688" s="1" t="s">
        <v>879</v>
      </c>
      <c r="E1688" s="1">
        <v>2.55E8</v>
      </c>
      <c r="F1688" s="1">
        <v>6.71E8</v>
      </c>
      <c r="G1688" s="1">
        <v>5.68E8</v>
      </c>
      <c r="H1688" s="1">
        <v>1.284E9</v>
      </c>
      <c r="I1688" s="1">
        <v>2.773E9</v>
      </c>
      <c r="J1688" s="1">
        <v>1.104E9</v>
      </c>
      <c r="K1688" s="1">
        <v>1.104E9</v>
      </c>
      <c r="L1688" s="1">
        <v>-3.99E8</v>
      </c>
      <c r="M1688" s="1">
        <v>1.03E8</v>
      </c>
      <c r="N1688" s="1">
        <v>4.262E9</v>
      </c>
      <c r="O1688" s="1">
        <v>3.158E9</v>
      </c>
      <c r="P1688" s="1">
        <v>1.489E9</v>
      </c>
      <c r="Q1688" s="1">
        <v>-4.33E8</v>
      </c>
      <c r="R1688" s="1">
        <v>5.68E8</v>
      </c>
      <c r="S1688" s="1">
        <v>5.68E8</v>
      </c>
    </row>
    <row r="1689">
      <c r="A1689" s="1">
        <v>1687.0</v>
      </c>
      <c r="B1689" s="2">
        <v>44104.0</v>
      </c>
      <c r="C1689" s="1" t="s">
        <v>878</v>
      </c>
      <c r="D1689" s="1" t="s">
        <v>879</v>
      </c>
      <c r="E1689" s="1">
        <v>2.42E8</v>
      </c>
      <c r="F1689" s="1">
        <v>7.8E8</v>
      </c>
      <c r="G1689" s="1">
        <v>6.21E8</v>
      </c>
      <c r="H1689" s="1">
        <v>1.188E9</v>
      </c>
      <c r="I1689" s="1">
        <v>2.461E9</v>
      </c>
      <c r="J1689" s="1">
        <v>9.17E8</v>
      </c>
      <c r="K1689" s="1">
        <v>9.17E8</v>
      </c>
      <c r="L1689" s="1">
        <v>-3.99E8</v>
      </c>
      <c r="M1689" s="1">
        <v>1.59E8</v>
      </c>
      <c r="N1689" s="1">
        <v>3.737E9</v>
      </c>
      <c r="O1689" s="1">
        <v>2.82E9</v>
      </c>
      <c r="P1689" s="1">
        <v>1.276E9</v>
      </c>
      <c r="Q1689" s="1">
        <v>-1.37E8</v>
      </c>
      <c r="R1689" s="1">
        <v>6.21E8</v>
      </c>
      <c r="S1689" s="1">
        <v>6.21E8</v>
      </c>
    </row>
    <row r="1690">
      <c r="A1690" s="1">
        <v>1688.0</v>
      </c>
      <c r="B1690" s="2">
        <v>44286.0</v>
      </c>
      <c r="C1690" s="1" t="s">
        <v>880</v>
      </c>
      <c r="D1690" s="1" t="s">
        <v>881</v>
      </c>
      <c r="F1690" s="1">
        <v>7.49079E8</v>
      </c>
      <c r="G1690" s="1">
        <v>5.36814E8</v>
      </c>
      <c r="H1690" s="1">
        <v>5.81082E8</v>
      </c>
      <c r="I1690" s="1">
        <v>1.38508E9</v>
      </c>
      <c r="J1690" s="1">
        <v>0.0</v>
      </c>
      <c r="K1690" s="1">
        <v>7.58542E8</v>
      </c>
      <c r="M1690" s="1">
        <v>1.87315E8</v>
      </c>
      <c r="N1690" s="1">
        <v>1.38508E9</v>
      </c>
      <c r="O1690" s="1">
        <v>6.26538E8</v>
      </c>
      <c r="P1690" s="1">
        <v>0.0</v>
      </c>
      <c r="Q1690" s="1">
        <v>-9463000.0</v>
      </c>
      <c r="R1690" s="1">
        <v>5.61764E8</v>
      </c>
      <c r="S1690" s="1">
        <v>5.3222E8</v>
      </c>
    </row>
    <row r="1691">
      <c r="A1691" s="1">
        <v>1689.0</v>
      </c>
      <c r="B1691" s="2">
        <v>44196.0</v>
      </c>
      <c r="C1691" s="1" t="s">
        <v>880</v>
      </c>
      <c r="D1691" s="1" t="s">
        <v>881</v>
      </c>
      <c r="F1691" s="1">
        <v>5.86897E8</v>
      </c>
      <c r="G1691" s="1">
        <v>3.9291E8</v>
      </c>
      <c r="H1691" s="1">
        <v>5.54026E8</v>
      </c>
      <c r="I1691" s="1">
        <v>1.251696E9</v>
      </c>
      <c r="J1691" s="1">
        <v>0.0</v>
      </c>
      <c r="K1691" s="1">
        <v>6.25398E8</v>
      </c>
      <c r="M1691" s="1">
        <v>1.48096E8</v>
      </c>
      <c r="N1691" s="1">
        <v>1.251696E9</v>
      </c>
      <c r="O1691" s="1">
        <v>6.26298E8</v>
      </c>
      <c r="P1691" s="1">
        <v>0.0</v>
      </c>
      <c r="Q1691" s="1">
        <v>-3.8501E7</v>
      </c>
      <c r="R1691" s="1">
        <v>4.38801E8</v>
      </c>
      <c r="S1691" s="1">
        <v>3.88316E8</v>
      </c>
    </row>
    <row r="1692">
      <c r="A1692" s="1">
        <v>1690.0</v>
      </c>
      <c r="B1692" s="2">
        <v>44104.0</v>
      </c>
      <c r="C1692" s="1" t="s">
        <v>880</v>
      </c>
      <c r="D1692" s="1" t="s">
        <v>881</v>
      </c>
      <c r="F1692" s="1">
        <v>6.3632E8</v>
      </c>
      <c r="G1692" s="1">
        <v>4.46307E8</v>
      </c>
      <c r="H1692" s="1">
        <v>4.46535E8</v>
      </c>
      <c r="I1692" s="1">
        <v>1.097323E9</v>
      </c>
      <c r="J1692" s="1">
        <v>0.0</v>
      </c>
      <c r="K1692" s="1">
        <v>6.13235E8</v>
      </c>
      <c r="M1692" s="1">
        <v>1.62265E8</v>
      </c>
      <c r="N1692" s="1">
        <v>1.097323E9</v>
      </c>
      <c r="O1692" s="1">
        <v>4.84088E8</v>
      </c>
      <c r="P1692" s="1">
        <v>0.0</v>
      </c>
      <c r="Q1692" s="1">
        <v>2.3085E7</v>
      </c>
      <c r="R1692" s="1">
        <v>4.74055E8</v>
      </c>
      <c r="S1692" s="1">
        <v>4.41713E8</v>
      </c>
    </row>
    <row r="1693">
      <c r="A1693" s="1">
        <v>1691.0</v>
      </c>
      <c r="B1693" s="2">
        <v>44012.0</v>
      </c>
      <c r="C1693" s="1" t="s">
        <v>880</v>
      </c>
      <c r="D1693" s="1" t="s">
        <v>881</v>
      </c>
      <c r="F1693" s="1">
        <v>3.35658E8</v>
      </c>
      <c r="G1693" s="1">
        <v>2.33529E8</v>
      </c>
      <c r="H1693" s="1">
        <v>4.3317E8</v>
      </c>
      <c r="I1693" s="1">
        <v>8.15294E8</v>
      </c>
      <c r="J1693" s="1">
        <v>0.0</v>
      </c>
      <c r="K1693" s="1">
        <v>3.42477E8</v>
      </c>
      <c r="M1693" s="1">
        <v>8.7869E7</v>
      </c>
      <c r="N1693" s="1">
        <v>8.15294E8</v>
      </c>
      <c r="O1693" s="1">
        <v>4.72817E8</v>
      </c>
      <c r="P1693" s="1">
        <v>0.0</v>
      </c>
      <c r="Q1693" s="1">
        <v>-6819000.0</v>
      </c>
      <c r="R1693" s="1">
        <v>2.47789E8</v>
      </c>
      <c r="S1693" s="1">
        <v>2.28935E8</v>
      </c>
    </row>
    <row r="1694">
      <c r="A1694" s="1">
        <v>1692.0</v>
      </c>
      <c r="B1694" s="2">
        <v>44377.0</v>
      </c>
      <c r="C1694" s="1" t="s">
        <v>882</v>
      </c>
      <c r="D1694" s="1" t="s">
        <v>883</v>
      </c>
      <c r="F1694" s="1">
        <v>1.641E9</v>
      </c>
      <c r="G1694" s="1">
        <v>1.242E9</v>
      </c>
      <c r="H1694" s="1">
        <v>7.99E8</v>
      </c>
      <c r="I1694" s="1">
        <v>2.589E9</v>
      </c>
      <c r="J1694" s="1">
        <v>0.0</v>
      </c>
      <c r="K1694" s="1">
        <v>1.641E9</v>
      </c>
      <c r="M1694" s="1">
        <v>3.99E8</v>
      </c>
      <c r="N1694" s="1">
        <v>2.589E9</v>
      </c>
      <c r="O1694" s="1">
        <v>9.48E8</v>
      </c>
      <c r="P1694" s="1">
        <v>0.0</v>
      </c>
      <c r="Q1694" s="1">
        <v>0.0</v>
      </c>
      <c r="R1694" s="1">
        <v>1.242E9</v>
      </c>
      <c r="S1694" s="1">
        <v>1.232E9</v>
      </c>
    </row>
    <row r="1695">
      <c r="A1695" s="1">
        <v>1693.0</v>
      </c>
      <c r="B1695" s="2">
        <v>44286.0</v>
      </c>
      <c r="C1695" s="1" t="s">
        <v>882</v>
      </c>
      <c r="D1695" s="1" t="s">
        <v>883</v>
      </c>
      <c r="F1695" s="1">
        <v>1.315E9</v>
      </c>
      <c r="G1695" s="1">
        <v>1.025E9</v>
      </c>
      <c r="H1695" s="1">
        <v>7.8E8</v>
      </c>
      <c r="I1695" s="1">
        <v>2.247E9</v>
      </c>
      <c r="J1695" s="1">
        <v>0.0</v>
      </c>
      <c r="K1695" s="1">
        <v>1.315E9</v>
      </c>
      <c r="M1695" s="1">
        <v>2.9E8</v>
      </c>
      <c r="N1695" s="1">
        <v>2.247E9</v>
      </c>
      <c r="O1695" s="1">
        <v>9.32E8</v>
      </c>
      <c r="P1695" s="1">
        <v>0.0</v>
      </c>
      <c r="Q1695" s="1">
        <v>0.0</v>
      </c>
      <c r="R1695" s="1">
        <v>1.025E9</v>
      </c>
      <c r="S1695" s="1">
        <v>1.014E9</v>
      </c>
    </row>
    <row r="1696">
      <c r="A1696" s="1">
        <v>1694.0</v>
      </c>
      <c r="B1696" s="2">
        <v>44196.0</v>
      </c>
      <c r="C1696" s="1" t="s">
        <v>882</v>
      </c>
      <c r="D1696" s="1" t="s">
        <v>883</v>
      </c>
      <c r="F1696" s="1">
        <v>9.44E8</v>
      </c>
      <c r="G1696" s="1">
        <v>7.38E8</v>
      </c>
      <c r="H1696" s="1">
        <v>8.03E8</v>
      </c>
      <c r="I1696" s="1">
        <v>1.944E9</v>
      </c>
      <c r="J1696" s="1">
        <v>0.0</v>
      </c>
      <c r="K1696" s="1">
        <v>1.321E9</v>
      </c>
      <c r="M1696" s="1">
        <v>2.06E8</v>
      </c>
      <c r="N1696" s="1">
        <v>1.944E9</v>
      </c>
      <c r="O1696" s="1">
        <v>6.23E8</v>
      </c>
      <c r="P1696" s="1">
        <v>0.0</v>
      </c>
      <c r="Q1696" s="1">
        <v>-3.77E8</v>
      </c>
      <c r="R1696" s="1">
        <v>7.38E8</v>
      </c>
      <c r="S1696" s="1">
        <v>7.28E8</v>
      </c>
    </row>
    <row r="1697">
      <c r="A1697" s="1">
        <v>1695.0</v>
      </c>
      <c r="B1697" s="2">
        <v>44104.0</v>
      </c>
      <c r="C1697" s="1" t="s">
        <v>882</v>
      </c>
      <c r="D1697" s="1" t="s">
        <v>883</v>
      </c>
      <c r="F1697" s="1">
        <v>4.12E8</v>
      </c>
      <c r="G1697" s="1">
        <v>3.13E8</v>
      </c>
      <c r="H1697" s="1">
        <v>7.57E8</v>
      </c>
      <c r="I1697" s="1">
        <v>1.479E9</v>
      </c>
      <c r="J1697" s="1">
        <v>0.0</v>
      </c>
      <c r="K1697" s="1">
        <v>4.56E8</v>
      </c>
      <c r="M1697" s="1">
        <v>9.9E7</v>
      </c>
      <c r="N1697" s="1">
        <v>1.479E9</v>
      </c>
      <c r="O1697" s="1">
        <v>1.023E9</v>
      </c>
      <c r="P1697" s="1">
        <v>0.0</v>
      </c>
      <c r="Q1697" s="1">
        <v>-4.4E7</v>
      </c>
      <c r="R1697" s="1">
        <v>3.13E8</v>
      </c>
      <c r="S1697" s="1">
        <v>3.03E8</v>
      </c>
    </row>
    <row r="1698">
      <c r="A1698" s="1">
        <v>1696.0</v>
      </c>
      <c r="B1698" s="2">
        <v>44408.0</v>
      </c>
      <c r="C1698" s="1" t="s">
        <v>884</v>
      </c>
      <c r="D1698" s="1" t="s">
        <v>885</v>
      </c>
      <c r="E1698" s="1">
        <v>3.71146E8</v>
      </c>
      <c r="F1698" s="1">
        <v>2.13337E8</v>
      </c>
      <c r="G1698" s="1">
        <v>1.98646E8</v>
      </c>
      <c r="H1698" s="1">
        <v>2.55274E8</v>
      </c>
      <c r="I1698" s="1">
        <v>8.63934E8</v>
      </c>
      <c r="J1698" s="1">
        <v>2.17074E8</v>
      </c>
      <c r="K1698" s="1">
        <v>2.17074E8</v>
      </c>
      <c r="L1698" s="1">
        <v>-757000.0</v>
      </c>
      <c r="M1698" s="1">
        <v>1.4945E7</v>
      </c>
      <c r="N1698" s="1">
        <v>1.05713E9</v>
      </c>
      <c r="O1698" s="1">
        <v>8.40056E8</v>
      </c>
      <c r="P1698" s="1">
        <v>1.93196E8</v>
      </c>
      <c r="Q1698" s="1">
        <v>-3737000.0</v>
      </c>
      <c r="R1698" s="1">
        <v>1.98392E8</v>
      </c>
      <c r="S1698" s="1">
        <v>1.98646E8</v>
      </c>
    </row>
    <row r="1699">
      <c r="A1699" s="1">
        <v>1697.0</v>
      </c>
      <c r="B1699" s="2">
        <v>44316.0</v>
      </c>
      <c r="C1699" s="1" t="s">
        <v>884</v>
      </c>
      <c r="D1699" s="1" t="s">
        <v>885</v>
      </c>
      <c r="E1699" s="1">
        <v>3.62345E8</v>
      </c>
      <c r="F1699" s="1">
        <v>2.15995E8</v>
      </c>
      <c r="G1699" s="1">
        <v>1.95078E8</v>
      </c>
      <c r="H1699" s="1">
        <v>2.45448E8</v>
      </c>
      <c r="I1699" s="1">
        <v>8.21745E8</v>
      </c>
      <c r="J1699" s="1">
        <v>1.94231E8</v>
      </c>
      <c r="K1699" s="1">
        <v>1.94231E8</v>
      </c>
      <c r="L1699" s="1">
        <v>-807000.0</v>
      </c>
      <c r="M1699" s="1">
        <v>2.1193E7</v>
      </c>
      <c r="N1699" s="1">
        <v>1.024323E9</v>
      </c>
      <c r="O1699" s="1">
        <v>8.30092E8</v>
      </c>
      <c r="P1699" s="1">
        <v>2.02578E8</v>
      </c>
      <c r="Q1699" s="1">
        <v>2.1764E7</v>
      </c>
      <c r="R1699" s="1">
        <v>1.94802E8</v>
      </c>
      <c r="S1699" s="1">
        <v>1.95078E8</v>
      </c>
    </row>
    <row r="1700">
      <c r="A1700" s="1">
        <v>1698.0</v>
      </c>
      <c r="B1700" s="2">
        <v>44227.0</v>
      </c>
      <c r="C1700" s="1" t="s">
        <v>884</v>
      </c>
      <c r="D1700" s="1" t="s">
        <v>885</v>
      </c>
      <c r="E1700" s="1">
        <v>3.57468E8</v>
      </c>
      <c r="F1700" s="1">
        <v>1.77104E8</v>
      </c>
      <c r="G1700" s="1">
        <v>1.62345E8</v>
      </c>
      <c r="H1700" s="1">
        <v>2.48116E8</v>
      </c>
      <c r="I1700" s="1">
        <v>7.74208E8</v>
      </c>
      <c r="J1700" s="1">
        <v>1.48348E8</v>
      </c>
      <c r="K1700" s="1">
        <v>1.48348E8</v>
      </c>
      <c r="L1700" s="1">
        <v>-739000.0</v>
      </c>
      <c r="M1700" s="1">
        <v>1.5076E7</v>
      </c>
      <c r="N1700" s="1">
        <v>9.70321E8</v>
      </c>
      <c r="O1700" s="1">
        <v>8.21973E8</v>
      </c>
      <c r="P1700" s="1">
        <v>1.96113E8</v>
      </c>
      <c r="Q1700" s="1">
        <v>2.8756E7</v>
      </c>
      <c r="R1700" s="1">
        <v>1.62028E8</v>
      </c>
      <c r="S1700" s="1">
        <v>1.62345E8</v>
      </c>
    </row>
    <row r="1701">
      <c r="A1701" s="1">
        <v>1699.0</v>
      </c>
      <c r="B1701" s="2">
        <v>44135.0</v>
      </c>
      <c r="C1701" s="1" t="s">
        <v>884</v>
      </c>
      <c r="D1701" s="1" t="s">
        <v>885</v>
      </c>
      <c r="E1701" s="1">
        <v>3.39566E8</v>
      </c>
      <c r="F1701" s="1">
        <v>1.91566E8</v>
      </c>
      <c r="G1701" s="1">
        <v>1.97455E8</v>
      </c>
      <c r="H1701" s="1">
        <v>2.56295E8</v>
      </c>
      <c r="I1701" s="1">
        <v>8.1261E8</v>
      </c>
      <c r="J1701" s="1">
        <v>1.95745E8</v>
      </c>
      <c r="K1701" s="1">
        <v>1.95745E8</v>
      </c>
      <c r="L1701" s="1">
        <v>-750000.0</v>
      </c>
      <c r="M1701" s="1">
        <v>-4989000.0</v>
      </c>
      <c r="N1701" s="1">
        <v>1.025439E9</v>
      </c>
      <c r="O1701" s="1">
        <v>8.29694E8</v>
      </c>
      <c r="P1701" s="1">
        <v>2.12829E8</v>
      </c>
      <c r="Q1701" s="1">
        <v>-4179000.0</v>
      </c>
      <c r="R1701" s="1">
        <v>1.96555E8</v>
      </c>
      <c r="S1701" s="1">
        <v>1.97455E8</v>
      </c>
    </row>
    <row r="1702">
      <c r="A1702" s="1">
        <v>1700.0</v>
      </c>
      <c r="B1702" s="2">
        <v>44282.0</v>
      </c>
      <c r="C1702" s="1" t="s">
        <v>886</v>
      </c>
      <c r="D1702" s="1" t="s">
        <v>887</v>
      </c>
      <c r="F1702" s="1">
        <v>1.02852E8</v>
      </c>
      <c r="G1702" s="1">
        <v>8.8927E7</v>
      </c>
      <c r="H1702" s="1">
        <v>1.908018E9</v>
      </c>
      <c r="I1702" s="1">
        <v>2.122668E9</v>
      </c>
      <c r="J1702" s="1">
        <v>2.26793E8</v>
      </c>
      <c r="K1702" s="1">
        <v>2.26793E8</v>
      </c>
      <c r="L1702" s="1">
        <v>-1.45773E8</v>
      </c>
      <c r="M1702" s="1">
        <v>1.3925E7</v>
      </c>
      <c r="N1702" s="1">
        <v>1.1824589E10</v>
      </c>
      <c r="O1702" s="1">
        <v>1.1597796E10</v>
      </c>
      <c r="P1702" s="1">
        <v>9.701921E9</v>
      </c>
      <c r="Q1702" s="1">
        <v>-1.23941E8</v>
      </c>
      <c r="R1702" s="1">
        <v>8.8927E7</v>
      </c>
      <c r="S1702" s="1">
        <v>8.8927E7</v>
      </c>
    </row>
    <row r="1703">
      <c r="A1703" s="1">
        <v>1701.0</v>
      </c>
      <c r="B1703" s="2">
        <v>44191.0</v>
      </c>
      <c r="C1703" s="1" t="s">
        <v>886</v>
      </c>
      <c r="D1703" s="1" t="s">
        <v>887</v>
      </c>
      <c r="F1703" s="1">
        <v>8.112E7</v>
      </c>
      <c r="G1703" s="1">
        <v>6.7289E7</v>
      </c>
      <c r="H1703" s="1">
        <v>1.923229E9</v>
      </c>
      <c r="I1703" s="1">
        <v>2.098458E9</v>
      </c>
      <c r="J1703" s="1">
        <v>1.75229E8</v>
      </c>
      <c r="K1703" s="1">
        <v>1.75229E8</v>
      </c>
      <c r="L1703" s="1">
        <v>-1.46498E8</v>
      </c>
      <c r="M1703" s="1">
        <v>1.3831E7</v>
      </c>
      <c r="N1703" s="1">
        <v>1.1558982E10</v>
      </c>
      <c r="O1703" s="1">
        <v>1.1383753E10</v>
      </c>
      <c r="P1703" s="1">
        <v>9.460524E9</v>
      </c>
      <c r="Q1703" s="1">
        <v>-9.4109E7</v>
      </c>
      <c r="R1703" s="1">
        <v>6.7289E7</v>
      </c>
      <c r="S1703" s="1">
        <v>6.7289E7</v>
      </c>
    </row>
    <row r="1704">
      <c r="A1704" s="1">
        <v>1702.0</v>
      </c>
      <c r="B1704" s="2">
        <v>44100.0</v>
      </c>
      <c r="C1704" s="1" t="s">
        <v>886</v>
      </c>
      <c r="D1704" s="1" t="s">
        <v>887</v>
      </c>
      <c r="F1704" s="1">
        <v>2.58738E8</v>
      </c>
      <c r="G1704" s="1">
        <v>2.169E8</v>
      </c>
      <c r="H1704" s="1">
        <v>1.784838E9</v>
      </c>
      <c r="I1704" s="1">
        <v>2.219845E9</v>
      </c>
      <c r="J1704" s="1">
        <v>4.35007E8</v>
      </c>
      <c r="K1704" s="1">
        <v>4.35007E8</v>
      </c>
      <c r="L1704" s="1">
        <v>-1.46717E8</v>
      </c>
      <c r="M1704" s="1">
        <v>4.1838E7</v>
      </c>
      <c r="N1704" s="1">
        <v>1.1777379E10</v>
      </c>
      <c r="O1704" s="1">
        <v>1.1342372E10</v>
      </c>
      <c r="P1704" s="1">
        <v>9.557534E9</v>
      </c>
      <c r="Q1704" s="1">
        <v>-1.76269E8</v>
      </c>
      <c r="R1704" s="1">
        <v>2.169E8</v>
      </c>
      <c r="S1704" s="1">
        <v>2.169E8</v>
      </c>
    </row>
    <row r="1705">
      <c r="A1705" s="1">
        <v>1703.0</v>
      </c>
      <c r="B1705" s="2">
        <v>44009.0</v>
      </c>
      <c r="C1705" s="1" t="s">
        <v>886</v>
      </c>
      <c r="D1705" s="1" t="s">
        <v>887</v>
      </c>
      <c r="F1705" s="1">
        <v>-7.36245E8</v>
      </c>
      <c r="G1705" s="1">
        <v>-6.18419E8</v>
      </c>
      <c r="H1705" s="1">
        <v>1.589107E9</v>
      </c>
      <c r="I1705" s="1">
        <v>1.565655E9</v>
      </c>
      <c r="J1705" s="1">
        <v>-3.4124E7</v>
      </c>
      <c r="K1705" s="1">
        <v>-3.4124E7</v>
      </c>
      <c r="L1705" s="1">
        <v>-1.64269E8</v>
      </c>
      <c r="M1705" s="1">
        <v>-1.17826E8</v>
      </c>
      <c r="N1705" s="1">
        <v>8.866564E9</v>
      </c>
      <c r="O1705" s="1">
        <v>8.900688E9</v>
      </c>
      <c r="P1705" s="1">
        <v>7.300909E9</v>
      </c>
      <c r="Q1705" s="1">
        <v>-7.02121E8</v>
      </c>
      <c r="R1705" s="1">
        <v>-6.18419E8</v>
      </c>
      <c r="S1705" s="1">
        <v>-6.18419E8</v>
      </c>
    </row>
    <row r="1706">
      <c r="A1706" s="1">
        <v>1704.0</v>
      </c>
      <c r="B1706" s="2">
        <v>44377.0</v>
      </c>
      <c r="C1706" s="1" t="s">
        <v>888</v>
      </c>
      <c r="D1706" s="1" t="s">
        <v>889</v>
      </c>
      <c r="F1706" s="1">
        <v>1.255E9</v>
      </c>
      <c r="G1706" s="1">
        <v>9.78E8</v>
      </c>
      <c r="H1706" s="1">
        <v>4.572E9</v>
      </c>
      <c r="I1706" s="1">
        <v>1.1366E10</v>
      </c>
      <c r="J1706" s="1">
        <v>2.717E9</v>
      </c>
      <c r="K1706" s="1">
        <v>2.717E9</v>
      </c>
      <c r="L1706" s="1">
        <v>-8.52E8</v>
      </c>
      <c r="M1706" s="1">
        <v>2.77E8</v>
      </c>
      <c r="N1706" s="1">
        <v>1.995E10</v>
      </c>
      <c r="O1706" s="1">
        <v>1.7233E10</v>
      </c>
      <c r="P1706" s="1">
        <v>8.584E9</v>
      </c>
      <c r="Q1706" s="1">
        <v>-1.462E9</v>
      </c>
      <c r="R1706" s="1">
        <v>9.78E8</v>
      </c>
      <c r="S1706" s="1">
        <v>9.78E8</v>
      </c>
    </row>
    <row r="1707">
      <c r="A1707" s="1">
        <v>1705.0</v>
      </c>
      <c r="B1707" s="2">
        <v>44286.0</v>
      </c>
      <c r="C1707" s="1" t="s">
        <v>888</v>
      </c>
      <c r="D1707" s="1" t="s">
        <v>889</v>
      </c>
      <c r="F1707" s="1">
        <v>1.179E9</v>
      </c>
      <c r="G1707" s="1">
        <v>9.33E8</v>
      </c>
      <c r="H1707" s="1">
        <v>4.66E9</v>
      </c>
      <c r="I1707" s="1">
        <v>1.1386E10</v>
      </c>
      <c r="J1707" s="1">
        <v>2.437E9</v>
      </c>
      <c r="K1707" s="1">
        <v>2.437E9</v>
      </c>
      <c r="L1707" s="1">
        <v>-8.38E8</v>
      </c>
      <c r="M1707" s="1">
        <v>2.46E8</v>
      </c>
      <c r="N1707" s="1">
        <v>1.9759E10</v>
      </c>
      <c r="O1707" s="1">
        <v>1.7322E10</v>
      </c>
      <c r="P1707" s="1">
        <v>8.373E9</v>
      </c>
      <c r="Q1707" s="1">
        <v>-1.258E9</v>
      </c>
      <c r="R1707" s="1">
        <v>9.33E8</v>
      </c>
      <c r="S1707" s="1">
        <v>9.33E8</v>
      </c>
    </row>
    <row r="1708">
      <c r="A1708" s="1">
        <v>1706.0</v>
      </c>
      <c r="B1708" s="2">
        <v>44196.0</v>
      </c>
      <c r="C1708" s="1" t="s">
        <v>888</v>
      </c>
      <c r="D1708" s="1" t="s">
        <v>889</v>
      </c>
      <c r="F1708" s="1">
        <v>8.21E8</v>
      </c>
      <c r="G1708" s="1">
        <v>7.5E8</v>
      </c>
      <c r="H1708" s="1">
        <v>4.607E9</v>
      </c>
      <c r="I1708" s="1">
        <v>1.1222E10</v>
      </c>
      <c r="J1708" s="1">
        <v>2.396E9</v>
      </c>
      <c r="K1708" s="1">
        <v>2.396E9</v>
      </c>
      <c r="L1708" s="1">
        <v>-7.98E8</v>
      </c>
      <c r="M1708" s="1">
        <v>7.1E7</v>
      </c>
      <c r="N1708" s="1">
        <v>2.0341E10</v>
      </c>
      <c r="O1708" s="1">
        <v>1.7945E10</v>
      </c>
      <c r="P1708" s="1">
        <v>9.119E9</v>
      </c>
      <c r="Q1708" s="1">
        <v>-1.575E9</v>
      </c>
      <c r="R1708" s="1">
        <v>7.5E8</v>
      </c>
      <c r="S1708" s="1">
        <v>7.5E8</v>
      </c>
    </row>
    <row r="1709">
      <c r="A1709" s="1">
        <v>1707.0</v>
      </c>
      <c r="B1709" s="2">
        <v>44104.0</v>
      </c>
      <c r="C1709" s="1" t="s">
        <v>888</v>
      </c>
      <c r="D1709" s="1" t="s">
        <v>889</v>
      </c>
      <c r="F1709" s="1">
        <v>1.66E9</v>
      </c>
      <c r="G1709" s="1">
        <v>1.253E9</v>
      </c>
      <c r="H1709" s="1">
        <v>4.67E9</v>
      </c>
      <c r="I1709" s="1">
        <v>1.167E10</v>
      </c>
      <c r="J1709" s="1">
        <v>2.85E9</v>
      </c>
      <c r="K1709" s="1">
        <v>2.85E9</v>
      </c>
      <c r="L1709" s="1">
        <v>-8.09E8</v>
      </c>
      <c r="M1709" s="1">
        <v>4.07E8</v>
      </c>
      <c r="N1709" s="1">
        <v>1.9272E10</v>
      </c>
      <c r="O1709" s="1">
        <v>1.6422E10</v>
      </c>
      <c r="P1709" s="1">
        <v>7.602E9</v>
      </c>
      <c r="Q1709" s="1">
        <v>-1.19E9</v>
      </c>
      <c r="R1709" s="1">
        <v>1.253E9</v>
      </c>
      <c r="S1709" s="1">
        <v>1.253E9</v>
      </c>
    </row>
    <row r="1710">
      <c r="A1710" s="1">
        <v>1708.0</v>
      </c>
      <c r="B1710" s="2">
        <v>44377.0</v>
      </c>
      <c r="C1710" s="1" t="s">
        <v>890</v>
      </c>
      <c r="D1710" s="1" t="s">
        <v>891</v>
      </c>
      <c r="F1710" s="1">
        <v>1.102E9</v>
      </c>
      <c r="G1710" s="1">
        <v>8.157E8</v>
      </c>
      <c r="H1710" s="1">
        <v>2.314E8</v>
      </c>
      <c r="I1710" s="1">
        <v>1.1895E9</v>
      </c>
      <c r="J1710" s="1">
        <v>9.581E8</v>
      </c>
      <c r="K1710" s="1">
        <v>9.581E8</v>
      </c>
      <c r="M1710" s="1">
        <v>2.593E8</v>
      </c>
      <c r="N1710" s="1">
        <v>1.9293E9</v>
      </c>
      <c r="O1710" s="1">
        <v>9.712E8</v>
      </c>
      <c r="P1710" s="1">
        <v>7.398E8</v>
      </c>
      <c r="Q1710" s="1">
        <v>1.439E8</v>
      </c>
      <c r="R1710" s="1">
        <v>8.427E8</v>
      </c>
      <c r="S1710" s="1">
        <v>7.935E8</v>
      </c>
    </row>
    <row r="1711">
      <c r="A1711" s="1">
        <v>1709.0</v>
      </c>
      <c r="B1711" s="2">
        <v>44286.0</v>
      </c>
      <c r="C1711" s="1" t="s">
        <v>890</v>
      </c>
      <c r="D1711" s="1" t="s">
        <v>891</v>
      </c>
      <c r="F1711" s="1">
        <v>9.953E8</v>
      </c>
      <c r="G1711" s="1">
        <v>7.494E8</v>
      </c>
      <c r="H1711" s="1">
        <v>2.235E8</v>
      </c>
      <c r="I1711" s="1">
        <v>1.1167E9</v>
      </c>
      <c r="J1711" s="1">
        <v>8.932E8</v>
      </c>
      <c r="K1711" s="1">
        <v>8.932E8</v>
      </c>
      <c r="M1711" s="1">
        <v>2.305E8</v>
      </c>
      <c r="N1711" s="1">
        <v>1.8268E9</v>
      </c>
      <c r="O1711" s="1">
        <v>9.336E8</v>
      </c>
      <c r="P1711" s="1">
        <v>7.101E8</v>
      </c>
      <c r="Q1711" s="1">
        <v>1.021E8</v>
      </c>
      <c r="R1711" s="1">
        <v>7.648E8</v>
      </c>
      <c r="S1711" s="1">
        <v>7.295E8</v>
      </c>
    </row>
    <row r="1712">
      <c r="A1712" s="1">
        <v>1710.0</v>
      </c>
      <c r="B1712" s="2">
        <v>44196.0</v>
      </c>
      <c r="C1712" s="1" t="s">
        <v>890</v>
      </c>
      <c r="D1712" s="1" t="s">
        <v>891</v>
      </c>
      <c r="F1712" s="1">
        <v>1.146E9</v>
      </c>
      <c r="G1712" s="1">
        <v>7.834E8</v>
      </c>
      <c r="H1712" s="1">
        <v>2.218E8</v>
      </c>
      <c r="I1712" s="1">
        <v>9.777E8</v>
      </c>
      <c r="J1712" s="1">
        <v>7.559E8</v>
      </c>
      <c r="K1712" s="1">
        <v>7.559E8</v>
      </c>
      <c r="M1712" s="1">
        <v>2.164E8</v>
      </c>
      <c r="N1712" s="1">
        <v>1.7329E9</v>
      </c>
      <c r="O1712" s="1">
        <v>9.77E8</v>
      </c>
      <c r="P1712" s="1">
        <v>7.552E8</v>
      </c>
      <c r="Q1712" s="1">
        <v>3.901E8</v>
      </c>
      <c r="R1712" s="1">
        <v>9.296E8</v>
      </c>
      <c r="S1712" s="1">
        <v>7.622E8</v>
      </c>
    </row>
    <row r="1713">
      <c r="A1713" s="1">
        <v>1711.0</v>
      </c>
      <c r="B1713" s="2">
        <v>44104.0</v>
      </c>
      <c r="C1713" s="1" t="s">
        <v>890</v>
      </c>
      <c r="D1713" s="1" t="s">
        <v>891</v>
      </c>
      <c r="F1713" s="1">
        <v>9.205E8</v>
      </c>
      <c r="G1713" s="1">
        <v>6.432E8</v>
      </c>
      <c r="H1713" s="1">
        <v>2.043E8</v>
      </c>
      <c r="I1713" s="1">
        <v>9.332E8</v>
      </c>
      <c r="J1713" s="1">
        <v>7.289E8</v>
      </c>
      <c r="K1713" s="1">
        <v>7.289E8</v>
      </c>
      <c r="M1713" s="1">
        <v>2.219E8</v>
      </c>
      <c r="N1713" s="1">
        <v>1.5958E9</v>
      </c>
      <c r="O1713" s="1">
        <v>8.669E8</v>
      </c>
      <c r="P1713" s="1">
        <v>6.626E8</v>
      </c>
      <c r="Q1713" s="1">
        <v>1.916E8</v>
      </c>
      <c r="R1713" s="1">
        <v>6.986E8</v>
      </c>
      <c r="S1713" s="1">
        <v>6.253E8</v>
      </c>
    </row>
    <row r="1714">
      <c r="A1714" s="1">
        <v>1712.0</v>
      </c>
      <c r="B1714" s="2">
        <v>44469.0</v>
      </c>
      <c r="C1714" s="1" t="s">
        <v>892</v>
      </c>
      <c r="D1714" s="1" t="s">
        <v>893</v>
      </c>
      <c r="E1714" s="1">
        <v>1.01508E8</v>
      </c>
      <c r="F1714" s="1">
        <v>1.9974E7</v>
      </c>
      <c r="G1714" s="1">
        <v>1.0297E7</v>
      </c>
      <c r="H1714" s="1">
        <v>2.40401E8</v>
      </c>
      <c r="I1714" s="1">
        <v>4.56794E8</v>
      </c>
      <c r="J1714" s="1">
        <v>9.8704E7</v>
      </c>
      <c r="K1714" s="1">
        <v>9.8704E7</v>
      </c>
      <c r="L1714" s="1">
        <v>-113000.0</v>
      </c>
      <c r="M1714" s="1">
        <v>9677000.0</v>
      </c>
      <c r="N1714" s="1">
        <v>8.58198E8</v>
      </c>
      <c r="O1714" s="1">
        <v>7.59494E8</v>
      </c>
      <c r="P1714" s="1">
        <v>4.01404E8</v>
      </c>
      <c r="Q1714" s="1">
        <v>-7.873E7</v>
      </c>
      <c r="R1714" s="1">
        <v>1.0297E7</v>
      </c>
      <c r="S1714" s="1">
        <v>1.0297E7</v>
      </c>
    </row>
    <row r="1715">
      <c r="A1715" s="1">
        <v>1713.0</v>
      </c>
      <c r="B1715" s="2">
        <v>44377.0</v>
      </c>
      <c r="C1715" s="1" t="s">
        <v>892</v>
      </c>
      <c r="D1715" s="1" t="s">
        <v>893</v>
      </c>
      <c r="E1715" s="1">
        <v>9.2294E7</v>
      </c>
      <c r="F1715" s="1">
        <v>1.71444E8</v>
      </c>
      <c r="G1715" s="1">
        <v>1.52256E8</v>
      </c>
      <c r="H1715" s="1">
        <v>2.06298E8</v>
      </c>
      <c r="I1715" s="1">
        <v>4.93402E8</v>
      </c>
      <c r="J1715" s="1">
        <v>1.82345E8</v>
      </c>
      <c r="K1715" s="1">
        <v>1.82345E8</v>
      </c>
      <c r="L1715" s="1">
        <v>-145000.0</v>
      </c>
      <c r="M1715" s="1">
        <v>1.9188E7</v>
      </c>
      <c r="N1715" s="1">
        <v>8.13346E8</v>
      </c>
      <c r="O1715" s="1">
        <v>6.31001E8</v>
      </c>
      <c r="P1715" s="1">
        <v>3.19944E8</v>
      </c>
      <c r="Q1715" s="1">
        <v>-1.0901E7</v>
      </c>
      <c r="R1715" s="1">
        <v>1.52256E8</v>
      </c>
      <c r="S1715" s="1">
        <v>1.52256E8</v>
      </c>
    </row>
    <row r="1716">
      <c r="A1716" s="1">
        <v>1714.0</v>
      </c>
      <c r="B1716" s="2">
        <v>44286.0</v>
      </c>
      <c r="C1716" s="1" t="s">
        <v>892</v>
      </c>
      <c r="D1716" s="1" t="s">
        <v>893</v>
      </c>
      <c r="E1716" s="1">
        <v>8.3559E7</v>
      </c>
      <c r="F1716" s="1">
        <v>2.53591E8</v>
      </c>
      <c r="G1716" s="1">
        <v>2.18812E8</v>
      </c>
      <c r="H1716" s="1">
        <v>2.05062E8</v>
      </c>
      <c r="I1716" s="1">
        <v>5.7363E8</v>
      </c>
      <c r="J1716" s="1">
        <v>2.69529E8</v>
      </c>
      <c r="K1716" s="1">
        <v>2.69529E8</v>
      </c>
      <c r="L1716" s="1">
        <v>-5902000.0</v>
      </c>
      <c r="M1716" s="1">
        <v>3.4779E7</v>
      </c>
      <c r="N1716" s="1">
        <v>8.39431E8</v>
      </c>
      <c r="O1716" s="1">
        <v>5.69902E8</v>
      </c>
      <c r="P1716" s="1">
        <v>2.65801E8</v>
      </c>
      <c r="Q1716" s="1">
        <v>-1.5938E7</v>
      </c>
      <c r="R1716" s="1">
        <v>2.18812E8</v>
      </c>
      <c r="S1716" s="1">
        <v>2.18812E8</v>
      </c>
    </row>
    <row r="1717">
      <c r="A1717" s="1">
        <v>1715.0</v>
      </c>
      <c r="B1717" s="2">
        <v>44196.0</v>
      </c>
      <c r="C1717" s="1" t="s">
        <v>892</v>
      </c>
      <c r="D1717" s="1" t="s">
        <v>893</v>
      </c>
      <c r="E1717" s="1">
        <v>8.6428E7</v>
      </c>
      <c r="F1717" s="1">
        <v>2.16446E8</v>
      </c>
      <c r="G1717" s="1">
        <v>1.82248E8</v>
      </c>
      <c r="H1717" s="1">
        <v>2.38489E8</v>
      </c>
      <c r="I1717" s="1">
        <v>5.20177E8</v>
      </c>
      <c r="J1717" s="1">
        <v>1.81253E8</v>
      </c>
      <c r="K1717" s="1">
        <v>1.81253E8</v>
      </c>
      <c r="L1717" s="1">
        <v>-141000.0</v>
      </c>
      <c r="M1717" s="1">
        <v>3.4198E7</v>
      </c>
      <c r="N1717" s="1">
        <v>8.60889E8</v>
      </c>
      <c r="O1717" s="1">
        <v>6.79636E8</v>
      </c>
      <c r="P1717" s="1">
        <v>3.40712E8</v>
      </c>
      <c r="Q1717" s="1">
        <v>3.5193E7</v>
      </c>
      <c r="R1717" s="1">
        <v>1.82248E8</v>
      </c>
      <c r="S1717" s="1">
        <v>1.82248E8</v>
      </c>
    </row>
    <row r="1718">
      <c r="A1718" s="1">
        <v>1716.0</v>
      </c>
      <c r="B1718" s="2">
        <v>44380.0</v>
      </c>
      <c r="C1718" s="1" t="s">
        <v>894</v>
      </c>
      <c r="D1718" s="1" t="s">
        <v>895</v>
      </c>
      <c r="F1718" s="1">
        <v>2.422E8</v>
      </c>
      <c r="G1718" s="1">
        <v>1.998E8</v>
      </c>
      <c r="H1718" s="1">
        <v>8.855E8</v>
      </c>
      <c r="I1718" s="1">
        <v>1.158E9</v>
      </c>
      <c r="J1718" s="1">
        <v>2.725E8</v>
      </c>
      <c r="K1718" s="1">
        <v>2.725E8</v>
      </c>
      <c r="L1718" s="1">
        <v>-1.71E7</v>
      </c>
      <c r="M1718" s="1">
        <v>4.24E7</v>
      </c>
      <c r="N1718" s="1">
        <v>1.6154E9</v>
      </c>
      <c r="O1718" s="1">
        <v>1.3429E9</v>
      </c>
      <c r="P1718" s="1">
        <v>4.574E8</v>
      </c>
      <c r="Q1718" s="1">
        <v>-3.03E7</v>
      </c>
      <c r="R1718" s="1">
        <v>1.998E8</v>
      </c>
      <c r="S1718" s="1">
        <v>1.998E8</v>
      </c>
    </row>
    <row r="1719">
      <c r="A1719" s="1">
        <v>1717.0</v>
      </c>
      <c r="B1719" s="2">
        <v>44282.0</v>
      </c>
      <c r="C1719" s="1" t="s">
        <v>894</v>
      </c>
      <c r="D1719" s="1" t="s">
        <v>895</v>
      </c>
      <c r="F1719" s="1">
        <v>9.54E7</v>
      </c>
      <c r="G1719" s="1">
        <v>9.17E7</v>
      </c>
      <c r="H1719" s="1">
        <v>7.29E8</v>
      </c>
      <c r="I1719" s="1">
        <v>9.119E8</v>
      </c>
      <c r="J1719" s="1">
        <v>1.829E8</v>
      </c>
      <c r="K1719" s="1">
        <v>1.829E8</v>
      </c>
      <c r="L1719" s="1">
        <v>-1.74E7</v>
      </c>
      <c r="M1719" s="1">
        <v>3700000.0</v>
      </c>
      <c r="N1719" s="1">
        <v>1.2733E9</v>
      </c>
      <c r="O1719" s="1">
        <v>1.0904E9</v>
      </c>
      <c r="P1719" s="1">
        <v>3.614E8</v>
      </c>
      <c r="Q1719" s="1">
        <v>-8.75E7</v>
      </c>
      <c r="R1719" s="1">
        <v>9.17E7</v>
      </c>
      <c r="S1719" s="1">
        <v>9.17E7</v>
      </c>
    </row>
    <row r="1720">
      <c r="A1720" s="1">
        <v>1718.0</v>
      </c>
      <c r="B1720" s="2">
        <v>44191.0</v>
      </c>
      <c r="C1720" s="1" t="s">
        <v>894</v>
      </c>
      <c r="D1720" s="1" t="s">
        <v>895</v>
      </c>
      <c r="F1720" s="1">
        <v>3.743E8</v>
      </c>
      <c r="G1720" s="1">
        <v>3.11E8</v>
      </c>
      <c r="H1720" s="1">
        <v>7.626E8</v>
      </c>
      <c r="I1720" s="1">
        <v>1.1737E9</v>
      </c>
      <c r="J1720" s="1">
        <v>4.111E8</v>
      </c>
      <c r="K1720" s="1">
        <v>4.111E8</v>
      </c>
      <c r="L1720" s="1">
        <v>-1.94E7</v>
      </c>
      <c r="M1720" s="1">
        <v>6.33E7</v>
      </c>
      <c r="N1720" s="1">
        <v>1.6854E9</v>
      </c>
      <c r="O1720" s="1">
        <v>1.2743E9</v>
      </c>
      <c r="P1720" s="1">
        <v>5.117E8</v>
      </c>
      <c r="Q1720" s="1">
        <v>-3.68E7</v>
      </c>
      <c r="R1720" s="1">
        <v>3.11E8</v>
      </c>
      <c r="S1720" s="1">
        <v>3.11E8</v>
      </c>
    </row>
    <row r="1721">
      <c r="A1721" s="1">
        <v>1719.0</v>
      </c>
      <c r="B1721" s="2">
        <v>44100.0</v>
      </c>
      <c r="C1721" s="1" t="s">
        <v>894</v>
      </c>
      <c r="D1721" s="1" t="s">
        <v>895</v>
      </c>
      <c r="F1721" s="1">
        <v>1.854E8</v>
      </c>
      <c r="G1721" s="1">
        <v>2.317E8</v>
      </c>
      <c r="H1721" s="1">
        <v>6.014E8</v>
      </c>
      <c r="I1721" s="1">
        <v>8.302E8</v>
      </c>
      <c r="J1721" s="1">
        <v>2.288E8</v>
      </c>
      <c r="K1721" s="1">
        <v>2.288E8</v>
      </c>
      <c r="L1721" s="1">
        <v>-2.02E7</v>
      </c>
      <c r="M1721" s="1">
        <v>-4.63E7</v>
      </c>
      <c r="N1721" s="1">
        <v>1.1722E9</v>
      </c>
      <c r="O1721" s="1">
        <v>9.434E8</v>
      </c>
      <c r="P1721" s="1">
        <v>3.42E8</v>
      </c>
      <c r="Q1721" s="1">
        <v>-4.34E7</v>
      </c>
      <c r="R1721" s="1">
        <v>2.317E8</v>
      </c>
      <c r="S1721" s="1">
        <v>2.317E8</v>
      </c>
    </row>
    <row r="1722">
      <c r="A1722" s="1">
        <v>1720.0</v>
      </c>
      <c r="B1722" s="2">
        <v>44408.0</v>
      </c>
      <c r="C1722" s="1" t="s">
        <v>896</v>
      </c>
      <c r="D1722" s="1" t="s">
        <v>897</v>
      </c>
      <c r="F1722" s="1">
        <v>2.37E9</v>
      </c>
      <c r="G1722" s="1">
        <v>1.817E9</v>
      </c>
      <c r="H1722" s="1">
        <v>4.802E9</v>
      </c>
      <c r="I1722" s="1">
        <v>7.88E9</v>
      </c>
      <c r="J1722" s="1">
        <v>2.514E9</v>
      </c>
      <c r="K1722" s="1">
        <v>2.514E9</v>
      </c>
      <c r="L1722" s="1">
        <v>-1.04E8</v>
      </c>
      <c r="M1722" s="1">
        <v>5.53E8</v>
      </c>
      <c r="N1722" s="1">
        <v>2.516E10</v>
      </c>
      <c r="O1722" s="1">
        <v>2.2646E10</v>
      </c>
      <c r="P1722" s="1">
        <v>1.728E10</v>
      </c>
      <c r="Q1722" s="1">
        <v>-1.44E8</v>
      </c>
      <c r="R1722" s="1">
        <v>1.817E9</v>
      </c>
      <c r="S1722" s="1">
        <v>1.817E9</v>
      </c>
    </row>
    <row r="1723">
      <c r="A1723" s="1">
        <v>1721.0</v>
      </c>
      <c r="B1723" s="2">
        <v>44317.0</v>
      </c>
      <c r="C1723" s="1" t="s">
        <v>896</v>
      </c>
      <c r="D1723" s="1" t="s">
        <v>897</v>
      </c>
      <c r="F1723" s="1">
        <v>2.609E9</v>
      </c>
      <c r="G1723" s="1">
        <v>2.097E9</v>
      </c>
      <c r="H1723" s="1">
        <v>4.462E9</v>
      </c>
      <c r="I1723" s="1">
        <v>7.481E9</v>
      </c>
      <c r="J1723" s="1">
        <v>2.421E9</v>
      </c>
      <c r="K1723" s="1">
        <v>2.421E9</v>
      </c>
      <c r="L1723" s="1">
        <v>-1.08E8</v>
      </c>
      <c r="M1723" s="1">
        <v>5.12E8</v>
      </c>
      <c r="N1723" s="1">
        <v>2.4197E10</v>
      </c>
      <c r="O1723" s="1">
        <v>2.1776E10</v>
      </c>
      <c r="P1723" s="1">
        <v>1.6716E10</v>
      </c>
      <c r="Q1723" s="1">
        <v>1.88E8</v>
      </c>
      <c r="R1723" s="1">
        <v>2.097E9</v>
      </c>
      <c r="S1723" s="1">
        <v>2.097E9</v>
      </c>
    </row>
    <row r="1724">
      <c r="A1724" s="1">
        <v>1722.0</v>
      </c>
      <c r="B1724" s="2">
        <v>44226.0</v>
      </c>
      <c r="C1724" s="1" t="s">
        <v>896</v>
      </c>
      <c r="D1724" s="1" t="s">
        <v>897</v>
      </c>
      <c r="F1724" s="1">
        <v>1.73E9</v>
      </c>
      <c r="G1724" s="1">
        <v>1.38E9</v>
      </c>
      <c r="H1724" s="1">
        <v>5.446E9</v>
      </c>
      <c r="I1724" s="1">
        <v>7.638E9</v>
      </c>
      <c r="J1724" s="1">
        <v>1.622E9</v>
      </c>
      <c r="K1724" s="1">
        <v>1.622E9</v>
      </c>
      <c r="L1724" s="1">
        <v>-1.06E8</v>
      </c>
      <c r="M1724" s="1">
        <v>3.5E8</v>
      </c>
      <c r="N1724" s="1">
        <v>2.8339E10</v>
      </c>
      <c r="O1724" s="1">
        <v>2.6717E10</v>
      </c>
      <c r="P1724" s="1">
        <v>2.0701E10</v>
      </c>
      <c r="Q1724" s="1">
        <v>1.08E8</v>
      </c>
      <c r="R1724" s="1">
        <v>1.38E9</v>
      </c>
      <c r="S1724" s="1">
        <v>1.38E9</v>
      </c>
    </row>
    <row r="1725">
      <c r="A1725" s="1">
        <v>1723.0</v>
      </c>
      <c r="B1725" s="2">
        <v>44135.0</v>
      </c>
      <c r="C1725" s="1" t="s">
        <v>896</v>
      </c>
      <c r="D1725" s="1" t="s">
        <v>897</v>
      </c>
      <c r="F1725" s="1">
        <v>1.298E9</v>
      </c>
      <c r="G1725" s="1">
        <v>1.014E9</v>
      </c>
      <c r="H1725" s="1">
        <v>4.644E9</v>
      </c>
      <c r="I1725" s="1">
        <v>7.123E9</v>
      </c>
      <c r="J1725" s="1">
        <v>1.938E9</v>
      </c>
      <c r="K1725" s="1">
        <v>1.938E9</v>
      </c>
      <c r="L1725" s="1">
        <v>-1.2E8</v>
      </c>
      <c r="M1725" s="1">
        <v>2.84E8</v>
      </c>
      <c r="N1725" s="1">
        <v>2.2632E10</v>
      </c>
      <c r="O1725" s="1">
        <v>2.0694E10</v>
      </c>
      <c r="P1725" s="1">
        <v>1.5509E10</v>
      </c>
      <c r="Q1725" s="1">
        <v>-6.4E8</v>
      </c>
      <c r="R1725" s="1">
        <v>1.014E9</v>
      </c>
      <c r="S1725" s="1">
        <v>1.014E9</v>
      </c>
    </row>
    <row r="1726">
      <c r="A1726" s="1">
        <v>1724.0</v>
      </c>
      <c r="B1726" s="2">
        <v>44372.0</v>
      </c>
      <c r="C1726" s="1" t="s">
        <v>898</v>
      </c>
      <c r="D1726" s="1" t="s">
        <v>899</v>
      </c>
      <c r="E1726" s="1">
        <v>1.68E8</v>
      </c>
      <c r="F1726" s="1">
        <v>7.05E8</v>
      </c>
      <c r="G1726" s="1">
        <v>5.8E8</v>
      </c>
      <c r="H1726" s="1">
        <v>3.62E8</v>
      </c>
      <c r="I1726" s="1">
        <v>1.268E9</v>
      </c>
      <c r="J1726" s="1">
        <v>7.37E8</v>
      </c>
      <c r="K1726" s="1">
        <v>7.37E8</v>
      </c>
      <c r="L1726" s="1">
        <v>-1.4E7</v>
      </c>
      <c r="M1726" s="1">
        <v>1.24E8</v>
      </c>
      <c r="N1726" s="1">
        <v>3.845E9</v>
      </c>
      <c r="O1726" s="1">
        <v>3.108E9</v>
      </c>
      <c r="P1726" s="1">
        <v>2.577E9</v>
      </c>
      <c r="Q1726" s="1">
        <v>-3.2E7</v>
      </c>
      <c r="R1726" s="1">
        <v>5.81E8</v>
      </c>
      <c r="S1726" s="1">
        <v>5.8E8</v>
      </c>
    </row>
    <row r="1727">
      <c r="A1727" s="1">
        <v>1725.0</v>
      </c>
      <c r="B1727" s="2">
        <v>44281.0</v>
      </c>
      <c r="C1727" s="1" t="s">
        <v>898</v>
      </c>
      <c r="D1727" s="1" t="s">
        <v>899</v>
      </c>
      <c r="E1727" s="1">
        <v>1.74E8</v>
      </c>
      <c r="F1727" s="1">
        <v>6.11E8</v>
      </c>
      <c r="G1727" s="1">
        <v>5.06E8</v>
      </c>
      <c r="H1727" s="1">
        <v>3.97E8</v>
      </c>
      <c r="I1727" s="1">
        <v>1.21E9</v>
      </c>
      <c r="J1727" s="1">
        <v>6.37E8</v>
      </c>
      <c r="K1727" s="1">
        <v>6.37E8</v>
      </c>
      <c r="L1727" s="1">
        <v>-1.3E7</v>
      </c>
      <c r="M1727" s="1">
        <v>1.06E8</v>
      </c>
      <c r="N1727" s="1">
        <v>3.738E9</v>
      </c>
      <c r="O1727" s="1">
        <v>3.101E9</v>
      </c>
      <c r="P1727" s="1">
        <v>2.528E9</v>
      </c>
      <c r="Q1727" s="1">
        <v>-2.6E7</v>
      </c>
      <c r="R1727" s="1">
        <v>5.05E8</v>
      </c>
      <c r="S1727" s="1">
        <v>5.06E8</v>
      </c>
    </row>
    <row r="1728">
      <c r="A1728" s="1">
        <v>1726.0</v>
      </c>
      <c r="B1728" s="2">
        <v>44190.0</v>
      </c>
      <c r="C1728" s="1" t="s">
        <v>898</v>
      </c>
      <c r="D1728" s="1" t="s">
        <v>899</v>
      </c>
      <c r="E1728" s="1">
        <v>1.62E8</v>
      </c>
      <c r="F1728" s="1">
        <v>4.35E8</v>
      </c>
      <c r="G1728" s="1">
        <v>3.81E8</v>
      </c>
      <c r="H1728" s="1">
        <v>3.58E8</v>
      </c>
      <c r="I1728" s="1">
        <v>1.146E9</v>
      </c>
      <c r="J1728" s="1">
        <v>6.08E8</v>
      </c>
      <c r="K1728" s="1">
        <v>6.08E8</v>
      </c>
      <c r="L1728" s="1">
        <v>-1.5E7</v>
      </c>
      <c r="M1728" s="1">
        <v>6.0E7</v>
      </c>
      <c r="N1728" s="1">
        <v>3.522E9</v>
      </c>
      <c r="O1728" s="1">
        <v>2.914E9</v>
      </c>
      <c r="P1728" s="1">
        <v>2.376E9</v>
      </c>
      <c r="Q1728" s="1">
        <v>-1.73E8</v>
      </c>
      <c r="R1728" s="1">
        <v>3.75E8</v>
      </c>
      <c r="S1728" s="1">
        <v>3.81E8</v>
      </c>
    </row>
    <row r="1729">
      <c r="A1729" s="1">
        <v>1727.0</v>
      </c>
      <c r="B1729" s="2">
        <v>44099.0</v>
      </c>
      <c r="C1729" s="1" t="s">
        <v>898</v>
      </c>
      <c r="D1729" s="1" t="s">
        <v>899</v>
      </c>
      <c r="E1729" s="1">
        <v>1.48E8</v>
      </c>
      <c r="F1729" s="1">
        <v>3.37E8</v>
      </c>
      <c r="G1729" s="1">
        <v>2.3E8</v>
      </c>
      <c r="H1729" s="1">
        <v>3.52E8</v>
      </c>
      <c r="I1729" s="1">
        <v>9.69E8</v>
      </c>
      <c r="J1729" s="1">
        <v>4.69E8</v>
      </c>
      <c r="K1729" s="1">
        <v>4.69E8</v>
      </c>
      <c r="L1729" s="1">
        <v>-1.2E7</v>
      </c>
      <c r="M1729" s="1">
        <v>1.09E8</v>
      </c>
      <c r="N1729" s="1">
        <v>3.261E9</v>
      </c>
      <c r="O1729" s="1">
        <v>2.792E9</v>
      </c>
      <c r="P1729" s="1">
        <v>2.292E9</v>
      </c>
      <c r="Q1729" s="1">
        <v>-1.32E8</v>
      </c>
      <c r="R1729" s="1">
        <v>2.28E8</v>
      </c>
      <c r="S1729" s="1">
        <v>2.3E8</v>
      </c>
    </row>
    <row r="1730">
      <c r="A1730" s="1">
        <v>1728.0</v>
      </c>
      <c r="B1730" s="2">
        <v>44381.0</v>
      </c>
      <c r="C1730" s="1" t="s">
        <v>900</v>
      </c>
      <c r="D1730" s="1" t="s">
        <v>901</v>
      </c>
      <c r="F1730" s="1">
        <v>9.21E7</v>
      </c>
      <c r="G1730" s="1">
        <v>6.47E7</v>
      </c>
      <c r="H1730" s="1">
        <v>2.237E8</v>
      </c>
      <c r="I1730" s="1">
        <v>4.816E8</v>
      </c>
      <c r="J1730" s="1">
        <v>2.251E8</v>
      </c>
      <c r="K1730" s="1">
        <v>2.251E8</v>
      </c>
      <c r="L1730" s="1">
        <v>-2.12E7</v>
      </c>
      <c r="M1730" s="1">
        <v>2.74E7</v>
      </c>
      <c r="N1730" s="1">
        <v>1.121E9</v>
      </c>
      <c r="O1730" s="1">
        <v>8.959E8</v>
      </c>
      <c r="P1730" s="1">
        <v>6.394E8</v>
      </c>
      <c r="Q1730" s="1">
        <v>-1.33E8</v>
      </c>
      <c r="R1730" s="1">
        <v>6.47E7</v>
      </c>
      <c r="S1730" s="1">
        <v>6.47E7</v>
      </c>
    </row>
    <row r="1731">
      <c r="A1731" s="1">
        <v>1729.0</v>
      </c>
      <c r="B1731" s="2">
        <v>44290.0</v>
      </c>
      <c r="C1731" s="1" t="s">
        <v>900</v>
      </c>
      <c r="D1731" s="1" t="s">
        <v>901</v>
      </c>
      <c r="F1731" s="1">
        <v>1.013E8</v>
      </c>
      <c r="G1731" s="1">
        <v>8.47E7</v>
      </c>
      <c r="H1731" s="1">
        <v>1.683E8</v>
      </c>
      <c r="I1731" s="1">
        <v>3.132E8</v>
      </c>
      <c r="J1731" s="1">
        <v>1.449E8</v>
      </c>
      <c r="K1731" s="1">
        <v>1.449E8</v>
      </c>
      <c r="L1731" s="1">
        <v>-3.57E7</v>
      </c>
      <c r="M1731" s="1">
        <v>1.66E7</v>
      </c>
      <c r="N1731" s="1">
        <v>8.057E8</v>
      </c>
      <c r="O1731" s="1">
        <v>6.608E8</v>
      </c>
      <c r="P1731" s="1">
        <v>4.925E8</v>
      </c>
      <c r="Q1731" s="1">
        <v>-4.36E7</v>
      </c>
      <c r="R1731" s="1">
        <v>8.47E7</v>
      </c>
      <c r="S1731" s="1">
        <v>8.47E7</v>
      </c>
    </row>
    <row r="1732">
      <c r="A1732" s="1">
        <v>1730.0</v>
      </c>
      <c r="B1732" s="2">
        <v>44199.0</v>
      </c>
      <c r="C1732" s="1" t="s">
        <v>900</v>
      </c>
      <c r="D1732" s="1" t="s">
        <v>901</v>
      </c>
      <c r="F1732" s="1">
        <v>1.411E8</v>
      </c>
      <c r="G1732" s="1">
        <v>1.321E8</v>
      </c>
      <c r="H1732" s="1">
        <v>1.582E8</v>
      </c>
      <c r="I1732" s="1">
        <v>3.031E8</v>
      </c>
      <c r="J1732" s="1">
        <v>1.449E8</v>
      </c>
      <c r="K1732" s="1">
        <v>1.449E8</v>
      </c>
      <c r="L1732" s="1">
        <v>-3400000.0</v>
      </c>
      <c r="M1732" s="1">
        <v>9000000.0</v>
      </c>
      <c r="N1732" s="1">
        <v>8.093E8</v>
      </c>
      <c r="O1732" s="1">
        <v>6.644E8</v>
      </c>
      <c r="P1732" s="1">
        <v>5.062E8</v>
      </c>
      <c r="Q1732" s="1">
        <v>-3800000.0</v>
      </c>
      <c r="R1732" s="1">
        <v>1.321E8</v>
      </c>
      <c r="S1732" s="1">
        <v>1.321E8</v>
      </c>
    </row>
    <row r="1733">
      <c r="A1733" s="1">
        <v>1731.0</v>
      </c>
      <c r="B1733" s="2">
        <v>44101.0</v>
      </c>
      <c r="C1733" s="1" t="s">
        <v>900</v>
      </c>
      <c r="D1733" s="1" t="s">
        <v>901</v>
      </c>
      <c r="F1733" s="1">
        <v>1.197E8</v>
      </c>
      <c r="G1733" s="1">
        <v>9.39E7</v>
      </c>
      <c r="H1733" s="1">
        <v>1.648E8</v>
      </c>
      <c r="I1733" s="1">
        <v>2.905E8</v>
      </c>
      <c r="J1733" s="1">
        <v>1.257E8</v>
      </c>
      <c r="K1733" s="1">
        <v>1.257E8</v>
      </c>
      <c r="L1733" s="1">
        <v>-4100000.0</v>
      </c>
      <c r="M1733" s="1">
        <v>2.58E7</v>
      </c>
      <c r="N1733" s="1">
        <v>7.49E8</v>
      </c>
      <c r="O1733" s="1">
        <v>6.233E8</v>
      </c>
      <c r="P1733" s="1">
        <v>4.585E8</v>
      </c>
      <c r="Q1733" s="1">
        <v>-6000000.0</v>
      </c>
      <c r="R1733" s="1">
        <v>9.39E7</v>
      </c>
      <c r="S1733" s="1">
        <v>9.39E7</v>
      </c>
    </row>
    <row r="1734">
      <c r="A1734" s="1">
        <v>1732.0</v>
      </c>
      <c r="B1734" s="2">
        <v>44374.0</v>
      </c>
      <c r="C1734" s="1" t="s">
        <v>902</v>
      </c>
      <c r="D1734" s="1" t="s">
        <v>903</v>
      </c>
      <c r="E1734" s="1">
        <v>3.3283E7</v>
      </c>
      <c r="F1734" s="1">
        <v>9.9695E7</v>
      </c>
      <c r="G1734" s="1">
        <v>8.3248E7</v>
      </c>
      <c r="H1734" s="1">
        <v>2.24159E8</v>
      </c>
      <c r="I1734" s="1">
        <v>3.97556E8</v>
      </c>
      <c r="J1734" s="1">
        <v>1.40114E8</v>
      </c>
      <c r="K1734" s="1">
        <v>1.40114E8</v>
      </c>
      <c r="L1734" s="1">
        <v>-1.6171E7</v>
      </c>
      <c r="M1734" s="1">
        <v>1.6412E7</v>
      </c>
      <c r="N1734" s="1">
        <v>7.13473E8</v>
      </c>
      <c r="O1734" s="1">
        <v>5.73359E8</v>
      </c>
      <c r="P1734" s="1">
        <v>3.15917E8</v>
      </c>
      <c r="Q1734" s="1">
        <v>-4.0419E7</v>
      </c>
      <c r="R1734" s="1">
        <v>8.3283E7</v>
      </c>
      <c r="S1734" s="1">
        <v>8.3248E7</v>
      </c>
    </row>
    <row r="1735">
      <c r="A1735" s="1">
        <v>1733.0</v>
      </c>
      <c r="B1735" s="2">
        <v>44283.0</v>
      </c>
      <c r="C1735" s="1" t="s">
        <v>902</v>
      </c>
      <c r="D1735" s="1" t="s">
        <v>903</v>
      </c>
      <c r="E1735" s="1">
        <v>2.9947E7</v>
      </c>
      <c r="F1735" s="1">
        <v>8.7295E7</v>
      </c>
      <c r="G1735" s="1">
        <v>7.4866E7</v>
      </c>
      <c r="H1735" s="1">
        <v>1.96794E8</v>
      </c>
      <c r="I1735" s="1">
        <v>3.44527E8</v>
      </c>
      <c r="J1735" s="1">
        <v>1.17786E8</v>
      </c>
      <c r="K1735" s="1">
        <v>1.17786E8</v>
      </c>
      <c r="L1735" s="1">
        <v>-1.6798E7</v>
      </c>
      <c r="M1735" s="1">
        <v>1.2428E7</v>
      </c>
      <c r="N1735" s="1">
        <v>6.33925E8</v>
      </c>
      <c r="O1735" s="1">
        <v>5.16139E8</v>
      </c>
      <c r="P1735" s="1">
        <v>2.89398E8</v>
      </c>
      <c r="Q1735" s="1">
        <v>-3.0491E7</v>
      </c>
      <c r="R1735" s="1">
        <v>7.4867E7</v>
      </c>
      <c r="S1735" s="1">
        <v>7.4866E7</v>
      </c>
    </row>
    <row r="1736">
      <c r="A1736" s="1">
        <v>1734.0</v>
      </c>
      <c r="B1736" s="2">
        <v>44196.0</v>
      </c>
      <c r="C1736" s="1" t="s">
        <v>902</v>
      </c>
      <c r="D1736" s="1" t="s">
        <v>903</v>
      </c>
      <c r="E1736" s="1">
        <v>3.3769E7</v>
      </c>
      <c r="F1736" s="1">
        <v>7.6561E7</v>
      </c>
      <c r="G1736" s="1">
        <v>7.6131E7</v>
      </c>
      <c r="H1736" s="1">
        <v>2.09885E8</v>
      </c>
      <c r="I1736" s="1">
        <v>3.83554E8</v>
      </c>
      <c r="J1736" s="1">
        <v>1.399E8</v>
      </c>
      <c r="K1736" s="1">
        <v>1.399E8</v>
      </c>
      <c r="L1736" s="1">
        <v>-1.8721E7</v>
      </c>
      <c r="M1736" s="1">
        <v>-40000.0</v>
      </c>
      <c r="N1736" s="1">
        <v>7.11179E8</v>
      </c>
      <c r="O1736" s="1">
        <v>5.71279E8</v>
      </c>
      <c r="P1736" s="1">
        <v>3.27625E8</v>
      </c>
      <c r="Q1736" s="1">
        <v>-6.3339E7</v>
      </c>
      <c r="R1736" s="1">
        <v>7.6601E7</v>
      </c>
      <c r="S1736" s="1">
        <v>7.6131E7</v>
      </c>
    </row>
    <row r="1737">
      <c r="A1737" s="1">
        <v>1735.0</v>
      </c>
      <c r="B1737" s="2">
        <v>44101.0</v>
      </c>
      <c r="C1737" s="1" t="s">
        <v>902</v>
      </c>
      <c r="D1737" s="1" t="s">
        <v>903</v>
      </c>
      <c r="E1737" s="1">
        <v>2.9218E7</v>
      </c>
      <c r="F1737" s="1">
        <v>1.15654E8</v>
      </c>
      <c r="G1737" s="1">
        <v>1.16587E8</v>
      </c>
      <c r="H1737" s="1">
        <v>1.71673E8</v>
      </c>
      <c r="I1737" s="1">
        <v>3.29324E8</v>
      </c>
      <c r="J1737" s="1">
        <v>1.28433E8</v>
      </c>
      <c r="K1737" s="1">
        <v>1.28433E8</v>
      </c>
      <c r="L1737" s="1">
        <v>-1.6652E7</v>
      </c>
      <c r="M1737" s="1">
        <v>-951000.0</v>
      </c>
      <c r="N1737" s="1">
        <v>6.28301E8</v>
      </c>
      <c r="O1737" s="1">
        <v>4.99868E8</v>
      </c>
      <c r="P1737" s="1">
        <v>2.98977E8</v>
      </c>
      <c r="Q1737" s="1">
        <v>-1.2779E7</v>
      </c>
      <c r="R1737" s="1">
        <v>1.16605E8</v>
      </c>
      <c r="S1737" s="1">
        <v>1.16587E8</v>
      </c>
    </row>
    <row r="1738">
      <c r="A1738" s="1">
        <v>1736.0</v>
      </c>
      <c r="B1738" s="2">
        <v>44381.0</v>
      </c>
      <c r="C1738" s="1" t="s">
        <v>904</v>
      </c>
      <c r="D1738" s="1" t="s">
        <v>905</v>
      </c>
      <c r="E1738" s="1">
        <v>1.10021E8</v>
      </c>
      <c r="F1738" s="1">
        <v>3.84026E8</v>
      </c>
      <c r="G1738" s="1">
        <v>3.28319E8</v>
      </c>
      <c r="H1738" s="1">
        <v>1.40187E8</v>
      </c>
      <c r="I1738" s="1">
        <v>6.46989E8</v>
      </c>
      <c r="J1738" s="1">
        <v>3.89272E8</v>
      </c>
      <c r="K1738" s="1">
        <v>3.89272E8</v>
      </c>
      <c r="L1738" s="1">
        <v>-5566000.0</v>
      </c>
      <c r="M1738" s="1">
        <v>5.5707E7</v>
      </c>
      <c r="N1738" s="1">
        <v>1.085728E9</v>
      </c>
      <c r="O1738" s="1">
        <v>6.96456E8</v>
      </c>
      <c r="P1738" s="1">
        <v>4.38739E8</v>
      </c>
      <c r="Q1738" s="1">
        <v>-5246000.0</v>
      </c>
      <c r="R1738" s="1">
        <v>3.28319E8</v>
      </c>
      <c r="S1738" s="1">
        <v>3.28319E8</v>
      </c>
    </row>
    <row r="1739">
      <c r="A1739" s="1">
        <v>1737.0</v>
      </c>
      <c r="B1739" s="2">
        <v>44290.0</v>
      </c>
      <c r="C1739" s="1" t="s">
        <v>904</v>
      </c>
      <c r="D1739" s="1" t="s">
        <v>905</v>
      </c>
      <c r="E1739" s="1">
        <v>1.00402E8</v>
      </c>
      <c r="F1739" s="1">
        <v>2.23993E8</v>
      </c>
      <c r="G1739" s="1">
        <v>2.05512E8</v>
      </c>
      <c r="H1739" s="1">
        <v>1.29797E8</v>
      </c>
      <c r="I1739" s="1">
        <v>4.61618E8</v>
      </c>
      <c r="J1739" s="1">
        <v>2.25473E8</v>
      </c>
      <c r="K1739" s="1">
        <v>2.25473E8</v>
      </c>
      <c r="L1739" s="1">
        <v>-6004000.0</v>
      </c>
      <c r="M1739" s="1">
        <v>1.8481E7</v>
      </c>
      <c r="N1739" s="1">
        <v>7.81606E8</v>
      </c>
      <c r="O1739" s="1">
        <v>5.56133E8</v>
      </c>
      <c r="P1739" s="1">
        <v>3.19988E8</v>
      </c>
      <c r="Q1739" s="1">
        <v>-1480000.0</v>
      </c>
      <c r="R1739" s="1">
        <v>2.05512E8</v>
      </c>
      <c r="S1739" s="1">
        <v>2.05512E8</v>
      </c>
    </row>
    <row r="1740">
      <c r="A1740" s="1">
        <v>1738.0</v>
      </c>
      <c r="B1740" s="2">
        <v>44196.0</v>
      </c>
      <c r="C1740" s="1" t="s">
        <v>904</v>
      </c>
      <c r="D1740" s="1" t="s">
        <v>905</v>
      </c>
      <c r="E1740" s="1">
        <v>1.00794E8</v>
      </c>
      <c r="F1740" s="1">
        <v>2.22926E8</v>
      </c>
      <c r="G1740" s="1">
        <v>1.96332E8</v>
      </c>
      <c r="H1740" s="1">
        <v>1.35525E8</v>
      </c>
      <c r="I1740" s="1">
        <v>4.4979E8</v>
      </c>
      <c r="J1740" s="1">
        <v>2.07212E8</v>
      </c>
      <c r="K1740" s="1">
        <v>2.07212E8</v>
      </c>
      <c r="L1740" s="1">
        <v>-6351000.0</v>
      </c>
      <c r="M1740" s="1">
        <v>2.6594E7</v>
      </c>
      <c r="N1740" s="1">
        <v>7.58969E8</v>
      </c>
      <c r="O1740" s="1">
        <v>5.51757E8</v>
      </c>
      <c r="P1740" s="1">
        <v>3.09179E8</v>
      </c>
      <c r="Q1740" s="1">
        <v>1.5714E7</v>
      </c>
      <c r="R1740" s="1">
        <v>1.96332E8</v>
      </c>
      <c r="S1740" s="1">
        <v>1.96332E8</v>
      </c>
    </row>
    <row r="1741">
      <c r="A1741" s="1">
        <v>1739.0</v>
      </c>
      <c r="B1741" s="2">
        <v>44101.0</v>
      </c>
      <c r="C1741" s="1" t="s">
        <v>904</v>
      </c>
      <c r="D1741" s="1" t="s">
        <v>905</v>
      </c>
      <c r="E1741" s="1">
        <v>9.4909E7</v>
      </c>
      <c r="F1741" s="1">
        <v>2.63731E8</v>
      </c>
      <c r="G1741" s="1">
        <v>2.22718E8</v>
      </c>
      <c r="H1741" s="1">
        <v>1.1584E8</v>
      </c>
      <c r="I1741" s="1">
        <v>4.58928E8</v>
      </c>
      <c r="J1741" s="1">
        <v>2.41869E8</v>
      </c>
      <c r="K1741" s="1">
        <v>2.41869E8</v>
      </c>
      <c r="L1741" s="1">
        <v>-6237000.0</v>
      </c>
      <c r="M1741" s="1">
        <v>4.1013E7</v>
      </c>
      <c r="N1741" s="1">
        <v>8.19484E8</v>
      </c>
      <c r="O1741" s="1">
        <v>5.77615E8</v>
      </c>
      <c r="P1741" s="1">
        <v>3.60556E8</v>
      </c>
      <c r="Q1741" s="1">
        <v>2.1862E7</v>
      </c>
      <c r="R1741" s="1">
        <v>2.22718E8</v>
      </c>
      <c r="S1741" s="1">
        <v>2.22718E8</v>
      </c>
    </row>
    <row r="1742">
      <c r="A1742" s="1">
        <v>1740.0</v>
      </c>
      <c r="B1742" s="2">
        <v>44286.0</v>
      </c>
      <c r="C1742" s="1" t="s">
        <v>906</v>
      </c>
      <c r="D1742" s="1" t="s">
        <v>907</v>
      </c>
      <c r="E1742" s="1">
        <v>6.66E8</v>
      </c>
      <c r="F1742" s="1">
        <v>5.33E8</v>
      </c>
      <c r="G1742" s="1">
        <v>4.38E8</v>
      </c>
      <c r="H1742" s="1">
        <v>1.056E9</v>
      </c>
      <c r="I1742" s="1">
        <v>2.215E9</v>
      </c>
      <c r="J1742" s="1">
        <v>4.93E8</v>
      </c>
      <c r="K1742" s="1">
        <v>4.93E8</v>
      </c>
      <c r="L1742" s="1">
        <v>-7.9E7</v>
      </c>
      <c r="M1742" s="1">
        <v>6.9E7</v>
      </c>
      <c r="N1742" s="1">
        <v>1.0389E10</v>
      </c>
      <c r="O1742" s="1">
        <v>9.896E9</v>
      </c>
      <c r="P1742" s="1">
        <v>8.174E9</v>
      </c>
      <c r="Q1742" s="1">
        <v>4.0E7</v>
      </c>
      <c r="R1742" s="1">
        <v>4.64E8</v>
      </c>
      <c r="S1742" s="1">
        <v>4.38E8</v>
      </c>
    </row>
    <row r="1743">
      <c r="A1743" s="1">
        <v>1741.0</v>
      </c>
      <c r="B1743" s="2">
        <v>44196.0</v>
      </c>
      <c r="C1743" s="1" t="s">
        <v>906</v>
      </c>
      <c r="D1743" s="1" t="s">
        <v>907</v>
      </c>
      <c r="E1743" s="1">
        <v>5.22E8</v>
      </c>
      <c r="F1743" s="1">
        <v>3.79E8</v>
      </c>
      <c r="G1743" s="1">
        <v>2.7E8</v>
      </c>
      <c r="H1743" s="1">
        <v>9.69E8</v>
      </c>
      <c r="I1743" s="1">
        <v>2.066E9</v>
      </c>
      <c r="J1743" s="1">
        <v>5.75E8</v>
      </c>
      <c r="K1743" s="1">
        <v>5.75E8</v>
      </c>
      <c r="L1743" s="1">
        <v>-2.41E8</v>
      </c>
      <c r="M1743" s="1">
        <v>8.3E7</v>
      </c>
      <c r="N1743" s="1">
        <v>1.0744E10</v>
      </c>
      <c r="O1743" s="1">
        <v>1.0169E10</v>
      </c>
      <c r="P1743" s="1">
        <v>8.678E9</v>
      </c>
      <c r="Q1743" s="1">
        <v>-1.96E8</v>
      </c>
      <c r="R1743" s="1">
        <v>2.96E8</v>
      </c>
      <c r="S1743" s="1">
        <v>2.7E8</v>
      </c>
    </row>
    <row r="1744">
      <c r="A1744" s="1">
        <v>1742.0</v>
      </c>
      <c r="B1744" s="2">
        <v>44104.0</v>
      </c>
      <c r="C1744" s="1" t="s">
        <v>906</v>
      </c>
      <c r="D1744" s="1" t="s">
        <v>907</v>
      </c>
      <c r="E1744" s="1">
        <v>3.66E8</v>
      </c>
      <c r="F1744" s="1">
        <v>5.55E8</v>
      </c>
      <c r="G1744" s="1">
        <v>3.31E8</v>
      </c>
      <c r="H1744" s="1">
        <v>9.31E8</v>
      </c>
      <c r="I1744" s="1">
        <v>2.063E9</v>
      </c>
      <c r="J1744" s="1">
        <v>7.66E8</v>
      </c>
      <c r="K1744" s="1">
        <v>7.66E8</v>
      </c>
      <c r="L1744" s="1">
        <v>-1.62E8</v>
      </c>
      <c r="M1744" s="1">
        <v>1.86E8</v>
      </c>
      <c r="N1744" s="1">
        <v>8.771E9</v>
      </c>
      <c r="O1744" s="1">
        <v>8.005E9</v>
      </c>
      <c r="P1744" s="1">
        <v>6.708E9</v>
      </c>
      <c r="Q1744" s="1">
        <v>-2.11E8</v>
      </c>
      <c r="R1744" s="1">
        <v>3.69E8</v>
      </c>
      <c r="S1744" s="1">
        <v>3.0E8</v>
      </c>
    </row>
    <row r="1745">
      <c r="A1745" s="1">
        <v>1743.0</v>
      </c>
      <c r="B1745" s="2">
        <v>44012.0</v>
      </c>
      <c r="C1745" s="1" t="s">
        <v>906</v>
      </c>
      <c r="D1745" s="1" t="s">
        <v>907</v>
      </c>
      <c r="E1745" s="1">
        <v>2.79E8</v>
      </c>
      <c r="F1745" s="1">
        <v>1.5E8</v>
      </c>
      <c r="G1745" s="1">
        <v>1.04E8</v>
      </c>
      <c r="H1745" s="1">
        <v>6.61E8</v>
      </c>
      <c r="I1745" s="1">
        <v>1.267E9</v>
      </c>
      <c r="J1745" s="1">
        <v>3.27E8</v>
      </c>
      <c r="K1745" s="1">
        <v>3.27E8</v>
      </c>
      <c r="L1745" s="1">
        <v>-1.73E8</v>
      </c>
      <c r="M1745" s="1">
        <v>2.1E7</v>
      </c>
      <c r="N1745" s="1">
        <v>6.036E9</v>
      </c>
      <c r="O1745" s="1">
        <v>5.709E9</v>
      </c>
      <c r="P1745" s="1">
        <v>4.769E9</v>
      </c>
      <c r="Q1745" s="1">
        <v>-1.77E8</v>
      </c>
      <c r="R1745" s="1">
        <v>1.29E8</v>
      </c>
      <c r="S1745" s="1">
        <v>1.04E8</v>
      </c>
    </row>
    <row r="1746">
      <c r="A1746" s="1">
        <v>1744.0</v>
      </c>
      <c r="B1746" s="2">
        <v>44377.0</v>
      </c>
      <c r="C1746" s="1" t="s">
        <v>908</v>
      </c>
      <c r="D1746" s="1" t="s">
        <v>909</v>
      </c>
      <c r="E1746" s="1">
        <v>3.91E8</v>
      </c>
      <c r="F1746" s="1">
        <v>2.242E9</v>
      </c>
      <c r="G1746" s="1">
        <v>1.931E9</v>
      </c>
      <c r="H1746" s="1">
        <v>4.35E8</v>
      </c>
      <c r="I1746" s="1">
        <v>3.077E9</v>
      </c>
      <c r="J1746" s="1">
        <v>2.203E9</v>
      </c>
      <c r="K1746" s="1">
        <v>2.203E9</v>
      </c>
      <c r="L1746" s="1">
        <v>-4.4E7</v>
      </c>
      <c r="M1746" s="1">
        <v>3.11E8</v>
      </c>
      <c r="N1746" s="1">
        <v>4.58E9</v>
      </c>
      <c r="O1746" s="1">
        <v>2.377E9</v>
      </c>
      <c r="P1746" s="1">
        <v>1.503E9</v>
      </c>
      <c r="Q1746" s="1">
        <v>3.9E7</v>
      </c>
      <c r="R1746" s="1">
        <v>1.931E9</v>
      </c>
      <c r="S1746" s="1">
        <v>1.924E9</v>
      </c>
    </row>
    <row r="1747">
      <c r="A1747" s="1">
        <v>1745.0</v>
      </c>
      <c r="B1747" s="2">
        <v>44286.0</v>
      </c>
      <c r="C1747" s="1" t="s">
        <v>908</v>
      </c>
      <c r="D1747" s="1" t="s">
        <v>909</v>
      </c>
      <c r="E1747" s="1">
        <v>3.86E8</v>
      </c>
      <c r="F1747" s="1">
        <v>1.939E9</v>
      </c>
      <c r="G1747" s="1">
        <v>1.753E9</v>
      </c>
      <c r="H1747" s="1">
        <v>4.36E8</v>
      </c>
      <c r="I1747" s="1">
        <v>2.797E9</v>
      </c>
      <c r="J1747" s="1">
        <v>1.928E9</v>
      </c>
      <c r="K1747" s="1">
        <v>1.928E9</v>
      </c>
      <c r="L1747" s="1">
        <v>-4.6E7</v>
      </c>
      <c r="M1747" s="1">
        <v>1.86E8</v>
      </c>
      <c r="N1747" s="1">
        <v>4.289E9</v>
      </c>
      <c r="O1747" s="1">
        <v>2.361E9</v>
      </c>
      <c r="P1747" s="1">
        <v>1.492E9</v>
      </c>
      <c r="Q1747" s="1">
        <v>1.1E7</v>
      </c>
      <c r="R1747" s="1">
        <v>1.753E9</v>
      </c>
      <c r="S1747" s="1">
        <v>1.745E9</v>
      </c>
    </row>
    <row r="1748">
      <c r="A1748" s="1">
        <v>1746.0</v>
      </c>
      <c r="B1748" s="2">
        <v>44196.0</v>
      </c>
      <c r="C1748" s="1" t="s">
        <v>908</v>
      </c>
      <c r="D1748" s="1" t="s">
        <v>909</v>
      </c>
      <c r="E1748" s="1">
        <v>3.88E8</v>
      </c>
      <c r="F1748" s="1">
        <v>1.927E9</v>
      </c>
      <c r="G1748" s="1">
        <v>1.688E9</v>
      </c>
      <c r="H1748" s="1">
        <v>3.64E8</v>
      </c>
      <c r="I1748" s="1">
        <v>2.646E9</v>
      </c>
      <c r="J1748" s="1">
        <v>1.847E9</v>
      </c>
      <c r="K1748" s="1">
        <v>1.847E9</v>
      </c>
      <c r="L1748" s="1">
        <v>-4.8E7</v>
      </c>
      <c r="M1748" s="1">
        <v>2.39E8</v>
      </c>
      <c r="N1748" s="1">
        <v>4.076E9</v>
      </c>
      <c r="O1748" s="1">
        <v>2.229E9</v>
      </c>
      <c r="P1748" s="1">
        <v>1.43E9</v>
      </c>
      <c r="Q1748" s="1">
        <v>8.0E7</v>
      </c>
      <c r="R1748" s="1">
        <v>1.688E9</v>
      </c>
      <c r="S1748" s="1">
        <v>1.68E9</v>
      </c>
    </row>
    <row r="1749">
      <c r="A1749" s="1">
        <v>1747.0</v>
      </c>
      <c r="B1749" s="2">
        <v>44104.0</v>
      </c>
      <c r="C1749" s="1" t="s">
        <v>908</v>
      </c>
      <c r="D1749" s="1" t="s">
        <v>909</v>
      </c>
      <c r="E1749" s="1">
        <v>3.86E8</v>
      </c>
      <c r="F1749" s="1">
        <v>1.587E9</v>
      </c>
      <c r="G1749" s="1">
        <v>1.353E9</v>
      </c>
      <c r="H1749" s="1">
        <v>4.15E8</v>
      </c>
      <c r="I1749" s="1">
        <v>2.453E9</v>
      </c>
      <c r="J1749" s="1">
        <v>1.601E9</v>
      </c>
      <c r="K1749" s="1">
        <v>1.601E9</v>
      </c>
      <c r="L1749" s="1">
        <v>-4.9E7</v>
      </c>
      <c r="M1749" s="1">
        <v>2.34E8</v>
      </c>
      <c r="N1749" s="1">
        <v>3.817E9</v>
      </c>
      <c r="O1749" s="1">
        <v>2.216E9</v>
      </c>
      <c r="P1749" s="1">
        <v>1.364E9</v>
      </c>
      <c r="Q1749" s="1">
        <v>-1.4E7</v>
      </c>
      <c r="R1749" s="1">
        <v>1.353E9</v>
      </c>
      <c r="S1749" s="1">
        <v>1.347E9</v>
      </c>
    </row>
    <row r="1750">
      <c r="A1750" s="1">
        <v>1748.0</v>
      </c>
      <c r="B1750" s="2">
        <v>44380.0</v>
      </c>
      <c r="C1750" s="1" t="s">
        <v>910</v>
      </c>
      <c r="D1750" s="1" t="s">
        <v>911</v>
      </c>
      <c r="F1750" s="1">
        <v>2.18E8</v>
      </c>
      <c r="G1750" s="1">
        <v>1.83E8</v>
      </c>
      <c r="H1750" s="1">
        <v>2.75E8</v>
      </c>
      <c r="I1750" s="1">
        <v>5.27E8</v>
      </c>
      <c r="J1750" s="1">
        <v>2.52E8</v>
      </c>
      <c r="K1750" s="1">
        <v>2.52E8</v>
      </c>
      <c r="L1750" s="1">
        <v>-3.2E7</v>
      </c>
      <c r="M1750" s="1">
        <v>3.4E7</v>
      </c>
      <c r="N1750" s="1">
        <v>3.191E9</v>
      </c>
      <c r="O1750" s="1">
        <v>2.939E9</v>
      </c>
      <c r="P1750" s="1">
        <v>2.664E9</v>
      </c>
      <c r="Q1750" s="1">
        <v>-3.4E7</v>
      </c>
      <c r="R1750" s="1">
        <v>1.84E8</v>
      </c>
      <c r="S1750" s="1">
        <v>1.83E8</v>
      </c>
    </row>
    <row r="1751">
      <c r="A1751" s="1">
        <v>1749.0</v>
      </c>
      <c r="B1751" s="2">
        <v>44289.0</v>
      </c>
      <c r="C1751" s="1" t="s">
        <v>910</v>
      </c>
      <c r="D1751" s="1" t="s">
        <v>911</v>
      </c>
      <c r="F1751" s="1">
        <v>1.9E8</v>
      </c>
      <c r="G1751" s="1">
        <v>1.71E8</v>
      </c>
      <c r="H1751" s="1">
        <v>2.58E8</v>
      </c>
      <c r="I1751" s="1">
        <v>4.74E8</v>
      </c>
      <c r="J1751" s="1">
        <v>2.16E8</v>
      </c>
      <c r="K1751" s="1">
        <v>2.16E8</v>
      </c>
      <c r="L1751" s="1">
        <v>-3.5E7</v>
      </c>
      <c r="M1751" s="1">
        <v>1.9E7</v>
      </c>
      <c r="N1751" s="1">
        <v>2.879E9</v>
      </c>
      <c r="O1751" s="1">
        <v>2.663E9</v>
      </c>
      <c r="P1751" s="1">
        <v>2.405E9</v>
      </c>
      <c r="Q1751" s="1">
        <v>-2.6E7</v>
      </c>
      <c r="R1751" s="1">
        <v>1.71E8</v>
      </c>
      <c r="S1751" s="1">
        <v>1.71E8</v>
      </c>
    </row>
    <row r="1752">
      <c r="A1752" s="1">
        <v>1750.0</v>
      </c>
      <c r="B1752" s="2">
        <v>44198.0</v>
      </c>
      <c r="C1752" s="1" t="s">
        <v>910</v>
      </c>
      <c r="D1752" s="1" t="s">
        <v>911</v>
      </c>
      <c r="F1752" s="1">
        <v>2.15E8</v>
      </c>
      <c r="G1752" s="1">
        <v>2.36E8</v>
      </c>
      <c r="H1752" s="1">
        <v>2.64E8</v>
      </c>
      <c r="I1752" s="1">
        <v>5.38E8</v>
      </c>
      <c r="J1752" s="1">
        <v>2.74E8</v>
      </c>
      <c r="K1752" s="1">
        <v>2.74E8</v>
      </c>
      <c r="L1752" s="1">
        <v>-3.6E7</v>
      </c>
      <c r="M1752" s="1">
        <v>-2.1E7</v>
      </c>
      <c r="N1752" s="1">
        <v>3.667E9</v>
      </c>
      <c r="O1752" s="1">
        <v>3.393E9</v>
      </c>
      <c r="P1752" s="1">
        <v>3.129E9</v>
      </c>
      <c r="Q1752" s="1">
        <v>-5.9E7</v>
      </c>
      <c r="R1752" s="1">
        <v>2.36E8</v>
      </c>
      <c r="S1752" s="1">
        <v>2.36E8</v>
      </c>
    </row>
    <row r="1753">
      <c r="A1753" s="1">
        <v>1751.0</v>
      </c>
      <c r="B1753" s="2">
        <v>44107.0</v>
      </c>
      <c r="C1753" s="1" t="s">
        <v>910</v>
      </c>
      <c r="D1753" s="1" t="s">
        <v>911</v>
      </c>
      <c r="F1753" s="1">
        <v>1.16E8</v>
      </c>
      <c r="G1753" s="1">
        <v>1.15E8</v>
      </c>
      <c r="H1753" s="1">
        <v>2.37E8</v>
      </c>
      <c r="I1753" s="1">
        <v>3.98E8</v>
      </c>
      <c r="J1753" s="1">
        <v>1.61E8</v>
      </c>
      <c r="K1753" s="1">
        <v>1.61E8</v>
      </c>
      <c r="L1753" s="1">
        <v>-3.8E7</v>
      </c>
      <c r="M1753" s="1">
        <v>1000000.0</v>
      </c>
      <c r="N1753" s="1">
        <v>2.735E9</v>
      </c>
      <c r="O1753" s="1">
        <v>2.574E9</v>
      </c>
      <c r="P1753" s="1">
        <v>2.337E9</v>
      </c>
      <c r="Q1753" s="1">
        <v>-4.5E7</v>
      </c>
      <c r="R1753" s="1">
        <v>1.15E8</v>
      </c>
      <c r="S1753" s="1">
        <v>1.15E8</v>
      </c>
    </row>
    <row r="1754">
      <c r="A1754" s="1">
        <v>1752.0</v>
      </c>
      <c r="B1754" s="2">
        <v>44408.0</v>
      </c>
      <c r="C1754" s="1" t="s">
        <v>912</v>
      </c>
      <c r="D1754" s="1" t="s">
        <v>913</v>
      </c>
      <c r="E1754" s="1">
        <v>2.48E7</v>
      </c>
      <c r="F1754" s="1">
        <v>9.4E7</v>
      </c>
      <c r="G1754" s="1">
        <v>6.158E8</v>
      </c>
      <c r="H1754" s="1">
        <v>2.938E8</v>
      </c>
      <c r="I1754" s="1">
        <v>5.161E8</v>
      </c>
      <c r="J1754" s="1">
        <v>1.593E8</v>
      </c>
      <c r="K1754" s="1">
        <v>1.593E8</v>
      </c>
      <c r="L1754" s="1">
        <v>-5600000.0</v>
      </c>
      <c r="M1754" s="1">
        <v>-5.218E8</v>
      </c>
      <c r="N1754" s="1">
        <v>7.634E8</v>
      </c>
      <c r="O1754" s="1">
        <v>6.041E8</v>
      </c>
      <c r="P1754" s="1">
        <v>2.473E8</v>
      </c>
      <c r="Q1754" s="1">
        <v>-6.53E7</v>
      </c>
      <c r="R1754" s="1">
        <v>6.158E8</v>
      </c>
      <c r="S1754" s="1">
        <v>6.158E8</v>
      </c>
    </row>
    <row r="1755">
      <c r="A1755" s="1">
        <v>1753.0</v>
      </c>
      <c r="B1755" s="2">
        <v>44316.0</v>
      </c>
      <c r="C1755" s="1" t="s">
        <v>912</v>
      </c>
      <c r="D1755" s="1" t="s">
        <v>913</v>
      </c>
      <c r="E1755" s="1">
        <v>2.1E7</v>
      </c>
      <c r="F1755" s="1">
        <v>1.364E8</v>
      </c>
      <c r="G1755" s="1">
        <v>1.175E8</v>
      </c>
      <c r="H1755" s="1">
        <v>2.791E8</v>
      </c>
      <c r="I1755" s="1">
        <v>4.871E8</v>
      </c>
      <c r="J1755" s="1">
        <v>1.499E8</v>
      </c>
      <c r="K1755" s="1">
        <v>1.499E8</v>
      </c>
      <c r="L1755" s="1">
        <v>-6100000.0</v>
      </c>
      <c r="M1755" s="1">
        <v>1.89E7</v>
      </c>
      <c r="N1755" s="1">
        <v>7.195E8</v>
      </c>
      <c r="O1755" s="1">
        <v>5.696E8</v>
      </c>
      <c r="P1755" s="1">
        <v>2.324E8</v>
      </c>
      <c r="Q1755" s="1">
        <v>-1.35E7</v>
      </c>
      <c r="R1755" s="1">
        <v>1.175E8</v>
      </c>
      <c r="S1755" s="1">
        <v>1.175E8</v>
      </c>
    </row>
    <row r="1756">
      <c r="A1756" s="1">
        <v>1754.0</v>
      </c>
      <c r="B1756" s="2">
        <v>44227.0</v>
      </c>
      <c r="C1756" s="1" t="s">
        <v>912</v>
      </c>
      <c r="D1756" s="1" t="s">
        <v>913</v>
      </c>
      <c r="E1756" s="1">
        <v>2.14E7</v>
      </c>
      <c r="F1756" s="1">
        <v>1.395E8</v>
      </c>
      <c r="G1756" s="1">
        <v>2.1011E9</v>
      </c>
      <c r="H1756" s="1">
        <v>2.576E8</v>
      </c>
      <c r="I1756" s="1">
        <v>4.507E8</v>
      </c>
      <c r="J1756" s="1">
        <v>1.37E8</v>
      </c>
      <c r="K1756" s="1">
        <v>1.37E8</v>
      </c>
      <c r="L1756" s="1">
        <v>-6400000.0</v>
      </c>
      <c r="M1756" s="1">
        <v>-1.9616E9</v>
      </c>
      <c r="N1756" s="1">
        <v>6.805E8</v>
      </c>
      <c r="O1756" s="1">
        <v>5.435E8</v>
      </c>
      <c r="P1756" s="1">
        <v>2.298E8</v>
      </c>
      <c r="Q1756" s="1">
        <v>2500000.0</v>
      </c>
      <c r="R1756" s="1">
        <v>2.1011E9</v>
      </c>
      <c r="S1756" s="1">
        <v>2.1011E9</v>
      </c>
    </row>
    <row r="1757">
      <c r="A1757" s="1">
        <v>1755.0</v>
      </c>
      <c r="B1757" s="2">
        <v>44135.0</v>
      </c>
      <c r="C1757" s="1" t="s">
        <v>912</v>
      </c>
      <c r="D1757" s="1" t="s">
        <v>913</v>
      </c>
      <c r="E1757" s="1">
        <v>2.55E7</v>
      </c>
      <c r="F1757" s="1">
        <v>9.37E7</v>
      </c>
      <c r="G1757" s="1">
        <v>8.12E7</v>
      </c>
      <c r="H1757" s="1">
        <v>2.642E8</v>
      </c>
      <c r="I1757" s="1">
        <v>5.141E8</v>
      </c>
      <c r="J1757" s="1">
        <v>1.902E8</v>
      </c>
      <c r="K1757" s="1">
        <v>1.902E8</v>
      </c>
      <c r="L1757" s="1">
        <v>-6700000.0</v>
      </c>
      <c r="M1757" s="1">
        <v>1.25E7</v>
      </c>
      <c r="N1757" s="1">
        <v>6.816E8</v>
      </c>
      <c r="O1757" s="1">
        <v>4.914E8</v>
      </c>
      <c r="P1757" s="1">
        <v>1.675E8</v>
      </c>
      <c r="Q1757" s="1">
        <v>-9.65E7</v>
      </c>
      <c r="R1757" s="1">
        <v>8.12E7</v>
      </c>
      <c r="S1757" s="1">
        <v>8.12E7</v>
      </c>
    </row>
    <row r="1758">
      <c r="A1758" s="1">
        <v>1756.0</v>
      </c>
      <c r="B1758" s="2">
        <v>44377.0</v>
      </c>
      <c r="C1758" s="1" t="s">
        <v>914</v>
      </c>
      <c r="D1758" s="1" t="s">
        <v>915</v>
      </c>
      <c r="F1758" s="1">
        <v>1.11E9</v>
      </c>
      <c r="G1758" s="1">
        <v>9.05E8</v>
      </c>
      <c r="H1758" s="1">
        <v>1.202E9</v>
      </c>
      <c r="I1758" s="1">
        <v>2.379E9</v>
      </c>
      <c r="J1758" s="1">
        <v>1.169E9</v>
      </c>
      <c r="K1758" s="1">
        <v>1.169E9</v>
      </c>
      <c r="L1758" s="1">
        <v>-4.7E7</v>
      </c>
      <c r="M1758" s="1">
        <v>2.05E8</v>
      </c>
      <c r="N1758" s="1">
        <v>5.579E9</v>
      </c>
      <c r="O1758" s="1">
        <v>4.41E9</v>
      </c>
      <c r="P1758" s="1">
        <v>3.2E9</v>
      </c>
      <c r="Q1758" s="1">
        <v>-5.9E7</v>
      </c>
      <c r="R1758" s="1">
        <v>9.05E8</v>
      </c>
      <c r="S1758" s="1">
        <v>9.0E8</v>
      </c>
    </row>
    <row r="1759">
      <c r="A1759" s="1">
        <v>1757.0</v>
      </c>
      <c r="B1759" s="2">
        <v>44286.0</v>
      </c>
      <c r="C1759" s="1" t="s">
        <v>914</v>
      </c>
      <c r="D1759" s="1" t="s">
        <v>915</v>
      </c>
      <c r="F1759" s="1">
        <v>3.03E8</v>
      </c>
      <c r="G1759" s="1">
        <v>2.49E8</v>
      </c>
      <c r="H1759" s="1">
        <v>1.144E9</v>
      </c>
      <c r="I1759" s="1">
        <v>1.547E9</v>
      </c>
      <c r="J1759" s="1">
        <v>3.74E8</v>
      </c>
      <c r="K1759" s="1">
        <v>3.74E8</v>
      </c>
      <c r="L1759" s="1">
        <v>-4.7E7</v>
      </c>
      <c r="M1759" s="1">
        <v>5.4E7</v>
      </c>
      <c r="N1759" s="1">
        <v>5.289E9</v>
      </c>
      <c r="O1759" s="1">
        <v>4.915E9</v>
      </c>
      <c r="P1759" s="1">
        <v>3.742E9</v>
      </c>
      <c r="Q1759" s="1">
        <v>-7.1E7</v>
      </c>
      <c r="R1759" s="1">
        <v>2.49E8</v>
      </c>
      <c r="S1759" s="1">
        <v>2.44E8</v>
      </c>
    </row>
    <row r="1760">
      <c r="A1760" s="1">
        <v>1758.0</v>
      </c>
      <c r="B1760" s="2">
        <v>44196.0</v>
      </c>
      <c r="C1760" s="1" t="s">
        <v>914</v>
      </c>
      <c r="D1760" s="1" t="s">
        <v>915</v>
      </c>
      <c r="F1760" s="1">
        <v>6.52E8</v>
      </c>
      <c r="G1760" s="1">
        <v>5.37E8</v>
      </c>
      <c r="H1760" s="1">
        <v>1.087E9</v>
      </c>
      <c r="I1760" s="1">
        <v>1.819E9</v>
      </c>
      <c r="J1760" s="1">
        <v>6.84E8</v>
      </c>
      <c r="K1760" s="1">
        <v>6.84E8</v>
      </c>
      <c r="L1760" s="1">
        <v>-4.7E7</v>
      </c>
      <c r="M1760" s="1">
        <v>1.15E8</v>
      </c>
      <c r="N1760" s="1">
        <v>5.318E9</v>
      </c>
      <c r="O1760" s="1">
        <v>4.634E9</v>
      </c>
      <c r="P1760" s="1">
        <v>3.499E9</v>
      </c>
      <c r="Q1760" s="1">
        <v>-3.2E7</v>
      </c>
      <c r="R1760" s="1">
        <v>5.37E8</v>
      </c>
      <c r="S1760" s="1">
        <v>5.32E8</v>
      </c>
    </row>
    <row r="1761">
      <c r="A1761" s="1">
        <v>1759.0</v>
      </c>
      <c r="B1761" s="2">
        <v>44104.0</v>
      </c>
      <c r="C1761" s="1" t="s">
        <v>914</v>
      </c>
      <c r="D1761" s="1" t="s">
        <v>915</v>
      </c>
      <c r="F1761" s="1">
        <v>5.32E8</v>
      </c>
      <c r="G1761" s="1">
        <v>4.59E8</v>
      </c>
      <c r="H1761" s="1">
        <v>1.079E9</v>
      </c>
      <c r="I1761" s="1">
        <v>1.779E9</v>
      </c>
      <c r="J1761" s="1">
        <v>6.82E8</v>
      </c>
      <c r="K1761" s="1">
        <v>6.82E8</v>
      </c>
      <c r="L1761" s="1">
        <v>-4.9E7</v>
      </c>
      <c r="M1761" s="1">
        <v>7.3E7</v>
      </c>
      <c r="N1761" s="1">
        <v>5.162E9</v>
      </c>
      <c r="O1761" s="1">
        <v>4.48E9</v>
      </c>
      <c r="P1761" s="1">
        <v>3.383E9</v>
      </c>
      <c r="Q1761" s="1">
        <v>-1.5E8</v>
      </c>
      <c r="R1761" s="1">
        <v>4.59E8</v>
      </c>
      <c r="S1761" s="1">
        <v>4.53E8</v>
      </c>
    </row>
    <row r="1762">
      <c r="A1762" s="1">
        <v>1760.0</v>
      </c>
      <c r="B1762" s="2">
        <v>44381.0</v>
      </c>
      <c r="C1762" s="1" t="s">
        <v>916</v>
      </c>
      <c r="D1762" s="1" t="s">
        <v>917</v>
      </c>
      <c r="F1762" s="1">
        <v>4.18416E8</v>
      </c>
      <c r="G1762" s="1">
        <v>3.0123E8</v>
      </c>
      <c r="H1762" s="1">
        <v>4.68647E8</v>
      </c>
      <c r="I1762" s="1">
        <v>9.26487E8</v>
      </c>
      <c r="J1762" s="1">
        <v>4.5784E8</v>
      </c>
      <c r="K1762" s="1">
        <v>4.5784E8</v>
      </c>
      <c r="L1762" s="1">
        <v>-3.1684E7</v>
      </c>
      <c r="M1762" s="1">
        <v>1.17186E8</v>
      </c>
      <c r="N1762" s="1">
        <v>1.989422E9</v>
      </c>
      <c r="O1762" s="1">
        <v>1.531582E9</v>
      </c>
      <c r="P1762" s="1">
        <v>1.062935E9</v>
      </c>
      <c r="Q1762" s="1">
        <v>-3.9424E7</v>
      </c>
      <c r="R1762" s="1">
        <v>3.0123E8</v>
      </c>
      <c r="S1762" s="1">
        <v>3.0123E8</v>
      </c>
    </row>
    <row r="1763">
      <c r="A1763" s="1">
        <v>1761.0</v>
      </c>
      <c r="B1763" s="2">
        <v>44290.0</v>
      </c>
      <c r="C1763" s="1" t="s">
        <v>916</v>
      </c>
      <c r="D1763" s="1" t="s">
        <v>917</v>
      </c>
      <c r="F1763" s="1">
        <v>5.14194E8</v>
      </c>
      <c r="G1763" s="1">
        <v>3.95799E8</v>
      </c>
      <c r="H1763" s="1">
        <v>4.94183E8</v>
      </c>
      <c r="I1763" s="1">
        <v>1.052946E9</v>
      </c>
      <c r="J1763" s="1">
        <v>5.58763E8</v>
      </c>
      <c r="K1763" s="1">
        <v>5.58763E8</v>
      </c>
      <c r="L1763" s="1">
        <v>-3.7046E7</v>
      </c>
      <c r="M1763" s="1">
        <v>1.17323E8</v>
      </c>
      <c r="N1763" s="1">
        <v>2.295948E9</v>
      </c>
      <c r="O1763" s="1">
        <v>1.737185E9</v>
      </c>
      <c r="P1763" s="1">
        <v>1.243002E9</v>
      </c>
      <c r="Q1763" s="1">
        <v>-4.4569E7</v>
      </c>
      <c r="R1763" s="1">
        <v>3.96871E8</v>
      </c>
      <c r="S1763" s="1">
        <v>3.95799E8</v>
      </c>
    </row>
    <row r="1764">
      <c r="A1764" s="1">
        <v>1762.0</v>
      </c>
      <c r="B1764" s="2">
        <v>44196.0</v>
      </c>
      <c r="C1764" s="1" t="s">
        <v>916</v>
      </c>
      <c r="D1764" s="1" t="s">
        <v>917</v>
      </c>
      <c r="E1764" s="1">
        <v>3.7577E7</v>
      </c>
      <c r="F1764" s="1">
        <v>2.634E8</v>
      </c>
      <c r="G1764" s="1">
        <v>2.91387E8</v>
      </c>
      <c r="H1764" s="1">
        <v>5.04428E8</v>
      </c>
      <c r="I1764" s="1">
        <v>9.6428E8</v>
      </c>
      <c r="J1764" s="1">
        <v>4.22275E8</v>
      </c>
      <c r="K1764" s="1">
        <v>4.22275E8</v>
      </c>
      <c r="L1764" s="1">
        <v>-3.872E7</v>
      </c>
      <c r="M1764" s="1">
        <v>-2.793E7</v>
      </c>
      <c r="N1764" s="1">
        <v>2.185244E9</v>
      </c>
      <c r="O1764" s="1">
        <v>1.762969E9</v>
      </c>
      <c r="P1764" s="1">
        <v>1.220964E9</v>
      </c>
      <c r="Q1764" s="1">
        <v>-1.58875E8</v>
      </c>
      <c r="R1764" s="1">
        <v>2.9133E8</v>
      </c>
      <c r="S1764" s="1">
        <v>2.91387E8</v>
      </c>
    </row>
    <row r="1765">
      <c r="A1765" s="1">
        <v>1763.0</v>
      </c>
      <c r="B1765" s="2">
        <v>44101.0</v>
      </c>
      <c r="C1765" s="1" t="s">
        <v>916</v>
      </c>
      <c r="D1765" s="1" t="s">
        <v>917</v>
      </c>
      <c r="E1765" s="1">
        <v>3.7577E7</v>
      </c>
      <c r="F1765" s="1">
        <v>5.62508E8</v>
      </c>
      <c r="G1765" s="1">
        <v>4.47283E8</v>
      </c>
      <c r="H1765" s="1">
        <v>4.73395E8</v>
      </c>
      <c r="I1765" s="1">
        <v>1.080024E9</v>
      </c>
      <c r="J1765" s="1">
        <v>6.06629E8</v>
      </c>
      <c r="K1765" s="1">
        <v>6.06629E8</v>
      </c>
      <c r="L1765" s="1">
        <v>-3.8056E7</v>
      </c>
      <c r="M1765" s="1">
        <v>1.1525E8</v>
      </c>
      <c r="N1765" s="1">
        <v>2.219829E9</v>
      </c>
      <c r="O1765" s="1">
        <v>1.6132E9</v>
      </c>
      <c r="P1765" s="1">
        <v>1.139805E9</v>
      </c>
      <c r="Q1765" s="1">
        <v>-4.4121E7</v>
      </c>
      <c r="R1765" s="1">
        <v>4.47258E8</v>
      </c>
      <c r="S1765" s="1">
        <v>4.47283E8</v>
      </c>
    </row>
    <row r="1766">
      <c r="A1766" s="1">
        <v>1764.0</v>
      </c>
      <c r="B1766" s="2">
        <v>44377.0</v>
      </c>
      <c r="C1766" s="1" t="s">
        <v>918</v>
      </c>
      <c r="D1766" s="1" t="s">
        <v>919</v>
      </c>
      <c r="F1766" s="1">
        <v>5.547E8</v>
      </c>
      <c r="G1766" s="1">
        <v>4.372E8</v>
      </c>
      <c r="H1766" s="1">
        <v>1.076E8</v>
      </c>
      <c r="I1766" s="1">
        <v>7.293E8</v>
      </c>
      <c r="J1766" s="1">
        <v>6.191E8</v>
      </c>
      <c r="K1766" s="1">
        <v>6.191E8</v>
      </c>
      <c r="L1766" s="1">
        <v>-4.38E7</v>
      </c>
      <c r="M1766" s="1">
        <v>1.159E8</v>
      </c>
      <c r="N1766" s="1">
        <v>2.8007E9</v>
      </c>
      <c r="O1766" s="1">
        <v>2.1816E9</v>
      </c>
      <c r="P1766" s="1">
        <v>2.0714E9</v>
      </c>
      <c r="Q1766" s="1">
        <v>-6.44E7</v>
      </c>
      <c r="R1766" s="1">
        <v>4.388E8</v>
      </c>
      <c r="S1766" s="1">
        <v>4.372E8</v>
      </c>
    </row>
    <row r="1767">
      <c r="A1767" s="1">
        <v>1765.0</v>
      </c>
      <c r="B1767" s="2">
        <v>44286.0</v>
      </c>
      <c r="C1767" s="1" t="s">
        <v>918</v>
      </c>
      <c r="D1767" s="1" t="s">
        <v>919</v>
      </c>
      <c r="F1767" s="1">
        <v>2.179E8</v>
      </c>
      <c r="G1767" s="1">
        <v>1.567E8</v>
      </c>
      <c r="H1767" s="1">
        <v>1.017E8</v>
      </c>
      <c r="I1767" s="1">
        <v>4.649E8</v>
      </c>
      <c r="J1767" s="1">
        <v>3.582E8</v>
      </c>
      <c r="K1767" s="1">
        <v>3.582E8</v>
      </c>
      <c r="L1767" s="1">
        <v>-4.94E7</v>
      </c>
      <c r="M1767" s="1">
        <v>5.97E7</v>
      </c>
      <c r="N1767" s="1">
        <v>2.2971E9</v>
      </c>
      <c r="O1767" s="1">
        <v>1.9389E9</v>
      </c>
      <c r="P1767" s="1">
        <v>1.8322E9</v>
      </c>
      <c r="Q1767" s="1">
        <v>-1.403E8</v>
      </c>
      <c r="R1767" s="1">
        <v>1.582E8</v>
      </c>
      <c r="S1767" s="1">
        <v>1.567E8</v>
      </c>
    </row>
    <row r="1768">
      <c r="A1768" s="1">
        <v>1766.0</v>
      </c>
      <c r="B1768" s="2">
        <v>44196.0</v>
      </c>
      <c r="C1768" s="1" t="s">
        <v>918</v>
      </c>
      <c r="D1768" s="1" t="s">
        <v>919</v>
      </c>
      <c r="F1768" s="1">
        <v>3.474E8</v>
      </c>
      <c r="G1768" s="1">
        <v>8.279E8</v>
      </c>
      <c r="H1768" s="1">
        <v>1.109E8</v>
      </c>
      <c r="I1768" s="1">
        <v>3.484E8</v>
      </c>
      <c r="J1768" s="1">
        <v>2.641E8</v>
      </c>
      <c r="K1768" s="1">
        <v>2.641E8</v>
      </c>
      <c r="L1768" s="1">
        <v>-5.55E7</v>
      </c>
      <c r="M1768" s="1">
        <v>-4.809E8</v>
      </c>
      <c r="N1768" s="1">
        <v>2.4574E9</v>
      </c>
      <c r="O1768" s="1">
        <v>2.1933E9</v>
      </c>
      <c r="P1768" s="1">
        <v>2.109E9</v>
      </c>
      <c r="Q1768" s="1">
        <v>8.33E7</v>
      </c>
      <c r="R1768" s="1">
        <v>8.283E8</v>
      </c>
      <c r="S1768" s="1">
        <v>8.279E8</v>
      </c>
    </row>
    <row r="1769">
      <c r="A1769" s="1">
        <v>1767.0</v>
      </c>
      <c r="B1769" s="2">
        <v>44104.0</v>
      </c>
      <c r="C1769" s="1" t="s">
        <v>918</v>
      </c>
      <c r="D1769" s="1" t="s">
        <v>919</v>
      </c>
      <c r="F1769" s="1">
        <v>3.35E7</v>
      </c>
      <c r="G1769" s="1">
        <v>-6200000.0</v>
      </c>
      <c r="H1769" s="1">
        <v>9.76E7</v>
      </c>
      <c r="I1769" s="1">
        <v>3.741E8</v>
      </c>
      <c r="J1769" s="1">
        <v>1.495E8</v>
      </c>
      <c r="K1769" s="1">
        <v>1.495E8</v>
      </c>
      <c r="L1769" s="1">
        <v>-5.08E7</v>
      </c>
      <c r="M1769" s="1">
        <v>3.81E7</v>
      </c>
      <c r="N1769" s="1">
        <v>2.3815E9</v>
      </c>
      <c r="O1769" s="1">
        <v>2.232E9</v>
      </c>
      <c r="P1769" s="1">
        <v>2.0074E9</v>
      </c>
      <c r="Q1769" s="1">
        <v>-1.16E8</v>
      </c>
      <c r="R1769" s="1">
        <v>-4600000.0</v>
      </c>
      <c r="S1769" s="1">
        <v>-6200000.0</v>
      </c>
    </row>
    <row r="1770">
      <c r="A1770" s="1">
        <v>1768.0</v>
      </c>
      <c r="B1770" s="2">
        <v>44377.0</v>
      </c>
      <c r="C1770" s="1" t="s">
        <v>920</v>
      </c>
      <c r="D1770" s="1" t="s">
        <v>921</v>
      </c>
      <c r="F1770" s="1">
        <v>1.131E9</v>
      </c>
      <c r="G1770" s="1">
        <v>9.34E8</v>
      </c>
      <c r="H1770" s="1">
        <v>1.174E9</v>
      </c>
      <c r="I1770" s="1">
        <v>2.388E9</v>
      </c>
      <c r="J1770" s="1">
        <v>1.214E9</v>
      </c>
      <c r="K1770" s="1">
        <v>1.214E9</v>
      </c>
      <c r="L1770" s="1">
        <v>-8.3E7</v>
      </c>
      <c r="M1770" s="1">
        <v>1.97E8</v>
      </c>
      <c r="N1770" s="1">
        <v>8.687E9</v>
      </c>
      <c r="O1770" s="1">
        <v>7.473E9</v>
      </c>
      <c r="P1770" s="1">
        <v>6.299E9</v>
      </c>
      <c r="Q1770" s="1">
        <v>-8.3E7</v>
      </c>
      <c r="R1770" s="1">
        <v>9.34E8</v>
      </c>
      <c r="S1770" s="1">
        <v>9.27E8</v>
      </c>
    </row>
    <row r="1771">
      <c r="A1771" s="1">
        <v>1769.0</v>
      </c>
      <c r="B1771" s="2">
        <v>44286.0</v>
      </c>
      <c r="C1771" s="1" t="s">
        <v>920</v>
      </c>
      <c r="D1771" s="1" t="s">
        <v>921</v>
      </c>
      <c r="F1771" s="1">
        <v>8.91E8</v>
      </c>
      <c r="G1771" s="1">
        <v>7.33E8</v>
      </c>
      <c r="H1771" s="1">
        <v>1.163E9</v>
      </c>
      <c r="I1771" s="1">
        <v>2.136E9</v>
      </c>
      <c r="J1771" s="1">
        <v>9.73E8</v>
      </c>
      <c r="K1771" s="1">
        <v>9.73E8</v>
      </c>
      <c r="L1771" s="1">
        <v>-8.2E7</v>
      </c>
      <c r="M1771" s="1">
        <v>1.58E8</v>
      </c>
      <c r="N1771" s="1">
        <v>8.313E9</v>
      </c>
      <c r="O1771" s="1">
        <v>7.34E9</v>
      </c>
      <c r="P1771" s="1">
        <v>6.177E9</v>
      </c>
      <c r="Q1771" s="1">
        <v>-8.2E7</v>
      </c>
      <c r="R1771" s="1">
        <v>7.33E8</v>
      </c>
      <c r="S1771" s="1">
        <v>7.28E8</v>
      </c>
    </row>
    <row r="1772">
      <c r="A1772" s="1">
        <v>1770.0</v>
      </c>
      <c r="B1772" s="2">
        <v>44196.0</v>
      </c>
      <c r="C1772" s="1" t="s">
        <v>920</v>
      </c>
      <c r="D1772" s="1" t="s">
        <v>921</v>
      </c>
      <c r="F1772" s="1">
        <v>1.616E9</v>
      </c>
      <c r="G1772" s="1">
        <v>1.31E9</v>
      </c>
      <c r="H1772" s="1">
        <v>1.142E9</v>
      </c>
      <c r="I1772" s="1">
        <v>2.841E9</v>
      </c>
      <c r="J1772" s="1">
        <v>1.699E9</v>
      </c>
      <c r="K1772" s="1">
        <v>1.699E9</v>
      </c>
      <c r="L1772" s="1">
        <v>-8.3E7</v>
      </c>
      <c r="M1772" s="1">
        <v>3.06E8</v>
      </c>
      <c r="N1772" s="1">
        <v>8.397E9</v>
      </c>
      <c r="O1772" s="1">
        <v>6.698E9</v>
      </c>
      <c r="P1772" s="1">
        <v>5.556E9</v>
      </c>
      <c r="Q1772" s="1">
        <v>-8.3E7</v>
      </c>
      <c r="R1772" s="1">
        <v>1.31E9</v>
      </c>
      <c r="S1772" s="1">
        <v>1.3E9</v>
      </c>
    </row>
    <row r="1773">
      <c r="A1773" s="1">
        <v>1771.0</v>
      </c>
      <c r="B1773" s="2">
        <v>44104.0</v>
      </c>
      <c r="C1773" s="1" t="s">
        <v>920</v>
      </c>
      <c r="D1773" s="1" t="s">
        <v>921</v>
      </c>
      <c r="F1773" s="1">
        <v>9.86E8</v>
      </c>
      <c r="G1773" s="1">
        <v>8.27E8</v>
      </c>
      <c r="H1773" s="1">
        <v>1.109E9</v>
      </c>
      <c r="I1773" s="1">
        <v>2.182E9</v>
      </c>
      <c r="J1773" s="1">
        <v>1.073E9</v>
      </c>
      <c r="K1773" s="1">
        <v>1.073E9</v>
      </c>
      <c r="L1773" s="1">
        <v>-8.7E7</v>
      </c>
      <c r="M1773" s="1">
        <v>1.59E8</v>
      </c>
      <c r="N1773" s="1">
        <v>8.275E9</v>
      </c>
      <c r="O1773" s="1">
        <v>7.202E9</v>
      </c>
      <c r="P1773" s="1">
        <v>6.093E9</v>
      </c>
      <c r="Q1773" s="1">
        <v>-8.7E7</v>
      </c>
      <c r="R1773" s="1">
        <v>8.27E8</v>
      </c>
      <c r="S1773" s="1">
        <v>8.21E8</v>
      </c>
    </row>
    <row r="1774">
      <c r="A1774" s="1">
        <v>1772.0</v>
      </c>
      <c r="B1774" s="2">
        <v>44289.0</v>
      </c>
      <c r="C1774" s="1" t="s">
        <v>922</v>
      </c>
      <c r="D1774" s="1" t="s">
        <v>923</v>
      </c>
      <c r="F1774" s="1">
        <v>1.23E9</v>
      </c>
      <c r="G1774" s="1">
        <v>9.01E8</v>
      </c>
      <c r="H1774" s="1">
        <v>3.149E9</v>
      </c>
      <c r="I1774" s="1">
        <v>5.831E9</v>
      </c>
      <c r="J1774" s="1">
        <v>1.41E9</v>
      </c>
      <c r="K1774" s="1">
        <v>1.41E9</v>
      </c>
      <c r="L1774" s="1">
        <v>-4.15E8</v>
      </c>
      <c r="M1774" s="1">
        <v>1.08E8</v>
      </c>
      <c r="N1774" s="1">
        <v>1.5613E10</v>
      </c>
      <c r="O1774" s="1">
        <v>1.4203E10</v>
      </c>
      <c r="P1774" s="1">
        <v>9.782E9</v>
      </c>
      <c r="Q1774" s="1">
        <v>-1.8E8</v>
      </c>
      <c r="R1774" s="1">
        <v>1.122E9</v>
      </c>
      <c r="S1774" s="1">
        <v>9.01E8</v>
      </c>
    </row>
    <row r="1775">
      <c r="A1775" s="1">
        <v>1773.0</v>
      </c>
      <c r="B1775" s="2">
        <v>44198.0</v>
      </c>
      <c r="C1775" s="1" t="s">
        <v>922</v>
      </c>
      <c r="D1775" s="1" t="s">
        <v>923</v>
      </c>
      <c r="F1775" s="1">
        <v>4.6E7</v>
      </c>
      <c r="G1775" s="1">
        <v>1.7E7</v>
      </c>
      <c r="H1775" s="1">
        <v>2.95E9</v>
      </c>
      <c r="I1775" s="1">
        <v>4.474E9</v>
      </c>
      <c r="J1775" s="1">
        <v>2.26E8</v>
      </c>
      <c r="K1775" s="1">
        <v>2.26E8</v>
      </c>
      <c r="L1775" s="1">
        <v>-4.04E8</v>
      </c>
      <c r="M1775" s="1">
        <v>1.6E7</v>
      </c>
      <c r="N1775" s="1">
        <v>1.6249E10</v>
      </c>
      <c r="O1775" s="1">
        <v>1.6023E10</v>
      </c>
      <c r="P1775" s="1">
        <v>1.1775E10</v>
      </c>
      <c r="Q1775" s="1">
        <v>-1.8E8</v>
      </c>
      <c r="R1775" s="1">
        <v>3.0E7</v>
      </c>
      <c r="S1775" s="1">
        <v>1.7E7</v>
      </c>
    </row>
    <row r="1776">
      <c r="A1776" s="1">
        <v>1774.0</v>
      </c>
      <c r="B1776" s="2">
        <v>44107.0</v>
      </c>
      <c r="C1776" s="1" t="s">
        <v>922</v>
      </c>
      <c r="D1776" s="1" t="s">
        <v>923</v>
      </c>
      <c r="F1776" s="1">
        <v>-5.8E8</v>
      </c>
      <c r="G1776" s="1">
        <v>-7.1E8</v>
      </c>
      <c r="H1776" s="1">
        <v>2.833E9</v>
      </c>
      <c r="I1776" s="1">
        <v>3.694E9</v>
      </c>
      <c r="J1776" s="1">
        <v>-4.74E8</v>
      </c>
      <c r="K1776" s="1">
        <v>-4.74E8</v>
      </c>
      <c r="L1776" s="1">
        <v>-4.75E8</v>
      </c>
      <c r="M1776" s="1">
        <v>4.9E7</v>
      </c>
      <c r="N1776" s="1">
        <v>1.4707E10</v>
      </c>
      <c r="O1776" s="1">
        <v>1.5181E10</v>
      </c>
      <c r="P1776" s="1">
        <v>1.1013E10</v>
      </c>
      <c r="Q1776" s="1">
        <v>-1.06E8</v>
      </c>
      <c r="R1776" s="1">
        <v>-6.29E8</v>
      </c>
      <c r="S1776" s="1">
        <v>-7.1E8</v>
      </c>
    </row>
    <row r="1777">
      <c r="A1777" s="1">
        <v>1775.0</v>
      </c>
      <c r="B1777" s="2">
        <v>44009.0</v>
      </c>
      <c r="C1777" s="1" t="s">
        <v>922</v>
      </c>
      <c r="D1777" s="1" t="s">
        <v>923</v>
      </c>
      <c r="F1777" s="1">
        <v>-4.84E9</v>
      </c>
      <c r="G1777" s="1">
        <v>-4.721E9</v>
      </c>
      <c r="H1777" s="1">
        <v>2.452E9</v>
      </c>
      <c r="I1777" s="1">
        <v>3.883E9</v>
      </c>
      <c r="J1777" s="1">
        <v>5.4E7</v>
      </c>
      <c r="K1777" s="1">
        <v>5.4E7</v>
      </c>
      <c r="L1777" s="1">
        <v>-4.56E8</v>
      </c>
      <c r="M1777" s="1">
        <v>-3.31E8</v>
      </c>
      <c r="N1777" s="1">
        <v>1.1779E10</v>
      </c>
      <c r="O1777" s="1">
        <v>1.1725E10</v>
      </c>
      <c r="P1777" s="1">
        <v>7.896E9</v>
      </c>
      <c r="Q1777" s="1">
        <v>-4.894E9</v>
      </c>
      <c r="R1777" s="1">
        <v>-4.509E9</v>
      </c>
      <c r="S1777" s="1">
        <v>-4.721E9</v>
      </c>
    </row>
    <row r="1778">
      <c r="A1778" s="1">
        <v>1776.0</v>
      </c>
      <c r="B1778" s="2">
        <v>44380.0</v>
      </c>
      <c r="C1778" s="1" t="s">
        <v>924</v>
      </c>
      <c r="D1778" s="1" t="s">
        <v>925</v>
      </c>
      <c r="E1778" s="1">
        <v>3.43E8</v>
      </c>
      <c r="F1778" s="1">
        <v>2.047E9</v>
      </c>
      <c r="G1778" s="1">
        <v>1.828E9</v>
      </c>
      <c r="H1778" s="1">
        <v>1.941E9</v>
      </c>
      <c r="I1778" s="1">
        <v>4.524E9</v>
      </c>
      <c r="J1778" s="1">
        <v>2.24E9</v>
      </c>
      <c r="K1778" s="1">
        <v>2.24E9</v>
      </c>
      <c r="L1778" s="1">
        <v>-1.22E8</v>
      </c>
      <c r="M1778" s="1">
        <v>2.19E8</v>
      </c>
      <c r="N1778" s="1">
        <v>9.273E9</v>
      </c>
      <c r="O1778" s="1">
        <v>7.033E9</v>
      </c>
      <c r="P1778" s="1">
        <v>4.749E9</v>
      </c>
      <c r="Q1778" s="1">
        <v>-1.93E8</v>
      </c>
      <c r="R1778" s="1">
        <v>1.828E9</v>
      </c>
      <c r="S1778" s="1">
        <v>1.828E9</v>
      </c>
    </row>
    <row r="1779">
      <c r="A1779" s="1">
        <v>1777.0</v>
      </c>
      <c r="B1779" s="2">
        <v>44289.0</v>
      </c>
      <c r="C1779" s="1" t="s">
        <v>924</v>
      </c>
      <c r="D1779" s="1" t="s">
        <v>925</v>
      </c>
      <c r="E1779" s="1">
        <v>3.2E8</v>
      </c>
      <c r="F1779" s="1">
        <v>2.753E9</v>
      </c>
      <c r="G1779" s="1">
        <v>2.337E9</v>
      </c>
      <c r="H1779" s="1">
        <v>1.808E9</v>
      </c>
      <c r="I1779" s="1">
        <v>5.217E9</v>
      </c>
      <c r="J1779" s="1">
        <v>3.089E9</v>
      </c>
      <c r="K1779" s="1">
        <v>3.089E9</v>
      </c>
      <c r="L1779" s="1">
        <v>-1.18E8</v>
      </c>
      <c r="M1779" s="1">
        <v>4.16E8</v>
      </c>
      <c r="N1779" s="1">
        <v>9.906E9</v>
      </c>
      <c r="O1779" s="1">
        <v>6.817E9</v>
      </c>
      <c r="P1779" s="1">
        <v>4.689E9</v>
      </c>
      <c r="Q1779" s="1">
        <v>-3.36E8</v>
      </c>
      <c r="R1779" s="1">
        <v>2.337E9</v>
      </c>
      <c r="S1779" s="1">
        <v>2.337E9</v>
      </c>
    </row>
    <row r="1780">
      <c r="A1780" s="1">
        <v>1778.0</v>
      </c>
      <c r="B1780" s="2">
        <v>44196.0</v>
      </c>
      <c r="C1780" s="1" t="s">
        <v>924</v>
      </c>
      <c r="D1780" s="1" t="s">
        <v>925</v>
      </c>
      <c r="E1780" s="1">
        <v>3.76E8</v>
      </c>
      <c r="F1780" s="1">
        <v>2.892E9</v>
      </c>
      <c r="G1780" s="1">
        <v>2.498E9</v>
      </c>
      <c r="H1780" s="1">
        <v>2.096E9</v>
      </c>
      <c r="I1780" s="1">
        <v>5.557E9</v>
      </c>
      <c r="J1780" s="1">
        <v>3.085E9</v>
      </c>
      <c r="K1780" s="1">
        <v>3.085E9</v>
      </c>
      <c r="L1780" s="1">
        <v>-1.32E8</v>
      </c>
      <c r="M1780" s="1">
        <v>3.94E8</v>
      </c>
      <c r="N1780" s="1">
        <v>1.055E10</v>
      </c>
      <c r="O1780" s="1">
        <v>7.465E9</v>
      </c>
      <c r="P1780" s="1">
        <v>4.993E9</v>
      </c>
      <c r="Q1780" s="1">
        <v>-1.93E8</v>
      </c>
      <c r="R1780" s="1">
        <v>2.498E9</v>
      </c>
      <c r="S1780" s="1">
        <v>2.498E9</v>
      </c>
    </row>
    <row r="1781">
      <c r="A1781" s="1">
        <v>1779.0</v>
      </c>
      <c r="B1781" s="2">
        <v>44100.0</v>
      </c>
      <c r="C1781" s="1" t="s">
        <v>924</v>
      </c>
      <c r="D1781" s="1" t="s">
        <v>925</v>
      </c>
      <c r="E1781" s="1">
        <v>2.96E8</v>
      </c>
      <c r="F1781" s="1">
        <v>2.252E9</v>
      </c>
      <c r="G1781" s="1">
        <v>1.933E9</v>
      </c>
      <c r="H1781" s="1">
        <v>1.647E9</v>
      </c>
      <c r="I1781" s="1">
        <v>4.332E9</v>
      </c>
      <c r="J1781" s="1">
        <v>2.389E9</v>
      </c>
      <c r="K1781" s="1">
        <v>2.389E9</v>
      </c>
      <c r="L1781" s="1">
        <v>-1.49E8</v>
      </c>
      <c r="M1781" s="1">
        <v>3.19E8</v>
      </c>
      <c r="N1781" s="1">
        <v>8.521E9</v>
      </c>
      <c r="O1781" s="1">
        <v>6.132E9</v>
      </c>
      <c r="P1781" s="1">
        <v>4.189E9</v>
      </c>
      <c r="Q1781" s="1">
        <v>-1.37E8</v>
      </c>
      <c r="R1781" s="1">
        <v>1.933E9</v>
      </c>
      <c r="S1781" s="1">
        <v>1.933E9</v>
      </c>
    </row>
    <row r="1782">
      <c r="A1782" s="1">
        <v>1780.0</v>
      </c>
      <c r="B1782" s="2">
        <v>44317.0</v>
      </c>
      <c r="C1782" s="1" t="s">
        <v>926</v>
      </c>
      <c r="D1782" s="1" t="s">
        <v>927</v>
      </c>
      <c r="F1782" s="1">
        <v>7.21346E8</v>
      </c>
      <c r="G1782" s="1">
        <v>5.3393E8</v>
      </c>
      <c r="H1782" s="1">
        <v>2.064992E9</v>
      </c>
      <c r="I1782" s="1">
        <v>2.831026E9</v>
      </c>
      <c r="J1782" s="1">
        <v>7.66034E8</v>
      </c>
      <c r="K1782" s="1">
        <v>7.66034E8</v>
      </c>
      <c r="L1782" s="1">
        <v>-4.5888E7</v>
      </c>
      <c r="M1782" s="1">
        <v>1.87416E8</v>
      </c>
      <c r="N1782" s="1">
        <v>1.0086661E10</v>
      </c>
      <c r="O1782" s="1">
        <v>9.320627E9</v>
      </c>
      <c r="P1782" s="1">
        <v>7.255635E9</v>
      </c>
      <c r="Q1782" s="1">
        <v>-4.4688E7</v>
      </c>
      <c r="R1782" s="1">
        <v>5.3393E8</v>
      </c>
      <c r="S1782" s="1">
        <v>5.3393E8</v>
      </c>
    </row>
    <row r="1783">
      <c r="A1783" s="1">
        <v>1781.0</v>
      </c>
      <c r="B1783" s="2">
        <v>44226.0</v>
      </c>
      <c r="C1783" s="1" t="s">
        <v>926</v>
      </c>
      <c r="D1783" s="1" t="s">
        <v>927</v>
      </c>
      <c r="F1783" s="1">
        <v>5.08138E8</v>
      </c>
      <c r="G1783" s="1">
        <v>3.25523E8</v>
      </c>
      <c r="H1783" s="1">
        <v>5.610468E9</v>
      </c>
      <c r="I1783" s="1">
        <v>5.966002E9</v>
      </c>
      <c r="J1783" s="1">
        <v>3.55534E8</v>
      </c>
      <c r="K1783" s="1">
        <v>3.55534E8</v>
      </c>
      <c r="L1783" s="1">
        <v>-4.8854E7</v>
      </c>
      <c r="M1783" s="1">
        <v>1.82615E8</v>
      </c>
      <c r="N1783" s="1">
        <v>1.094321E10</v>
      </c>
      <c r="O1783" s="1">
        <v>1.0587676E10</v>
      </c>
      <c r="P1783" s="1">
        <v>4.977208E9</v>
      </c>
      <c r="Q1783" s="1">
        <v>1.52604E8</v>
      </c>
      <c r="R1783" s="1">
        <v>3.25523E8</v>
      </c>
      <c r="S1783" s="1">
        <v>3.25523E8</v>
      </c>
    </row>
    <row r="1784">
      <c r="A1784" s="1">
        <v>1782.0</v>
      </c>
      <c r="B1784" s="2">
        <v>44135.0</v>
      </c>
      <c r="C1784" s="1" t="s">
        <v>926</v>
      </c>
      <c r="D1784" s="1" t="s">
        <v>927</v>
      </c>
      <c r="F1784" s="1">
        <v>1.015992E9</v>
      </c>
      <c r="G1784" s="1">
        <v>8.66656E8</v>
      </c>
      <c r="H1784" s="1">
        <v>1.986128E9</v>
      </c>
      <c r="I1784" s="1">
        <v>3.055004E9</v>
      </c>
      <c r="J1784" s="1">
        <v>1.068876E9</v>
      </c>
      <c r="K1784" s="1">
        <v>1.068876E9</v>
      </c>
      <c r="L1784" s="1">
        <v>-5.42E7</v>
      </c>
      <c r="M1784" s="1">
        <v>1.49336E8</v>
      </c>
      <c r="N1784" s="1">
        <v>1.0117289E10</v>
      </c>
      <c r="O1784" s="1">
        <v>9.048413E9</v>
      </c>
      <c r="P1784" s="1">
        <v>7.062285E9</v>
      </c>
      <c r="Q1784" s="1">
        <v>-5.2884E7</v>
      </c>
      <c r="R1784" s="1">
        <v>8.66656E8</v>
      </c>
      <c r="S1784" s="1">
        <v>8.66656E8</v>
      </c>
    </row>
    <row r="1785">
      <c r="A1785" s="1">
        <v>1783.0</v>
      </c>
      <c r="B1785" s="2">
        <v>44044.0</v>
      </c>
      <c r="C1785" s="1" t="s">
        <v>926</v>
      </c>
      <c r="D1785" s="1" t="s">
        <v>927</v>
      </c>
      <c r="F1785" s="1">
        <v>-9.2019E7</v>
      </c>
      <c r="G1785" s="1">
        <v>-2.1422E8</v>
      </c>
      <c r="H1785" s="1">
        <v>1.527768E9</v>
      </c>
      <c r="I1785" s="1">
        <v>1.493085E9</v>
      </c>
      <c r="J1785" s="1">
        <v>-3.4683E7</v>
      </c>
      <c r="K1785" s="1">
        <v>-3.4683E7</v>
      </c>
      <c r="L1785" s="1">
        <v>-5.9E7</v>
      </c>
      <c r="M1785" s="1">
        <v>1.22201E8</v>
      </c>
      <c r="N1785" s="1">
        <v>6.667575E9</v>
      </c>
      <c r="O1785" s="1">
        <v>6.702258E9</v>
      </c>
      <c r="P1785" s="1">
        <v>5.17449E9</v>
      </c>
      <c r="Q1785" s="1">
        <v>-5.7336E7</v>
      </c>
      <c r="R1785" s="1">
        <v>-2.1422E8</v>
      </c>
      <c r="S1785" s="1">
        <v>-2.1422E8</v>
      </c>
    </row>
    <row r="1786">
      <c r="A1786" s="1">
        <v>1784.0</v>
      </c>
      <c r="B1786" s="2">
        <v>44373.0</v>
      </c>
      <c r="C1786" s="1" t="s">
        <v>928</v>
      </c>
      <c r="D1786" s="1" t="s">
        <v>929</v>
      </c>
      <c r="F1786" s="1">
        <v>4.79182E8</v>
      </c>
      <c r="G1786" s="1">
        <v>3.70022E8</v>
      </c>
      <c r="H1786" s="1">
        <v>7.23749E8</v>
      </c>
      <c r="I1786" s="1">
        <v>1.287485E9</v>
      </c>
      <c r="J1786" s="1">
        <v>4.98883E8</v>
      </c>
      <c r="K1786" s="1">
        <v>4.98883E8</v>
      </c>
      <c r="L1786" s="1">
        <v>-6701000.0</v>
      </c>
      <c r="M1786" s="1">
        <v>1.0916E8</v>
      </c>
      <c r="N1786" s="1">
        <v>3.601559E9</v>
      </c>
      <c r="O1786" s="1">
        <v>3.102676E9</v>
      </c>
      <c r="P1786" s="1">
        <v>2.314074E9</v>
      </c>
      <c r="Q1786" s="1">
        <v>-1.9701E7</v>
      </c>
      <c r="R1786" s="1">
        <v>3.70022E8</v>
      </c>
      <c r="S1786" s="1">
        <v>3.70022E8</v>
      </c>
    </row>
    <row r="1787">
      <c r="A1787" s="1">
        <v>1785.0</v>
      </c>
      <c r="B1787" s="2">
        <v>44282.0</v>
      </c>
      <c r="C1787" s="1" t="s">
        <v>928</v>
      </c>
      <c r="D1787" s="1" t="s">
        <v>929</v>
      </c>
      <c r="F1787" s="1">
        <v>2.23315E8</v>
      </c>
      <c r="G1787" s="1">
        <v>1.81354E8</v>
      </c>
      <c r="H1787" s="1">
        <v>6.9319E8</v>
      </c>
      <c r="I1787" s="1">
        <v>9.8378E8</v>
      </c>
      <c r="J1787" s="1">
        <v>2.30536E8</v>
      </c>
      <c r="K1787" s="1">
        <v>2.30536E8</v>
      </c>
      <c r="L1787" s="1">
        <v>-7221000.0</v>
      </c>
      <c r="M1787" s="1">
        <v>4.1961E7</v>
      </c>
      <c r="N1787" s="1">
        <v>2.792336E9</v>
      </c>
      <c r="O1787" s="1">
        <v>2.5618E9</v>
      </c>
      <c r="P1787" s="1">
        <v>1.808556E9</v>
      </c>
      <c r="Q1787" s="1">
        <v>-7221000.0</v>
      </c>
      <c r="R1787" s="1">
        <v>1.81354E8</v>
      </c>
      <c r="S1787" s="1">
        <v>1.81354E8</v>
      </c>
    </row>
    <row r="1788">
      <c r="A1788" s="1">
        <v>1786.0</v>
      </c>
      <c r="B1788" s="2">
        <v>44191.0</v>
      </c>
      <c r="C1788" s="1" t="s">
        <v>928</v>
      </c>
      <c r="D1788" s="1" t="s">
        <v>929</v>
      </c>
      <c r="F1788" s="1">
        <v>1.76381E8</v>
      </c>
      <c r="G1788" s="1">
        <v>1.35893E8</v>
      </c>
      <c r="H1788" s="1">
        <v>6.43522E8</v>
      </c>
      <c r="I1788" s="1">
        <v>9.9553E8</v>
      </c>
      <c r="J1788" s="1">
        <v>2.93518E8</v>
      </c>
      <c r="K1788" s="1">
        <v>2.93518E8</v>
      </c>
      <c r="L1788" s="1">
        <v>-8086000.0</v>
      </c>
      <c r="M1788" s="1">
        <v>4.0488E7</v>
      </c>
      <c r="N1788" s="1">
        <v>2.878265E9</v>
      </c>
      <c r="O1788" s="1">
        <v>2.584747E9</v>
      </c>
      <c r="P1788" s="1">
        <v>1.882735E9</v>
      </c>
      <c r="Q1788" s="1">
        <v>-1.17137E8</v>
      </c>
      <c r="R1788" s="1">
        <v>1.35893E8</v>
      </c>
      <c r="S1788" s="1">
        <v>1.35893E8</v>
      </c>
    </row>
    <row r="1789">
      <c r="A1789" s="1">
        <v>1787.0</v>
      </c>
      <c r="B1789" s="2">
        <v>44100.0</v>
      </c>
      <c r="C1789" s="1" t="s">
        <v>928</v>
      </c>
      <c r="D1789" s="1" t="s">
        <v>929</v>
      </c>
      <c r="F1789" s="1">
        <v>2.44969E8</v>
      </c>
      <c r="G1789" s="1">
        <v>1.9061E8</v>
      </c>
      <c r="H1789" s="1">
        <v>6.21129E8</v>
      </c>
      <c r="I1789" s="1">
        <v>9.47957E8</v>
      </c>
      <c r="J1789" s="1">
        <v>2.72177E8</v>
      </c>
      <c r="K1789" s="1">
        <v>2.72177E8</v>
      </c>
      <c r="L1789" s="1">
        <v>-7208000.0</v>
      </c>
      <c r="M1789" s="1">
        <v>5.4359E7</v>
      </c>
      <c r="N1789" s="1">
        <v>2.606572E9</v>
      </c>
      <c r="O1789" s="1">
        <v>2.334395E9</v>
      </c>
      <c r="P1789" s="1">
        <v>1.658615E9</v>
      </c>
      <c r="Q1789" s="1">
        <v>-2.7208E7</v>
      </c>
      <c r="R1789" s="1">
        <v>1.9061E8</v>
      </c>
      <c r="S1789" s="1">
        <v>1.9061E8</v>
      </c>
    </row>
    <row r="1790">
      <c r="A1790" s="1">
        <v>1788.0</v>
      </c>
      <c r="B1790" s="2">
        <v>44377.0</v>
      </c>
      <c r="C1790" s="1" t="s">
        <v>930</v>
      </c>
      <c r="D1790" s="1" t="s">
        <v>931</v>
      </c>
      <c r="F1790" s="1">
        <v>5.92E8</v>
      </c>
      <c r="G1790" s="1">
        <v>4.647E8</v>
      </c>
      <c r="H1790" s="1">
        <v>6.178E8</v>
      </c>
      <c r="I1790" s="1">
        <v>1.2715E9</v>
      </c>
      <c r="J1790" s="1">
        <v>6.537E8</v>
      </c>
      <c r="K1790" s="1">
        <v>6.537E8</v>
      </c>
      <c r="L1790" s="1">
        <v>-5.93E7</v>
      </c>
      <c r="M1790" s="1">
        <v>1.228E8</v>
      </c>
      <c r="N1790" s="1">
        <v>3.8297E9</v>
      </c>
      <c r="O1790" s="1">
        <v>3.176E9</v>
      </c>
      <c r="P1790" s="1">
        <v>2.5582E9</v>
      </c>
      <c r="Q1790" s="1">
        <v>-6.17E7</v>
      </c>
      <c r="R1790" s="1">
        <v>4.692E8</v>
      </c>
      <c r="S1790" s="1">
        <v>4.647E8</v>
      </c>
    </row>
    <row r="1791">
      <c r="A1791" s="1">
        <v>1789.0</v>
      </c>
      <c r="B1791" s="2">
        <v>44286.0</v>
      </c>
      <c r="C1791" s="1" t="s">
        <v>930</v>
      </c>
      <c r="D1791" s="1" t="s">
        <v>931</v>
      </c>
      <c r="F1791" s="1">
        <v>2.853E8</v>
      </c>
      <c r="G1791" s="1">
        <v>2.352E8</v>
      </c>
      <c r="H1791" s="1">
        <v>5.972E8</v>
      </c>
      <c r="I1791" s="1">
        <v>9.55E8</v>
      </c>
      <c r="J1791" s="1">
        <v>3.578E8</v>
      </c>
      <c r="K1791" s="1">
        <v>3.578E8</v>
      </c>
      <c r="L1791" s="1">
        <v>-6.07E7</v>
      </c>
      <c r="M1791" s="1">
        <v>4.84E7</v>
      </c>
      <c r="N1791" s="1">
        <v>3.0176E9</v>
      </c>
      <c r="O1791" s="1">
        <v>2.6598E9</v>
      </c>
      <c r="P1791" s="1">
        <v>2.0626E9</v>
      </c>
      <c r="Q1791" s="1">
        <v>-7.25E7</v>
      </c>
      <c r="R1791" s="1">
        <v>2.369E8</v>
      </c>
      <c r="S1791" s="1">
        <v>2.352E8</v>
      </c>
    </row>
    <row r="1792">
      <c r="A1792" s="1">
        <v>1790.0</v>
      </c>
      <c r="B1792" s="2">
        <v>44196.0</v>
      </c>
      <c r="C1792" s="1" t="s">
        <v>930</v>
      </c>
      <c r="D1792" s="1" t="s">
        <v>931</v>
      </c>
      <c r="F1792" s="1">
        <v>3.226E8</v>
      </c>
      <c r="G1792" s="1">
        <v>2.447E8</v>
      </c>
      <c r="H1792" s="1">
        <v>5.634E8</v>
      </c>
      <c r="I1792" s="1">
        <v>9.501E8</v>
      </c>
      <c r="J1792" s="1">
        <v>3.867E8</v>
      </c>
      <c r="K1792" s="1">
        <v>3.867E8</v>
      </c>
      <c r="L1792" s="1">
        <v>-6.19E7</v>
      </c>
      <c r="M1792" s="1">
        <v>7.24E7</v>
      </c>
      <c r="N1792" s="1">
        <v>3.1791E9</v>
      </c>
      <c r="O1792" s="1">
        <v>2.7924E9</v>
      </c>
      <c r="P1792" s="1">
        <v>2.229E9</v>
      </c>
      <c r="Q1792" s="1">
        <v>-6.41E7</v>
      </c>
      <c r="R1792" s="1">
        <v>2.502E8</v>
      </c>
      <c r="S1792" s="1">
        <v>2.447E8</v>
      </c>
    </row>
    <row r="1793">
      <c r="A1793" s="1">
        <v>1791.0</v>
      </c>
      <c r="B1793" s="2">
        <v>44104.0</v>
      </c>
      <c r="C1793" s="1" t="s">
        <v>930</v>
      </c>
      <c r="D1793" s="1" t="s">
        <v>931</v>
      </c>
      <c r="F1793" s="1">
        <v>5.0E8</v>
      </c>
      <c r="G1793" s="1">
        <v>4.006E8</v>
      </c>
      <c r="H1793" s="1">
        <v>5.668E8</v>
      </c>
      <c r="I1793" s="1">
        <v>1.138E9</v>
      </c>
      <c r="J1793" s="1">
        <v>5.712E8</v>
      </c>
      <c r="K1793" s="1">
        <v>5.712E8</v>
      </c>
      <c r="L1793" s="1">
        <v>-6.24E7</v>
      </c>
      <c r="M1793" s="1">
        <v>8.99E7</v>
      </c>
      <c r="N1793" s="1">
        <v>3.4955E9</v>
      </c>
      <c r="O1793" s="1">
        <v>2.9243E9</v>
      </c>
      <c r="P1793" s="1">
        <v>2.3575E9</v>
      </c>
      <c r="Q1793" s="1">
        <v>-7.12E7</v>
      </c>
      <c r="R1793" s="1">
        <v>4.101E8</v>
      </c>
      <c r="S1793" s="1">
        <v>4.006E8</v>
      </c>
    </row>
    <row r="1794">
      <c r="A1794" s="1">
        <v>1792.0</v>
      </c>
      <c r="B1794" s="2">
        <v>44380.0</v>
      </c>
      <c r="C1794" s="1" t="s">
        <v>932</v>
      </c>
      <c r="D1794" s="1" t="s">
        <v>933</v>
      </c>
      <c r="F1794" s="1">
        <v>2.44E8</v>
      </c>
      <c r="G1794" s="1">
        <v>3.17E8</v>
      </c>
      <c r="H1794" s="1">
        <v>1.65E8</v>
      </c>
      <c r="I1794" s="1">
        <v>6.57E8</v>
      </c>
      <c r="J1794" s="1">
        <v>4.56E8</v>
      </c>
      <c r="K1794" s="1">
        <v>4.56E8</v>
      </c>
      <c r="L1794" s="1">
        <v>-2.63E8</v>
      </c>
      <c r="M1794" s="1">
        <v>-7.3E7</v>
      </c>
      <c r="N1794" s="1">
        <v>1.218E9</v>
      </c>
      <c r="O1794" s="1">
        <v>7.62E8</v>
      </c>
      <c r="P1794" s="1">
        <v>5.61E8</v>
      </c>
      <c r="Q1794" s="1">
        <v>-2.12E8</v>
      </c>
      <c r="R1794" s="1">
        <v>3.17E8</v>
      </c>
      <c r="S1794" s="1">
        <v>3.17E8</v>
      </c>
    </row>
    <row r="1795">
      <c r="A1795" s="1">
        <v>1793.0</v>
      </c>
      <c r="B1795" s="2">
        <v>44289.0</v>
      </c>
      <c r="C1795" s="1" t="s">
        <v>932</v>
      </c>
      <c r="D1795" s="1" t="s">
        <v>933</v>
      </c>
      <c r="F1795" s="1">
        <v>1.3E8</v>
      </c>
      <c r="G1795" s="1">
        <v>1.04E8</v>
      </c>
      <c r="H1795" s="1">
        <v>1.48E8</v>
      </c>
      <c r="I1795" s="1">
        <v>6.15E8</v>
      </c>
      <c r="J1795" s="1">
        <v>4.31E8</v>
      </c>
      <c r="K1795" s="1">
        <v>4.31E8</v>
      </c>
      <c r="L1795" s="1">
        <v>-2.68E8</v>
      </c>
      <c r="M1795" s="1">
        <v>2.5E7</v>
      </c>
      <c r="N1795" s="1">
        <v>1.194E9</v>
      </c>
      <c r="O1795" s="1">
        <v>7.63E8</v>
      </c>
      <c r="P1795" s="1">
        <v>5.79E8</v>
      </c>
      <c r="Q1795" s="1">
        <v>-3.01E8</v>
      </c>
      <c r="R1795" s="1">
        <v>1.05E8</v>
      </c>
      <c r="S1795" s="1">
        <v>1.04E8</v>
      </c>
    </row>
    <row r="1796">
      <c r="A1796" s="1">
        <v>1794.0</v>
      </c>
      <c r="B1796" s="2">
        <v>44198.0</v>
      </c>
      <c r="C1796" s="1" t="s">
        <v>932</v>
      </c>
      <c r="D1796" s="1" t="s">
        <v>933</v>
      </c>
      <c r="F1796" s="1">
        <v>5.3E7</v>
      </c>
      <c r="G1796" s="1">
        <v>5.0E7</v>
      </c>
      <c r="H1796" s="1">
        <v>1.85E8</v>
      </c>
      <c r="I1796" s="1">
        <v>5.54E8</v>
      </c>
      <c r="J1796" s="1">
        <v>3.4E8</v>
      </c>
      <c r="K1796" s="1">
        <v>3.4E8</v>
      </c>
      <c r="L1796" s="1">
        <v>-2.67E8</v>
      </c>
      <c r="M1796" s="1">
        <v>3000000.0</v>
      </c>
      <c r="N1796" s="1">
        <v>1.108E9</v>
      </c>
      <c r="O1796" s="1">
        <v>7.68E8</v>
      </c>
      <c r="P1796" s="1">
        <v>5.54E8</v>
      </c>
      <c r="Q1796" s="1">
        <v>-2.87E8</v>
      </c>
      <c r="R1796" s="1">
        <v>5.0E7</v>
      </c>
      <c r="S1796" s="1">
        <v>-2.3E7</v>
      </c>
    </row>
    <row r="1797">
      <c r="A1797" s="1">
        <v>1795.0</v>
      </c>
      <c r="B1797" s="2">
        <v>44104.0</v>
      </c>
      <c r="C1797" s="1" t="s">
        <v>932</v>
      </c>
      <c r="D1797" s="1" t="s">
        <v>933</v>
      </c>
      <c r="F1797" s="1">
        <v>7.6E7</v>
      </c>
      <c r="G1797" s="1">
        <v>8.2E7</v>
      </c>
      <c r="H1797" s="1">
        <v>1.67E8</v>
      </c>
      <c r="I1797" s="1">
        <v>5.6E8</v>
      </c>
      <c r="J1797" s="1">
        <v>3.52E8</v>
      </c>
      <c r="K1797" s="1">
        <v>3.52E8</v>
      </c>
      <c r="L1797" s="1">
        <v>-2.67E8</v>
      </c>
      <c r="M1797" s="1">
        <v>-2.5E7</v>
      </c>
      <c r="N1797" s="1">
        <v>1.173E9</v>
      </c>
      <c r="O1797" s="1">
        <v>8.21E8</v>
      </c>
      <c r="P1797" s="1">
        <v>6.13E8</v>
      </c>
      <c r="Q1797" s="1">
        <v>-2.76E8</v>
      </c>
      <c r="R1797" s="1">
        <v>1.01E8</v>
      </c>
      <c r="S1797" s="1">
        <v>8.2E7</v>
      </c>
    </row>
    <row r="1798">
      <c r="A1798" s="1">
        <v>1796.0</v>
      </c>
      <c r="B1798" s="2">
        <v>44379.0</v>
      </c>
      <c r="C1798" s="1" t="s">
        <v>934</v>
      </c>
      <c r="D1798" s="1" t="s">
        <v>935</v>
      </c>
      <c r="E1798" s="1">
        <v>1.383E8</v>
      </c>
      <c r="F1798" s="1">
        <v>1.624E8</v>
      </c>
      <c r="G1798" s="1">
        <v>1.389E8</v>
      </c>
      <c r="H1798" s="1">
        <v>2.248E8</v>
      </c>
      <c r="I1798" s="1">
        <v>5.476E8</v>
      </c>
      <c r="J1798" s="1">
        <v>1.495E8</v>
      </c>
      <c r="K1798" s="1">
        <v>1.495E8</v>
      </c>
      <c r="L1798" s="1">
        <v>-1.66E7</v>
      </c>
      <c r="M1798" s="1">
        <v>2.35E7</v>
      </c>
      <c r="N1798" s="1">
        <v>9.452E8</v>
      </c>
      <c r="O1798" s="1">
        <v>7.957E8</v>
      </c>
      <c r="P1798" s="1">
        <v>3.976E8</v>
      </c>
      <c r="Q1798" s="1">
        <v>1.29E7</v>
      </c>
      <c r="R1798" s="1">
        <v>1.389E8</v>
      </c>
      <c r="S1798" s="1">
        <v>1.389E8</v>
      </c>
    </row>
    <row r="1799">
      <c r="A1799" s="1">
        <v>1797.0</v>
      </c>
      <c r="B1799" s="2">
        <v>44288.0</v>
      </c>
      <c r="C1799" s="1" t="s">
        <v>934</v>
      </c>
      <c r="D1799" s="1" t="s">
        <v>935</v>
      </c>
      <c r="E1799" s="1">
        <v>1.294E8</v>
      </c>
      <c r="F1799" s="1">
        <v>1.374E8</v>
      </c>
      <c r="G1799" s="1">
        <v>1.145E8</v>
      </c>
      <c r="H1799" s="1">
        <v>2.078E8</v>
      </c>
      <c r="I1799" s="1">
        <v>5.154E8</v>
      </c>
      <c r="J1799" s="1">
        <v>1.424E8</v>
      </c>
      <c r="K1799" s="1">
        <v>1.424E8</v>
      </c>
      <c r="L1799" s="1">
        <v>-1.69E7</v>
      </c>
      <c r="M1799" s="1">
        <v>2.28E7</v>
      </c>
      <c r="N1799" s="1">
        <v>8.865E8</v>
      </c>
      <c r="O1799" s="1">
        <v>7.441E8</v>
      </c>
      <c r="P1799" s="1">
        <v>3.711E8</v>
      </c>
      <c r="Q1799" s="1">
        <v>-5000000.0</v>
      </c>
      <c r="R1799" s="1">
        <v>1.146E8</v>
      </c>
      <c r="S1799" s="1">
        <v>1.145E8</v>
      </c>
    </row>
    <row r="1800">
      <c r="A1800" s="1">
        <v>1798.0</v>
      </c>
      <c r="B1800" s="2">
        <v>44197.0</v>
      </c>
      <c r="C1800" s="1" t="s">
        <v>934</v>
      </c>
      <c r="D1800" s="1" t="s">
        <v>935</v>
      </c>
      <c r="E1800" s="1">
        <v>1.258E8</v>
      </c>
      <c r="F1800" s="1">
        <v>1.283E8</v>
      </c>
      <c r="G1800" s="1">
        <v>1.803E8</v>
      </c>
      <c r="H1800" s="1">
        <v>1.801E8</v>
      </c>
      <c r="I1800" s="1">
        <v>4.91E8</v>
      </c>
      <c r="J1800" s="1">
        <v>1.475E8</v>
      </c>
      <c r="K1800" s="1">
        <v>1.475E8</v>
      </c>
      <c r="L1800" s="1">
        <v>-1.79E7</v>
      </c>
      <c r="M1800" s="1">
        <v>-5.24E7</v>
      </c>
      <c r="N1800" s="1">
        <v>8.297E8</v>
      </c>
      <c r="O1800" s="1">
        <v>6.822E8</v>
      </c>
      <c r="P1800" s="1">
        <v>3.387E8</v>
      </c>
      <c r="Q1800" s="1">
        <v>-1.92E7</v>
      </c>
      <c r="R1800" s="1">
        <v>1.807E8</v>
      </c>
      <c r="S1800" s="1">
        <v>1.803E8</v>
      </c>
    </row>
    <row r="1801">
      <c r="A1801" s="1">
        <v>1799.0</v>
      </c>
      <c r="B1801" s="2">
        <v>44106.0</v>
      </c>
      <c r="C1801" s="1" t="s">
        <v>934</v>
      </c>
      <c r="D1801" s="1" t="s">
        <v>935</v>
      </c>
      <c r="E1801" s="1">
        <v>1.179E8</v>
      </c>
      <c r="F1801" s="1">
        <v>9.64E7</v>
      </c>
      <c r="G1801" s="1">
        <v>8.47E7</v>
      </c>
      <c r="H1801" s="1">
        <v>1.91E8</v>
      </c>
      <c r="I1801" s="1">
        <v>4.633E8</v>
      </c>
      <c r="J1801" s="1">
        <v>1.144E8</v>
      </c>
      <c r="K1801" s="1">
        <v>1.144E8</v>
      </c>
      <c r="L1801" s="1">
        <v>-1.96E7</v>
      </c>
      <c r="M1801" s="1">
        <v>1.16E7</v>
      </c>
      <c r="N1801" s="1">
        <v>7.921E8</v>
      </c>
      <c r="O1801" s="1">
        <v>6.777E8</v>
      </c>
      <c r="P1801" s="1">
        <v>3.288E8</v>
      </c>
      <c r="Q1801" s="1">
        <v>-1.8E7</v>
      </c>
      <c r="R1801" s="1">
        <v>8.48E7</v>
      </c>
      <c r="S1801" s="1">
        <v>8.47E7</v>
      </c>
    </row>
    <row r="1802">
      <c r="A1802" s="1">
        <v>1800.0</v>
      </c>
      <c r="B1802" s="2">
        <v>44377.0</v>
      </c>
      <c r="C1802" s="1" t="s">
        <v>936</v>
      </c>
      <c r="D1802" s="1" t="s">
        <v>937</v>
      </c>
      <c r="F1802" s="1">
        <v>2.073E9</v>
      </c>
      <c r="G1802" s="1">
        <v>1.657E9</v>
      </c>
      <c r="H1802" s="1">
        <v>3.211E9</v>
      </c>
      <c r="I1802" s="1">
        <v>6.084E9</v>
      </c>
      <c r="J1802" s="1">
        <v>0.0</v>
      </c>
      <c r="K1802" s="1">
        <v>2.543E9</v>
      </c>
      <c r="M1802" s="1">
        <v>4.15E8</v>
      </c>
      <c r="N1802" s="1">
        <v>6.084E9</v>
      </c>
      <c r="O1802" s="1">
        <v>3.541E9</v>
      </c>
      <c r="P1802" s="1">
        <v>0.0</v>
      </c>
      <c r="Q1802" s="1">
        <v>-4.7E8</v>
      </c>
      <c r="R1802" s="1">
        <v>1.658E9</v>
      </c>
      <c r="S1802" s="1">
        <v>1.559E9</v>
      </c>
    </row>
    <row r="1803">
      <c r="A1803" s="1">
        <v>1801.0</v>
      </c>
      <c r="B1803" s="2">
        <v>44286.0</v>
      </c>
      <c r="C1803" s="1" t="s">
        <v>936</v>
      </c>
      <c r="D1803" s="1" t="s">
        <v>937</v>
      </c>
      <c r="F1803" s="1">
        <v>1.824E9</v>
      </c>
      <c r="G1803" s="1">
        <v>1.477E9</v>
      </c>
      <c r="H1803" s="1">
        <v>3.14E9</v>
      </c>
      <c r="I1803" s="1">
        <v>5.434E9</v>
      </c>
      <c r="J1803" s="1">
        <v>0.0</v>
      </c>
      <c r="K1803" s="1">
        <v>2.131E9</v>
      </c>
      <c r="M1803" s="1">
        <v>3.51E8</v>
      </c>
      <c r="N1803" s="1">
        <v>5.434E9</v>
      </c>
      <c r="O1803" s="1">
        <v>3.303E9</v>
      </c>
      <c r="P1803" s="1">
        <v>0.0</v>
      </c>
      <c r="Q1803" s="1">
        <v>-3.07E8</v>
      </c>
      <c r="R1803" s="1">
        <v>1.473E9</v>
      </c>
      <c r="S1803" s="1">
        <v>1.334E9</v>
      </c>
    </row>
    <row r="1804">
      <c r="A1804" s="1">
        <v>1802.0</v>
      </c>
      <c r="B1804" s="2">
        <v>44196.0</v>
      </c>
      <c r="C1804" s="1" t="s">
        <v>936</v>
      </c>
      <c r="D1804" s="1" t="s">
        <v>937</v>
      </c>
      <c r="F1804" s="1">
        <v>1.641E9</v>
      </c>
      <c r="G1804" s="1">
        <v>1.329E9</v>
      </c>
      <c r="H1804" s="1">
        <v>3.156E9</v>
      </c>
      <c r="I1804" s="1">
        <v>5.474E9</v>
      </c>
      <c r="J1804" s="1">
        <v>0.0</v>
      </c>
      <c r="K1804" s="1">
        <v>2.153E9</v>
      </c>
      <c r="M1804" s="1">
        <v>3.11E8</v>
      </c>
      <c r="N1804" s="1">
        <v>5.474E9</v>
      </c>
      <c r="O1804" s="1">
        <v>3.321E9</v>
      </c>
      <c r="P1804" s="1">
        <v>0.0</v>
      </c>
      <c r="Q1804" s="1">
        <v>-5.12E8</v>
      </c>
      <c r="R1804" s="1">
        <v>1.33E9</v>
      </c>
      <c r="S1804" s="1">
        <v>1.228E9</v>
      </c>
    </row>
    <row r="1805">
      <c r="A1805" s="1">
        <v>1803.0</v>
      </c>
      <c r="B1805" s="2">
        <v>44104.0</v>
      </c>
      <c r="C1805" s="1" t="s">
        <v>936</v>
      </c>
      <c r="D1805" s="1" t="s">
        <v>937</v>
      </c>
      <c r="F1805" s="1">
        <v>1.396E9</v>
      </c>
      <c r="G1805" s="1">
        <v>1.138E9</v>
      </c>
      <c r="H1805" s="1">
        <v>3.093E9</v>
      </c>
      <c r="I1805" s="1">
        <v>5.151E9</v>
      </c>
      <c r="J1805" s="1">
        <v>0.0</v>
      </c>
      <c r="K1805" s="1">
        <v>1.836E9</v>
      </c>
      <c r="M1805" s="1">
        <v>2.55E8</v>
      </c>
      <c r="N1805" s="1">
        <v>5.151E9</v>
      </c>
      <c r="O1805" s="1">
        <v>3.315E9</v>
      </c>
      <c r="P1805" s="1">
        <v>0.0</v>
      </c>
      <c r="Q1805" s="1">
        <v>-4.4E8</v>
      </c>
      <c r="R1805" s="1">
        <v>1.141E9</v>
      </c>
      <c r="S1805" s="1">
        <v>1.068E9</v>
      </c>
    </row>
    <row r="1806">
      <c r="A1806" s="1">
        <v>1804.0</v>
      </c>
      <c r="B1806" s="2">
        <v>44377.0</v>
      </c>
      <c r="C1806" s="1" t="s">
        <v>938</v>
      </c>
      <c r="D1806" s="1" t="s">
        <v>939</v>
      </c>
      <c r="E1806" s="1">
        <v>2.99859E8</v>
      </c>
      <c r="F1806" s="1">
        <v>8.13E7</v>
      </c>
      <c r="G1806" s="1">
        <v>6.5649E7</v>
      </c>
      <c r="H1806" s="1">
        <v>4.43384E8</v>
      </c>
      <c r="I1806" s="1">
        <v>7.73495E8</v>
      </c>
      <c r="J1806" s="1">
        <v>3.0252E7</v>
      </c>
      <c r="K1806" s="1">
        <v>3.0252E7</v>
      </c>
      <c r="L1806" s="1">
        <v>-1.3893E7</v>
      </c>
      <c r="M1806" s="1">
        <v>1.5651E7</v>
      </c>
      <c r="N1806" s="1">
        <v>1.190427E9</v>
      </c>
      <c r="O1806" s="1">
        <v>1.160175E9</v>
      </c>
      <c r="P1806" s="1">
        <v>4.16932E8</v>
      </c>
      <c r="Q1806" s="1">
        <v>5.1048E7</v>
      </c>
      <c r="R1806" s="1">
        <v>6.5649E7</v>
      </c>
      <c r="S1806" s="1">
        <v>6.5649E7</v>
      </c>
    </row>
    <row r="1807">
      <c r="A1807" s="1">
        <v>1805.0</v>
      </c>
      <c r="B1807" s="2">
        <v>44286.0</v>
      </c>
      <c r="C1807" s="1" t="s">
        <v>938</v>
      </c>
      <c r="D1807" s="1" t="s">
        <v>939</v>
      </c>
      <c r="E1807" s="1">
        <v>2.50709E8</v>
      </c>
      <c r="F1807" s="1">
        <v>5.0004E7</v>
      </c>
      <c r="G1807" s="1">
        <v>6.8005E7</v>
      </c>
      <c r="H1807" s="1">
        <v>3.52119E8</v>
      </c>
      <c r="I1807" s="1">
        <v>6.5501E8</v>
      </c>
      <c r="J1807" s="1">
        <v>5.2182E7</v>
      </c>
      <c r="K1807" s="1">
        <v>5.2182E7</v>
      </c>
      <c r="L1807" s="1">
        <v>-1.3185E7</v>
      </c>
      <c r="M1807" s="1">
        <v>-1.8001E7</v>
      </c>
      <c r="N1807" s="1">
        <v>1.036018E9</v>
      </c>
      <c r="O1807" s="1">
        <v>9.83836E8</v>
      </c>
      <c r="P1807" s="1">
        <v>3.81008E8</v>
      </c>
      <c r="Q1807" s="1">
        <v>-2178000.0</v>
      </c>
      <c r="R1807" s="1">
        <v>6.8005E7</v>
      </c>
      <c r="S1807" s="1">
        <v>6.8005E7</v>
      </c>
    </row>
    <row r="1808">
      <c r="A1808" s="1">
        <v>1806.0</v>
      </c>
      <c r="B1808" s="2">
        <v>44196.0</v>
      </c>
      <c r="C1808" s="1" t="s">
        <v>938</v>
      </c>
      <c r="D1808" s="1" t="s">
        <v>939</v>
      </c>
      <c r="E1808" s="1">
        <v>2.4794E8</v>
      </c>
      <c r="F1808" s="1">
        <v>2.24019E8</v>
      </c>
      <c r="G1808" s="1">
        <v>2.22116E8</v>
      </c>
      <c r="H1808" s="1">
        <v>2.06403E8</v>
      </c>
      <c r="I1808" s="1">
        <v>8.56117E8</v>
      </c>
      <c r="J1808" s="1">
        <v>4.01774E8</v>
      </c>
      <c r="K1808" s="1">
        <v>4.01774E8</v>
      </c>
      <c r="L1808" s="1">
        <v>-4.0166E7</v>
      </c>
      <c r="M1808" s="1">
        <v>1903000.0</v>
      </c>
      <c r="N1808" s="1">
        <v>1.289041E9</v>
      </c>
      <c r="O1808" s="1">
        <v>8.87267E8</v>
      </c>
      <c r="P1808" s="1">
        <v>4.32924E8</v>
      </c>
      <c r="Q1808" s="1">
        <v>-1.77755E8</v>
      </c>
      <c r="R1808" s="1">
        <v>2.22116E8</v>
      </c>
      <c r="S1808" s="1">
        <v>2.22116E8</v>
      </c>
    </row>
    <row r="1809">
      <c r="A1809" s="1">
        <v>1807.0</v>
      </c>
      <c r="B1809" s="2">
        <v>44104.0</v>
      </c>
      <c r="C1809" s="1" t="s">
        <v>938</v>
      </c>
      <c r="D1809" s="1" t="s">
        <v>939</v>
      </c>
      <c r="E1809" s="1">
        <v>2.08877E8</v>
      </c>
      <c r="F1809" s="1">
        <v>2.9683E7</v>
      </c>
      <c r="G1809" s="1">
        <v>2.8659E7</v>
      </c>
      <c r="H1809" s="1">
        <v>3.09861E8</v>
      </c>
      <c r="I1809" s="1">
        <v>5.74845E8</v>
      </c>
      <c r="J1809" s="1">
        <v>5.6107E7</v>
      </c>
      <c r="K1809" s="1">
        <v>5.6107E7</v>
      </c>
      <c r="L1809" s="1">
        <v>-3.9614E7</v>
      </c>
      <c r="M1809" s="1">
        <v>1024000.0</v>
      </c>
      <c r="N1809" s="1">
        <v>9.36233E8</v>
      </c>
      <c r="O1809" s="1">
        <v>8.80126E8</v>
      </c>
      <c r="P1809" s="1">
        <v>3.61388E8</v>
      </c>
      <c r="Q1809" s="1">
        <v>-2.6424E7</v>
      </c>
      <c r="R1809" s="1">
        <v>2.8659E7</v>
      </c>
      <c r="S1809" s="1">
        <v>2.8659E7</v>
      </c>
    </row>
    <row r="1810">
      <c r="A1810" s="1">
        <v>1808.0</v>
      </c>
      <c r="B1810" s="2">
        <v>44286.0</v>
      </c>
      <c r="C1810" s="1" t="s">
        <v>940</v>
      </c>
      <c r="D1810" s="1" t="s">
        <v>941</v>
      </c>
      <c r="E1810" s="1">
        <v>2.1813E7</v>
      </c>
      <c r="F1810" s="1">
        <v>3.8296E7</v>
      </c>
      <c r="G1810" s="1">
        <v>3.6976E7</v>
      </c>
      <c r="H1810" s="1">
        <v>7.7961E7</v>
      </c>
      <c r="I1810" s="1">
        <v>1.44207E8</v>
      </c>
      <c r="J1810" s="1">
        <v>3.9021E7</v>
      </c>
      <c r="K1810" s="1">
        <v>3.9021E7</v>
      </c>
      <c r="L1810" s="1">
        <v>-379000.0</v>
      </c>
      <c r="M1810" s="1">
        <v>1320000.0</v>
      </c>
      <c r="N1810" s="1">
        <v>2.94802E8</v>
      </c>
      <c r="O1810" s="1">
        <v>2.55781E8</v>
      </c>
      <c r="P1810" s="1">
        <v>1.50595E8</v>
      </c>
      <c r="Q1810" s="1">
        <v>-1104000.0</v>
      </c>
      <c r="R1810" s="1">
        <v>3.6976E7</v>
      </c>
      <c r="S1810" s="1">
        <v>3.6976E7</v>
      </c>
    </row>
    <row r="1811">
      <c r="A1811" s="1">
        <v>1809.0</v>
      </c>
      <c r="B1811" s="2">
        <v>44196.0</v>
      </c>
      <c r="C1811" s="1" t="s">
        <v>940</v>
      </c>
      <c r="D1811" s="1" t="s">
        <v>941</v>
      </c>
      <c r="E1811" s="1">
        <v>2.2411E7</v>
      </c>
      <c r="F1811" s="1">
        <v>4.8412E7</v>
      </c>
      <c r="G1811" s="1">
        <v>5.4094E7</v>
      </c>
      <c r="H1811" s="1">
        <v>6.2736E7</v>
      </c>
      <c r="I1811" s="1">
        <v>1.38669E8</v>
      </c>
      <c r="J1811" s="1">
        <v>4.8036E7</v>
      </c>
      <c r="K1811" s="1">
        <v>4.8036E7</v>
      </c>
      <c r="L1811" s="1">
        <v>-610000.0</v>
      </c>
      <c r="M1811" s="1">
        <v>-5682000.0</v>
      </c>
      <c r="N1811" s="1">
        <v>2.83285E8</v>
      </c>
      <c r="O1811" s="1">
        <v>2.35249E8</v>
      </c>
      <c r="P1811" s="1">
        <v>1.44616E8</v>
      </c>
      <c r="Q1811" s="1">
        <v>376000.0</v>
      </c>
      <c r="R1811" s="1">
        <v>5.4094E7</v>
      </c>
      <c r="S1811" s="1">
        <v>5.4094E7</v>
      </c>
    </row>
    <row r="1812">
      <c r="A1812" s="1">
        <v>1810.0</v>
      </c>
      <c r="B1812" s="2">
        <v>44104.0</v>
      </c>
      <c r="C1812" s="1" t="s">
        <v>940</v>
      </c>
      <c r="D1812" s="1" t="s">
        <v>941</v>
      </c>
      <c r="E1812" s="1">
        <v>2.1642E7</v>
      </c>
      <c r="F1812" s="1">
        <v>4.9936E7</v>
      </c>
      <c r="G1812" s="1">
        <v>3.9284E7</v>
      </c>
      <c r="H1812" s="1">
        <v>6.6819E7</v>
      </c>
      <c r="I1812" s="1">
        <v>1.43509E8</v>
      </c>
      <c r="J1812" s="1">
        <v>4.9656E7</v>
      </c>
      <c r="K1812" s="1">
        <v>4.9656E7</v>
      </c>
      <c r="L1812" s="1">
        <v>-610000.0</v>
      </c>
      <c r="M1812" s="1">
        <v>1.0652E7</v>
      </c>
      <c r="N1812" s="1">
        <v>2.85746E8</v>
      </c>
      <c r="O1812" s="1">
        <v>2.3609E8</v>
      </c>
      <c r="P1812" s="1">
        <v>1.42237E8</v>
      </c>
      <c r="Q1812" s="1">
        <v>280000.0</v>
      </c>
      <c r="R1812" s="1">
        <v>3.9284E7</v>
      </c>
      <c r="S1812" s="1">
        <v>3.9284E7</v>
      </c>
    </row>
    <row r="1813">
      <c r="A1813" s="1">
        <v>1811.0</v>
      </c>
      <c r="B1813" s="2">
        <v>44012.0</v>
      </c>
      <c r="C1813" s="1" t="s">
        <v>940</v>
      </c>
      <c r="D1813" s="1" t="s">
        <v>941</v>
      </c>
      <c r="E1813" s="1">
        <v>2.1949E7</v>
      </c>
      <c r="F1813" s="1">
        <v>4.1811E7</v>
      </c>
      <c r="G1813" s="1">
        <v>5.3892E7</v>
      </c>
      <c r="H1813" s="1">
        <v>6.2521E7</v>
      </c>
      <c r="I1813" s="1">
        <v>1.31203E8</v>
      </c>
      <c r="J1813" s="1">
        <v>4.1341E7</v>
      </c>
      <c r="K1813" s="1">
        <v>4.1341E7</v>
      </c>
      <c r="L1813" s="1">
        <v>-610000.0</v>
      </c>
      <c r="M1813" s="1">
        <v>-1.2081E7</v>
      </c>
      <c r="N1813" s="1">
        <v>2.71091E8</v>
      </c>
      <c r="O1813" s="1">
        <v>2.2975E8</v>
      </c>
      <c r="P1813" s="1">
        <v>1.39888E8</v>
      </c>
      <c r="Q1813" s="1">
        <v>470000.0</v>
      </c>
      <c r="R1813" s="1">
        <v>5.3892E7</v>
      </c>
      <c r="S1813" s="1">
        <v>5.3892E7</v>
      </c>
    </row>
    <row r="1814">
      <c r="A1814" s="1">
        <v>1812.0</v>
      </c>
      <c r="B1814" s="2">
        <v>44380.0</v>
      </c>
      <c r="C1814" s="1" t="s">
        <v>942</v>
      </c>
      <c r="D1814" s="1" t="s">
        <v>943</v>
      </c>
      <c r="F1814" s="1">
        <v>9.66E8</v>
      </c>
      <c r="G1814" s="1">
        <v>7.49E8</v>
      </c>
      <c r="H1814" s="1">
        <v>5.62E8</v>
      </c>
      <c r="I1814" s="1">
        <v>1.675E9</v>
      </c>
      <c r="J1814" s="1">
        <v>1.113E9</v>
      </c>
      <c r="K1814" s="1">
        <v>1.113E9</v>
      </c>
      <c r="L1814" s="1">
        <v>-1.05E8</v>
      </c>
      <c r="M1814" s="1">
        <v>2.13E8</v>
      </c>
      <c r="N1814" s="1">
        <v>1.2478E10</v>
      </c>
      <c r="O1814" s="1">
        <v>1.1365E10</v>
      </c>
      <c r="P1814" s="1">
        <v>1.0803E10</v>
      </c>
      <c r="Q1814" s="1">
        <v>-1.47E8</v>
      </c>
      <c r="R1814" s="1">
        <v>7.53E8</v>
      </c>
      <c r="S1814" s="1">
        <v>7.49E8</v>
      </c>
    </row>
    <row r="1815">
      <c r="A1815" s="1">
        <v>1813.0</v>
      </c>
      <c r="B1815" s="2">
        <v>44289.0</v>
      </c>
      <c r="C1815" s="1" t="s">
        <v>942</v>
      </c>
      <c r="D1815" s="1" t="s">
        <v>943</v>
      </c>
      <c r="F1815" s="1">
        <v>6.24E8</v>
      </c>
      <c r="G1815" s="1">
        <v>4.76E8</v>
      </c>
      <c r="H1815" s="1">
        <v>5.34E8</v>
      </c>
      <c r="I1815" s="1">
        <v>1.348E9</v>
      </c>
      <c r="J1815" s="1">
        <v>8.14E8</v>
      </c>
      <c r="K1815" s="1">
        <v>8.14E8</v>
      </c>
      <c r="L1815" s="1">
        <v>-1.1E8</v>
      </c>
      <c r="M1815" s="1">
        <v>1.47E8</v>
      </c>
      <c r="N1815" s="1">
        <v>1.13E10</v>
      </c>
      <c r="O1815" s="1">
        <v>1.0486E10</v>
      </c>
      <c r="P1815" s="1">
        <v>9.952E9</v>
      </c>
      <c r="Q1815" s="1">
        <v>-1.9E8</v>
      </c>
      <c r="R1815" s="1">
        <v>4.77E8</v>
      </c>
      <c r="S1815" s="1">
        <v>4.76E8</v>
      </c>
    </row>
    <row r="1816">
      <c r="A1816" s="1">
        <v>1814.0</v>
      </c>
      <c r="B1816" s="2">
        <v>44198.0</v>
      </c>
      <c r="C1816" s="1" t="s">
        <v>942</v>
      </c>
      <c r="D1816" s="1" t="s">
        <v>943</v>
      </c>
      <c r="F1816" s="1">
        <v>6.16E8</v>
      </c>
      <c r="G1816" s="1">
        <v>4.67E8</v>
      </c>
      <c r="H1816" s="1">
        <v>4.75E8</v>
      </c>
      <c r="I1816" s="1">
        <v>1.297E9</v>
      </c>
      <c r="J1816" s="1">
        <v>8.22E8</v>
      </c>
      <c r="K1816" s="1">
        <v>8.22E8</v>
      </c>
      <c r="L1816" s="1">
        <v>-1.1E8</v>
      </c>
      <c r="M1816" s="1">
        <v>1.44E8</v>
      </c>
      <c r="N1816" s="1">
        <v>1.046E10</v>
      </c>
      <c r="O1816" s="1">
        <v>9.638E9</v>
      </c>
      <c r="P1816" s="1">
        <v>9.163E9</v>
      </c>
      <c r="Q1816" s="1">
        <v>-2.06E8</v>
      </c>
      <c r="R1816" s="1">
        <v>4.72E8</v>
      </c>
      <c r="S1816" s="1">
        <v>4.67E8</v>
      </c>
    </row>
    <row r="1817">
      <c r="A1817" s="1">
        <v>1815.0</v>
      </c>
      <c r="B1817" s="2">
        <v>44107.0</v>
      </c>
      <c r="C1817" s="1" t="s">
        <v>942</v>
      </c>
      <c r="D1817" s="1" t="s">
        <v>943</v>
      </c>
      <c r="F1817" s="1">
        <v>7.81E8</v>
      </c>
      <c r="G1817" s="1">
        <v>6.13E8</v>
      </c>
      <c r="H1817" s="1">
        <v>5.62E8</v>
      </c>
      <c r="I1817" s="1">
        <v>1.807E9</v>
      </c>
      <c r="J1817" s="1">
        <v>1.245E9</v>
      </c>
      <c r="K1817" s="1">
        <v>1.245E9</v>
      </c>
      <c r="L1817" s="1">
        <v>-1.24E8</v>
      </c>
      <c r="M1817" s="1">
        <v>1.65E8</v>
      </c>
      <c r="N1817" s="1">
        <v>1.146E10</v>
      </c>
      <c r="O1817" s="1">
        <v>1.0215E10</v>
      </c>
      <c r="P1817" s="1">
        <v>9.653E9</v>
      </c>
      <c r="Q1817" s="1">
        <v>-4.64E8</v>
      </c>
      <c r="R1817" s="1">
        <v>6.16E8</v>
      </c>
      <c r="S1817" s="1">
        <v>6.13E8</v>
      </c>
    </row>
    <row r="1818">
      <c r="A1818" s="1">
        <v>1816.0</v>
      </c>
      <c r="B1818" s="2">
        <v>44377.0</v>
      </c>
      <c r="C1818" s="1" t="s">
        <v>944</v>
      </c>
      <c r="D1818" s="1" t="s">
        <v>945</v>
      </c>
      <c r="F1818" s="1">
        <v>2.539E9</v>
      </c>
      <c r="G1818" s="1">
        <v>1.982E9</v>
      </c>
      <c r="H1818" s="1">
        <v>3.018E9</v>
      </c>
      <c r="I1818" s="1">
        <v>5.907E9</v>
      </c>
      <c r="J1818" s="1">
        <v>0.0</v>
      </c>
      <c r="K1818" s="1">
        <v>2.579E9</v>
      </c>
      <c r="M1818" s="1">
        <v>5.51E8</v>
      </c>
      <c r="N1818" s="1">
        <v>5.907E9</v>
      </c>
      <c r="O1818" s="1">
        <v>3.328E9</v>
      </c>
      <c r="P1818" s="1">
        <v>0.0</v>
      </c>
      <c r="Q1818" s="1">
        <v>-4.0E7</v>
      </c>
      <c r="R1818" s="1">
        <v>1.988E9</v>
      </c>
      <c r="S1818" s="1">
        <v>1.914E9</v>
      </c>
    </row>
    <row r="1819">
      <c r="A1819" s="1">
        <v>1817.0</v>
      </c>
      <c r="B1819" s="2">
        <v>44286.0</v>
      </c>
      <c r="C1819" s="1" t="s">
        <v>944</v>
      </c>
      <c r="D1819" s="1" t="s">
        <v>945</v>
      </c>
      <c r="F1819" s="1">
        <v>2.892E9</v>
      </c>
      <c r="G1819" s="1">
        <v>2.28E9</v>
      </c>
      <c r="H1819" s="1">
        <v>3.024E9</v>
      </c>
      <c r="I1819" s="1">
        <v>6.237E9</v>
      </c>
      <c r="J1819" s="1">
        <v>0.0</v>
      </c>
      <c r="K1819" s="1">
        <v>2.93E9</v>
      </c>
      <c r="M1819" s="1">
        <v>6.07E8</v>
      </c>
      <c r="N1819" s="1">
        <v>6.237E9</v>
      </c>
      <c r="O1819" s="1">
        <v>3.307E9</v>
      </c>
      <c r="P1819" s="1">
        <v>0.0</v>
      </c>
      <c r="Q1819" s="1">
        <v>-3.8E7</v>
      </c>
      <c r="R1819" s="1">
        <v>2.285E9</v>
      </c>
      <c r="S1819" s="1">
        <v>2.175E9</v>
      </c>
    </row>
    <row r="1820">
      <c r="A1820" s="1">
        <v>1818.0</v>
      </c>
      <c r="B1820" s="2">
        <v>44196.0</v>
      </c>
      <c r="C1820" s="1" t="s">
        <v>944</v>
      </c>
      <c r="D1820" s="1" t="s">
        <v>945</v>
      </c>
      <c r="F1820" s="1">
        <v>1.92E9</v>
      </c>
      <c r="G1820" s="1">
        <v>1.519E9</v>
      </c>
      <c r="H1820" s="1">
        <v>2.878E9</v>
      </c>
      <c r="I1820" s="1">
        <v>5.238E9</v>
      </c>
      <c r="J1820" s="1">
        <v>0.0</v>
      </c>
      <c r="K1820" s="1">
        <v>1.739E9</v>
      </c>
      <c r="M1820" s="1">
        <v>3.95E8</v>
      </c>
      <c r="N1820" s="1">
        <v>5.238E9</v>
      </c>
      <c r="O1820" s="1">
        <v>3.499E9</v>
      </c>
      <c r="P1820" s="1">
        <v>0.0</v>
      </c>
      <c r="Q1820" s="1">
        <v>1.81E8</v>
      </c>
      <c r="R1820" s="1">
        <v>1.525E9</v>
      </c>
      <c r="S1820" s="1">
        <v>1.425E9</v>
      </c>
    </row>
    <row r="1821">
      <c r="A1821" s="1">
        <v>1819.0</v>
      </c>
      <c r="B1821" s="2">
        <v>44104.0</v>
      </c>
      <c r="C1821" s="1" t="s">
        <v>944</v>
      </c>
      <c r="D1821" s="1" t="s">
        <v>945</v>
      </c>
      <c r="F1821" s="1">
        <v>1.933E9</v>
      </c>
      <c r="G1821" s="1">
        <v>1.58E9</v>
      </c>
      <c r="H1821" s="1">
        <v>2.876E9</v>
      </c>
      <c r="I1821" s="1">
        <v>5.259E9</v>
      </c>
      <c r="J1821" s="1">
        <v>0.0</v>
      </c>
      <c r="K1821" s="1">
        <v>2.026E9</v>
      </c>
      <c r="M1821" s="1">
        <v>3.47E8</v>
      </c>
      <c r="N1821" s="1">
        <v>5.259E9</v>
      </c>
      <c r="O1821" s="1">
        <v>3.233E9</v>
      </c>
      <c r="P1821" s="1">
        <v>0.0</v>
      </c>
      <c r="Q1821" s="1">
        <v>-9.3E7</v>
      </c>
      <c r="R1821" s="1">
        <v>1.586E9</v>
      </c>
      <c r="S1821" s="1">
        <v>1.494E9</v>
      </c>
    </row>
    <row r="1822">
      <c r="A1822" s="1">
        <v>1820.0</v>
      </c>
      <c r="B1822" s="2">
        <v>44408.0</v>
      </c>
      <c r="C1822" s="1" t="s">
        <v>946</v>
      </c>
      <c r="D1822" s="1" t="s">
        <v>947</v>
      </c>
      <c r="F1822" s="1">
        <v>3.31882E8</v>
      </c>
      <c r="G1822" s="1">
        <v>2.50893E8</v>
      </c>
      <c r="H1822" s="1">
        <v>4.65347E8</v>
      </c>
      <c r="I1822" s="1">
        <v>7.97963E8</v>
      </c>
      <c r="J1822" s="1">
        <v>3.31259E8</v>
      </c>
      <c r="K1822" s="1">
        <v>3.31259E8</v>
      </c>
      <c r="L1822" s="1">
        <v>-425000.0</v>
      </c>
      <c r="M1822" s="1">
        <v>8.0989E7</v>
      </c>
      <c r="N1822" s="1">
        <v>1.967207E9</v>
      </c>
      <c r="O1822" s="1">
        <v>1.635948E9</v>
      </c>
      <c r="P1822" s="1">
        <v>1.169244E9</v>
      </c>
      <c r="Q1822" s="1">
        <v>623000.0</v>
      </c>
      <c r="R1822" s="1">
        <v>2.50893E8</v>
      </c>
      <c r="S1822" s="1">
        <v>2.50893E8</v>
      </c>
    </row>
    <row r="1823">
      <c r="A1823" s="1">
        <v>1821.0</v>
      </c>
      <c r="B1823" s="2">
        <v>44317.0</v>
      </c>
      <c r="C1823" s="1" t="s">
        <v>946</v>
      </c>
      <c r="D1823" s="1" t="s">
        <v>947</v>
      </c>
      <c r="F1823" s="1">
        <v>3.04966E8</v>
      </c>
      <c r="G1823" s="1">
        <v>2.30289E8</v>
      </c>
      <c r="H1823" s="1">
        <v>4.46214E8</v>
      </c>
      <c r="I1823" s="1">
        <v>7.53788E8</v>
      </c>
      <c r="J1823" s="1">
        <v>3.02985E8</v>
      </c>
      <c r="K1823" s="1">
        <v>3.02985E8</v>
      </c>
      <c r="L1823" s="1">
        <v>-358000.0</v>
      </c>
      <c r="M1823" s="1">
        <v>7.4677E7</v>
      </c>
      <c r="N1823" s="1">
        <v>1.938519E9</v>
      </c>
      <c r="O1823" s="1">
        <v>1.635534E9</v>
      </c>
      <c r="P1823" s="1">
        <v>1.184731E9</v>
      </c>
      <c r="Q1823" s="1">
        <v>1981000.0</v>
      </c>
      <c r="R1823" s="1">
        <v>2.30289E8</v>
      </c>
      <c r="S1823" s="1">
        <v>2.30289E8</v>
      </c>
    </row>
    <row r="1824">
      <c r="A1824" s="1">
        <v>1822.0</v>
      </c>
      <c r="B1824" s="2">
        <v>44226.0</v>
      </c>
      <c r="C1824" s="1" t="s">
        <v>946</v>
      </c>
      <c r="D1824" s="1" t="s">
        <v>947</v>
      </c>
      <c r="F1824" s="1">
        <v>2.23809E8</v>
      </c>
      <c r="G1824" s="1">
        <v>1.71494E8</v>
      </c>
      <c r="H1824" s="1">
        <v>8.47035E8</v>
      </c>
      <c r="I1824" s="1">
        <v>1.156328E9</v>
      </c>
      <c r="J1824" s="1">
        <v>3.07075E8</v>
      </c>
      <c r="K1824" s="1">
        <v>3.07075E8</v>
      </c>
      <c r="L1824" s="1">
        <v>-463000.0</v>
      </c>
      <c r="M1824" s="1">
        <v>5.2315E7</v>
      </c>
      <c r="N1824" s="1">
        <v>2.198701E9</v>
      </c>
      <c r="O1824" s="1">
        <v>1.891626E9</v>
      </c>
      <c r="P1824" s="1">
        <v>1.042373E9</v>
      </c>
      <c r="Q1824" s="1">
        <v>-8.3266E7</v>
      </c>
      <c r="R1824" s="1">
        <v>1.71494E8</v>
      </c>
      <c r="S1824" s="1">
        <v>1.71494E8</v>
      </c>
    </row>
    <row r="1825">
      <c r="A1825" s="1">
        <v>1823.0</v>
      </c>
      <c r="B1825" s="2">
        <v>44135.0</v>
      </c>
      <c r="C1825" s="1" t="s">
        <v>946</v>
      </c>
      <c r="D1825" s="1" t="s">
        <v>947</v>
      </c>
      <c r="F1825" s="1">
        <v>9.9894E7</v>
      </c>
      <c r="G1825" s="1">
        <v>7.4798E7</v>
      </c>
      <c r="H1825" s="1">
        <v>4.16378E8</v>
      </c>
      <c r="I1825" s="1">
        <v>5.45519E8</v>
      </c>
      <c r="J1825" s="1">
        <v>1.24901E8</v>
      </c>
      <c r="K1825" s="1">
        <v>1.24901E8</v>
      </c>
      <c r="L1825" s="1">
        <v>-1383000.0</v>
      </c>
      <c r="M1825" s="1">
        <v>2.5096E7</v>
      </c>
      <c r="N1825" s="1">
        <v>1.552033E9</v>
      </c>
      <c r="O1825" s="1">
        <v>1.427132E9</v>
      </c>
      <c r="P1825" s="1">
        <v>1.006514E9</v>
      </c>
      <c r="Q1825" s="1">
        <v>-2.5007E7</v>
      </c>
      <c r="R1825" s="1">
        <v>7.4798E7</v>
      </c>
      <c r="S1825" s="1">
        <v>7.4798E7</v>
      </c>
    </row>
    <row r="1826">
      <c r="A1826" s="1">
        <v>1824.0</v>
      </c>
      <c r="B1826" s="2">
        <v>44377.0</v>
      </c>
      <c r="C1826" s="1" t="s">
        <v>948</v>
      </c>
      <c r="D1826" s="1" t="s">
        <v>949</v>
      </c>
      <c r="F1826" s="1">
        <v>6.9234E7</v>
      </c>
      <c r="G1826" s="1">
        <v>5.9207E7</v>
      </c>
      <c r="H1826" s="1">
        <v>5.45503E8</v>
      </c>
      <c r="I1826" s="1">
        <v>6.69229E8</v>
      </c>
      <c r="J1826" s="1">
        <v>1.23726E8</v>
      </c>
      <c r="K1826" s="1">
        <v>1.23726E8</v>
      </c>
      <c r="L1826" s="1">
        <v>-1.3307E7</v>
      </c>
      <c r="M1826" s="1">
        <v>1.0027E7</v>
      </c>
      <c r="N1826" s="1">
        <v>1.351534E9</v>
      </c>
      <c r="O1826" s="1">
        <v>1.227808E9</v>
      </c>
      <c r="P1826" s="1">
        <v>6.82305E8</v>
      </c>
      <c r="Q1826" s="1">
        <v>-5.4492E7</v>
      </c>
      <c r="R1826" s="1">
        <v>5.9207E7</v>
      </c>
      <c r="S1826" s="1">
        <v>5.9207E7</v>
      </c>
    </row>
    <row r="1827">
      <c r="A1827" s="1">
        <v>1825.0</v>
      </c>
      <c r="B1827" s="2">
        <v>44286.0</v>
      </c>
      <c r="C1827" s="1" t="s">
        <v>948</v>
      </c>
      <c r="D1827" s="1" t="s">
        <v>949</v>
      </c>
      <c r="F1827" s="1">
        <v>8.7633E7</v>
      </c>
      <c r="G1827" s="1">
        <v>7.7752E7</v>
      </c>
      <c r="H1827" s="1">
        <v>5.16138E8</v>
      </c>
      <c r="I1827" s="1">
        <v>6.28641E8</v>
      </c>
      <c r="J1827" s="1">
        <v>1.12503E8</v>
      </c>
      <c r="K1827" s="1">
        <v>1.12503E8</v>
      </c>
      <c r="L1827" s="1">
        <v>-1.4137E7</v>
      </c>
      <c r="M1827" s="1">
        <v>9881000.0</v>
      </c>
      <c r="N1827" s="1">
        <v>1.257195E9</v>
      </c>
      <c r="O1827" s="1">
        <v>1.144692E9</v>
      </c>
      <c r="P1827" s="1">
        <v>6.28554E8</v>
      </c>
      <c r="Q1827" s="1">
        <v>-2.487E7</v>
      </c>
      <c r="R1827" s="1">
        <v>7.7752E7</v>
      </c>
      <c r="S1827" s="1">
        <v>7.7752E7</v>
      </c>
    </row>
    <row r="1828">
      <c r="A1828" s="1">
        <v>1826.0</v>
      </c>
      <c r="B1828" s="2">
        <v>44196.0</v>
      </c>
      <c r="C1828" s="1" t="s">
        <v>948</v>
      </c>
      <c r="D1828" s="1" t="s">
        <v>949</v>
      </c>
      <c r="F1828" s="1">
        <v>2.19144E8</v>
      </c>
      <c r="G1828" s="1">
        <v>1.84453E8</v>
      </c>
      <c r="H1828" s="1">
        <v>5.81178E8</v>
      </c>
      <c r="I1828" s="1">
        <v>7.05998E8</v>
      </c>
      <c r="J1828" s="1">
        <v>1.1782E8</v>
      </c>
      <c r="K1828" s="1">
        <v>1.1782E8</v>
      </c>
      <c r="L1828" s="1">
        <v>-1.5008E7</v>
      </c>
      <c r="M1828" s="1">
        <v>3.4691E7</v>
      </c>
      <c r="N1828" s="1">
        <v>1.403766E9</v>
      </c>
      <c r="O1828" s="1">
        <v>1.285946E9</v>
      </c>
      <c r="P1828" s="1">
        <v>6.97768E8</v>
      </c>
      <c r="Q1828" s="1">
        <v>1.01324E8</v>
      </c>
      <c r="R1828" s="1">
        <v>1.84453E8</v>
      </c>
      <c r="S1828" s="1">
        <v>1.84453E8</v>
      </c>
    </row>
    <row r="1829">
      <c r="A1829" s="1">
        <v>1827.0</v>
      </c>
      <c r="B1829" s="2">
        <v>44104.0</v>
      </c>
      <c r="C1829" s="1" t="s">
        <v>948</v>
      </c>
      <c r="D1829" s="1" t="s">
        <v>949</v>
      </c>
      <c r="F1829" s="1">
        <v>3.5232E7</v>
      </c>
      <c r="G1829" s="1">
        <v>3.8946E7</v>
      </c>
      <c r="H1829" s="1">
        <v>5.55049E8</v>
      </c>
      <c r="I1829" s="1">
        <v>6.8632E8</v>
      </c>
      <c r="J1829" s="1">
        <v>1.31271E8</v>
      </c>
      <c r="K1829" s="1">
        <v>1.31271E8</v>
      </c>
      <c r="L1829" s="1">
        <v>-1.4955E7</v>
      </c>
      <c r="M1829" s="1">
        <v>-3714000.0</v>
      </c>
      <c r="N1829" s="1">
        <v>1.433021E9</v>
      </c>
      <c r="O1829" s="1">
        <v>1.30175E9</v>
      </c>
      <c r="P1829" s="1">
        <v>7.46701E8</v>
      </c>
      <c r="Q1829" s="1">
        <v>-9.6039E7</v>
      </c>
      <c r="R1829" s="1">
        <v>3.8946E7</v>
      </c>
      <c r="S1829" s="1">
        <v>3.8946E7</v>
      </c>
    </row>
    <row r="1830">
      <c r="A1830" s="1">
        <v>1828.0</v>
      </c>
      <c r="B1830" s="2">
        <v>44377.0</v>
      </c>
      <c r="C1830" s="1" t="s">
        <v>950</v>
      </c>
      <c r="D1830" s="1" t="s">
        <v>951</v>
      </c>
      <c r="F1830" s="1">
        <v>6.9234E7</v>
      </c>
      <c r="G1830" s="1">
        <v>5.9207E7</v>
      </c>
      <c r="H1830" s="1">
        <v>5.45503E8</v>
      </c>
      <c r="I1830" s="1">
        <v>6.69229E8</v>
      </c>
      <c r="J1830" s="1">
        <v>1.23726E8</v>
      </c>
      <c r="K1830" s="1">
        <v>1.23726E8</v>
      </c>
      <c r="L1830" s="1">
        <v>-1.3307E7</v>
      </c>
      <c r="M1830" s="1">
        <v>1.0027E7</v>
      </c>
      <c r="N1830" s="1">
        <v>1.351534E9</v>
      </c>
      <c r="O1830" s="1">
        <v>1.227808E9</v>
      </c>
      <c r="P1830" s="1">
        <v>6.82305E8</v>
      </c>
      <c r="Q1830" s="1">
        <v>-5.4492E7</v>
      </c>
      <c r="R1830" s="1">
        <v>5.9207E7</v>
      </c>
      <c r="S1830" s="1">
        <v>5.9207E7</v>
      </c>
    </row>
    <row r="1831">
      <c r="A1831" s="1">
        <v>1829.0</v>
      </c>
      <c r="B1831" s="2">
        <v>44286.0</v>
      </c>
      <c r="C1831" s="1" t="s">
        <v>950</v>
      </c>
      <c r="D1831" s="1" t="s">
        <v>951</v>
      </c>
      <c r="F1831" s="1">
        <v>8.7633E7</v>
      </c>
      <c r="G1831" s="1">
        <v>7.7752E7</v>
      </c>
      <c r="H1831" s="1">
        <v>5.16138E8</v>
      </c>
      <c r="I1831" s="1">
        <v>6.28641E8</v>
      </c>
      <c r="J1831" s="1">
        <v>1.12503E8</v>
      </c>
      <c r="K1831" s="1">
        <v>1.12503E8</v>
      </c>
      <c r="L1831" s="1">
        <v>-1.4137E7</v>
      </c>
      <c r="M1831" s="1">
        <v>9881000.0</v>
      </c>
      <c r="N1831" s="1">
        <v>1.257195E9</v>
      </c>
      <c r="O1831" s="1">
        <v>1.144692E9</v>
      </c>
      <c r="P1831" s="1">
        <v>6.28554E8</v>
      </c>
      <c r="Q1831" s="1">
        <v>-2.487E7</v>
      </c>
      <c r="R1831" s="1">
        <v>7.7752E7</v>
      </c>
      <c r="S1831" s="1">
        <v>7.7752E7</v>
      </c>
    </row>
    <row r="1832">
      <c r="A1832" s="1">
        <v>1830.0</v>
      </c>
      <c r="B1832" s="2">
        <v>44196.0</v>
      </c>
      <c r="C1832" s="1" t="s">
        <v>950</v>
      </c>
      <c r="D1832" s="1" t="s">
        <v>951</v>
      </c>
      <c r="F1832" s="1">
        <v>2.19144E8</v>
      </c>
      <c r="G1832" s="1">
        <v>1.84453E8</v>
      </c>
      <c r="H1832" s="1">
        <v>5.81178E8</v>
      </c>
      <c r="I1832" s="1">
        <v>7.05998E8</v>
      </c>
      <c r="J1832" s="1">
        <v>1.1782E8</v>
      </c>
      <c r="K1832" s="1">
        <v>1.1782E8</v>
      </c>
      <c r="L1832" s="1">
        <v>-1.5008E7</v>
      </c>
      <c r="M1832" s="1">
        <v>3.4691E7</v>
      </c>
      <c r="N1832" s="1">
        <v>1.403766E9</v>
      </c>
      <c r="O1832" s="1">
        <v>1.285946E9</v>
      </c>
      <c r="P1832" s="1">
        <v>6.97768E8</v>
      </c>
      <c r="Q1832" s="1">
        <v>1.01324E8</v>
      </c>
      <c r="R1832" s="1">
        <v>1.84453E8</v>
      </c>
      <c r="S1832" s="1">
        <v>1.84453E8</v>
      </c>
    </row>
    <row r="1833">
      <c r="A1833" s="1">
        <v>1831.0</v>
      </c>
      <c r="B1833" s="2">
        <v>44104.0</v>
      </c>
      <c r="C1833" s="1" t="s">
        <v>950</v>
      </c>
      <c r="D1833" s="1" t="s">
        <v>951</v>
      </c>
      <c r="F1833" s="1">
        <v>3.5232E7</v>
      </c>
      <c r="G1833" s="1">
        <v>3.8946E7</v>
      </c>
      <c r="H1833" s="1">
        <v>5.55049E8</v>
      </c>
      <c r="I1833" s="1">
        <v>6.8632E8</v>
      </c>
      <c r="J1833" s="1">
        <v>1.31271E8</v>
      </c>
      <c r="K1833" s="1">
        <v>1.31271E8</v>
      </c>
      <c r="L1833" s="1">
        <v>-1.4955E7</v>
      </c>
      <c r="M1833" s="1">
        <v>-3714000.0</v>
      </c>
      <c r="N1833" s="1">
        <v>1.433021E9</v>
      </c>
      <c r="O1833" s="1">
        <v>1.30175E9</v>
      </c>
      <c r="P1833" s="1">
        <v>7.46701E8</v>
      </c>
      <c r="Q1833" s="1">
        <v>-9.6039E7</v>
      </c>
      <c r="R1833" s="1">
        <v>3.8946E7</v>
      </c>
      <c r="S1833" s="1">
        <v>3.8946E7</v>
      </c>
    </row>
    <row r="1834">
      <c r="A1834" s="1">
        <v>1832.0</v>
      </c>
      <c r="B1834" s="2">
        <v>44377.0</v>
      </c>
      <c r="C1834" s="1" t="s">
        <v>952</v>
      </c>
      <c r="D1834" s="1" t="s">
        <v>953</v>
      </c>
      <c r="F1834" s="1">
        <v>2.316E9</v>
      </c>
      <c r="G1834" s="1">
        <v>1.798E9</v>
      </c>
      <c r="I1834" s="1">
        <v>3.314E9</v>
      </c>
      <c r="J1834" s="1">
        <v>2.48E9</v>
      </c>
      <c r="K1834" s="1">
        <v>2.48E9</v>
      </c>
      <c r="L1834" s="1">
        <v>-2.82E8</v>
      </c>
      <c r="M1834" s="1">
        <v>5.18E8</v>
      </c>
      <c r="N1834" s="1">
        <v>5.504E9</v>
      </c>
      <c r="O1834" s="1">
        <v>3.024E9</v>
      </c>
      <c r="P1834" s="1">
        <v>2.19E9</v>
      </c>
      <c r="Q1834" s="1">
        <v>-1.64E8</v>
      </c>
      <c r="R1834" s="1">
        <v>1.798E9</v>
      </c>
      <c r="S1834" s="1">
        <v>1.798E9</v>
      </c>
    </row>
    <row r="1835">
      <c r="A1835" s="1">
        <v>1833.0</v>
      </c>
      <c r="B1835" s="2">
        <v>44286.0</v>
      </c>
      <c r="C1835" s="1" t="s">
        <v>952</v>
      </c>
      <c r="D1835" s="1" t="s">
        <v>953</v>
      </c>
      <c r="F1835" s="1">
        <v>1.754E9</v>
      </c>
      <c r="G1835" s="1">
        <v>1.341E9</v>
      </c>
      <c r="I1835" s="1">
        <v>2.868E9</v>
      </c>
      <c r="J1835" s="1">
        <v>1.999E9</v>
      </c>
      <c r="K1835" s="1">
        <v>1.999E9</v>
      </c>
      <c r="L1835" s="1">
        <v>-2.9E8</v>
      </c>
      <c r="M1835" s="1">
        <v>4.13E8</v>
      </c>
      <c r="N1835" s="1">
        <v>5.001E9</v>
      </c>
      <c r="O1835" s="1">
        <v>3.002E9</v>
      </c>
      <c r="P1835" s="1">
        <v>2.133E9</v>
      </c>
      <c r="Q1835" s="1">
        <v>-2.45E8</v>
      </c>
      <c r="R1835" s="1">
        <v>1.341E9</v>
      </c>
      <c r="S1835" s="1">
        <v>1.341E9</v>
      </c>
    </row>
    <row r="1836">
      <c r="A1836" s="1">
        <v>1834.0</v>
      </c>
      <c r="B1836" s="2">
        <v>44196.0</v>
      </c>
      <c r="C1836" s="1" t="s">
        <v>952</v>
      </c>
      <c r="D1836" s="1" t="s">
        <v>953</v>
      </c>
      <c r="F1836" s="1">
        <v>1.793E9</v>
      </c>
      <c r="G1836" s="1">
        <v>1.38E9</v>
      </c>
      <c r="I1836" s="1">
        <v>3.089E9</v>
      </c>
      <c r="J1836" s="1">
        <v>2.019E9</v>
      </c>
      <c r="K1836" s="1">
        <v>2.019E9</v>
      </c>
      <c r="L1836" s="1">
        <v>-2.79E8</v>
      </c>
      <c r="M1836" s="1">
        <v>4.13E8</v>
      </c>
      <c r="N1836" s="1">
        <v>5.141E9</v>
      </c>
      <c r="O1836" s="1">
        <v>3.122E9</v>
      </c>
      <c r="P1836" s="1">
        <v>2.052E9</v>
      </c>
      <c r="Q1836" s="1">
        <v>-2.26E8</v>
      </c>
      <c r="R1836" s="1">
        <v>1.38E9</v>
      </c>
      <c r="S1836" s="1">
        <v>1.38E9</v>
      </c>
    </row>
    <row r="1837">
      <c r="A1837" s="1">
        <v>1835.0</v>
      </c>
      <c r="B1837" s="2">
        <v>44104.0</v>
      </c>
      <c r="C1837" s="1" t="s">
        <v>952</v>
      </c>
      <c r="D1837" s="1" t="s">
        <v>953</v>
      </c>
      <c r="F1837" s="1">
        <v>1.773E9</v>
      </c>
      <c r="G1837" s="1">
        <v>1.363E9</v>
      </c>
      <c r="I1837" s="1">
        <v>2.897E9</v>
      </c>
      <c r="J1837" s="1">
        <v>2.043E9</v>
      </c>
      <c r="K1837" s="1">
        <v>2.043E9</v>
      </c>
      <c r="L1837" s="1">
        <v>-2.95E8</v>
      </c>
      <c r="M1837" s="1">
        <v>4.1E8</v>
      </c>
      <c r="N1837" s="1">
        <v>4.919E9</v>
      </c>
      <c r="O1837" s="1">
        <v>2.876E9</v>
      </c>
      <c r="P1837" s="1">
        <v>2.022E9</v>
      </c>
      <c r="Q1837" s="1">
        <v>-2.7E8</v>
      </c>
      <c r="R1837" s="1">
        <v>1.363E9</v>
      </c>
      <c r="S1837" s="1">
        <v>1.363E9</v>
      </c>
    </row>
    <row r="1838">
      <c r="A1838" s="1">
        <v>1836.0</v>
      </c>
      <c r="B1838" s="2">
        <v>44377.0</v>
      </c>
      <c r="C1838" s="1" t="s">
        <v>954</v>
      </c>
      <c r="D1838" s="1" t="s">
        <v>955</v>
      </c>
      <c r="F1838" s="1">
        <v>-5.64E8</v>
      </c>
      <c r="G1838" s="1">
        <v>-4.34E8</v>
      </c>
      <c r="H1838" s="1">
        <v>1.39E8</v>
      </c>
      <c r="I1838" s="1">
        <v>5.12E8</v>
      </c>
      <c r="J1838" s="1">
        <v>-1.204E9</v>
      </c>
      <c r="K1838" s="1">
        <v>-1.204E9</v>
      </c>
      <c r="L1838" s="1">
        <v>-4.04E8</v>
      </c>
      <c r="M1838" s="1">
        <v>-1.3E8</v>
      </c>
      <c r="N1838" s="1">
        <v>5.471E9</v>
      </c>
      <c r="O1838" s="1">
        <v>6.675E9</v>
      </c>
      <c r="P1838" s="1">
        <v>4.959E9</v>
      </c>
      <c r="Q1838" s="1">
        <v>6.4E8</v>
      </c>
      <c r="R1838" s="1">
        <v>-4.34E8</v>
      </c>
      <c r="S1838" s="1">
        <v>-4.34E8</v>
      </c>
    </row>
    <row r="1839">
      <c r="A1839" s="1">
        <v>1837.0</v>
      </c>
      <c r="B1839" s="2">
        <v>44286.0</v>
      </c>
      <c r="C1839" s="1" t="s">
        <v>954</v>
      </c>
      <c r="D1839" s="1" t="s">
        <v>955</v>
      </c>
      <c r="F1839" s="1">
        <v>-1.751E9</v>
      </c>
      <c r="G1839" s="1">
        <v>-1.357E9</v>
      </c>
      <c r="H1839" s="1">
        <v>8.5E7</v>
      </c>
      <c r="I1839" s="1">
        <v>-1.402E9</v>
      </c>
      <c r="J1839" s="1">
        <v>-2.984E9</v>
      </c>
      <c r="K1839" s="1">
        <v>-2.984E9</v>
      </c>
      <c r="L1839" s="1">
        <v>-3.36E8</v>
      </c>
      <c r="M1839" s="1">
        <v>-3.94E8</v>
      </c>
      <c r="N1839" s="1">
        <v>3.221E9</v>
      </c>
      <c r="O1839" s="1">
        <v>6.205E9</v>
      </c>
      <c r="P1839" s="1">
        <v>4.623E9</v>
      </c>
      <c r="Q1839" s="1">
        <v>1.233E9</v>
      </c>
      <c r="R1839" s="1">
        <v>-1.357E9</v>
      </c>
      <c r="S1839" s="1">
        <v>-1.357E9</v>
      </c>
    </row>
    <row r="1840">
      <c r="A1840" s="1">
        <v>1838.0</v>
      </c>
      <c r="B1840" s="2">
        <v>44196.0</v>
      </c>
      <c r="C1840" s="1" t="s">
        <v>954</v>
      </c>
      <c r="D1840" s="1" t="s">
        <v>955</v>
      </c>
      <c r="F1840" s="1">
        <v>-2.373E9</v>
      </c>
      <c r="G1840" s="1">
        <v>-1.897E9</v>
      </c>
      <c r="H1840" s="1">
        <v>1.67E8</v>
      </c>
      <c r="I1840" s="1">
        <v>-9.17E8</v>
      </c>
      <c r="J1840" s="1">
        <v>-2.452E9</v>
      </c>
      <c r="K1840" s="1">
        <v>-2.452E9</v>
      </c>
      <c r="L1840" s="1">
        <v>-3.34E8</v>
      </c>
      <c r="M1840" s="1">
        <v>-4.76E8</v>
      </c>
      <c r="N1840" s="1">
        <v>3.412E9</v>
      </c>
      <c r="O1840" s="1">
        <v>5.864E9</v>
      </c>
      <c r="P1840" s="1">
        <v>4.329E9</v>
      </c>
      <c r="Q1840" s="1">
        <v>7.9E7</v>
      </c>
      <c r="R1840" s="1">
        <v>-1.897E9</v>
      </c>
      <c r="S1840" s="1">
        <v>-1.897E9</v>
      </c>
    </row>
    <row r="1841">
      <c r="A1841" s="1">
        <v>1839.0</v>
      </c>
      <c r="B1841" s="2">
        <v>44104.0</v>
      </c>
      <c r="C1841" s="1" t="s">
        <v>954</v>
      </c>
      <c r="D1841" s="1" t="s">
        <v>955</v>
      </c>
      <c r="F1841" s="1">
        <v>-2.332E9</v>
      </c>
      <c r="G1841" s="1">
        <v>-1.841E9</v>
      </c>
      <c r="H1841" s="1">
        <v>5.3E7</v>
      </c>
      <c r="I1841" s="1">
        <v>-1.334E9</v>
      </c>
      <c r="J1841" s="1">
        <v>-2.692E9</v>
      </c>
      <c r="K1841" s="1">
        <v>-2.692E9</v>
      </c>
      <c r="L1841" s="1">
        <v>-3.29E8</v>
      </c>
      <c r="M1841" s="1">
        <v>-4.91E8</v>
      </c>
      <c r="N1841" s="1">
        <v>2.489E9</v>
      </c>
      <c r="O1841" s="1">
        <v>5.181E9</v>
      </c>
      <c r="P1841" s="1">
        <v>3.823E9</v>
      </c>
      <c r="Q1841" s="1">
        <v>3.6E8</v>
      </c>
      <c r="R1841" s="1">
        <v>-1.841E9</v>
      </c>
      <c r="S1841" s="1">
        <v>-1.841E9</v>
      </c>
    </row>
    <row r="1842">
      <c r="A1842" s="1">
        <v>1840.0</v>
      </c>
      <c r="B1842" s="2">
        <v>44377.0</v>
      </c>
      <c r="C1842" s="1" t="s">
        <v>956</v>
      </c>
      <c r="D1842" s="1" t="s">
        <v>957</v>
      </c>
      <c r="F1842" s="1">
        <v>3.436E9</v>
      </c>
      <c r="G1842" s="1">
        <v>2.676E9</v>
      </c>
      <c r="I1842" s="1">
        <v>6.094E9</v>
      </c>
      <c r="J1842" s="1">
        <v>3.575E9</v>
      </c>
      <c r="K1842" s="1">
        <v>3.575E9</v>
      </c>
      <c r="L1842" s="1">
        <v>-1.67E8</v>
      </c>
      <c r="M1842" s="1">
        <v>7.6E8</v>
      </c>
      <c r="N1842" s="1">
        <v>2.3424E10</v>
      </c>
      <c r="O1842" s="1">
        <v>1.9849E10</v>
      </c>
      <c r="P1842" s="1">
        <v>1.733E10</v>
      </c>
      <c r="Q1842" s="1">
        <v>-1.39E8</v>
      </c>
      <c r="R1842" s="1">
        <v>2.676E9</v>
      </c>
      <c r="S1842" s="1">
        <v>2.676E9</v>
      </c>
    </row>
    <row r="1843">
      <c r="A1843" s="1">
        <v>1841.0</v>
      </c>
      <c r="B1843" s="2">
        <v>44286.0</v>
      </c>
      <c r="C1843" s="1" t="s">
        <v>956</v>
      </c>
      <c r="D1843" s="1" t="s">
        <v>957</v>
      </c>
      <c r="F1843" s="1">
        <v>6.204E9</v>
      </c>
      <c r="G1843" s="1">
        <v>4.792E9</v>
      </c>
      <c r="I1843" s="1">
        <v>8.97E9</v>
      </c>
      <c r="J1843" s="1">
        <v>6.51E9</v>
      </c>
      <c r="K1843" s="1">
        <v>6.51E9</v>
      </c>
      <c r="L1843" s="1">
        <v>-1.77E8</v>
      </c>
      <c r="M1843" s="1">
        <v>1.412E9</v>
      </c>
      <c r="N1843" s="1">
        <v>2.2908E10</v>
      </c>
      <c r="O1843" s="1">
        <v>1.6398E10</v>
      </c>
      <c r="P1843" s="1">
        <v>1.3938E10</v>
      </c>
      <c r="Q1843" s="1">
        <v>-3.06E8</v>
      </c>
      <c r="R1843" s="1">
        <v>4.792E9</v>
      </c>
      <c r="S1843" s="1">
        <v>4.792E9</v>
      </c>
    </row>
    <row r="1844">
      <c r="A1844" s="1">
        <v>1842.0</v>
      </c>
      <c r="B1844" s="2">
        <v>44196.0</v>
      </c>
      <c r="C1844" s="1" t="s">
        <v>956</v>
      </c>
      <c r="D1844" s="1" t="s">
        <v>957</v>
      </c>
      <c r="F1844" s="1">
        <v>-4.288E9</v>
      </c>
      <c r="G1844" s="1">
        <v>-3.347E9</v>
      </c>
      <c r="I1844" s="1">
        <v>-2.065E9</v>
      </c>
      <c r="J1844" s="1">
        <v>-5.499E9</v>
      </c>
      <c r="K1844" s="1">
        <v>-5.499E9</v>
      </c>
      <c r="L1844" s="1">
        <v>-1.75E8</v>
      </c>
      <c r="M1844" s="1">
        <v>-9.41E8</v>
      </c>
      <c r="N1844" s="1">
        <v>2.4896E10</v>
      </c>
      <c r="O1844" s="1">
        <v>3.0395E10</v>
      </c>
      <c r="P1844" s="1">
        <v>2.6961E10</v>
      </c>
      <c r="Q1844" s="1">
        <v>1.211E9</v>
      </c>
      <c r="R1844" s="1">
        <v>-3.347E9</v>
      </c>
      <c r="S1844" s="1">
        <v>-3.347E9</v>
      </c>
    </row>
    <row r="1845">
      <c r="A1845" s="1">
        <v>1843.0</v>
      </c>
      <c r="B1845" s="2">
        <v>44104.0</v>
      </c>
      <c r="C1845" s="1" t="s">
        <v>956</v>
      </c>
      <c r="D1845" s="1" t="s">
        <v>957</v>
      </c>
      <c r="F1845" s="1">
        <v>2.525E9</v>
      </c>
      <c r="G1845" s="1">
        <v>1.957E9</v>
      </c>
      <c r="I1845" s="1">
        <v>5.001E9</v>
      </c>
      <c r="J1845" s="1">
        <v>2.748E9</v>
      </c>
      <c r="K1845" s="1">
        <v>2.748E9</v>
      </c>
      <c r="L1845" s="1">
        <v>-1.76E8</v>
      </c>
      <c r="M1845" s="1">
        <v>5.68E8</v>
      </c>
      <c r="N1845" s="1">
        <v>2.1238E10</v>
      </c>
      <c r="O1845" s="1">
        <v>1.849E10</v>
      </c>
      <c r="P1845" s="1">
        <v>1.6237E10</v>
      </c>
      <c r="Q1845" s="1">
        <v>-2.23E8</v>
      </c>
      <c r="R1845" s="1">
        <v>1.957E9</v>
      </c>
      <c r="S1845" s="1">
        <v>1.957E9</v>
      </c>
    </row>
    <row r="1846">
      <c r="A1846" s="1">
        <v>1844.0</v>
      </c>
      <c r="B1846" s="2">
        <v>44377.0</v>
      </c>
      <c r="C1846" s="1" t="s">
        <v>958</v>
      </c>
      <c r="D1846" s="1" t="s">
        <v>959</v>
      </c>
      <c r="F1846" s="1">
        <v>3.77E8</v>
      </c>
      <c r="G1846" s="1">
        <v>2.93E8</v>
      </c>
      <c r="H1846" s="1">
        <v>3.01E8</v>
      </c>
      <c r="I1846" s="1">
        <v>8.84E8</v>
      </c>
      <c r="J1846" s="1">
        <v>4.93E8</v>
      </c>
      <c r="K1846" s="1">
        <v>4.93E8</v>
      </c>
      <c r="L1846" s="1">
        <v>-1.0E8</v>
      </c>
      <c r="M1846" s="1">
        <v>8.4E7</v>
      </c>
      <c r="N1846" s="1">
        <v>2.287E9</v>
      </c>
      <c r="O1846" s="1">
        <v>1.794E9</v>
      </c>
      <c r="P1846" s="1">
        <v>1.403E9</v>
      </c>
      <c r="Q1846" s="1">
        <v>-1.16E8</v>
      </c>
      <c r="R1846" s="1">
        <v>2.93E8</v>
      </c>
      <c r="S1846" s="1">
        <v>2.93E8</v>
      </c>
    </row>
    <row r="1847">
      <c r="A1847" s="1">
        <v>1845.0</v>
      </c>
      <c r="B1847" s="2">
        <v>44286.0</v>
      </c>
      <c r="C1847" s="1" t="s">
        <v>958</v>
      </c>
      <c r="D1847" s="1" t="s">
        <v>959</v>
      </c>
      <c r="F1847" s="1">
        <v>2.75E8</v>
      </c>
      <c r="G1847" s="1">
        <v>2.03E8</v>
      </c>
      <c r="H1847" s="1">
        <v>2.5E8</v>
      </c>
      <c r="I1847" s="1">
        <v>7.25E8</v>
      </c>
      <c r="J1847" s="1">
        <v>3.84E8</v>
      </c>
      <c r="K1847" s="1">
        <v>3.84E8</v>
      </c>
      <c r="L1847" s="1">
        <v>-9.9E7</v>
      </c>
      <c r="M1847" s="1">
        <v>7.2E7</v>
      </c>
      <c r="N1847" s="1">
        <v>2.057E9</v>
      </c>
      <c r="O1847" s="1">
        <v>1.673E9</v>
      </c>
      <c r="P1847" s="1">
        <v>1.332E9</v>
      </c>
      <c r="Q1847" s="1">
        <v>-1.09E8</v>
      </c>
      <c r="R1847" s="1">
        <v>2.03E8</v>
      </c>
      <c r="S1847" s="1">
        <v>2.03E8</v>
      </c>
    </row>
    <row r="1848">
      <c r="A1848" s="1">
        <v>1846.0</v>
      </c>
      <c r="B1848" s="2">
        <v>44196.0</v>
      </c>
      <c r="C1848" s="1" t="s">
        <v>958</v>
      </c>
      <c r="D1848" s="1" t="s">
        <v>959</v>
      </c>
      <c r="F1848" s="1">
        <v>3.87E8</v>
      </c>
      <c r="G1848" s="1">
        <v>2.97E8</v>
      </c>
      <c r="H1848" s="1">
        <v>2.58E8</v>
      </c>
      <c r="I1848" s="1">
        <v>8.84E8</v>
      </c>
      <c r="J1848" s="1">
        <v>5.3E8</v>
      </c>
      <c r="K1848" s="1">
        <v>5.3E8</v>
      </c>
      <c r="L1848" s="1">
        <v>-1.01E8</v>
      </c>
      <c r="M1848" s="1">
        <v>9.0E7</v>
      </c>
      <c r="N1848" s="1">
        <v>2.279E9</v>
      </c>
      <c r="O1848" s="1">
        <v>1.749E9</v>
      </c>
      <c r="P1848" s="1">
        <v>1.395E9</v>
      </c>
      <c r="Q1848" s="1">
        <v>-1.43E8</v>
      </c>
      <c r="R1848" s="1">
        <v>2.97E8</v>
      </c>
      <c r="S1848" s="1">
        <v>2.97E8</v>
      </c>
    </row>
    <row r="1849">
      <c r="A1849" s="1">
        <v>1847.0</v>
      </c>
      <c r="B1849" s="2">
        <v>44104.0</v>
      </c>
      <c r="C1849" s="1" t="s">
        <v>958</v>
      </c>
      <c r="D1849" s="1" t="s">
        <v>959</v>
      </c>
      <c r="F1849" s="1">
        <v>2.75E8</v>
      </c>
      <c r="G1849" s="1">
        <v>2.08E8</v>
      </c>
      <c r="H1849" s="1">
        <v>2.32E8</v>
      </c>
      <c r="I1849" s="1">
        <v>8.98E8</v>
      </c>
      <c r="J1849" s="1">
        <v>5.69E8</v>
      </c>
      <c r="K1849" s="1">
        <v>5.69E8</v>
      </c>
      <c r="L1849" s="1">
        <v>-1.19E8</v>
      </c>
      <c r="M1849" s="1">
        <v>6.7E7</v>
      </c>
      <c r="N1849" s="1">
        <v>2.187E9</v>
      </c>
      <c r="O1849" s="1">
        <v>1.618E9</v>
      </c>
      <c r="P1849" s="1">
        <v>1.289E9</v>
      </c>
      <c r="Q1849" s="1">
        <v>-2.94E8</v>
      </c>
      <c r="R1849" s="1">
        <v>2.08E8</v>
      </c>
      <c r="S1849" s="1">
        <v>2.08E8</v>
      </c>
    </row>
    <row r="1850">
      <c r="A1850" s="1">
        <v>1848.0</v>
      </c>
      <c r="B1850" s="2">
        <v>44377.0</v>
      </c>
      <c r="C1850" s="1" t="s">
        <v>960</v>
      </c>
      <c r="D1850" s="1" t="s">
        <v>961</v>
      </c>
      <c r="F1850" s="1">
        <v>5.568E9</v>
      </c>
      <c r="G1850" s="1">
        <v>4.266E9</v>
      </c>
      <c r="H1850" s="1">
        <v>1.0359E10</v>
      </c>
      <c r="I1850" s="1">
        <v>1.7115E10</v>
      </c>
      <c r="J1850" s="1">
        <v>5.978E9</v>
      </c>
      <c r="K1850" s="1">
        <v>5.978E9</v>
      </c>
      <c r="L1850" s="1">
        <v>-4.1E8</v>
      </c>
      <c r="M1850" s="1">
        <v>1.196E9</v>
      </c>
      <c r="N1850" s="1">
        <v>7.1321E10</v>
      </c>
      <c r="O1850" s="1">
        <v>6.5343E10</v>
      </c>
      <c r="P1850" s="1">
        <v>5.4206E10</v>
      </c>
      <c r="Q1850" s="1">
        <v>-4.1E8</v>
      </c>
      <c r="R1850" s="1">
        <v>4.372E9</v>
      </c>
      <c r="S1850" s="1">
        <v>4.266E9</v>
      </c>
    </row>
    <row r="1851">
      <c r="A1851" s="1">
        <v>1849.0</v>
      </c>
      <c r="B1851" s="2">
        <v>44286.0</v>
      </c>
      <c r="C1851" s="1" t="s">
        <v>960</v>
      </c>
      <c r="D1851" s="1" t="s">
        <v>961</v>
      </c>
      <c r="F1851" s="1">
        <v>6.342E9</v>
      </c>
      <c r="G1851" s="1">
        <v>4.862E9</v>
      </c>
      <c r="H1851" s="1">
        <v>1.0223E10</v>
      </c>
      <c r="I1851" s="1">
        <v>1.772E10</v>
      </c>
      <c r="J1851" s="1">
        <v>6.739E9</v>
      </c>
      <c r="K1851" s="1">
        <v>6.739E9</v>
      </c>
      <c r="L1851" s="1">
        <v>-3.97E8</v>
      </c>
      <c r="M1851" s="1">
        <v>1.364E9</v>
      </c>
      <c r="N1851" s="1">
        <v>7.0196E10</v>
      </c>
      <c r="O1851" s="1">
        <v>6.3457E10</v>
      </c>
      <c r="P1851" s="1">
        <v>5.2476E10</v>
      </c>
      <c r="Q1851" s="1">
        <v>-3.97E8</v>
      </c>
      <c r="R1851" s="1">
        <v>4.978E9</v>
      </c>
      <c r="S1851" s="1">
        <v>4.862E9</v>
      </c>
    </row>
    <row r="1852">
      <c r="A1852" s="1">
        <v>1850.0</v>
      </c>
      <c r="B1852" s="2">
        <v>44196.0</v>
      </c>
      <c r="C1852" s="1" t="s">
        <v>960</v>
      </c>
      <c r="D1852" s="1" t="s">
        <v>961</v>
      </c>
      <c r="F1852" s="1">
        <v>3.116E9</v>
      </c>
      <c r="G1852" s="1">
        <v>2.212E9</v>
      </c>
      <c r="H1852" s="1">
        <v>1.1514E10</v>
      </c>
      <c r="I1852" s="1">
        <v>1.5763E10</v>
      </c>
      <c r="J1852" s="1">
        <v>3.517E9</v>
      </c>
      <c r="K1852" s="1">
        <v>3.517E9</v>
      </c>
      <c r="L1852" s="1">
        <v>-4.01E8</v>
      </c>
      <c r="M1852" s="1">
        <v>7.64E8</v>
      </c>
      <c r="N1852" s="1">
        <v>6.5467E10</v>
      </c>
      <c r="O1852" s="1">
        <v>6.195E10</v>
      </c>
      <c r="P1852" s="1">
        <v>4.9704E10</v>
      </c>
      <c r="Q1852" s="1">
        <v>-4.01E8</v>
      </c>
      <c r="R1852" s="1">
        <v>2.352E9</v>
      </c>
      <c r="S1852" s="1">
        <v>2.212E9</v>
      </c>
    </row>
    <row r="1853">
      <c r="A1853" s="1">
        <v>1851.0</v>
      </c>
      <c r="B1853" s="2">
        <v>44104.0</v>
      </c>
      <c r="C1853" s="1" t="s">
        <v>960</v>
      </c>
      <c r="D1853" s="1" t="s">
        <v>961</v>
      </c>
      <c r="F1853" s="1">
        <v>4.256E9</v>
      </c>
      <c r="G1853" s="1">
        <v>3.172E9</v>
      </c>
      <c r="H1853" s="1">
        <v>1.0174E10</v>
      </c>
      <c r="I1853" s="1">
        <v>1.5544E10</v>
      </c>
      <c r="J1853" s="1">
        <v>4.651E9</v>
      </c>
      <c r="K1853" s="1">
        <v>4.651E9</v>
      </c>
      <c r="L1853" s="1">
        <v>-3.95E8</v>
      </c>
      <c r="M1853" s="1">
        <v>1.0E9</v>
      </c>
      <c r="N1853" s="1">
        <v>6.5115E10</v>
      </c>
      <c r="O1853" s="1">
        <v>6.0464E10</v>
      </c>
      <c r="P1853" s="1">
        <v>4.9571E10</v>
      </c>
      <c r="Q1853" s="1">
        <v>-3.95E8</v>
      </c>
      <c r="R1853" s="1">
        <v>3.256E9</v>
      </c>
      <c r="S1853" s="1">
        <v>3.172E9</v>
      </c>
    </row>
    <row r="1854">
      <c r="A1854" s="1">
        <v>1852.0</v>
      </c>
      <c r="B1854" s="2">
        <v>44377.0</v>
      </c>
      <c r="C1854" s="1" t="s">
        <v>962</v>
      </c>
      <c r="D1854" s="1" t="s">
        <v>963</v>
      </c>
      <c r="F1854" s="1">
        <v>4.26798E8</v>
      </c>
      <c r="G1854" s="1">
        <v>3.25024E8</v>
      </c>
      <c r="H1854" s="1">
        <v>2.9149E7</v>
      </c>
      <c r="I1854" s="1">
        <v>1.371912E9</v>
      </c>
      <c r="J1854" s="1">
        <v>4.38968E8</v>
      </c>
      <c r="K1854" s="1">
        <v>4.38968E8</v>
      </c>
      <c r="L1854" s="1">
        <v>-2.1709E7</v>
      </c>
      <c r="M1854" s="1">
        <v>1.01522E8</v>
      </c>
      <c r="N1854" s="1">
        <v>3.19788E9</v>
      </c>
      <c r="O1854" s="1">
        <v>2.758912E9</v>
      </c>
      <c r="P1854" s="1">
        <v>1.825968E9</v>
      </c>
      <c r="Q1854" s="1">
        <v>-1.217E7</v>
      </c>
      <c r="R1854" s="1">
        <v>3.25276E8</v>
      </c>
      <c r="S1854" s="1">
        <v>3.24363E8</v>
      </c>
    </row>
    <row r="1855">
      <c r="A1855" s="1">
        <v>1853.0</v>
      </c>
      <c r="B1855" s="2">
        <v>44286.0</v>
      </c>
      <c r="C1855" s="1" t="s">
        <v>962</v>
      </c>
      <c r="D1855" s="1" t="s">
        <v>963</v>
      </c>
      <c r="F1855" s="1">
        <v>2.72877E8</v>
      </c>
      <c r="G1855" s="1">
        <v>2.09091E8</v>
      </c>
      <c r="H1855" s="1">
        <v>3.1324E7</v>
      </c>
      <c r="I1855" s="1">
        <v>1.168104E9</v>
      </c>
      <c r="J1855" s="1">
        <v>2.95669E8</v>
      </c>
      <c r="K1855" s="1">
        <v>2.95669E8</v>
      </c>
      <c r="L1855" s="1">
        <v>-2.2861E7</v>
      </c>
      <c r="M1855" s="1">
        <v>6.3807E7</v>
      </c>
      <c r="N1855" s="1">
        <v>3.012987E9</v>
      </c>
      <c r="O1855" s="1">
        <v>2.717318E9</v>
      </c>
      <c r="P1855" s="1">
        <v>1.844883E9</v>
      </c>
      <c r="Q1855" s="1">
        <v>-2.2792E7</v>
      </c>
      <c r="R1855" s="1">
        <v>2.0907E8</v>
      </c>
      <c r="S1855" s="1">
        <v>2.08539E8</v>
      </c>
    </row>
    <row r="1856">
      <c r="A1856" s="1">
        <v>1854.0</v>
      </c>
      <c r="B1856" s="2">
        <v>44196.0</v>
      </c>
      <c r="C1856" s="1" t="s">
        <v>962</v>
      </c>
      <c r="D1856" s="1" t="s">
        <v>963</v>
      </c>
      <c r="F1856" s="1">
        <v>4.02378E8</v>
      </c>
      <c r="G1856" s="1">
        <v>3.08708E8</v>
      </c>
      <c r="H1856" s="1">
        <v>3.1092E7</v>
      </c>
      <c r="I1856" s="1">
        <v>1.269541E9</v>
      </c>
      <c r="J1856" s="1">
        <v>4.14959E8</v>
      </c>
      <c r="K1856" s="1">
        <v>4.14959E8</v>
      </c>
      <c r="L1856" s="1">
        <v>-2.1823E7</v>
      </c>
      <c r="M1856" s="1">
        <v>9.4644E7</v>
      </c>
      <c r="N1856" s="1">
        <v>3.086935E9</v>
      </c>
      <c r="O1856" s="1">
        <v>2.671976E9</v>
      </c>
      <c r="P1856" s="1">
        <v>1.817394E9</v>
      </c>
      <c r="Q1856" s="1">
        <v>-1.2581E7</v>
      </c>
      <c r="R1856" s="1">
        <v>3.07734E8</v>
      </c>
      <c r="S1856" s="1">
        <v>3.07714E8</v>
      </c>
    </row>
    <row r="1857">
      <c r="A1857" s="1">
        <v>1855.0</v>
      </c>
      <c r="B1857" s="2">
        <v>44104.0</v>
      </c>
      <c r="C1857" s="1" t="s">
        <v>962</v>
      </c>
      <c r="D1857" s="1" t="s">
        <v>963</v>
      </c>
      <c r="F1857" s="1">
        <v>3.23264E8</v>
      </c>
      <c r="G1857" s="1">
        <v>2.41279E8</v>
      </c>
      <c r="H1857" s="1">
        <v>2.8488E7</v>
      </c>
      <c r="I1857" s="1">
        <v>1.170784E9</v>
      </c>
      <c r="J1857" s="1">
        <v>3.4967E8</v>
      </c>
      <c r="K1857" s="1">
        <v>3.4967E8</v>
      </c>
      <c r="L1857" s="1">
        <v>-2.5095E7</v>
      </c>
      <c r="M1857" s="1">
        <v>7.9172E7</v>
      </c>
      <c r="N1857" s="1">
        <v>2.912541E9</v>
      </c>
      <c r="O1857" s="1">
        <v>2.562871E9</v>
      </c>
      <c r="P1857" s="1">
        <v>1.741757E9</v>
      </c>
      <c r="Q1857" s="1">
        <v>-2.6406E7</v>
      </c>
      <c r="R1857" s="1">
        <v>2.44092E8</v>
      </c>
      <c r="S1857" s="1">
        <v>2.40489E8</v>
      </c>
    </row>
    <row r="1858">
      <c r="A1858" s="1">
        <v>1856.0</v>
      </c>
      <c r="B1858" s="2">
        <v>44377.0</v>
      </c>
      <c r="C1858" s="1" t="s">
        <v>964</v>
      </c>
      <c r="D1858" s="1" t="s">
        <v>965</v>
      </c>
      <c r="F1858" s="1">
        <v>4.61E8</v>
      </c>
      <c r="G1858" s="1">
        <v>1.62E8</v>
      </c>
      <c r="H1858" s="1">
        <v>1.61E8</v>
      </c>
      <c r="I1858" s="1">
        <v>1.285E9</v>
      </c>
      <c r="J1858" s="1">
        <v>5.24E8</v>
      </c>
      <c r="K1858" s="1">
        <v>5.24E8</v>
      </c>
      <c r="L1858" s="1">
        <v>-1.5E8</v>
      </c>
      <c r="M1858" s="1">
        <v>1.69E8</v>
      </c>
      <c r="N1858" s="1">
        <v>2.6326E10</v>
      </c>
      <c r="O1858" s="1">
        <v>2.5802E10</v>
      </c>
      <c r="P1858" s="1">
        <v>2.5041E10</v>
      </c>
      <c r="Q1858" s="1">
        <v>-6.3E7</v>
      </c>
      <c r="R1858" s="1">
        <v>2.92E8</v>
      </c>
      <c r="S1858" s="1">
        <v>1.6E8</v>
      </c>
    </row>
    <row r="1859">
      <c r="A1859" s="1">
        <v>1857.0</v>
      </c>
      <c r="B1859" s="2">
        <v>44286.0</v>
      </c>
      <c r="C1859" s="1" t="s">
        <v>964</v>
      </c>
      <c r="D1859" s="1" t="s">
        <v>965</v>
      </c>
      <c r="F1859" s="1">
        <v>-7.7E8</v>
      </c>
      <c r="G1859" s="1">
        <v>-7.04E8</v>
      </c>
      <c r="H1859" s="1">
        <v>1.94E8</v>
      </c>
      <c r="I1859" s="1">
        <v>1.58E8</v>
      </c>
      <c r="J1859" s="1">
        <v>-6.52E8</v>
      </c>
      <c r="K1859" s="1">
        <v>-6.52E8</v>
      </c>
      <c r="L1859" s="1">
        <v>-1.49E8</v>
      </c>
      <c r="M1859" s="1">
        <v>-1.48E8</v>
      </c>
      <c r="N1859" s="1">
        <v>1.9686E10</v>
      </c>
      <c r="O1859" s="1">
        <v>2.0338E10</v>
      </c>
      <c r="P1859" s="1">
        <v>1.9528E10</v>
      </c>
      <c r="Q1859" s="1">
        <v>-1.18E8</v>
      </c>
      <c r="R1859" s="1">
        <v>-6.22E8</v>
      </c>
      <c r="S1859" s="1">
        <v>-7.05E8</v>
      </c>
    </row>
    <row r="1860">
      <c r="A1860" s="1">
        <v>1858.0</v>
      </c>
      <c r="B1860" s="2">
        <v>44196.0</v>
      </c>
      <c r="C1860" s="1" t="s">
        <v>964</v>
      </c>
      <c r="D1860" s="1" t="s">
        <v>965</v>
      </c>
      <c r="F1860" s="1">
        <v>-5.98E8</v>
      </c>
      <c r="G1860" s="1">
        <v>-3.59E8</v>
      </c>
      <c r="H1860" s="1">
        <v>2.14E8</v>
      </c>
      <c r="I1860" s="1">
        <v>2.76E8</v>
      </c>
      <c r="J1860" s="1">
        <v>-4.6E8</v>
      </c>
      <c r="K1860" s="1">
        <v>-4.6E8</v>
      </c>
      <c r="L1860" s="1">
        <v>-1.53E8</v>
      </c>
      <c r="M1860" s="1">
        <v>-2.89E8</v>
      </c>
      <c r="N1860" s="1">
        <v>1.5298E10</v>
      </c>
      <c r="O1860" s="1">
        <v>1.5758E10</v>
      </c>
      <c r="P1860" s="1">
        <v>1.5022E10</v>
      </c>
      <c r="Q1860" s="1">
        <v>-1.38E8</v>
      </c>
      <c r="R1860" s="1">
        <v>-3.09E8</v>
      </c>
      <c r="S1860" s="1">
        <v>-3.6E8</v>
      </c>
    </row>
    <row r="1861">
      <c r="A1861" s="1">
        <v>1859.0</v>
      </c>
      <c r="B1861" s="2">
        <v>44104.0</v>
      </c>
      <c r="C1861" s="1" t="s">
        <v>964</v>
      </c>
      <c r="D1861" s="1" t="s">
        <v>965</v>
      </c>
      <c r="F1861" s="1">
        <v>-7.16E8</v>
      </c>
      <c r="G1861" s="1">
        <v>-4.64E8</v>
      </c>
      <c r="H1861" s="1">
        <v>1.78E8</v>
      </c>
      <c r="I1861" s="1">
        <v>1.22E8</v>
      </c>
      <c r="J1861" s="1">
        <v>-5.83E8</v>
      </c>
      <c r="K1861" s="1">
        <v>-5.83E8</v>
      </c>
      <c r="L1861" s="1">
        <v>-1.43E8</v>
      </c>
      <c r="M1861" s="1">
        <v>-3.37E8</v>
      </c>
      <c r="N1861" s="1">
        <v>1.447E10</v>
      </c>
      <c r="O1861" s="1">
        <v>1.5053E10</v>
      </c>
      <c r="P1861" s="1">
        <v>1.4348E10</v>
      </c>
      <c r="Q1861" s="1">
        <v>-1.33E8</v>
      </c>
      <c r="R1861" s="1">
        <v>-3.79E8</v>
      </c>
      <c r="S1861" s="1">
        <v>-4.65E8</v>
      </c>
    </row>
    <row r="1862">
      <c r="A1862" s="1">
        <v>1860.0</v>
      </c>
      <c r="B1862" s="2">
        <v>44377.0</v>
      </c>
      <c r="C1862" s="1" t="s">
        <v>966</v>
      </c>
      <c r="D1862" s="1" t="s">
        <v>967</v>
      </c>
      <c r="F1862" s="1">
        <v>9.1929E7</v>
      </c>
      <c r="G1862" s="1">
        <v>8.6391E7</v>
      </c>
      <c r="H1862" s="1">
        <v>3.0588E7</v>
      </c>
      <c r="I1862" s="1">
        <v>4.28582E8</v>
      </c>
      <c r="J1862" s="1">
        <v>1.64294E8</v>
      </c>
      <c r="K1862" s="1">
        <v>1.64294E8</v>
      </c>
      <c r="L1862" s="1">
        <v>-1.10051E8</v>
      </c>
      <c r="M1862" s="1">
        <v>3641000.0</v>
      </c>
      <c r="N1862" s="1">
        <v>9.23376E8</v>
      </c>
      <c r="O1862" s="1">
        <v>7.59082E8</v>
      </c>
      <c r="P1862" s="1">
        <v>4.94794E8</v>
      </c>
      <c r="Q1862" s="1">
        <v>-7.2365E7</v>
      </c>
      <c r="R1862" s="1">
        <v>8.8288E7</v>
      </c>
      <c r="S1862" s="1">
        <v>8.6391E7</v>
      </c>
    </row>
    <row r="1863">
      <c r="A1863" s="1">
        <v>1861.0</v>
      </c>
      <c r="B1863" s="2">
        <v>44286.0</v>
      </c>
      <c r="C1863" s="1" t="s">
        <v>966</v>
      </c>
      <c r="D1863" s="1" t="s">
        <v>967</v>
      </c>
      <c r="F1863" s="1">
        <v>-5.3245E7</v>
      </c>
      <c r="G1863" s="1">
        <v>-5.7209E7</v>
      </c>
      <c r="H1863" s="1">
        <v>4.0309E7</v>
      </c>
      <c r="I1863" s="1">
        <v>4.31384E8</v>
      </c>
      <c r="J1863" s="1">
        <v>1.55427E8</v>
      </c>
      <c r="K1863" s="1">
        <v>1.55427E8</v>
      </c>
      <c r="L1863" s="1">
        <v>-1.10767E8</v>
      </c>
      <c r="M1863" s="1">
        <v>2153000.0</v>
      </c>
      <c r="N1863" s="1">
        <v>9.097E8</v>
      </c>
      <c r="O1863" s="1">
        <v>7.54273E8</v>
      </c>
      <c r="P1863" s="1">
        <v>4.78316E8</v>
      </c>
      <c r="Q1863" s="1">
        <v>-2.08672E8</v>
      </c>
      <c r="R1863" s="1">
        <v>-5.5398E7</v>
      </c>
      <c r="S1863" s="1">
        <v>-5.7209E7</v>
      </c>
    </row>
    <row r="1864">
      <c r="A1864" s="1">
        <v>1862.0</v>
      </c>
      <c r="B1864" s="2">
        <v>44196.0</v>
      </c>
      <c r="C1864" s="1" t="s">
        <v>966</v>
      </c>
      <c r="D1864" s="1" t="s">
        <v>967</v>
      </c>
      <c r="F1864" s="1">
        <v>1.11274E8</v>
      </c>
      <c r="G1864" s="1">
        <v>1.10451E8</v>
      </c>
      <c r="H1864" s="1">
        <v>2.3411E7</v>
      </c>
      <c r="I1864" s="1">
        <v>4.85269E8</v>
      </c>
      <c r="J1864" s="1">
        <v>7.0392E7</v>
      </c>
      <c r="K1864" s="1">
        <v>7.0392E7</v>
      </c>
      <c r="L1864" s="1">
        <v>-1.14208E8</v>
      </c>
      <c r="M1864" s="1">
        <v>-679000.0</v>
      </c>
      <c r="N1864" s="1">
        <v>9.38226E8</v>
      </c>
      <c r="O1864" s="1">
        <v>8.67834E8</v>
      </c>
      <c r="P1864" s="1">
        <v>4.52957E8</v>
      </c>
      <c r="Q1864" s="1">
        <v>4.0882E7</v>
      </c>
      <c r="R1864" s="1">
        <v>1.11953E8</v>
      </c>
      <c r="S1864" s="1">
        <v>1.10451E8</v>
      </c>
    </row>
    <row r="1865">
      <c r="A1865" s="1">
        <v>1863.0</v>
      </c>
      <c r="B1865" s="2">
        <v>44104.0</v>
      </c>
      <c r="C1865" s="1" t="s">
        <v>966</v>
      </c>
      <c r="D1865" s="1" t="s">
        <v>967</v>
      </c>
      <c r="F1865" s="1">
        <v>1.0542E7</v>
      </c>
      <c r="G1865" s="1">
        <v>1.2751E7</v>
      </c>
      <c r="H1865" s="1">
        <v>3.4228E7</v>
      </c>
      <c r="I1865" s="1">
        <v>4.18692E8</v>
      </c>
      <c r="J1865" s="1">
        <v>1.35098E8</v>
      </c>
      <c r="K1865" s="1">
        <v>1.35098E8</v>
      </c>
      <c r="L1865" s="1">
        <v>-1.15505E8</v>
      </c>
      <c r="M1865" s="1">
        <v>-3195000.0</v>
      </c>
      <c r="N1865" s="1">
        <v>9.19233E8</v>
      </c>
      <c r="O1865" s="1">
        <v>7.84135E8</v>
      </c>
      <c r="P1865" s="1">
        <v>5.00541E8</v>
      </c>
      <c r="Q1865" s="1">
        <v>-1.24556E8</v>
      </c>
      <c r="R1865" s="1">
        <v>1.3737E7</v>
      </c>
      <c r="S1865" s="1">
        <v>1.2751E7</v>
      </c>
    </row>
    <row r="1866">
      <c r="A1866" s="1">
        <v>1864.0</v>
      </c>
      <c r="B1866" s="2">
        <v>44377.0</v>
      </c>
      <c r="C1866" s="1" t="s">
        <v>968</v>
      </c>
      <c r="D1866" s="1" t="s">
        <v>969</v>
      </c>
      <c r="E1866" s="1">
        <v>1.9808E7</v>
      </c>
      <c r="F1866" s="1">
        <v>1.87874E8</v>
      </c>
      <c r="G1866" s="1">
        <v>1.47772E8</v>
      </c>
      <c r="H1866" s="1">
        <v>4.8822E7</v>
      </c>
      <c r="I1866" s="1">
        <v>2.81609E8</v>
      </c>
      <c r="J1866" s="1">
        <v>2.12979E8</v>
      </c>
      <c r="K1866" s="1">
        <v>2.12979E8</v>
      </c>
      <c r="L1866" s="1">
        <v>-2.3064E7</v>
      </c>
      <c r="M1866" s="1">
        <v>4.0102E7</v>
      </c>
      <c r="N1866" s="1">
        <v>3.29405E8</v>
      </c>
      <c r="O1866" s="1">
        <v>1.16426E8</v>
      </c>
      <c r="P1866" s="1">
        <v>4.7796E7</v>
      </c>
      <c r="Q1866" s="1">
        <v>-2.5105E7</v>
      </c>
      <c r="R1866" s="1">
        <v>1.47772E8</v>
      </c>
      <c r="S1866" s="1">
        <v>1.47772E8</v>
      </c>
    </row>
    <row r="1867">
      <c r="A1867" s="1">
        <v>1865.0</v>
      </c>
      <c r="B1867" s="2">
        <v>44286.0</v>
      </c>
      <c r="C1867" s="1" t="s">
        <v>968</v>
      </c>
      <c r="D1867" s="1" t="s">
        <v>969</v>
      </c>
      <c r="E1867" s="1">
        <v>2.0311E7</v>
      </c>
      <c r="F1867" s="1">
        <v>1.88317E8</v>
      </c>
      <c r="G1867" s="1">
        <v>1.50354E8</v>
      </c>
      <c r="H1867" s="1">
        <v>4.5935E7</v>
      </c>
      <c r="I1867" s="1">
        <v>2.76653E8</v>
      </c>
      <c r="J1867" s="1">
        <v>2.10407E8</v>
      </c>
      <c r="K1867" s="1">
        <v>2.10407E8</v>
      </c>
      <c r="L1867" s="1">
        <v>-2.2534E7</v>
      </c>
      <c r="M1867" s="1">
        <v>3.7963E7</v>
      </c>
      <c r="N1867" s="1">
        <v>3.23621E8</v>
      </c>
      <c r="O1867" s="1">
        <v>1.13214E8</v>
      </c>
      <c r="P1867" s="1">
        <v>4.6968E7</v>
      </c>
      <c r="Q1867" s="1">
        <v>-2.209E7</v>
      </c>
      <c r="R1867" s="1">
        <v>1.50354E8</v>
      </c>
      <c r="S1867" s="1">
        <v>1.50354E8</v>
      </c>
    </row>
    <row r="1868">
      <c r="A1868" s="1">
        <v>1866.0</v>
      </c>
      <c r="B1868" s="2">
        <v>44196.0</v>
      </c>
      <c r="C1868" s="1" t="s">
        <v>968</v>
      </c>
      <c r="D1868" s="1" t="s">
        <v>969</v>
      </c>
      <c r="E1868" s="1">
        <v>1.9403E7</v>
      </c>
      <c r="F1868" s="1">
        <v>1.82896E8</v>
      </c>
      <c r="G1868" s="1">
        <v>1.57314E8</v>
      </c>
      <c r="H1868" s="1">
        <v>5.0401E7</v>
      </c>
      <c r="I1868" s="1">
        <v>2.74312E8</v>
      </c>
      <c r="J1868" s="1">
        <v>2.04508E8</v>
      </c>
      <c r="K1868" s="1">
        <v>2.04508E8</v>
      </c>
      <c r="L1868" s="1">
        <v>-2.2537E7</v>
      </c>
      <c r="M1868" s="1">
        <v>2.5582E7</v>
      </c>
      <c r="N1868" s="1">
        <v>3.20284E8</v>
      </c>
      <c r="O1868" s="1">
        <v>1.15776E8</v>
      </c>
      <c r="P1868" s="1">
        <v>4.5972E7</v>
      </c>
      <c r="Q1868" s="1">
        <v>-2.1612E7</v>
      </c>
      <c r="R1868" s="1">
        <v>1.57314E8</v>
      </c>
      <c r="S1868" s="1">
        <v>1.57314E8</v>
      </c>
    </row>
    <row r="1869">
      <c r="A1869" s="1">
        <v>1867.0</v>
      </c>
      <c r="B1869" s="2">
        <v>44104.0</v>
      </c>
      <c r="C1869" s="1" t="s">
        <v>968</v>
      </c>
      <c r="D1869" s="1" t="s">
        <v>969</v>
      </c>
      <c r="E1869" s="1">
        <v>1.9708E7</v>
      </c>
      <c r="F1869" s="1">
        <v>1.84887E8</v>
      </c>
      <c r="G1869" s="1">
        <v>1.70979E8</v>
      </c>
      <c r="H1869" s="1">
        <v>4.6498E7</v>
      </c>
      <c r="I1869" s="1">
        <v>2.72855E8</v>
      </c>
      <c r="J1869" s="1">
        <v>2.06649E8</v>
      </c>
      <c r="K1869" s="1">
        <v>2.06649E8</v>
      </c>
      <c r="L1869" s="1">
        <v>-2.2537E7</v>
      </c>
      <c r="M1869" s="1">
        <v>1.3908E7</v>
      </c>
      <c r="N1869" s="1">
        <v>3.17879E8</v>
      </c>
      <c r="O1869" s="1">
        <v>1.1123E8</v>
      </c>
      <c r="P1869" s="1">
        <v>4.5024E7</v>
      </c>
      <c r="Q1869" s="1">
        <v>-2.1762E7</v>
      </c>
      <c r="R1869" s="1">
        <v>1.70979E8</v>
      </c>
      <c r="S1869" s="1">
        <v>1.70979E8</v>
      </c>
    </row>
    <row r="1870">
      <c r="A1870" s="1">
        <v>1868.0</v>
      </c>
      <c r="B1870" s="2">
        <v>44377.0</v>
      </c>
      <c r="C1870" s="1" t="s">
        <v>970</v>
      </c>
      <c r="D1870" s="1" t="s">
        <v>971</v>
      </c>
      <c r="F1870" s="1">
        <v>2.354E8</v>
      </c>
      <c r="G1870" s="1">
        <v>1.54E8</v>
      </c>
      <c r="H1870" s="1">
        <v>1.135E8</v>
      </c>
      <c r="I1870" s="1">
        <v>4.826E8</v>
      </c>
      <c r="J1870" s="1">
        <v>2.653E8</v>
      </c>
      <c r="K1870" s="1">
        <v>2.653E8</v>
      </c>
      <c r="L1870" s="1">
        <v>-3.15E7</v>
      </c>
      <c r="M1870" s="1">
        <v>8.38E7</v>
      </c>
      <c r="N1870" s="1">
        <v>7.475E8</v>
      </c>
      <c r="O1870" s="1">
        <v>4.822E8</v>
      </c>
      <c r="P1870" s="1">
        <v>2.649E8</v>
      </c>
      <c r="Q1870" s="1">
        <v>-2.99E7</v>
      </c>
      <c r="R1870" s="1">
        <v>1.516E8</v>
      </c>
      <c r="S1870" s="1">
        <v>1.54E8</v>
      </c>
    </row>
    <row r="1871">
      <c r="A1871" s="1">
        <v>1869.0</v>
      </c>
      <c r="B1871" s="2">
        <v>44286.0</v>
      </c>
      <c r="C1871" s="1" t="s">
        <v>970</v>
      </c>
      <c r="D1871" s="1" t="s">
        <v>971</v>
      </c>
      <c r="F1871" s="1">
        <v>2.167E8</v>
      </c>
      <c r="G1871" s="1">
        <v>1.686E8</v>
      </c>
      <c r="H1871" s="1">
        <v>1.193E8</v>
      </c>
      <c r="I1871" s="1">
        <v>4.637E8</v>
      </c>
      <c r="J1871" s="1">
        <v>2.509E8</v>
      </c>
      <c r="K1871" s="1">
        <v>2.509E8</v>
      </c>
      <c r="L1871" s="1">
        <v>-3.54E7</v>
      </c>
      <c r="M1871" s="1">
        <v>4.87E7</v>
      </c>
      <c r="N1871" s="1">
        <v>7.261E8</v>
      </c>
      <c r="O1871" s="1">
        <v>4.752E8</v>
      </c>
      <c r="P1871" s="1">
        <v>2.624E8</v>
      </c>
      <c r="Q1871" s="1">
        <v>-3.25E7</v>
      </c>
      <c r="R1871" s="1">
        <v>1.68E8</v>
      </c>
      <c r="S1871" s="1">
        <v>1.686E8</v>
      </c>
    </row>
    <row r="1872">
      <c r="A1872" s="1">
        <v>1870.0</v>
      </c>
      <c r="B1872" s="2">
        <v>44196.0</v>
      </c>
      <c r="C1872" s="1" t="s">
        <v>970</v>
      </c>
      <c r="D1872" s="1" t="s">
        <v>971</v>
      </c>
      <c r="F1872" s="1">
        <v>2.16E8</v>
      </c>
      <c r="G1872" s="1">
        <v>1.762E8</v>
      </c>
      <c r="H1872" s="1">
        <v>1.074E8</v>
      </c>
      <c r="I1872" s="1">
        <v>4.529E8</v>
      </c>
      <c r="J1872" s="1">
        <v>2.523E8</v>
      </c>
      <c r="K1872" s="1">
        <v>2.523E8</v>
      </c>
      <c r="L1872" s="1">
        <v>-3.53E7</v>
      </c>
      <c r="M1872" s="1">
        <v>3.98E7</v>
      </c>
      <c r="N1872" s="1">
        <v>7.134E8</v>
      </c>
      <c r="O1872" s="1">
        <v>4.611E8</v>
      </c>
      <c r="P1872" s="1">
        <v>2.605E8</v>
      </c>
      <c r="Q1872" s="1">
        <v>-3.63E7</v>
      </c>
      <c r="R1872" s="1">
        <v>1.762E8</v>
      </c>
      <c r="S1872" s="1">
        <v>1.762E8</v>
      </c>
    </row>
    <row r="1873">
      <c r="A1873" s="1">
        <v>1871.0</v>
      </c>
      <c r="B1873" s="2">
        <v>44104.0</v>
      </c>
      <c r="C1873" s="1" t="s">
        <v>970</v>
      </c>
      <c r="D1873" s="1" t="s">
        <v>971</v>
      </c>
      <c r="F1873" s="1">
        <v>2.4E8</v>
      </c>
      <c r="G1873" s="1">
        <v>1.858E8</v>
      </c>
      <c r="H1873" s="1">
        <v>9.59E7</v>
      </c>
      <c r="I1873" s="1">
        <v>4.627E8</v>
      </c>
      <c r="J1873" s="1">
        <v>2.759E8</v>
      </c>
      <c r="K1873" s="1">
        <v>2.759E8</v>
      </c>
      <c r="L1873" s="1">
        <v>-3.53E7</v>
      </c>
      <c r="M1873" s="1">
        <v>5.42E7</v>
      </c>
      <c r="N1873" s="1">
        <v>7.027E8</v>
      </c>
      <c r="O1873" s="1">
        <v>4.268E8</v>
      </c>
      <c r="P1873" s="1">
        <v>2.4E8</v>
      </c>
      <c r="Q1873" s="1">
        <v>-3.59E7</v>
      </c>
      <c r="R1873" s="1">
        <v>1.858E8</v>
      </c>
      <c r="S1873" s="1">
        <v>1.858E8</v>
      </c>
    </row>
    <row r="1874">
      <c r="A1874" s="1">
        <v>1872.0</v>
      </c>
      <c r="B1874" s="2">
        <v>44377.0</v>
      </c>
      <c r="C1874" s="1" t="s">
        <v>972</v>
      </c>
      <c r="D1874" s="1" t="s">
        <v>973</v>
      </c>
      <c r="F1874" s="1">
        <v>7.824E9</v>
      </c>
      <c r="G1874" s="1">
        <v>5.8E9</v>
      </c>
      <c r="H1874" s="1">
        <v>6.973E9</v>
      </c>
      <c r="I1874" s="1">
        <v>1.9509E10</v>
      </c>
      <c r="J1874" s="1">
        <v>8.516E9</v>
      </c>
      <c r="K1874" s="1">
        <v>8.516E9</v>
      </c>
      <c r="L1874" s="1">
        <v>-8.44E8</v>
      </c>
      <c r="M1874" s="1">
        <v>1.875E9</v>
      </c>
      <c r="N1874" s="1">
        <v>3.3764E10</v>
      </c>
      <c r="O1874" s="1">
        <v>2.5248E10</v>
      </c>
      <c r="P1874" s="1">
        <v>1.4255E10</v>
      </c>
      <c r="Q1874" s="1">
        <v>-6.92E8</v>
      </c>
      <c r="R1874" s="1">
        <v>5.949E9</v>
      </c>
      <c r="S1874" s="1">
        <v>5.8E9</v>
      </c>
    </row>
    <row r="1875">
      <c r="A1875" s="1">
        <v>1873.0</v>
      </c>
      <c r="B1875" s="2">
        <v>44286.0</v>
      </c>
      <c r="C1875" s="1" t="s">
        <v>972</v>
      </c>
      <c r="D1875" s="1" t="s">
        <v>973</v>
      </c>
      <c r="F1875" s="1">
        <v>7.078E9</v>
      </c>
      <c r="G1875" s="1">
        <v>5.245E9</v>
      </c>
      <c r="H1875" s="1">
        <v>6.822E9</v>
      </c>
      <c r="I1875" s="1">
        <v>1.9345E10</v>
      </c>
      <c r="J1875" s="1">
        <v>8.349E9</v>
      </c>
      <c r="K1875" s="1">
        <v>8.349E9</v>
      </c>
      <c r="L1875" s="1">
        <v>-1.101E9</v>
      </c>
      <c r="M1875" s="1">
        <v>1.7E9</v>
      </c>
      <c r="N1875" s="1">
        <v>3.2867E10</v>
      </c>
      <c r="O1875" s="1">
        <v>2.4518E10</v>
      </c>
      <c r="P1875" s="1">
        <v>1.3522E10</v>
      </c>
      <c r="Q1875" s="1">
        <v>-1.271E9</v>
      </c>
      <c r="R1875" s="1">
        <v>5.378E9</v>
      </c>
      <c r="S1875" s="1">
        <v>5.245E9</v>
      </c>
    </row>
    <row r="1876">
      <c r="A1876" s="1">
        <v>1874.0</v>
      </c>
      <c r="B1876" s="2">
        <v>44196.0</v>
      </c>
      <c r="C1876" s="1" t="s">
        <v>972</v>
      </c>
      <c r="D1876" s="1" t="s">
        <v>973</v>
      </c>
      <c r="F1876" s="1">
        <v>6.253E9</v>
      </c>
      <c r="G1876" s="1">
        <v>4.588E9</v>
      </c>
      <c r="H1876" s="1">
        <v>7.951E9</v>
      </c>
      <c r="I1876" s="1">
        <v>1.987E10</v>
      </c>
      <c r="J1876" s="1">
        <v>7.722E9</v>
      </c>
      <c r="K1876" s="1">
        <v>7.722E9</v>
      </c>
      <c r="L1876" s="1">
        <v>-1.08E9</v>
      </c>
      <c r="M1876" s="1">
        <v>1.535E9</v>
      </c>
      <c r="N1876" s="1">
        <v>3.4692E10</v>
      </c>
      <c r="O1876" s="1">
        <v>2.697E10</v>
      </c>
      <c r="P1876" s="1">
        <v>1.4822E10</v>
      </c>
      <c r="Q1876" s="1">
        <v>-1.469E9</v>
      </c>
      <c r="R1876" s="1">
        <v>4.718E9</v>
      </c>
      <c r="S1876" s="1">
        <v>4.588E9</v>
      </c>
    </row>
    <row r="1877">
      <c r="A1877" s="1">
        <v>1875.0</v>
      </c>
      <c r="B1877" s="2">
        <v>44104.0</v>
      </c>
      <c r="C1877" s="1" t="s">
        <v>972</v>
      </c>
      <c r="D1877" s="1" t="s">
        <v>973</v>
      </c>
      <c r="F1877" s="1">
        <v>5.851E9</v>
      </c>
      <c r="G1877" s="1">
        <v>4.357E9</v>
      </c>
      <c r="H1877" s="1">
        <v>7.043E9</v>
      </c>
      <c r="I1877" s="1">
        <v>1.9209E10</v>
      </c>
      <c r="J1877" s="1">
        <v>7.974E9</v>
      </c>
      <c r="K1877" s="1">
        <v>7.974E9</v>
      </c>
      <c r="L1877" s="1">
        <v>-1.044E9</v>
      </c>
      <c r="M1877" s="1">
        <v>1.347E9</v>
      </c>
      <c r="N1877" s="1">
        <v>3.1543E10</v>
      </c>
      <c r="O1877" s="1">
        <v>2.3569E10</v>
      </c>
      <c r="P1877" s="1">
        <v>1.2334E10</v>
      </c>
      <c r="Q1877" s="1">
        <v>-2.123E9</v>
      </c>
      <c r="R1877" s="1">
        <v>4.504E9</v>
      </c>
      <c r="S1877" s="1">
        <v>4.357E9</v>
      </c>
    </row>
    <row r="1878">
      <c r="A1878" s="1">
        <v>1876.0</v>
      </c>
      <c r="B1878" s="2">
        <v>44377.0</v>
      </c>
      <c r="C1878" s="1" t="s">
        <v>974</v>
      </c>
      <c r="D1878" s="1" t="s">
        <v>975</v>
      </c>
      <c r="F1878" s="1">
        <v>-4.4255E7</v>
      </c>
      <c r="G1878" s="1">
        <v>6.6924E7</v>
      </c>
      <c r="H1878" s="1">
        <v>1.94669E8</v>
      </c>
      <c r="I1878" s="1">
        <v>1.58308E8</v>
      </c>
      <c r="J1878" s="1">
        <v>-3.6361E7</v>
      </c>
      <c r="K1878" s="1">
        <v>-3.6361E7</v>
      </c>
      <c r="L1878" s="1">
        <v>-1.5478E7</v>
      </c>
      <c r="M1878" s="1">
        <v>-1.11179E8</v>
      </c>
      <c r="N1878" s="1">
        <v>1.79337E9</v>
      </c>
      <c r="O1878" s="1">
        <v>1.829731E9</v>
      </c>
      <c r="P1878" s="1">
        <v>1.635062E9</v>
      </c>
      <c r="Q1878" s="1">
        <v>-7894000.0</v>
      </c>
      <c r="R1878" s="1">
        <v>6.6924E7</v>
      </c>
      <c r="S1878" s="1">
        <v>6.6924E7</v>
      </c>
    </row>
    <row r="1879">
      <c r="A1879" s="1">
        <v>1877.0</v>
      </c>
      <c r="B1879" s="2">
        <v>44286.0</v>
      </c>
      <c r="C1879" s="1" t="s">
        <v>974</v>
      </c>
      <c r="D1879" s="1" t="s">
        <v>975</v>
      </c>
      <c r="F1879" s="1">
        <v>8.2096E8</v>
      </c>
      <c r="G1879" s="1">
        <v>6.53138E8</v>
      </c>
      <c r="H1879" s="1">
        <v>1.92077E8</v>
      </c>
      <c r="I1879" s="1">
        <v>1.076003E9</v>
      </c>
      <c r="J1879" s="1">
        <v>8.83926E8</v>
      </c>
      <c r="K1879" s="1">
        <v>8.83926E8</v>
      </c>
      <c r="L1879" s="1">
        <v>-1.5678E7</v>
      </c>
      <c r="M1879" s="1">
        <v>1.67822E8</v>
      </c>
      <c r="N1879" s="1">
        <v>1.724305E9</v>
      </c>
      <c r="O1879" s="1">
        <v>8.40379E8</v>
      </c>
      <c r="P1879" s="1">
        <v>6.48302E8</v>
      </c>
      <c r="Q1879" s="1">
        <v>-6.2966E7</v>
      </c>
      <c r="R1879" s="1">
        <v>6.53138E8</v>
      </c>
      <c r="S1879" s="1">
        <v>6.53138E8</v>
      </c>
    </row>
    <row r="1880">
      <c r="A1880" s="1">
        <v>1878.0</v>
      </c>
      <c r="B1880" s="2">
        <v>44196.0</v>
      </c>
      <c r="C1880" s="1" t="s">
        <v>974</v>
      </c>
      <c r="D1880" s="1" t="s">
        <v>975</v>
      </c>
      <c r="F1880" s="1">
        <v>8.88623E8</v>
      </c>
      <c r="G1880" s="1">
        <v>6.0419E8</v>
      </c>
      <c r="H1880" s="1">
        <v>2.11843E8</v>
      </c>
      <c r="I1880" s="1">
        <v>9.58135E8</v>
      </c>
      <c r="J1880" s="1">
        <v>7.46292E8</v>
      </c>
      <c r="K1880" s="1">
        <v>7.46292E8</v>
      </c>
      <c r="L1880" s="1">
        <v>-1.6288E7</v>
      </c>
      <c r="M1880" s="1">
        <v>2.84433E8</v>
      </c>
      <c r="N1880" s="1">
        <v>1.62782E9</v>
      </c>
      <c r="O1880" s="1">
        <v>8.81528E8</v>
      </c>
      <c r="P1880" s="1">
        <v>6.69685E8</v>
      </c>
      <c r="Q1880" s="1">
        <v>1.42331E8</v>
      </c>
      <c r="R1880" s="1">
        <v>6.0419E8</v>
      </c>
      <c r="S1880" s="1">
        <v>6.0419E8</v>
      </c>
    </row>
    <row r="1881">
      <c r="A1881" s="1">
        <v>1879.0</v>
      </c>
      <c r="B1881" s="2">
        <v>44104.0</v>
      </c>
      <c r="C1881" s="1" t="s">
        <v>974</v>
      </c>
      <c r="D1881" s="1" t="s">
        <v>975</v>
      </c>
      <c r="F1881" s="1">
        <v>7.45871E8</v>
      </c>
      <c r="G1881" s="1">
        <v>6.67434E8</v>
      </c>
      <c r="H1881" s="1">
        <v>1.84551E8</v>
      </c>
      <c r="I1881" s="1">
        <v>8.58592E8</v>
      </c>
      <c r="J1881" s="1">
        <v>6.74041E8</v>
      </c>
      <c r="K1881" s="1">
        <v>6.74041E8</v>
      </c>
      <c r="L1881" s="1">
        <v>-1.3856E7</v>
      </c>
      <c r="M1881" s="1">
        <v>7.8437E7</v>
      </c>
      <c r="N1881" s="1">
        <v>1.538271E9</v>
      </c>
      <c r="O1881" s="1">
        <v>8.6423E8</v>
      </c>
      <c r="P1881" s="1">
        <v>6.79679E8</v>
      </c>
      <c r="Q1881" s="1">
        <v>7.183E7</v>
      </c>
      <c r="R1881" s="1">
        <v>6.67434E8</v>
      </c>
      <c r="S1881" s="1">
        <v>6.67434E8</v>
      </c>
    </row>
    <row r="1882">
      <c r="A1882" s="1">
        <v>1880.0</v>
      </c>
      <c r="B1882" s="2">
        <v>44380.0</v>
      </c>
      <c r="C1882" s="1" t="s">
        <v>976</v>
      </c>
      <c r="D1882" s="1" t="s">
        <v>977</v>
      </c>
      <c r="F1882" s="1">
        <v>1.7915E8</v>
      </c>
      <c r="G1882" s="1">
        <v>3.24245E8</v>
      </c>
      <c r="H1882" s="1">
        <v>1.099034E9</v>
      </c>
      <c r="I1882" s="1">
        <v>1.240406E9</v>
      </c>
      <c r="J1882" s="1">
        <v>1.41372E8</v>
      </c>
      <c r="K1882" s="1">
        <v>1.41372E8</v>
      </c>
      <c r="L1882" s="1">
        <v>-3.4917E7</v>
      </c>
      <c r="M1882" s="1">
        <v>2.5178E7</v>
      </c>
      <c r="N1882" s="1">
        <v>2.194557E9</v>
      </c>
      <c r="O1882" s="1">
        <v>2.053185E9</v>
      </c>
      <c r="P1882" s="1">
        <v>9.54151E8</v>
      </c>
      <c r="Q1882" s="1">
        <v>3.7778E7</v>
      </c>
      <c r="R1882" s="1">
        <v>1.53972E8</v>
      </c>
      <c r="S1882" s="1">
        <v>3.24245E8</v>
      </c>
    </row>
    <row r="1883">
      <c r="A1883" s="1">
        <v>1881.0</v>
      </c>
      <c r="B1883" s="2">
        <v>44289.0</v>
      </c>
      <c r="C1883" s="1" t="s">
        <v>976</v>
      </c>
      <c r="D1883" s="1" t="s">
        <v>977</v>
      </c>
      <c r="F1883" s="1">
        <v>8.9049E7</v>
      </c>
      <c r="G1883" s="1">
        <v>8.952E7</v>
      </c>
      <c r="H1883" s="1">
        <v>1.155947E9</v>
      </c>
      <c r="I1883" s="1">
        <v>1.350573E9</v>
      </c>
      <c r="J1883" s="1">
        <v>1.94626E8</v>
      </c>
      <c r="K1883" s="1">
        <v>1.94626E8</v>
      </c>
      <c r="L1883" s="1">
        <v>-3.7971E7</v>
      </c>
      <c r="M1883" s="1">
        <v>2.7306E7</v>
      </c>
      <c r="N1883" s="1">
        <v>2.582672E9</v>
      </c>
      <c r="O1883" s="1">
        <v>2.388046E9</v>
      </c>
      <c r="P1883" s="1">
        <v>1.232099E9</v>
      </c>
      <c r="Q1883" s="1">
        <v>-1.05577E8</v>
      </c>
      <c r="R1883" s="1">
        <v>6.1743E7</v>
      </c>
      <c r="S1883" s="1">
        <v>8.952E7</v>
      </c>
    </row>
    <row r="1884">
      <c r="A1884" s="1">
        <v>1882.0</v>
      </c>
      <c r="B1884" s="2">
        <v>44191.0</v>
      </c>
      <c r="C1884" s="1" t="s">
        <v>976</v>
      </c>
      <c r="D1884" s="1" t="s">
        <v>977</v>
      </c>
      <c r="F1884" s="1">
        <v>3.86707E8</v>
      </c>
      <c r="G1884" s="1">
        <v>3.4724E8</v>
      </c>
      <c r="H1884" s="1">
        <v>1.195245E9</v>
      </c>
      <c r="I1884" s="1">
        <v>1.649017E9</v>
      </c>
      <c r="J1884" s="1">
        <v>4.53772E8</v>
      </c>
      <c r="K1884" s="1">
        <v>4.53772E8</v>
      </c>
      <c r="L1884" s="1">
        <v>-3.4315E7</v>
      </c>
      <c r="M1884" s="1">
        <v>5.9048E7</v>
      </c>
      <c r="N1884" s="1">
        <v>2.971541E9</v>
      </c>
      <c r="O1884" s="1">
        <v>2.517769E9</v>
      </c>
      <c r="P1884" s="1">
        <v>1.322524E9</v>
      </c>
      <c r="Q1884" s="1">
        <v>-6.7065E7</v>
      </c>
      <c r="R1884" s="1">
        <v>3.27659E8</v>
      </c>
      <c r="S1884" s="1">
        <v>3.4724E8</v>
      </c>
    </row>
    <row r="1885">
      <c r="A1885" s="1">
        <v>1883.0</v>
      </c>
      <c r="B1885" s="2">
        <v>44100.0</v>
      </c>
      <c r="C1885" s="1" t="s">
        <v>976</v>
      </c>
      <c r="D1885" s="1" t="s">
        <v>977</v>
      </c>
      <c r="F1885" s="1">
        <v>2.93661E8</v>
      </c>
      <c r="G1885" s="1">
        <v>2.56722E8</v>
      </c>
      <c r="H1885" s="1">
        <v>9.9796E8</v>
      </c>
      <c r="I1885" s="1">
        <v>1.329118E9</v>
      </c>
      <c r="J1885" s="1">
        <v>3.31158E8</v>
      </c>
      <c r="K1885" s="1">
        <v>3.31158E8</v>
      </c>
      <c r="L1885" s="1">
        <v>-3.4107E7</v>
      </c>
      <c r="M1885" s="1">
        <v>5.0415E7</v>
      </c>
      <c r="N1885" s="1">
        <v>2.608324E9</v>
      </c>
      <c r="O1885" s="1">
        <v>2.277166E9</v>
      </c>
      <c r="P1885" s="1">
        <v>1.279206E9</v>
      </c>
      <c r="Q1885" s="1">
        <v>-3.7497E7</v>
      </c>
      <c r="R1885" s="1">
        <v>2.43246E8</v>
      </c>
      <c r="S1885" s="1">
        <v>2.56722E8</v>
      </c>
    </row>
    <row r="1886">
      <c r="A1886" s="1">
        <v>1884.0</v>
      </c>
      <c r="B1886" s="2">
        <v>44286.0</v>
      </c>
      <c r="C1886" s="1" t="s">
        <v>978</v>
      </c>
      <c r="D1886" s="1" t="s">
        <v>979</v>
      </c>
      <c r="F1886" s="1">
        <v>1.137E9</v>
      </c>
      <c r="G1886" s="1">
        <v>9.11E8</v>
      </c>
      <c r="H1886" s="1">
        <v>1.434E9</v>
      </c>
      <c r="I1886" s="1">
        <v>3.049E9</v>
      </c>
      <c r="J1886" s="1">
        <v>1.516E9</v>
      </c>
      <c r="K1886" s="1">
        <v>1.516E9</v>
      </c>
      <c r="L1886" s="1">
        <v>-2.59E8</v>
      </c>
      <c r="M1886" s="1">
        <v>2.26E8</v>
      </c>
      <c r="N1886" s="1">
        <v>7.412E9</v>
      </c>
      <c r="O1886" s="1">
        <v>5.896E9</v>
      </c>
      <c r="P1886" s="1">
        <v>4.363E9</v>
      </c>
      <c r="Q1886" s="1">
        <v>-3.79E8</v>
      </c>
      <c r="R1886" s="1">
        <v>9.11E8</v>
      </c>
      <c r="S1886" s="1">
        <v>9.11E8</v>
      </c>
    </row>
    <row r="1887">
      <c r="A1887" s="1">
        <v>1885.0</v>
      </c>
      <c r="B1887" s="2">
        <v>44196.0</v>
      </c>
      <c r="C1887" s="1" t="s">
        <v>978</v>
      </c>
      <c r="D1887" s="1" t="s">
        <v>979</v>
      </c>
      <c r="F1887" s="1">
        <v>8.84E8</v>
      </c>
      <c r="G1887" s="1">
        <v>8.1E8</v>
      </c>
      <c r="H1887" s="1">
        <v>1.399E9</v>
      </c>
      <c r="I1887" s="1">
        <v>2.417E9</v>
      </c>
      <c r="J1887" s="1">
        <v>9.18E8</v>
      </c>
      <c r="K1887" s="1">
        <v>9.18E8</v>
      </c>
      <c r="L1887" s="1">
        <v>-2.68E8</v>
      </c>
      <c r="M1887" s="1">
        <v>1.58E8</v>
      </c>
      <c r="N1887" s="1">
        <v>6.225E9</v>
      </c>
      <c r="O1887" s="1">
        <v>5.307E9</v>
      </c>
      <c r="P1887" s="1">
        <v>3.808E9</v>
      </c>
      <c r="Q1887" s="1">
        <v>-3.4E7</v>
      </c>
      <c r="R1887" s="1">
        <v>7.26E8</v>
      </c>
      <c r="S1887" s="1">
        <v>8.1E8</v>
      </c>
    </row>
    <row r="1888">
      <c r="A1888" s="1">
        <v>1886.0</v>
      </c>
      <c r="B1888" s="2">
        <v>44104.0</v>
      </c>
      <c r="C1888" s="1" t="s">
        <v>978</v>
      </c>
      <c r="D1888" s="1" t="s">
        <v>979</v>
      </c>
      <c r="F1888" s="1">
        <v>6.62E8</v>
      </c>
      <c r="G1888" s="1">
        <v>6.15E8</v>
      </c>
      <c r="H1888" s="1">
        <v>1.391E9</v>
      </c>
      <c r="I1888" s="1">
        <v>2.482E9</v>
      </c>
      <c r="J1888" s="1">
        <v>9.92E8</v>
      </c>
      <c r="K1888" s="1">
        <v>9.92E8</v>
      </c>
      <c r="L1888" s="1">
        <v>-2.59E8</v>
      </c>
      <c r="M1888" s="1">
        <v>3.8E7</v>
      </c>
      <c r="N1888" s="1">
        <v>6.116E9</v>
      </c>
      <c r="O1888" s="1">
        <v>5.124E9</v>
      </c>
      <c r="P1888" s="1">
        <v>3.634E9</v>
      </c>
      <c r="Q1888" s="1">
        <v>-3.3E8</v>
      </c>
      <c r="R1888" s="1">
        <v>6.24E8</v>
      </c>
      <c r="S1888" s="1">
        <v>6.15E8</v>
      </c>
    </row>
    <row r="1889">
      <c r="A1889" s="1">
        <v>1887.0</v>
      </c>
      <c r="B1889" s="2">
        <v>44012.0</v>
      </c>
      <c r="C1889" s="1" t="s">
        <v>978</v>
      </c>
      <c r="D1889" s="1" t="s">
        <v>979</v>
      </c>
      <c r="F1889" s="1">
        <v>9.25E8</v>
      </c>
      <c r="G1889" s="1">
        <v>4.81E8</v>
      </c>
      <c r="H1889" s="1">
        <v>1.24E9</v>
      </c>
      <c r="I1889" s="1">
        <v>2.79E9</v>
      </c>
      <c r="J1889" s="1">
        <v>1.451E9</v>
      </c>
      <c r="K1889" s="1">
        <v>1.451E9</v>
      </c>
      <c r="L1889" s="1">
        <v>-2.63E8</v>
      </c>
      <c r="M1889" s="1">
        <v>2.02E8</v>
      </c>
      <c r="N1889" s="1">
        <v>6.275E9</v>
      </c>
      <c r="O1889" s="1">
        <v>4.824E9</v>
      </c>
      <c r="P1889" s="1">
        <v>3.485E9</v>
      </c>
      <c r="Q1889" s="1">
        <v>-5.26E8</v>
      </c>
      <c r="R1889" s="1">
        <v>7.23E8</v>
      </c>
      <c r="S1889" s="1">
        <v>4.81E8</v>
      </c>
    </row>
    <row r="1890">
      <c r="A1890" s="1">
        <v>1888.0</v>
      </c>
      <c r="B1890" s="2">
        <v>44377.0</v>
      </c>
      <c r="C1890" s="1" t="s">
        <v>980</v>
      </c>
      <c r="D1890" s="1" t="s">
        <v>981</v>
      </c>
      <c r="E1890" s="1">
        <v>1.438E8</v>
      </c>
      <c r="F1890" s="1">
        <v>-2.191E8</v>
      </c>
      <c r="G1890" s="1">
        <v>-2.792E8</v>
      </c>
      <c r="H1890" s="1">
        <v>9.814E8</v>
      </c>
      <c r="I1890" s="1">
        <v>1.9841E9</v>
      </c>
      <c r="J1890" s="1">
        <v>8.589E8</v>
      </c>
      <c r="K1890" s="1">
        <v>8.589E8</v>
      </c>
      <c r="L1890" s="1">
        <v>-1.671E8</v>
      </c>
      <c r="M1890" s="1">
        <v>6.01E7</v>
      </c>
      <c r="N1890" s="1">
        <v>4.5778E9</v>
      </c>
      <c r="O1890" s="1">
        <v>3.7189E9</v>
      </c>
      <c r="P1890" s="1">
        <v>2.5937E9</v>
      </c>
      <c r="Q1890" s="1">
        <v>-1.078E9</v>
      </c>
      <c r="R1890" s="1">
        <v>-2.792E8</v>
      </c>
      <c r="S1890" s="1">
        <v>-2.792E8</v>
      </c>
    </row>
    <row r="1891">
      <c r="A1891" s="1">
        <v>1889.0</v>
      </c>
      <c r="B1891" s="2">
        <v>44286.0</v>
      </c>
      <c r="C1891" s="1" t="s">
        <v>980</v>
      </c>
      <c r="D1891" s="1" t="s">
        <v>981</v>
      </c>
      <c r="E1891" s="1">
        <v>1.63E8</v>
      </c>
      <c r="F1891" s="1">
        <v>-4.413E8</v>
      </c>
      <c r="G1891" s="1">
        <v>-1.0376E9</v>
      </c>
      <c r="H1891" s="1">
        <v>9.687E8</v>
      </c>
      <c r="I1891" s="1">
        <v>1.8607E9</v>
      </c>
      <c r="J1891" s="1">
        <v>7.29E8</v>
      </c>
      <c r="K1891" s="1">
        <v>7.29E8</v>
      </c>
      <c r="L1891" s="1">
        <v>-1.69E8</v>
      </c>
      <c r="M1891" s="1">
        <v>5.963E8</v>
      </c>
      <c r="N1891" s="1">
        <v>4.4303E9</v>
      </c>
      <c r="O1891" s="1">
        <v>3.7013E9</v>
      </c>
      <c r="P1891" s="1">
        <v>2.5696E9</v>
      </c>
      <c r="Q1891" s="1">
        <v>-1.1703E9</v>
      </c>
      <c r="R1891" s="1">
        <v>-1.0376E9</v>
      </c>
      <c r="S1891" s="1">
        <v>-1.0376E9</v>
      </c>
    </row>
    <row r="1892">
      <c r="A1892" s="1">
        <v>1890.0</v>
      </c>
      <c r="B1892" s="2">
        <v>44196.0</v>
      </c>
      <c r="C1892" s="1" t="s">
        <v>980</v>
      </c>
      <c r="D1892" s="1" t="s">
        <v>981</v>
      </c>
      <c r="E1892" s="1">
        <v>1.533E8</v>
      </c>
      <c r="F1892" s="1">
        <v>-1.0135E9</v>
      </c>
      <c r="G1892" s="1">
        <v>-9.158E8</v>
      </c>
      <c r="H1892" s="1">
        <v>1.3587E9</v>
      </c>
      <c r="I1892" s="1">
        <v>1.3613E9</v>
      </c>
      <c r="J1892" s="1">
        <v>-1.507E8</v>
      </c>
      <c r="K1892" s="1">
        <v>-1.507E8</v>
      </c>
      <c r="L1892" s="1">
        <v>-1.444E8</v>
      </c>
      <c r="M1892" s="1">
        <v>-9.77E7</v>
      </c>
      <c r="N1892" s="1">
        <v>3.6235E9</v>
      </c>
      <c r="O1892" s="1">
        <v>3.7742E9</v>
      </c>
      <c r="P1892" s="1">
        <v>2.2622E9</v>
      </c>
      <c r="Q1892" s="1">
        <v>-8.628E8</v>
      </c>
      <c r="R1892" s="1">
        <v>-9.158E8</v>
      </c>
      <c r="S1892" s="1">
        <v>-9.158E8</v>
      </c>
    </row>
    <row r="1893">
      <c r="A1893" s="1">
        <v>1891.0</v>
      </c>
      <c r="B1893" s="2">
        <v>44104.0</v>
      </c>
      <c r="C1893" s="1" t="s">
        <v>980</v>
      </c>
      <c r="D1893" s="1" t="s">
        <v>981</v>
      </c>
      <c r="E1893" s="1">
        <v>1.26E8</v>
      </c>
      <c r="F1893" s="1">
        <v>2.416E8</v>
      </c>
      <c r="G1893" s="1">
        <v>1.857E8</v>
      </c>
      <c r="H1893" s="1">
        <v>6.152E8</v>
      </c>
      <c r="I1893" s="1">
        <v>1.2602E9</v>
      </c>
      <c r="J1893" s="1">
        <v>5.19E8</v>
      </c>
      <c r="K1893" s="1">
        <v>5.19E8</v>
      </c>
      <c r="L1893" s="1">
        <v>-1.173E8</v>
      </c>
      <c r="M1893" s="1">
        <v>5.59E7</v>
      </c>
      <c r="N1893" s="1">
        <v>2.9721E9</v>
      </c>
      <c r="O1893" s="1">
        <v>2.4531E9</v>
      </c>
      <c r="P1893" s="1">
        <v>1.7119E9</v>
      </c>
      <c r="Q1893" s="1">
        <v>-2.774E8</v>
      </c>
      <c r="R1893" s="1">
        <v>1.857E8</v>
      </c>
      <c r="S1893" s="1">
        <v>1.857E8</v>
      </c>
    </row>
    <row r="1894">
      <c r="A1894" s="1">
        <v>1892.0</v>
      </c>
      <c r="B1894" s="2">
        <v>44377.0</v>
      </c>
      <c r="C1894" s="1" t="s">
        <v>982</v>
      </c>
      <c r="D1894" s="1" t="s">
        <v>983</v>
      </c>
      <c r="F1894" s="1">
        <v>4.389E9</v>
      </c>
      <c r="G1894" s="1">
        <v>2.575E9</v>
      </c>
      <c r="H1894" s="1">
        <v>1.678E9</v>
      </c>
      <c r="I1894" s="1">
        <v>5.944E9</v>
      </c>
      <c r="J1894" s="1">
        <v>4.062E9</v>
      </c>
      <c r="K1894" s="1">
        <v>4.062E9</v>
      </c>
      <c r="L1894" s="1">
        <v>-1.31E8</v>
      </c>
      <c r="M1894" s="1">
        <v>1.814E9</v>
      </c>
      <c r="N1894" s="1">
        <v>6.13E9</v>
      </c>
      <c r="O1894" s="1">
        <v>2.068E9</v>
      </c>
      <c r="P1894" s="1">
        <v>1.86E8</v>
      </c>
      <c r="Q1894" s="1">
        <v>3.27E8</v>
      </c>
      <c r="R1894" s="1">
        <v>2.575E9</v>
      </c>
      <c r="S1894" s="1">
        <v>2.515E9</v>
      </c>
    </row>
    <row r="1895">
      <c r="A1895" s="1">
        <v>1893.0</v>
      </c>
      <c r="B1895" s="2">
        <v>44286.0</v>
      </c>
      <c r="C1895" s="1" t="s">
        <v>982</v>
      </c>
      <c r="D1895" s="1" t="s">
        <v>983</v>
      </c>
      <c r="F1895" s="1">
        <v>3.628E9</v>
      </c>
      <c r="G1895" s="1">
        <v>3.026E9</v>
      </c>
      <c r="H1895" s="1">
        <v>1.613E9</v>
      </c>
      <c r="I1895" s="1">
        <v>5.55E9</v>
      </c>
      <c r="J1895" s="1">
        <v>3.584E9</v>
      </c>
      <c r="K1895" s="1">
        <v>3.584E9</v>
      </c>
      <c r="L1895" s="1">
        <v>-1.21E8</v>
      </c>
      <c r="M1895" s="1">
        <v>6.02E8</v>
      </c>
      <c r="N1895" s="1">
        <v>5.729E9</v>
      </c>
      <c r="O1895" s="1">
        <v>2.145E9</v>
      </c>
      <c r="P1895" s="1">
        <v>1.79E8</v>
      </c>
      <c r="Q1895" s="1">
        <v>4.4E7</v>
      </c>
      <c r="R1895" s="1">
        <v>3.026E9</v>
      </c>
      <c r="S1895" s="1">
        <v>2.951E9</v>
      </c>
    </row>
    <row r="1896">
      <c r="A1896" s="1">
        <v>1894.0</v>
      </c>
      <c r="B1896" s="2">
        <v>44196.0</v>
      </c>
      <c r="C1896" s="1" t="s">
        <v>982</v>
      </c>
      <c r="D1896" s="1" t="s">
        <v>983</v>
      </c>
      <c r="F1896" s="1">
        <v>3.748E9</v>
      </c>
      <c r="G1896" s="1">
        <v>3.126E9</v>
      </c>
      <c r="H1896" s="1">
        <v>1.472E9</v>
      </c>
      <c r="I1896" s="1">
        <v>5.514E9</v>
      </c>
      <c r="J1896" s="1">
        <v>3.845E9</v>
      </c>
      <c r="K1896" s="1">
        <v>3.845E9</v>
      </c>
      <c r="L1896" s="1">
        <v>-1.36E8</v>
      </c>
      <c r="M1896" s="1">
        <v>6.22E8</v>
      </c>
      <c r="N1896" s="1">
        <v>5.687E9</v>
      </c>
      <c r="O1896" s="1">
        <v>1.842E9</v>
      </c>
      <c r="P1896" s="1">
        <v>1.73E8</v>
      </c>
      <c r="Q1896" s="1">
        <v>-9.7E7</v>
      </c>
      <c r="R1896" s="1">
        <v>3.126E9</v>
      </c>
      <c r="S1896" s="1">
        <v>3.038E9</v>
      </c>
    </row>
    <row r="1897">
      <c r="A1897" s="1">
        <v>1895.0</v>
      </c>
      <c r="B1897" s="2">
        <v>44104.0</v>
      </c>
      <c r="C1897" s="1" t="s">
        <v>982</v>
      </c>
      <c r="D1897" s="1" t="s">
        <v>983</v>
      </c>
      <c r="F1897" s="1">
        <v>3.055E9</v>
      </c>
      <c r="G1897" s="1">
        <v>2.137E9</v>
      </c>
      <c r="H1897" s="1">
        <v>1.537E9</v>
      </c>
      <c r="I1897" s="1">
        <v>4.91E9</v>
      </c>
      <c r="J1897" s="1">
        <v>3.177E9</v>
      </c>
      <c r="K1897" s="1">
        <v>3.177E9</v>
      </c>
      <c r="L1897" s="1">
        <v>-1.68E8</v>
      </c>
      <c r="M1897" s="1">
        <v>9.18E8</v>
      </c>
      <c r="N1897" s="1">
        <v>5.101E9</v>
      </c>
      <c r="O1897" s="1">
        <v>1.924E9</v>
      </c>
      <c r="P1897" s="1">
        <v>1.91E8</v>
      </c>
      <c r="Q1897" s="1">
        <v>-1.22E8</v>
      </c>
      <c r="R1897" s="1">
        <v>2.137E9</v>
      </c>
      <c r="S1897" s="1">
        <v>2.06E9</v>
      </c>
    </row>
    <row r="1898">
      <c r="A1898" s="1">
        <v>1896.0</v>
      </c>
      <c r="B1898" s="2">
        <v>44377.0</v>
      </c>
      <c r="C1898" s="1" t="s">
        <v>984</v>
      </c>
      <c r="D1898" s="1" t="s">
        <v>985</v>
      </c>
      <c r="F1898" s="1">
        <v>7.9673E7</v>
      </c>
      <c r="G1898" s="1">
        <v>6.4512E7</v>
      </c>
      <c r="H1898" s="1">
        <v>3.0602E7</v>
      </c>
      <c r="I1898" s="1">
        <v>2.19447E8</v>
      </c>
      <c r="J1898" s="1">
        <v>9.9068E7</v>
      </c>
      <c r="K1898" s="1">
        <v>9.9068E7</v>
      </c>
      <c r="L1898" s="1">
        <v>-5.1894E7</v>
      </c>
      <c r="M1898" s="1">
        <v>2841000.0</v>
      </c>
      <c r="N1898" s="1">
        <v>4.10367E8</v>
      </c>
      <c r="O1898" s="1">
        <v>3.11299E8</v>
      </c>
      <c r="P1898" s="1">
        <v>1.9092E8</v>
      </c>
      <c r="Q1898" s="1">
        <v>-1.9395E7</v>
      </c>
      <c r="R1898" s="1">
        <v>7.6832E7</v>
      </c>
      <c r="S1898" s="1">
        <v>4.8036E7</v>
      </c>
    </row>
    <row r="1899">
      <c r="A1899" s="1">
        <v>1897.0</v>
      </c>
      <c r="B1899" s="2">
        <v>44286.0</v>
      </c>
      <c r="C1899" s="1" t="s">
        <v>984</v>
      </c>
      <c r="D1899" s="1" t="s">
        <v>985</v>
      </c>
      <c r="F1899" s="1">
        <v>2.8977E7</v>
      </c>
      <c r="G1899" s="1">
        <v>2.055E7</v>
      </c>
      <c r="H1899" s="1">
        <v>4.4186E7</v>
      </c>
      <c r="I1899" s="1">
        <v>2.17228E8</v>
      </c>
      <c r="J1899" s="1">
        <v>7.7688E7</v>
      </c>
      <c r="K1899" s="1">
        <v>7.7688E7</v>
      </c>
      <c r="L1899" s="1">
        <v>-5.0064E7</v>
      </c>
      <c r="M1899" s="1">
        <v>1984000.0</v>
      </c>
      <c r="N1899" s="1">
        <v>4.0905E8</v>
      </c>
      <c r="O1899" s="1">
        <v>3.31362E8</v>
      </c>
      <c r="P1899" s="1">
        <v>1.91822E8</v>
      </c>
      <c r="Q1899" s="1">
        <v>-4.8711E7</v>
      </c>
      <c r="R1899" s="1">
        <v>2.6993E7</v>
      </c>
      <c r="S1899" s="1">
        <v>4074000.0</v>
      </c>
    </row>
    <row r="1900">
      <c r="A1900" s="1">
        <v>1898.0</v>
      </c>
      <c r="B1900" s="2">
        <v>44196.0</v>
      </c>
      <c r="C1900" s="1" t="s">
        <v>984</v>
      </c>
      <c r="D1900" s="1" t="s">
        <v>985</v>
      </c>
      <c r="F1900" s="1">
        <v>-2.10527E8</v>
      </c>
      <c r="G1900" s="1">
        <v>-1.94979E8</v>
      </c>
      <c r="H1900" s="1">
        <v>3.9122E7</v>
      </c>
      <c r="I1900" s="1">
        <v>2.21255E8</v>
      </c>
      <c r="J1900" s="1">
        <v>7.5049E7</v>
      </c>
      <c r="K1900" s="1">
        <v>7.5049E7</v>
      </c>
      <c r="L1900" s="1">
        <v>-5.4633E7</v>
      </c>
      <c r="M1900" s="1">
        <v>-1801000.0</v>
      </c>
      <c r="N1900" s="1">
        <v>4.00998E8</v>
      </c>
      <c r="O1900" s="1">
        <v>3.25949E8</v>
      </c>
      <c r="P1900" s="1">
        <v>1.79743E8</v>
      </c>
      <c r="Q1900" s="1">
        <v>-2.85576E8</v>
      </c>
      <c r="R1900" s="1">
        <v>-2.08726E8</v>
      </c>
      <c r="S1900" s="1">
        <v>-2.09142E8</v>
      </c>
    </row>
    <row r="1901">
      <c r="A1901" s="1">
        <v>1899.0</v>
      </c>
      <c r="B1901" s="2">
        <v>44104.0</v>
      </c>
      <c r="C1901" s="1" t="s">
        <v>984</v>
      </c>
      <c r="D1901" s="1" t="s">
        <v>985</v>
      </c>
      <c r="F1901" s="1">
        <v>9.2517E7</v>
      </c>
      <c r="G1901" s="1">
        <v>6.57E7</v>
      </c>
      <c r="H1901" s="1">
        <v>3.2407E7</v>
      </c>
      <c r="I1901" s="1">
        <v>1.94431E8</v>
      </c>
      <c r="J1901" s="1">
        <v>5.5011E7</v>
      </c>
      <c r="K1901" s="1">
        <v>5.5011E7</v>
      </c>
      <c r="L1901" s="1">
        <v>-5.7371E7</v>
      </c>
      <c r="M1901" s="1">
        <v>2.3781E7</v>
      </c>
      <c r="N1901" s="1">
        <v>3.90076E8</v>
      </c>
      <c r="O1901" s="1">
        <v>3.35065E8</v>
      </c>
      <c r="P1901" s="1">
        <v>1.95645E8</v>
      </c>
      <c r="Q1901" s="1">
        <v>3.7506E7</v>
      </c>
      <c r="R1901" s="1">
        <v>6.8736E7</v>
      </c>
      <c r="S1901" s="1">
        <v>5.3155E7</v>
      </c>
    </row>
    <row r="1902">
      <c r="A1902" s="1">
        <v>1900.0</v>
      </c>
      <c r="B1902" s="2">
        <v>44377.0</v>
      </c>
      <c r="C1902" s="1" t="s">
        <v>986</v>
      </c>
      <c r="D1902" s="1" t="s">
        <v>987</v>
      </c>
      <c r="F1902" s="1">
        <v>2.54063E8</v>
      </c>
      <c r="G1902" s="1">
        <v>1.95344E8</v>
      </c>
      <c r="H1902" s="1">
        <v>1.02338E8</v>
      </c>
      <c r="I1902" s="1">
        <v>3.98364E8</v>
      </c>
      <c r="J1902" s="1">
        <v>2.92854E8</v>
      </c>
      <c r="K1902" s="1">
        <v>2.92854E8</v>
      </c>
      <c r="L1902" s="1">
        <v>-4.1696E7</v>
      </c>
      <c r="M1902" s="1">
        <v>5.7283E7</v>
      </c>
      <c r="N1902" s="1">
        <v>1.361047E9</v>
      </c>
      <c r="O1902" s="1">
        <v>1.068193E9</v>
      </c>
      <c r="P1902" s="1">
        <v>9.62683E8</v>
      </c>
      <c r="Q1902" s="1">
        <v>-3.8791E7</v>
      </c>
      <c r="R1902" s="1">
        <v>1.9678E8</v>
      </c>
      <c r="S1902" s="1">
        <v>1.95344E8</v>
      </c>
    </row>
    <row r="1903">
      <c r="A1903" s="1">
        <v>1901.0</v>
      </c>
      <c r="B1903" s="2">
        <v>44286.0</v>
      </c>
      <c r="C1903" s="1" t="s">
        <v>986</v>
      </c>
      <c r="D1903" s="1" t="s">
        <v>987</v>
      </c>
      <c r="F1903" s="1">
        <v>2.22308E8</v>
      </c>
      <c r="G1903" s="1">
        <v>1.60614E8</v>
      </c>
      <c r="H1903" s="1">
        <v>9.0264E7</v>
      </c>
      <c r="I1903" s="1">
        <v>2.29267E8</v>
      </c>
      <c r="J1903" s="1">
        <v>1.33877E8</v>
      </c>
      <c r="K1903" s="1">
        <v>1.33877E8</v>
      </c>
      <c r="L1903" s="1">
        <v>-3.3118E7</v>
      </c>
      <c r="M1903" s="1">
        <v>6.0638E7</v>
      </c>
      <c r="N1903" s="1">
        <v>1.068344E9</v>
      </c>
      <c r="O1903" s="1">
        <v>9.34467E8</v>
      </c>
      <c r="P1903" s="1">
        <v>8.39077E8</v>
      </c>
      <c r="Q1903" s="1">
        <v>8.8431E7</v>
      </c>
      <c r="R1903" s="1">
        <v>1.6167E8</v>
      </c>
      <c r="S1903" s="1">
        <v>1.60614E8</v>
      </c>
    </row>
    <row r="1904">
      <c r="A1904" s="1">
        <v>1902.0</v>
      </c>
      <c r="B1904" s="2">
        <v>44196.0</v>
      </c>
      <c r="C1904" s="1" t="s">
        <v>986</v>
      </c>
      <c r="D1904" s="1" t="s">
        <v>987</v>
      </c>
      <c r="F1904" s="1">
        <v>1.41188E8</v>
      </c>
      <c r="G1904" s="1">
        <v>1.14518E8</v>
      </c>
      <c r="H1904" s="1">
        <v>1.00205E8</v>
      </c>
      <c r="I1904" s="1">
        <v>3.02741E8</v>
      </c>
      <c r="J1904" s="1">
        <v>1.94071E8</v>
      </c>
      <c r="K1904" s="1">
        <v>1.94071E8</v>
      </c>
      <c r="L1904" s="1">
        <v>-3.5451E7</v>
      </c>
      <c r="M1904" s="1">
        <v>2.5273E7</v>
      </c>
      <c r="N1904" s="1">
        <v>1.175119E9</v>
      </c>
      <c r="O1904" s="1">
        <v>9.81048E8</v>
      </c>
      <c r="P1904" s="1">
        <v>8.72378E8</v>
      </c>
      <c r="Q1904" s="1">
        <v>-5.2883E7</v>
      </c>
      <c r="R1904" s="1">
        <v>1.15915E8</v>
      </c>
      <c r="S1904" s="1">
        <v>1.14518E8</v>
      </c>
    </row>
    <row r="1905">
      <c r="A1905" s="1">
        <v>1903.0</v>
      </c>
      <c r="B1905" s="2">
        <v>44104.0</v>
      </c>
      <c r="C1905" s="1" t="s">
        <v>986</v>
      </c>
      <c r="D1905" s="1" t="s">
        <v>987</v>
      </c>
      <c r="F1905" s="1">
        <v>2.58109E8</v>
      </c>
      <c r="G1905" s="1">
        <v>1.99788E8</v>
      </c>
      <c r="H1905" s="1">
        <v>8.5805E7</v>
      </c>
      <c r="I1905" s="1">
        <v>3.80498E8</v>
      </c>
      <c r="J1905" s="1">
        <v>2.92834E8</v>
      </c>
      <c r="K1905" s="1">
        <v>2.92834E8</v>
      </c>
      <c r="L1905" s="1">
        <v>-3.5782E7</v>
      </c>
      <c r="M1905" s="1">
        <v>5.6984E7</v>
      </c>
      <c r="N1905" s="1">
        <v>1.30989E9</v>
      </c>
      <c r="O1905" s="1">
        <v>1.017056E9</v>
      </c>
      <c r="P1905" s="1">
        <v>9.29392E8</v>
      </c>
      <c r="Q1905" s="1">
        <v>-3.4725E7</v>
      </c>
      <c r="R1905" s="1">
        <v>2.01125E8</v>
      </c>
      <c r="S1905" s="1">
        <v>1.99788E8</v>
      </c>
    </row>
    <row r="1906">
      <c r="A1906" s="1">
        <v>1904.0</v>
      </c>
      <c r="B1906" s="2">
        <v>44377.0</v>
      </c>
      <c r="C1906" s="1" t="s">
        <v>988</v>
      </c>
      <c r="D1906" s="1" t="s">
        <v>989</v>
      </c>
      <c r="F1906" s="1">
        <v>2.9994E8</v>
      </c>
      <c r="G1906" s="1">
        <v>2.37238E8</v>
      </c>
      <c r="H1906" s="1">
        <v>1.1429E7</v>
      </c>
      <c r="I1906" s="1">
        <v>9.85741E8</v>
      </c>
      <c r="J1906" s="1">
        <v>3.44814E8</v>
      </c>
      <c r="K1906" s="1">
        <v>3.44814E8</v>
      </c>
      <c r="L1906" s="1">
        <v>-3.8096E7</v>
      </c>
      <c r="M1906" s="1">
        <v>6.2262E7</v>
      </c>
      <c r="N1906" s="1">
        <v>2.296086E9</v>
      </c>
      <c r="O1906" s="1">
        <v>1.951272E9</v>
      </c>
      <c r="P1906" s="1">
        <v>1.310345E9</v>
      </c>
      <c r="Q1906" s="1">
        <v>-4.4874E7</v>
      </c>
      <c r="R1906" s="1">
        <v>2.37678E8</v>
      </c>
      <c r="S1906" s="1">
        <v>2.37238E8</v>
      </c>
    </row>
    <row r="1907">
      <c r="A1907" s="1">
        <v>1905.0</v>
      </c>
      <c r="B1907" s="2">
        <v>44286.0</v>
      </c>
      <c r="C1907" s="1" t="s">
        <v>988</v>
      </c>
      <c r="D1907" s="1" t="s">
        <v>989</v>
      </c>
      <c r="F1907" s="1">
        <v>2.96068E8</v>
      </c>
      <c r="G1907" s="1">
        <v>2.29525E8</v>
      </c>
      <c r="H1907" s="1">
        <v>1.1264E7</v>
      </c>
      <c r="I1907" s="1">
        <v>9.48987E8</v>
      </c>
      <c r="J1907" s="1">
        <v>3.30742E8</v>
      </c>
      <c r="K1907" s="1">
        <v>3.30742E8</v>
      </c>
      <c r="L1907" s="1">
        <v>-3.6651E7</v>
      </c>
      <c r="M1907" s="1">
        <v>6.4352E7</v>
      </c>
      <c r="N1907" s="1">
        <v>2.156869E9</v>
      </c>
      <c r="O1907" s="1">
        <v>1.826127E9</v>
      </c>
      <c r="P1907" s="1">
        <v>1.207882E9</v>
      </c>
      <c r="Q1907" s="1">
        <v>-3.4674E7</v>
      </c>
      <c r="R1907" s="1">
        <v>2.31716E8</v>
      </c>
      <c r="S1907" s="1">
        <v>2.29525E8</v>
      </c>
    </row>
    <row r="1908">
      <c r="A1908" s="1">
        <v>1906.0</v>
      </c>
      <c r="B1908" s="2">
        <v>44196.0</v>
      </c>
      <c r="C1908" s="1" t="s">
        <v>988</v>
      </c>
      <c r="D1908" s="1" t="s">
        <v>989</v>
      </c>
      <c r="F1908" s="1">
        <v>3.99407E8</v>
      </c>
      <c r="G1908" s="1">
        <v>3.1215E8</v>
      </c>
      <c r="H1908" s="1">
        <v>1.1161E7</v>
      </c>
      <c r="I1908" s="1">
        <v>1.07232E9</v>
      </c>
      <c r="J1908" s="1">
        <v>4.67718E8</v>
      </c>
      <c r="K1908" s="1">
        <v>4.67718E8</v>
      </c>
      <c r="L1908" s="1">
        <v>-3.5663E7</v>
      </c>
      <c r="M1908" s="1">
        <v>8.6917E7</v>
      </c>
      <c r="N1908" s="1">
        <v>2.312471E9</v>
      </c>
      <c r="O1908" s="1">
        <v>1.844753E9</v>
      </c>
      <c r="P1908" s="1">
        <v>1.240151E9</v>
      </c>
      <c r="Q1908" s="1">
        <v>-6.8311E7</v>
      </c>
      <c r="R1908" s="1">
        <v>3.1249E8</v>
      </c>
      <c r="S1908" s="1">
        <v>3.1215E8</v>
      </c>
    </row>
    <row r="1909">
      <c r="A1909" s="1">
        <v>1907.0</v>
      </c>
      <c r="B1909" s="2">
        <v>44104.0</v>
      </c>
      <c r="C1909" s="1" t="s">
        <v>988</v>
      </c>
      <c r="D1909" s="1" t="s">
        <v>989</v>
      </c>
      <c r="F1909" s="1">
        <v>2.06414E8</v>
      </c>
      <c r="G1909" s="1">
        <v>1.51678E8</v>
      </c>
      <c r="H1909" s="1">
        <v>1.1016E7</v>
      </c>
      <c r="I1909" s="1">
        <v>8.40151E8</v>
      </c>
      <c r="J1909" s="1">
        <v>2.5126E8</v>
      </c>
      <c r="K1909" s="1">
        <v>2.5126E8</v>
      </c>
      <c r="L1909" s="1">
        <v>-3.9768E7</v>
      </c>
      <c r="M1909" s="1">
        <v>5.4048E7</v>
      </c>
      <c r="N1909" s="1">
        <v>2.039819E9</v>
      </c>
      <c r="O1909" s="1">
        <v>1.788559E9</v>
      </c>
      <c r="P1909" s="1">
        <v>1.199668E9</v>
      </c>
      <c r="Q1909" s="1">
        <v>-4.4846E7</v>
      </c>
      <c r="R1909" s="1">
        <v>1.52366E8</v>
      </c>
      <c r="S1909" s="1">
        <v>1.51678E8</v>
      </c>
    </row>
    <row r="1910">
      <c r="A1910" s="1">
        <v>1908.0</v>
      </c>
      <c r="B1910" s="2">
        <v>44377.0</v>
      </c>
      <c r="C1910" s="1" t="s">
        <v>990</v>
      </c>
      <c r="D1910" s="1" t="s">
        <v>991</v>
      </c>
      <c r="F1910" s="1">
        <v>3.19E8</v>
      </c>
      <c r="G1910" s="1">
        <v>2.25E8</v>
      </c>
      <c r="H1910" s="1">
        <v>7.9E8</v>
      </c>
      <c r="I1910" s="1">
        <v>1.124E9</v>
      </c>
      <c r="J1910" s="1">
        <v>3.34E8</v>
      </c>
      <c r="K1910" s="1">
        <v>3.34E8</v>
      </c>
      <c r="L1910" s="1">
        <v>-2.2E7</v>
      </c>
      <c r="M1910" s="1">
        <v>7.6E7</v>
      </c>
      <c r="N1910" s="1">
        <v>3.207E9</v>
      </c>
      <c r="O1910" s="1">
        <v>2.873E9</v>
      </c>
      <c r="P1910" s="1">
        <v>2.083E9</v>
      </c>
      <c r="Q1910" s="1">
        <v>-1.5E7</v>
      </c>
      <c r="R1910" s="1">
        <v>2.43E8</v>
      </c>
      <c r="S1910" s="1">
        <v>2.25E8</v>
      </c>
    </row>
    <row r="1911">
      <c r="A1911" s="1">
        <v>1909.0</v>
      </c>
      <c r="B1911" s="2">
        <v>44286.0</v>
      </c>
      <c r="C1911" s="1" t="s">
        <v>990</v>
      </c>
      <c r="D1911" s="1" t="s">
        <v>991</v>
      </c>
      <c r="F1911" s="1">
        <v>3.43E8</v>
      </c>
      <c r="G1911" s="1">
        <v>2.38E8</v>
      </c>
      <c r="H1911" s="1">
        <v>7.35E8</v>
      </c>
      <c r="I1911" s="1">
        <v>1.093E9</v>
      </c>
      <c r="J1911" s="1">
        <v>3.58E8</v>
      </c>
      <c r="K1911" s="1">
        <v>3.58E8</v>
      </c>
      <c r="L1911" s="1">
        <v>-2.1E7</v>
      </c>
      <c r="M1911" s="1">
        <v>8.8E7</v>
      </c>
      <c r="N1911" s="1">
        <v>3.084E9</v>
      </c>
      <c r="O1911" s="1">
        <v>2.726E9</v>
      </c>
      <c r="P1911" s="1">
        <v>1.991E9</v>
      </c>
      <c r="Q1911" s="1">
        <v>-1.5E7</v>
      </c>
      <c r="R1911" s="1">
        <v>2.55E8</v>
      </c>
      <c r="S1911" s="1">
        <v>2.38E8</v>
      </c>
    </row>
    <row r="1912">
      <c r="A1912" s="1">
        <v>1910.0</v>
      </c>
      <c r="B1912" s="2">
        <v>44196.0</v>
      </c>
      <c r="C1912" s="1" t="s">
        <v>990</v>
      </c>
      <c r="D1912" s="1" t="s">
        <v>991</v>
      </c>
      <c r="F1912" s="1">
        <v>2.59E8</v>
      </c>
      <c r="G1912" s="1">
        <v>1.68E8</v>
      </c>
      <c r="H1912" s="1">
        <v>6.55E8</v>
      </c>
      <c r="I1912" s="1">
        <v>1.027E9</v>
      </c>
      <c r="J1912" s="1">
        <v>3.12E8</v>
      </c>
      <c r="K1912" s="1">
        <v>3.12E8</v>
      </c>
      <c r="L1912" s="1">
        <v>-2.1E7</v>
      </c>
      <c r="M1912" s="1">
        <v>7.4E7</v>
      </c>
      <c r="N1912" s="1">
        <v>2.941E9</v>
      </c>
      <c r="O1912" s="1">
        <v>2.629E9</v>
      </c>
      <c r="P1912" s="1">
        <v>1.914E9</v>
      </c>
      <c r="Q1912" s="1">
        <v>-5.3E7</v>
      </c>
      <c r="R1912" s="1">
        <v>1.85E8</v>
      </c>
      <c r="S1912" s="1">
        <v>1.68E8</v>
      </c>
    </row>
    <row r="1913">
      <c r="A1913" s="1">
        <v>1911.0</v>
      </c>
      <c r="B1913" s="2">
        <v>44104.0</v>
      </c>
      <c r="C1913" s="1" t="s">
        <v>990</v>
      </c>
      <c r="D1913" s="1" t="s">
        <v>991</v>
      </c>
      <c r="F1913" s="1">
        <v>3.62E8</v>
      </c>
      <c r="G1913" s="1">
        <v>2.4E8</v>
      </c>
      <c r="H1913" s="1">
        <v>7.0E8</v>
      </c>
      <c r="I1913" s="1">
        <v>1.074E9</v>
      </c>
      <c r="J1913" s="1">
        <v>3.74E8</v>
      </c>
      <c r="K1913" s="1">
        <v>3.74E8</v>
      </c>
      <c r="L1913" s="1">
        <v>-2.3E7</v>
      </c>
      <c r="M1913" s="1">
        <v>1.06E8</v>
      </c>
      <c r="N1913" s="1">
        <v>3.018E9</v>
      </c>
      <c r="O1913" s="1">
        <v>2.644E9</v>
      </c>
      <c r="P1913" s="1">
        <v>1.944E9</v>
      </c>
      <c r="Q1913" s="1">
        <v>-1.2E7</v>
      </c>
      <c r="R1913" s="1">
        <v>2.56E8</v>
      </c>
      <c r="S1913" s="1">
        <v>2.4E8</v>
      </c>
    </row>
    <row r="1914">
      <c r="A1914" s="1">
        <v>1912.0</v>
      </c>
      <c r="B1914" s="2">
        <v>44286.0</v>
      </c>
      <c r="C1914" s="1" t="s">
        <v>992</v>
      </c>
      <c r="D1914" s="1" t="s">
        <v>993</v>
      </c>
      <c r="E1914" s="1">
        <v>3.77E7</v>
      </c>
      <c r="F1914" s="1">
        <v>1.582E8</v>
      </c>
      <c r="G1914" s="1">
        <v>1.124E8</v>
      </c>
      <c r="H1914" s="1">
        <v>2.217E8</v>
      </c>
      <c r="I1914" s="1">
        <v>5.382E8</v>
      </c>
      <c r="J1914" s="1">
        <v>2.093E8</v>
      </c>
      <c r="K1914" s="1">
        <v>2.093E8</v>
      </c>
      <c r="L1914" s="1">
        <v>-4.76E7</v>
      </c>
      <c r="M1914" s="1">
        <v>4.35E7</v>
      </c>
      <c r="N1914" s="1">
        <v>1.8302E9</v>
      </c>
      <c r="O1914" s="1">
        <v>1.6209E9</v>
      </c>
      <c r="P1914" s="1">
        <v>1.292E9</v>
      </c>
      <c r="Q1914" s="1">
        <v>-5.11E7</v>
      </c>
      <c r="R1914" s="1">
        <v>1.147E8</v>
      </c>
      <c r="S1914" s="1">
        <v>1.124E8</v>
      </c>
    </row>
    <row r="1915">
      <c r="A1915" s="1">
        <v>1913.0</v>
      </c>
      <c r="B1915" s="2">
        <v>44196.0</v>
      </c>
      <c r="C1915" s="1" t="s">
        <v>992</v>
      </c>
      <c r="D1915" s="1" t="s">
        <v>993</v>
      </c>
      <c r="E1915" s="1">
        <v>3.84E7</v>
      </c>
      <c r="F1915" s="1">
        <v>1.183E8</v>
      </c>
      <c r="G1915" s="1">
        <v>8.79E7</v>
      </c>
      <c r="H1915" s="1">
        <v>2.323E8</v>
      </c>
      <c r="I1915" s="1">
        <v>5.265E8</v>
      </c>
      <c r="J1915" s="1">
        <v>1.85E8</v>
      </c>
      <c r="K1915" s="1">
        <v>1.85E8</v>
      </c>
      <c r="L1915" s="1">
        <v>-4.86E7</v>
      </c>
      <c r="M1915" s="1">
        <v>3.15E7</v>
      </c>
      <c r="N1915" s="1">
        <v>2.0237E9</v>
      </c>
      <c r="O1915" s="1">
        <v>1.8387E9</v>
      </c>
      <c r="P1915" s="1">
        <v>1.4972E9</v>
      </c>
      <c r="Q1915" s="1">
        <v>-6.67E7</v>
      </c>
      <c r="R1915" s="1">
        <v>8.68E7</v>
      </c>
      <c r="S1915" s="1">
        <v>8.77E7</v>
      </c>
    </row>
    <row r="1916">
      <c r="A1916" s="1">
        <v>1914.0</v>
      </c>
      <c r="B1916" s="2">
        <v>44104.0</v>
      </c>
      <c r="C1916" s="1" t="s">
        <v>992</v>
      </c>
      <c r="D1916" s="1" t="s">
        <v>993</v>
      </c>
      <c r="E1916" s="1">
        <v>3.65E7</v>
      </c>
      <c r="F1916" s="1">
        <v>1.754E8</v>
      </c>
      <c r="G1916" s="1">
        <v>1.281E8</v>
      </c>
      <c r="H1916" s="1">
        <v>2.382E8</v>
      </c>
      <c r="I1916" s="1">
        <v>5.712E8</v>
      </c>
      <c r="J1916" s="1">
        <v>2.262E8</v>
      </c>
      <c r="K1916" s="1">
        <v>2.262E8</v>
      </c>
      <c r="L1916" s="1">
        <v>-4.56E7</v>
      </c>
      <c r="M1916" s="1">
        <v>4.69E7</v>
      </c>
      <c r="N1916" s="1">
        <v>1.8651E9</v>
      </c>
      <c r="O1916" s="1">
        <v>1.6389E9</v>
      </c>
      <c r="P1916" s="1">
        <v>1.2939E9</v>
      </c>
      <c r="Q1916" s="1">
        <v>-5.08E7</v>
      </c>
      <c r="R1916" s="1">
        <v>1.285E8</v>
      </c>
      <c r="S1916" s="1">
        <v>1.279E8</v>
      </c>
    </row>
    <row r="1917">
      <c r="A1917" s="1">
        <v>1915.0</v>
      </c>
      <c r="B1917" s="2">
        <v>44012.0</v>
      </c>
      <c r="C1917" s="1" t="s">
        <v>992</v>
      </c>
      <c r="D1917" s="1" t="s">
        <v>993</v>
      </c>
      <c r="E1917" s="1">
        <v>3.82E7</v>
      </c>
      <c r="F1917" s="1">
        <v>1.143E8</v>
      </c>
      <c r="G1917" s="1">
        <v>8.68E7</v>
      </c>
      <c r="H1917" s="1">
        <v>1.875E8</v>
      </c>
      <c r="I1917" s="1">
        <v>5.037E8</v>
      </c>
      <c r="J1917" s="1">
        <v>2.057E8</v>
      </c>
      <c r="K1917" s="1">
        <v>2.057E8</v>
      </c>
      <c r="L1917" s="1">
        <v>-5.14E7</v>
      </c>
      <c r="M1917" s="1">
        <v>2.85E7</v>
      </c>
      <c r="N1917" s="1">
        <v>1.7374E9</v>
      </c>
      <c r="O1917" s="1">
        <v>1.5317E9</v>
      </c>
      <c r="P1917" s="1">
        <v>1.2337E9</v>
      </c>
      <c r="Q1917" s="1">
        <v>-9.14E7</v>
      </c>
      <c r="R1917" s="1">
        <v>8.58E7</v>
      </c>
      <c r="S1917" s="1">
        <v>8.66E7</v>
      </c>
    </row>
    <row r="1918">
      <c r="A1918" s="1">
        <v>1916.0</v>
      </c>
      <c r="B1918" s="2">
        <v>44255.0</v>
      </c>
      <c r="C1918" s="1" t="s">
        <v>994</v>
      </c>
      <c r="D1918" s="1" t="s">
        <v>995</v>
      </c>
      <c r="F1918" s="1">
        <v>9.6E8</v>
      </c>
      <c r="G1918" s="1">
        <v>1.026E9</v>
      </c>
      <c r="H1918" s="1">
        <v>5.997E9</v>
      </c>
      <c r="I1918" s="1">
        <v>6.781E9</v>
      </c>
      <c r="J1918" s="1">
        <v>7.84E8</v>
      </c>
      <c r="K1918" s="1">
        <v>7.84E8</v>
      </c>
      <c r="L1918" s="1">
        <v>-1.37E8</v>
      </c>
      <c r="M1918" s="1">
        <v>4.2E7</v>
      </c>
      <c r="N1918" s="1">
        <v>3.2779E10</v>
      </c>
      <c r="O1918" s="1">
        <v>3.1995E10</v>
      </c>
      <c r="P1918" s="1">
        <v>2.5998E10</v>
      </c>
      <c r="Q1918" s="1">
        <v>1.76E8</v>
      </c>
      <c r="R1918" s="1">
        <v>9.18E8</v>
      </c>
      <c r="S1918" s="1">
        <v>1.026E9</v>
      </c>
    </row>
    <row r="1919">
      <c r="A1919" s="1">
        <v>1917.0</v>
      </c>
      <c r="B1919" s="2">
        <v>44165.0</v>
      </c>
      <c r="C1919" s="1" t="s">
        <v>994</v>
      </c>
      <c r="D1919" s="1" t="s">
        <v>995</v>
      </c>
      <c r="F1919" s="1">
        <v>-5.93E8</v>
      </c>
      <c r="G1919" s="1">
        <v>-3.08E8</v>
      </c>
      <c r="H1919" s="1">
        <v>5.82E9</v>
      </c>
      <c r="I1919" s="1">
        <v>6.63E9</v>
      </c>
      <c r="J1919" s="1">
        <v>8.1E8</v>
      </c>
      <c r="K1919" s="1">
        <v>8.1E8</v>
      </c>
      <c r="L1919" s="1">
        <v>-1.64E8</v>
      </c>
      <c r="M1919" s="1">
        <v>-2.07E8</v>
      </c>
      <c r="N1919" s="1">
        <v>3.1438E10</v>
      </c>
      <c r="O1919" s="1">
        <v>3.0628E10</v>
      </c>
      <c r="P1919" s="1">
        <v>2.4808E10</v>
      </c>
      <c r="Q1919" s="1">
        <v>-1.403E9</v>
      </c>
      <c r="R1919" s="1">
        <v>-3.86E8</v>
      </c>
      <c r="S1919" s="1">
        <v>-3.08E8</v>
      </c>
    </row>
    <row r="1920">
      <c r="A1920" s="1">
        <v>1918.0</v>
      </c>
      <c r="B1920" s="2">
        <v>44074.0</v>
      </c>
      <c r="C1920" s="1" t="s">
        <v>994</v>
      </c>
      <c r="D1920" s="1" t="s">
        <v>995</v>
      </c>
      <c r="F1920" s="1">
        <v>5.65E8</v>
      </c>
      <c r="G1920" s="1">
        <v>3.73E8</v>
      </c>
      <c r="H1920" s="1">
        <v>6.283E9</v>
      </c>
      <c r="I1920" s="1">
        <v>6.803E9</v>
      </c>
      <c r="J1920" s="1">
        <v>5.2E8</v>
      </c>
      <c r="K1920" s="1">
        <v>5.2E8</v>
      </c>
      <c r="L1920" s="1">
        <v>-1.02E8</v>
      </c>
      <c r="M1920" s="1">
        <v>2.08E8</v>
      </c>
      <c r="N1920" s="1">
        <v>3.4746E10</v>
      </c>
      <c r="O1920" s="1">
        <v>3.4226E10</v>
      </c>
      <c r="P1920" s="1">
        <v>2.7943E10</v>
      </c>
      <c r="Q1920" s="1">
        <v>4.5E7</v>
      </c>
      <c r="R1920" s="1">
        <v>3.57E8</v>
      </c>
      <c r="S1920" s="1">
        <v>3.73E8</v>
      </c>
    </row>
    <row r="1921">
      <c r="A1921" s="1">
        <v>1919.0</v>
      </c>
      <c r="B1921" s="2">
        <v>43982.0</v>
      </c>
      <c r="C1921" s="1" t="s">
        <v>994</v>
      </c>
      <c r="D1921" s="1" t="s">
        <v>995</v>
      </c>
      <c r="F1921" s="1">
        <v>-1.766E9</v>
      </c>
      <c r="G1921" s="1">
        <v>-1.708E9</v>
      </c>
      <c r="H1921" s="1">
        <v>6.307E9</v>
      </c>
      <c r="I1921" s="1">
        <v>6.438E9</v>
      </c>
      <c r="J1921" s="1">
        <v>1.31E8</v>
      </c>
      <c r="K1921" s="1">
        <v>1.31E8</v>
      </c>
      <c r="L1921" s="1">
        <v>-1.55E8</v>
      </c>
      <c r="M1921" s="1">
        <v>-4.0E7</v>
      </c>
      <c r="N1921" s="1">
        <v>3.4631E10</v>
      </c>
      <c r="O1921" s="1">
        <v>3.45E10</v>
      </c>
      <c r="P1921" s="1">
        <v>2.8193E10</v>
      </c>
      <c r="Q1921" s="1">
        <v>-1.897E9</v>
      </c>
      <c r="R1921" s="1">
        <v>-1.726E9</v>
      </c>
      <c r="S1921" s="1">
        <v>-1.708E9</v>
      </c>
    </row>
    <row r="1922">
      <c r="A1922" s="1">
        <v>1920.0</v>
      </c>
      <c r="B1922" s="2">
        <v>44408.0</v>
      </c>
      <c r="C1922" s="1" t="s">
        <v>996</v>
      </c>
      <c r="D1922" s="1" t="s">
        <v>997</v>
      </c>
      <c r="F1922" s="1">
        <v>5.923E9</v>
      </c>
      <c r="G1922" s="1">
        <v>4.276E9</v>
      </c>
      <c r="H1922" s="1">
        <v>2.8511E10</v>
      </c>
      <c r="I1922" s="1">
        <v>3.5865E10</v>
      </c>
      <c r="J1922" s="1">
        <v>7.354E9</v>
      </c>
      <c r="K1922" s="1">
        <v>7.354E9</v>
      </c>
      <c r="L1922" s="1">
        <v>-5.15E8</v>
      </c>
      <c r="M1922" s="1">
        <v>1.559E9</v>
      </c>
      <c r="N1922" s="1">
        <v>1.41048E11</v>
      </c>
      <c r="O1922" s="1">
        <v>1.33694E11</v>
      </c>
      <c r="P1922" s="1">
        <v>1.05183E11</v>
      </c>
      <c r="Q1922" s="1">
        <v>-1.431E9</v>
      </c>
      <c r="R1922" s="1">
        <v>4.364E9</v>
      </c>
      <c r="S1922" s="1">
        <v>4.276E9</v>
      </c>
    </row>
    <row r="1923">
      <c r="A1923" s="1">
        <v>1921.0</v>
      </c>
      <c r="B1923" s="2">
        <v>44316.0</v>
      </c>
      <c r="C1923" s="1" t="s">
        <v>996</v>
      </c>
      <c r="D1923" s="1" t="s">
        <v>997</v>
      </c>
      <c r="F1923" s="1">
        <v>3.844E9</v>
      </c>
      <c r="G1923" s="1">
        <v>2.73E9</v>
      </c>
      <c r="H1923" s="1">
        <v>2.8129E10</v>
      </c>
      <c r="I1923" s="1">
        <v>3.5038E10</v>
      </c>
      <c r="J1923" s="1">
        <v>6.909E9</v>
      </c>
      <c r="K1923" s="1">
        <v>6.909E9</v>
      </c>
      <c r="L1923" s="1">
        <v>-5.66E8</v>
      </c>
      <c r="M1923" s="1">
        <v>1.033E9</v>
      </c>
      <c r="N1923" s="1">
        <v>1.3831E11</v>
      </c>
      <c r="O1923" s="1">
        <v>1.31401E11</v>
      </c>
      <c r="P1923" s="1">
        <v>1.03272E11</v>
      </c>
      <c r="Q1923" s="1">
        <v>-3.065E9</v>
      </c>
      <c r="R1923" s="1">
        <v>2.811E9</v>
      </c>
      <c r="S1923" s="1">
        <v>2.73E9</v>
      </c>
    </row>
    <row r="1924">
      <c r="A1924" s="1">
        <v>1922.0</v>
      </c>
      <c r="B1924" s="2">
        <v>44227.0</v>
      </c>
      <c r="C1924" s="1" t="s">
        <v>996</v>
      </c>
      <c r="D1924" s="1" t="s">
        <v>997</v>
      </c>
      <c r="F1924" s="1">
        <v>-5.93E8</v>
      </c>
      <c r="G1924" s="1">
        <v>-2.091E9</v>
      </c>
      <c r="H1924" s="1">
        <v>3.0331E10</v>
      </c>
      <c r="I1924" s="1">
        <v>3.6818E10</v>
      </c>
      <c r="J1924" s="1">
        <v>6.487E9</v>
      </c>
      <c r="K1924" s="1">
        <v>6.487E9</v>
      </c>
      <c r="L1924" s="1">
        <v>-5.24E8</v>
      </c>
      <c r="M1924" s="1">
        <v>1.415E9</v>
      </c>
      <c r="N1924" s="1">
        <v>1.52079E11</v>
      </c>
      <c r="O1924" s="1">
        <v>1.45592E11</v>
      </c>
      <c r="P1924" s="1">
        <v>1.15261E11</v>
      </c>
      <c r="Q1924" s="1">
        <v>-7.08E9</v>
      </c>
      <c r="R1924" s="1">
        <v>-2.008E9</v>
      </c>
      <c r="S1924" s="1">
        <v>-2.091E9</v>
      </c>
    </row>
    <row r="1925">
      <c r="A1925" s="1">
        <v>1923.0</v>
      </c>
      <c r="B1925" s="2">
        <v>44135.0</v>
      </c>
      <c r="C1925" s="1" t="s">
        <v>996</v>
      </c>
      <c r="D1925" s="1" t="s">
        <v>997</v>
      </c>
      <c r="F1925" s="1">
        <v>7.115E9</v>
      </c>
      <c r="G1925" s="1">
        <v>5.135E9</v>
      </c>
      <c r="H1925" s="1">
        <v>2.7991E10</v>
      </c>
      <c r="I1925" s="1">
        <v>3.4369E10</v>
      </c>
      <c r="J1925" s="1">
        <v>6.378E9</v>
      </c>
      <c r="K1925" s="1">
        <v>6.378E9</v>
      </c>
      <c r="L1925" s="1">
        <v>-5.41E8</v>
      </c>
      <c r="M1925" s="1">
        <v>1.914E9</v>
      </c>
      <c r="N1925" s="1">
        <v>1.34708E11</v>
      </c>
      <c r="O1925" s="1">
        <v>1.2833E11</v>
      </c>
      <c r="P1925" s="1">
        <v>1.00339E11</v>
      </c>
      <c r="Q1925" s="1">
        <v>7.37E8</v>
      </c>
      <c r="R1925" s="1">
        <v>5.201E9</v>
      </c>
      <c r="S1925" s="1">
        <v>5.135E9</v>
      </c>
    </row>
    <row r="1926">
      <c r="A1926" s="1">
        <v>1924.0</v>
      </c>
      <c r="B1926" s="2">
        <v>44377.0</v>
      </c>
      <c r="C1926" s="1" t="s">
        <v>998</v>
      </c>
      <c r="D1926" s="1" t="s">
        <v>999</v>
      </c>
      <c r="F1926" s="1">
        <v>4.56E8</v>
      </c>
      <c r="G1926" s="1">
        <v>3.51E8</v>
      </c>
      <c r="H1926" s="1">
        <v>4.45E8</v>
      </c>
      <c r="I1926" s="1">
        <v>1.74E9</v>
      </c>
      <c r="J1926" s="1">
        <v>7.95E8</v>
      </c>
      <c r="K1926" s="1">
        <v>7.95E8</v>
      </c>
      <c r="L1926" s="1">
        <v>-9.8E7</v>
      </c>
      <c r="M1926" s="1">
        <v>1.05E8</v>
      </c>
      <c r="N1926" s="1">
        <v>4.476E9</v>
      </c>
      <c r="O1926" s="1">
        <v>3.681E9</v>
      </c>
      <c r="P1926" s="1">
        <v>2.736E9</v>
      </c>
      <c r="Q1926" s="1">
        <v>-3.39E8</v>
      </c>
      <c r="R1926" s="1">
        <v>3.51E8</v>
      </c>
      <c r="S1926" s="1">
        <v>3.51E8</v>
      </c>
    </row>
    <row r="1927">
      <c r="A1927" s="1">
        <v>1925.0</v>
      </c>
      <c r="B1927" s="2">
        <v>44286.0</v>
      </c>
      <c r="C1927" s="1" t="s">
        <v>998</v>
      </c>
      <c r="D1927" s="1" t="s">
        <v>999</v>
      </c>
      <c r="F1927" s="1">
        <v>5.45E8</v>
      </c>
      <c r="G1927" s="1">
        <v>4.21E8</v>
      </c>
      <c r="H1927" s="1">
        <v>4.58E8</v>
      </c>
      <c r="I1927" s="1">
        <v>1.598E9</v>
      </c>
      <c r="J1927" s="1">
        <v>6.68E8</v>
      </c>
      <c r="K1927" s="1">
        <v>6.68E8</v>
      </c>
      <c r="L1927" s="1">
        <v>-9.7E7</v>
      </c>
      <c r="M1927" s="1">
        <v>1.24E8</v>
      </c>
      <c r="N1927" s="1">
        <v>4.112E9</v>
      </c>
      <c r="O1927" s="1">
        <v>3.444E9</v>
      </c>
      <c r="P1927" s="1">
        <v>2.514E9</v>
      </c>
      <c r="Q1927" s="1">
        <v>-1.23E8</v>
      </c>
      <c r="R1927" s="1">
        <v>4.21E8</v>
      </c>
      <c r="S1927" s="1">
        <v>4.21E8</v>
      </c>
    </row>
    <row r="1928">
      <c r="A1928" s="1">
        <v>1926.0</v>
      </c>
      <c r="B1928" s="2">
        <v>44196.0</v>
      </c>
      <c r="C1928" s="1" t="s">
        <v>998</v>
      </c>
      <c r="D1928" s="1" t="s">
        <v>999</v>
      </c>
      <c r="F1928" s="1">
        <v>5.47E8</v>
      </c>
      <c r="G1928" s="1">
        <v>4.38E8</v>
      </c>
      <c r="H1928" s="1">
        <v>3.6E8</v>
      </c>
      <c r="I1928" s="1">
        <v>1.567E9</v>
      </c>
      <c r="J1928" s="1">
        <v>7.71E8</v>
      </c>
      <c r="K1928" s="1">
        <v>7.71E8</v>
      </c>
      <c r="L1928" s="1">
        <v>-9.7E7</v>
      </c>
      <c r="M1928" s="1">
        <v>1.09E8</v>
      </c>
      <c r="N1928" s="1">
        <v>4.067E9</v>
      </c>
      <c r="O1928" s="1">
        <v>3.296E9</v>
      </c>
      <c r="P1928" s="1">
        <v>2.5E9</v>
      </c>
      <c r="Q1928" s="1">
        <v>-2.24E8</v>
      </c>
      <c r="R1928" s="1">
        <v>4.38E8</v>
      </c>
      <c r="S1928" s="1">
        <v>4.38E8</v>
      </c>
    </row>
    <row r="1929">
      <c r="A1929" s="1">
        <v>1927.0</v>
      </c>
      <c r="B1929" s="2">
        <v>44104.0</v>
      </c>
      <c r="C1929" s="1" t="s">
        <v>998</v>
      </c>
      <c r="D1929" s="1" t="s">
        <v>999</v>
      </c>
      <c r="F1929" s="1">
        <v>5.16E8</v>
      </c>
      <c r="G1929" s="1">
        <v>3.9E8</v>
      </c>
      <c r="H1929" s="1">
        <v>4.16E8</v>
      </c>
      <c r="I1929" s="1">
        <v>1.529E9</v>
      </c>
      <c r="J1929" s="1">
        <v>6.94E8</v>
      </c>
      <c r="K1929" s="1">
        <v>6.94E8</v>
      </c>
      <c r="L1929" s="1">
        <v>-9.7E7</v>
      </c>
      <c r="M1929" s="1">
        <v>1.26E8</v>
      </c>
      <c r="N1929" s="1">
        <v>3.861E9</v>
      </c>
      <c r="O1929" s="1">
        <v>3.167E9</v>
      </c>
      <c r="P1929" s="1">
        <v>2.332E9</v>
      </c>
      <c r="Q1929" s="1">
        <v>-1.78E8</v>
      </c>
      <c r="R1929" s="1">
        <v>3.9E8</v>
      </c>
      <c r="S1929" s="1">
        <v>3.9E8</v>
      </c>
    </row>
    <row r="1930">
      <c r="A1930" s="1">
        <v>1928.0</v>
      </c>
      <c r="B1930" s="2">
        <v>44380.0</v>
      </c>
      <c r="C1930" s="1" t="s">
        <v>1000</v>
      </c>
      <c r="D1930" s="1" t="s">
        <v>1001</v>
      </c>
      <c r="E1930" s="1">
        <v>4.4949E7</v>
      </c>
      <c r="F1930" s="1">
        <v>1.97414E8</v>
      </c>
      <c r="G1930" s="1">
        <v>1.67292E8</v>
      </c>
      <c r="H1930" s="1">
        <v>1.58163E8</v>
      </c>
      <c r="I1930" s="1">
        <v>4.01393E8</v>
      </c>
      <c r="J1930" s="1">
        <v>1.96472E8</v>
      </c>
      <c r="K1930" s="1">
        <v>1.96472E8</v>
      </c>
      <c r="L1930" s="1">
        <v>-1.2027E7</v>
      </c>
      <c r="M1930" s="1">
        <v>3.0122E7</v>
      </c>
      <c r="N1930" s="1">
        <v>6.81647E8</v>
      </c>
      <c r="O1930" s="1">
        <v>4.85175E8</v>
      </c>
      <c r="P1930" s="1">
        <v>2.80254E8</v>
      </c>
      <c r="Q1930" s="1">
        <v>942000.0</v>
      </c>
      <c r="R1930" s="1">
        <v>1.67292E8</v>
      </c>
      <c r="S1930" s="1">
        <v>1.67292E8</v>
      </c>
    </row>
    <row r="1931">
      <c r="A1931" s="1">
        <v>1929.0</v>
      </c>
      <c r="B1931" s="2">
        <v>44289.0</v>
      </c>
      <c r="C1931" s="1" t="s">
        <v>1000</v>
      </c>
      <c r="D1931" s="1" t="s">
        <v>1001</v>
      </c>
      <c r="E1931" s="1">
        <v>3.8092E7</v>
      </c>
      <c r="F1931" s="1">
        <v>1.73784E8</v>
      </c>
      <c r="G1931" s="1">
        <v>1.48127E8</v>
      </c>
      <c r="H1931" s="1">
        <v>1.43145E8</v>
      </c>
      <c r="I1931" s="1">
        <v>3.54398E8</v>
      </c>
      <c r="J1931" s="1">
        <v>1.71321E8</v>
      </c>
      <c r="K1931" s="1">
        <v>1.71321E8</v>
      </c>
      <c r="L1931" s="1">
        <v>-1.0946E7</v>
      </c>
      <c r="M1931" s="1">
        <v>2.5657E7</v>
      </c>
      <c r="N1931" s="1">
        <v>6.08545E8</v>
      </c>
      <c r="O1931" s="1">
        <v>4.37224E8</v>
      </c>
      <c r="P1931" s="1">
        <v>2.54147E8</v>
      </c>
      <c r="Q1931" s="1">
        <v>2463000.0</v>
      </c>
      <c r="R1931" s="1">
        <v>1.48127E8</v>
      </c>
      <c r="S1931" s="1">
        <v>1.48127E8</v>
      </c>
    </row>
    <row r="1932">
      <c r="A1932" s="1">
        <v>1930.0</v>
      </c>
      <c r="B1932" s="2">
        <v>44196.0</v>
      </c>
      <c r="C1932" s="1" t="s">
        <v>1000</v>
      </c>
      <c r="D1932" s="1" t="s">
        <v>1001</v>
      </c>
      <c r="E1932" s="1">
        <v>3.9662E7</v>
      </c>
      <c r="F1932" s="1">
        <v>2.57251E8</v>
      </c>
      <c r="G1932" s="1">
        <v>2.18311E8</v>
      </c>
      <c r="H1932" s="1">
        <v>1.53179E8</v>
      </c>
      <c r="I1932" s="1">
        <v>4.66089E8</v>
      </c>
      <c r="J1932" s="1">
        <v>2.70561E8</v>
      </c>
      <c r="K1932" s="1">
        <v>2.70561E8</v>
      </c>
      <c r="L1932" s="1">
        <v>-1.1058E7</v>
      </c>
      <c r="M1932" s="1">
        <v>3.894E7</v>
      </c>
      <c r="N1932" s="1">
        <v>7.86658E8</v>
      </c>
      <c r="O1932" s="1">
        <v>5.16097E8</v>
      </c>
      <c r="P1932" s="1">
        <v>3.20569E8</v>
      </c>
      <c r="Q1932" s="1">
        <v>-1.331E7</v>
      </c>
      <c r="R1932" s="1">
        <v>2.18311E8</v>
      </c>
      <c r="S1932" s="1">
        <v>2.18311E8</v>
      </c>
    </row>
    <row r="1933">
      <c r="A1933" s="1">
        <v>1931.0</v>
      </c>
      <c r="B1933" s="2">
        <v>44100.0</v>
      </c>
      <c r="C1933" s="1" t="s">
        <v>1000</v>
      </c>
      <c r="D1933" s="1" t="s">
        <v>1001</v>
      </c>
      <c r="E1933" s="1">
        <v>3.4971E7</v>
      </c>
      <c r="F1933" s="1">
        <v>1.50437E8</v>
      </c>
      <c r="G1933" s="1">
        <v>1.26769E8</v>
      </c>
      <c r="H1933" s="1">
        <v>1.29625E8</v>
      </c>
      <c r="I1933" s="1">
        <v>3.31442E8</v>
      </c>
      <c r="J1933" s="1">
        <v>1.64189E8</v>
      </c>
      <c r="K1933" s="1">
        <v>1.64189E8</v>
      </c>
      <c r="L1933" s="1">
        <v>-1.0915E7</v>
      </c>
      <c r="M1933" s="1">
        <v>2.3668E7</v>
      </c>
      <c r="N1933" s="1">
        <v>5.93784E8</v>
      </c>
      <c r="O1933" s="1">
        <v>4.29595E8</v>
      </c>
      <c r="P1933" s="1">
        <v>2.62342E8</v>
      </c>
      <c r="Q1933" s="1">
        <v>-1.3752E7</v>
      </c>
      <c r="R1933" s="1">
        <v>1.26769E8</v>
      </c>
      <c r="S1933" s="1">
        <v>1.26769E8</v>
      </c>
    </row>
    <row r="1934">
      <c r="A1934" s="1">
        <v>1932.0</v>
      </c>
      <c r="B1934" s="2">
        <v>44377.0</v>
      </c>
      <c r="C1934" s="1" t="s">
        <v>1002</v>
      </c>
      <c r="D1934" s="1" t="s">
        <v>1003</v>
      </c>
      <c r="F1934" s="1">
        <v>3.295E8</v>
      </c>
      <c r="G1934" s="1">
        <v>2.76E8</v>
      </c>
      <c r="H1934" s="1">
        <v>-2.13E7</v>
      </c>
      <c r="I1934" s="1">
        <v>6.865E8</v>
      </c>
      <c r="J1934" s="1">
        <v>3.901E8</v>
      </c>
      <c r="K1934" s="1">
        <v>3.901E8</v>
      </c>
      <c r="L1934" s="1">
        <v>-1.203E8</v>
      </c>
      <c r="M1934" s="1">
        <v>5.41E7</v>
      </c>
      <c r="N1934" s="1">
        <v>1.6762E9</v>
      </c>
      <c r="O1934" s="1">
        <v>1.2861E9</v>
      </c>
      <c r="P1934" s="1">
        <v>9.897E8</v>
      </c>
      <c r="Q1934" s="1">
        <v>-6.06E7</v>
      </c>
      <c r="R1934" s="1">
        <v>2.754E8</v>
      </c>
      <c r="S1934" s="1">
        <v>2.76E8</v>
      </c>
    </row>
    <row r="1935">
      <c r="A1935" s="1">
        <v>1933.0</v>
      </c>
      <c r="B1935" s="2">
        <v>44286.0</v>
      </c>
      <c r="C1935" s="1" t="s">
        <v>1002</v>
      </c>
      <c r="D1935" s="1" t="s">
        <v>1003</v>
      </c>
      <c r="F1935" s="1">
        <v>5.849E8</v>
      </c>
      <c r="G1935" s="1">
        <v>5.101E8</v>
      </c>
      <c r="H1935" s="1">
        <v>-2.33E7</v>
      </c>
      <c r="I1935" s="1">
        <v>9.459E8</v>
      </c>
      <c r="J1935" s="1">
        <v>6.526E8</v>
      </c>
      <c r="K1935" s="1">
        <v>6.526E8</v>
      </c>
      <c r="L1935" s="1">
        <v>-1.198E8</v>
      </c>
      <c r="M1935" s="1">
        <v>7.49E7</v>
      </c>
      <c r="N1935" s="1">
        <v>2.6914E9</v>
      </c>
      <c r="O1935" s="1">
        <v>2.0388E9</v>
      </c>
      <c r="P1935" s="1">
        <v>1.7455E9</v>
      </c>
      <c r="Q1935" s="1">
        <v>-6.77E7</v>
      </c>
      <c r="R1935" s="1">
        <v>5.1E8</v>
      </c>
      <c r="S1935" s="1">
        <v>5.101E8</v>
      </c>
    </row>
    <row r="1936">
      <c r="A1936" s="1">
        <v>1934.0</v>
      </c>
      <c r="B1936" s="2">
        <v>44196.0</v>
      </c>
      <c r="C1936" s="1" t="s">
        <v>1002</v>
      </c>
      <c r="D1936" s="1" t="s">
        <v>1003</v>
      </c>
      <c r="F1936" s="1">
        <v>2.765E8</v>
      </c>
      <c r="G1936" s="1">
        <v>2.39E8</v>
      </c>
      <c r="H1936" s="1">
        <v>1200000.0</v>
      </c>
      <c r="I1936" s="1">
        <v>6.894E8</v>
      </c>
      <c r="J1936" s="1">
        <v>3.875E8</v>
      </c>
      <c r="K1936" s="1">
        <v>3.875E8</v>
      </c>
      <c r="L1936" s="1">
        <v>-1.182E8</v>
      </c>
      <c r="M1936" s="1">
        <v>3.72E7</v>
      </c>
      <c r="N1936" s="1">
        <v>1.9334E9</v>
      </c>
      <c r="O1936" s="1">
        <v>1.5459E9</v>
      </c>
      <c r="P1936" s="1">
        <v>1.244E9</v>
      </c>
      <c r="Q1936" s="1">
        <v>-1.11E8</v>
      </c>
      <c r="R1936" s="1">
        <v>2.393E8</v>
      </c>
      <c r="S1936" s="1">
        <v>2.39E8</v>
      </c>
    </row>
    <row r="1937">
      <c r="A1937" s="1">
        <v>1935.0</v>
      </c>
      <c r="B1937" s="2">
        <v>44104.0</v>
      </c>
      <c r="C1937" s="1" t="s">
        <v>1002</v>
      </c>
      <c r="D1937" s="1" t="s">
        <v>1003</v>
      </c>
      <c r="F1937" s="1">
        <v>3.137E8</v>
      </c>
      <c r="G1937" s="1">
        <v>2.668E8</v>
      </c>
      <c r="H1937" s="1">
        <v>-1.18E7</v>
      </c>
      <c r="I1937" s="1">
        <v>6.695E8</v>
      </c>
      <c r="J1937" s="1">
        <v>3.82E8</v>
      </c>
      <c r="K1937" s="1">
        <v>3.82E8</v>
      </c>
      <c r="L1937" s="1">
        <v>-1.223E8</v>
      </c>
      <c r="M1937" s="1">
        <v>4.69E7</v>
      </c>
      <c r="N1937" s="1">
        <v>1.651E9</v>
      </c>
      <c r="O1937" s="1">
        <v>1.269E9</v>
      </c>
      <c r="P1937" s="1">
        <v>9.815E8</v>
      </c>
      <c r="Q1937" s="1">
        <v>-6.83E7</v>
      </c>
      <c r="R1937" s="1">
        <v>2.668E8</v>
      </c>
      <c r="S1937" s="1">
        <v>2.668E8</v>
      </c>
    </row>
    <row r="1938">
      <c r="A1938" s="1">
        <v>1936.0</v>
      </c>
      <c r="B1938" s="2">
        <v>44377.0</v>
      </c>
      <c r="C1938" s="1" t="s">
        <v>1004</v>
      </c>
      <c r="D1938" s="1" t="s">
        <v>1005</v>
      </c>
      <c r="F1938" s="1">
        <v>8.189E9</v>
      </c>
      <c r="G1938" s="1">
        <v>6.04E9</v>
      </c>
      <c r="H1938" s="1">
        <v>1.195E10</v>
      </c>
      <c r="I1938" s="1">
        <v>2.1493E10</v>
      </c>
      <c r="J1938" s="1">
        <v>0.0</v>
      </c>
      <c r="K1938" s="1">
        <v>8.227E9</v>
      </c>
      <c r="M1938" s="1">
        <v>1.445E9</v>
      </c>
      <c r="N1938" s="1">
        <v>2.1493E10</v>
      </c>
      <c r="O1938" s="1">
        <v>1.3266E10</v>
      </c>
      <c r="P1938" s="1">
        <v>0.0</v>
      </c>
      <c r="Q1938" s="1">
        <v>-3.8E7</v>
      </c>
      <c r="R1938" s="1">
        <v>6.744E9</v>
      </c>
      <c r="S1938" s="1">
        <v>5.743E9</v>
      </c>
    </row>
    <row r="1939">
      <c r="A1939" s="1">
        <v>1937.0</v>
      </c>
      <c r="B1939" s="2">
        <v>44286.0</v>
      </c>
      <c r="C1939" s="1" t="s">
        <v>1004</v>
      </c>
      <c r="D1939" s="1" t="s">
        <v>1005</v>
      </c>
      <c r="F1939" s="1">
        <v>5.591E9</v>
      </c>
      <c r="G1939" s="1">
        <v>4.636E9</v>
      </c>
      <c r="H1939" s="1">
        <v>1.265E10</v>
      </c>
      <c r="I1939" s="1">
        <v>1.958E10</v>
      </c>
      <c r="J1939" s="1">
        <v>0.0</v>
      </c>
      <c r="K1939" s="1">
        <v>5.525E9</v>
      </c>
      <c r="M1939" s="1">
        <v>9.01E8</v>
      </c>
      <c r="N1939" s="1">
        <v>1.958E10</v>
      </c>
      <c r="O1939" s="1">
        <v>1.4055E10</v>
      </c>
      <c r="P1939" s="1">
        <v>0.0</v>
      </c>
      <c r="Q1939" s="1">
        <v>6.6E7</v>
      </c>
      <c r="R1939" s="1">
        <v>4.69E9</v>
      </c>
      <c r="S1939" s="1">
        <v>4.256E9</v>
      </c>
    </row>
    <row r="1940">
      <c r="A1940" s="1">
        <v>1938.0</v>
      </c>
      <c r="B1940" s="2">
        <v>44196.0</v>
      </c>
      <c r="C1940" s="1" t="s">
        <v>1004</v>
      </c>
      <c r="D1940" s="1" t="s">
        <v>1005</v>
      </c>
      <c r="F1940" s="1">
        <v>3.302E9</v>
      </c>
      <c r="G1940" s="1">
        <v>2.992E9</v>
      </c>
      <c r="H1940" s="1">
        <v>1.2641E10</v>
      </c>
      <c r="I1940" s="1">
        <v>1.8175E10</v>
      </c>
      <c r="J1940" s="1">
        <v>0.0</v>
      </c>
      <c r="K1940" s="1">
        <v>4.083E9</v>
      </c>
      <c r="M1940" s="1">
        <v>1.08E8</v>
      </c>
      <c r="N1940" s="1">
        <v>1.8175E10</v>
      </c>
      <c r="O1940" s="1">
        <v>1.4092E10</v>
      </c>
      <c r="P1940" s="1">
        <v>0.0</v>
      </c>
      <c r="Q1940" s="1">
        <v>-7.81E8</v>
      </c>
      <c r="R1940" s="1">
        <v>3.194E9</v>
      </c>
      <c r="S1940" s="1">
        <v>2.642E9</v>
      </c>
    </row>
    <row r="1941">
      <c r="A1941" s="1">
        <v>1939.0</v>
      </c>
      <c r="B1941" s="2">
        <v>44104.0</v>
      </c>
      <c r="C1941" s="1" t="s">
        <v>1004</v>
      </c>
      <c r="D1941" s="1" t="s">
        <v>1005</v>
      </c>
      <c r="F1941" s="1">
        <v>2.864E9</v>
      </c>
      <c r="G1941" s="1">
        <v>2.035E9</v>
      </c>
      <c r="H1941" s="1">
        <v>1.2461E10</v>
      </c>
      <c r="I1941" s="1">
        <v>1.81E10</v>
      </c>
      <c r="J1941" s="1">
        <v>0.0</v>
      </c>
      <c r="K1941" s="1">
        <v>3.589E9</v>
      </c>
      <c r="M1941" s="1">
        <v>6.45E8</v>
      </c>
      <c r="N1941" s="1">
        <v>1.81E10</v>
      </c>
      <c r="O1941" s="1">
        <v>1.4511E10</v>
      </c>
      <c r="P1941" s="1">
        <v>0.0</v>
      </c>
      <c r="Q1941" s="1">
        <v>-7.25E8</v>
      </c>
      <c r="R1941" s="1">
        <v>2.219E9</v>
      </c>
      <c r="S1941" s="1">
        <v>1.72E9</v>
      </c>
    </row>
    <row r="1942">
      <c r="A1942" s="1">
        <v>1940.0</v>
      </c>
      <c r="B1942" s="2">
        <v>44377.0</v>
      </c>
      <c r="C1942" s="1" t="s">
        <v>1006</v>
      </c>
      <c r="D1942" s="1" t="s">
        <v>1007</v>
      </c>
      <c r="F1942" s="1">
        <v>4.3536E7</v>
      </c>
      <c r="G1942" s="1">
        <v>2.6257E7</v>
      </c>
      <c r="H1942" s="1">
        <v>3.1436E7</v>
      </c>
      <c r="I1942" s="1">
        <v>4.90603E8</v>
      </c>
      <c r="J1942" s="1">
        <v>2.18282E8</v>
      </c>
      <c r="K1942" s="1">
        <v>2.18282E8</v>
      </c>
      <c r="L1942" s="1">
        <v>-1.22341E8</v>
      </c>
      <c r="M1942" s="1">
        <v>-2221000.0</v>
      </c>
      <c r="N1942" s="1">
        <v>1.140992E9</v>
      </c>
      <c r="O1942" s="1">
        <v>9.2271E8</v>
      </c>
      <c r="P1942" s="1">
        <v>6.50389E8</v>
      </c>
      <c r="Q1942" s="1">
        <v>-1.74746E8</v>
      </c>
      <c r="R1942" s="1">
        <v>4.5757E7</v>
      </c>
      <c r="S1942" s="1">
        <v>2.6257E7</v>
      </c>
    </row>
    <row r="1943">
      <c r="A1943" s="1">
        <v>1941.0</v>
      </c>
      <c r="B1943" s="2">
        <v>44286.0</v>
      </c>
      <c r="C1943" s="1" t="s">
        <v>1006</v>
      </c>
      <c r="D1943" s="1" t="s">
        <v>1007</v>
      </c>
      <c r="F1943" s="1">
        <v>7.6135E7</v>
      </c>
      <c r="G1943" s="1">
        <v>7.1546E7</v>
      </c>
      <c r="H1943" s="1">
        <v>2.9926E7</v>
      </c>
      <c r="I1943" s="1">
        <v>4.12149E8</v>
      </c>
      <c r="J1943" s="1">
        <v>1.37797E8</v>
      </c>
      <c r="K1943" s="1">
        <v>1.37797E8</v>
      </c>
      <c r="L1943" s="1">
        <v>-1.23142E8</v>
      </c>
      <c r="M1943" s="1">
        <v>3943000.0</v>
      </c>
      <c r="N1943" s="1">
        <v>1.052062E9</v>
      </c>
      <c r="O1943" s="1">
        <v>9.14265E8</v>
      </c>
      <c r="P1943" s="1">
        <v>6.39913E8</v>
      </c>
      <c r="Q1943" s="1">
        <v>-6.1662E7</v>
      </c>
      <c r="R1943" s="1">
        <v>7.2192E7</v>
      </c>
      <c r="S1943" s="1">
        <v>7.1546E7</v>
      </c>
    </row>
    <row r="1944">
      <c r="A1944" s="1">
        <v>1942.0</v>
      </c>
      <c r="B1944" s="2">
        <v>44196.0</v>
      </c>
      <c r="C1944" s="1" t="s">
        <v>1006</v>
      </c>
      <c r="D1944" s="1" t="s">
        <v>1007</v>
      </c>
      <c r="F1944" s="1">
        <v>1.55568E8</v>
      </c>
      <c r="G1944" s="1">
        <v>1.63729E8</v>
      </c>
      <c r="H1944" s="1">
        <v>2.7848E7</v>
      </c>
      <c r="I1944" s="1">
        <v>4.19534E8</v>
      </c>
      <c r="J1944" s="1">
        <v>1.48953E8</v>
      </c>
      <c r="K1944" s="1">
        <v>1.48953E8</v>
      </c>
      <c r="L1944" s="1">
        <v>-1.21173E8</v>
      </c>
      <c r="M1944" s="1">
        <v>290000.0</v>
      </c>
      <c r="N1944" s="1">
        <v>1.122016E9</v>
      </c>
      <c r="O1944" s="1">
        <v>9.73063E8</v>
      </c>
      <c r="P1944" s="1">
        <v>7.02482E8</v>
      </c>
      <c r="Q1944" s="1">
        <v>6615000.0</v>
      </c>
      <c r="R1944" s="1">
        <v>1.55278E8</v>
      </c>
      <c r="S1944" s="1">
        <v>1.63729E8</v>
      </c>
    </row>
    <row r="1945">
      <c r="A1945" s="1">
        <v>1943.0</v>
      </c>
      <c r="B1945" s="2">
        <v>44104.0</v>
      </c>
      <c r="C1945" s="1" t="s">
        <v>1006</v>
      </c>
      <c r="D1945" s="1" t="s">
        <v>1007</v>
      </c>
      <c r="F1945" s="1">
        <v>3.96981E8</v>
      </c>
      <c r="G1945" s="1">
        <v>3.25585E8</v>
      </c>
      <c r="H1945" s="1">
        <v>3.1003E7</v>
      </c>
      <c r="I1945" s="1">
        <v>4.17492E8</v>
      </c>
      <c r="J1945" s="1">
        <v>1.30957E8</v>
      </c>
      <c r="K1945" s="1">
        <v>1.30957E8</v>
      </c>
      <c r="L1945" s="1">
        <v>-1.24851E8</v>
      </c>
      <c r="M1945" s="1">
        <v>2003000.0</v>
      </c>
      <c r="N1945" s="1">
        <v>1.036874E9</v>
      </c>
      <c r="O1945" s="1">
        <v>9.05917E8</v>
      </c>
      <c r="P1945" s="1">
        <v>6.19382E8</v>
      </c>
      <c r="Q1945" s="1">
        <v>2.66024E8</v>
      </c>
      <c r="R1945" s="1">
        <v>3.94978E8</v>
      </c>
      <c r="S1945" s="1">
        <v>3.25585E8</v>
      </c>
    </row>
    <row r="1946">
      <c r="A1946" s="1">
        <v>1944.0</v>
      </c>
      <c r="B1946" s="2">
        <v>44377.0</v>
      </c>
      <c r="C1946" s="1" t="s">
        <v>1008</v>
      </c>
      <c r="D1946" s="1" t="s">
        <v>1009</v>
      </c>
      <c r="E1946" s="1">
        <v>1.38E7</v>
      </c>
      <c r="F1946" s="1">
        <v>2.196E8</v>
      </c>
      <c r="G1946" s="1">
        <v>1.873E8</v>
      </c>
      <c r="H1946" s="1">
        <v>9.14E7</v>
      </c>
      <c r="I1946" s="1">
        <v>3.151E8</v>
      </c>
      <c r="J1946" s="1">
        <v>2.114E8</v>
      </c>
      <c r="K1946" s="1">
        <v>2.114E8</v>
      </c>
      <c r="L1946" s="1">
        <v>-1900000.0</v>
      </c>
      <c r="M1946" s="1">
        <v>3.23E7</v>
      </c>
      <c r="N1946" s="1">
        <v>7.236E8</v>
      </c>
      <c r="O1946" s="1">
        <v>5.122E8</v>
      </c>
      <c r="P1946" s="1">
        <v>4.085E8</v>
      </c>
      <c r="Q1946" s="1">
        <v>8200000.0</v>
      </c>
      <c r="R1946" s="1">
        <v>1.873E8</v>
      </c>
      <c r="S1946" s="1">
        <v>1.873E8</v>
      </c>
    </row>
    <row r="1947">
      <c r="A1947" s="1">
        <v>1945.0</v>
      </c>
      <c r="B1947" s="2">
        <v>44286.0</v>
      </c>
      <c r="C1947" s="1" t="s">
        <v>1008</v>
      </c>
      <c r="D1947" s="1" t="s">
        <v>1009</v>
      </c>
      <c r="E1947" s="1">
        <v>1.22E7</v>
      </c>
      <c r="F1947" s="1">
        <v>1.799E8</v>
      </c>
      <c r="G1947" s="1">
        <v>1.512E8</v>
      </c>
      <c r="H1947" s="1">
        <v>7.92E7</v>
      </c>
      <c r="I1947" s="1">
        <v>2.719E8</v>
      </c>
      <c r="J1947" s="1">
        <v>1.783E8</v>
      </c>
      <c r="K1947" s="1">
        <v>1.783E8</v>
      </c>
      <c r="L1947" s="1">
        <v>-1900000.0</v>
      </c>
      <c r="M1947" s="1">
        <v>2.87E7</v>
      </c>
      <c r="N1947" s="1">
        <v>6.707E8</v>
      </c>
      <c r="O1947" s="1">
        <v>4.924E8</v>
      </c>
      <c r="P1947" s="1">
        <v>3.988E8</v>
      </c>
      <c r="Q1947" s="1">
        <v>1600000.0</v>
      </c>
      <c r="R1947" s="1">
        <v>1.512E8</v>
      </c>
      <c r="S1947" s="1">
        <v>1.512E8</v>
      </c>
    </row>
    <row r="1948">
      <c r="A1948" s="1">
        <v>1946.0</v>
      </c>
      <c r="B1948" s="2">
        <v>44196.0</v>
      </c>
      <c r="C1948" s="1" t="s">
        <v>1008</v>
      </c>
      <c r="D1948" s="1" t="s">
        <v>1009</v>
      </c>
      <c r="E1948" s="1">
        <v>1.29E7</v>
      </c>
      <c r="F1948" s="1">
        <v>1.188E8</v>
      </c>
      <c r="G1948" s="1">
        <v>9.84E7</v>
      </c>
      <c r="H1948" s="1">
        <v>7.53E7</v>
      </c>
      <c r="I1948" s="1">
        <v>2.111E8</v>
      </c>
      <c r="J1948" s="1">
        <v>1.21E8</v>
      </c>
      <c r="K1948" s="1">
        <v>1.21E8</v>
      </c>
      <c r="L1948" s="1">
        <v>-2100000.0</v>
      </c>
      <c r="M1948" s="1">
        <v>2.04E7</v>
      </c>
      <c r="N1948" s="1">
        <v>5.802E8</v>
      </c>
      <c r="O1948" s="1">
        <v>4.592E8</v>
      </c>
      <c r="P1948" s="1">
        <v>3.691E8</v>
      </c>
      <c r="Q1948" s="1">
        <v>-2200000.0</v>
      </c>
      <c r="R1948" s="1">
        <v>9.84E7</v>
      </c>
      <c r="S1948" s="1">
        <v>9.84E7</v>
      </c>
    </row>
    <row r="1949">
      <c r="A1949" s="1">
        <v>1947.0</v>
      </c>
      <c r="B1949" s="2">
        <v>44104.0</v>
      </c>
      <c r="C1949" s="1" t="s">
        <v>1008</v>
      </c>
      <c r="D1949" s="1" t="s">
        <v>1009</v>
      </c>
      <c r="E1949" s="1">
        <v>1.25E7</v>
      </c>
      <c r="F1949" s="1">
        <v>1.034E8</v>
      </c>
      <c r="G1949" s="1">
        <v>8.23E7</v>
      </c>
      <c r="H1949" s="1">
        <v>7.59E7</v>
      </c>
      <c r="I1949" s="1">
        <v>1.946E8</v>
      </c>
      <c r="J1949" s="1">
        <v>1.067E8</v>
      </c>
      <c r="K1949" s="1">
        <v>1.067E8</v>
      </c>
      <c r="L1949" s="1">
        <v>-2100000.0</v>
      </c>
      <c r="M1949" s="1">
        <v>2.11E7</v>
      </c>
      <c r="N1949" s="1">
        <v>5.48E8</v>
      </c>
      <c r="O1949" s="1">
        <v>4.413E8</v>
      </c>
      <c r="P1949" s="1">
        <v>3.534E8</v>
      </c>
      <c r="Q1949" s="1">
        <v>-3300000.0</v>
      </c>
      <c r="R1949" s="1">
        <v>8.23E7</v>
      </c>
      <c r="S1949" s="1">
        <v>8.23E7</v>
      </c>
    </row>
    <row r="1950">
      <c r="A1950" s="1">
        <v>1948.0</v>
      </c>
      <c r="B1950" s="2">
        <v>44288.0</v>
      </c>
      <c r="C1950" s="1" t="s">
        <v>1010</v>
      </c>
      <c r="D1950" s="1" t="s">
        <v>1011</v>
      </c>
      <c r="E1950" s="1">
        <v>5.55E8</v>
      </c>
      <c r="F1950" s="1">
        <v>2.49E8</v>
      </c>
      <c r="G1950" s="1">
        <v>1.97E8</v>
      </c>
      <c r="H1950" s="1">
        <v>2.87E8</v>
      </c>
      <c r="I1950" s="1">
        <v>1.124E9</v>
      </c>
      <c r="J1950" s="1">
        <v>2.82E8</v>
      </c>
      <c r="K1950" s="1">
        <v>2.82E8</v>
      </c>
      <c r="L1950" s="1">
        <v>-8.1E7</v>
      </c>
      <c r="M1950" s="1">
        <v>5.2E7</v>
      </c>
      <c r="N1950" s="1">
        <v>4.137E9</v>
      </c>
      <c r="O1950" s="1">
        <v>3.855E9</v>
      </c>
      <c r="P1950" s="1">
        <v>3.013E9</v>
      </c>
      <c r="Q1950" s="1">
        <v>-3.3E7</v>
      </c>
      <c r="R1950" s="1">
        <v>1.97E8</v>
      </c>
      <c r="S1950" s="1">
        <v>1.97E8</v>
      </c>
    </row>
    <row r="1951">
      <c r="A1951" s="1">
        <v>1949.0</v>
      </c>
      <c r="B1951" s="2">
        <v>44197.0</v>
      </c>
      <c r="C1951" s="1" t="s">
        <v>1010</v>
      </c>
      <c r="D1951" s="1" t="s">
        <v>1011</v>
      </c>
      <c r="E1951" s="1">
        <v>5.35E8</v>
      </c>
      <c r="F1951" s="1">
        <v>8.5E7</v>
      </c>
      <c r="G1951" s="1">
        <v>6.2E7</v>
      </c>
      <c r="H1951" s="1">
        <v>2.65E8</v>
      </c>
      <c r="I1951" s="1">
        <v>9.6E8</v>
      </c>
      <c r="J1951" s="1">
        <v>1.6E8</v>
      </c>
      <c r="K1951" s="1">
        <v>1.6E8</v>
      </c>
      <c r="L1951" s="1">
        <v>-8.1E7</v>
      </c>
      <c r="M1951" s="1">
        <v>2.3E7</v>
      </c>
      <c r="N1951" s="1">
        <v>3.943E9</v>
      </c>
      <c r="O1951" s="1">
        <v>3.783E9</v>
      </c>
      <c r="P1951" s="1">
        <v>2.983E9</v>
      </c>
      <c r="Q1951" s="1">
        <v>-7.5E7</v>
      </c>
      <c r="R1951" s="1">
        <v>6.2E7</v>
      </c>
      <c r="S1951" s="1">
        <v>6.2E7</v>
      </c>
    </row>
    <row r="1952">
      <c r="A1952" s="1">
        <v>1950.0</v>
      </c>
      <c r="B1952" s="2">
        <v>44106.0</v>
      </c>
      <c r="C1952" s="1" t="s">
        <v>1010</v>
      </c>
      <c r="D1952" s="1" t="s">
        <v>1011</v>
      </c>
      <c r="E1952" s="1">
        <v>5.55E8</v>
      </c>
      <c r="F1952" s="1">
        <v>-3000000.0</v>
      </c>
      <c r="G1952" s="1">
        <v>-6.0E7</v>
      </c>
      <c r="H1952" s="1">
        <v>2.56E8</v>
      </c>
      <c r="I1952" s="1">
        <v>8.74E8</v>
      </c>
      <c r="J1952" s="1">
        <v>6.3E7</v>
      </c>
      <c r="K1952" s="1">
        <v>6.3E7</v>
      </c>
      <c r="L1952" s="1">
        <v>-8.4E7</v>
      </c>
      <c r="M1952" s="1">
        <v>5.7E7</v>
      </c>
      <c r="N1952" s="1">
        <v>3.922E9</v>
      </c>
      <c r="O1952" s="1">
        <v>3.859E9</v>
      </c>
      <c r="P1952" s="1">
        <v>3.048E9</v>
      </c>
      <c r="Q1952" s="1">
        <v>-6.6E7</v>
      </c>
      <c r="R1952" s="1">
        <v>-6.0E7</v>
      </c>
      <c r="S1952" s="1">
        <v>-6.0E7</v>
      </c>
    </row>
    <row r="1953">
      <c r="A1953" s="1">
        <v>1951.0</v>
      </c>
      <c r="B1953" s="2">
        <v>44015.0</v>
      </c>
      <c r="C1953" s="1" t="s">
        <v>1010</v>
      </c>
      <c r="D1953" s="1" t="s">
        <v>1011</v>
      </c>
      <c r="E1953" s="1">
        <v>5.46E8</v>
      </c>
      <c r="F1953" s="1">
        <v>1.85E8</v>
      </c>
      <c r="G1953" s="1">
        <v>1.48E8</v>
      </c>
      <c r="H1953" s="1">
        <v>2.68E8</v>
      </c>
      <c r="I1953" s="1">
        <v>1.002E9</v>
      </c>
      <c r="J1953" s="1">
        <v>1.88E8</v>
      </c>
      <c r="K1953" s="1">
        <v>1.88E8</v>
      </c>
      <c r="L1953" s="1">
        <v>-8.7E7</v>
      </c>
      <c r="M1953" s="1">
        <v>3.7E7</v>
      </c>
      <c r="N1953" s="1">
        <v>4.287E9</v>
      </c>
      <c r="O1953" s="1">
        <v>4.099E9</v>
      </c>
      <c r="P1953" s="1">
        <v>3.285E9</v>
      </c>
      <c r="Q1953" s="1">
        <v>-3000000.0</v>
      </c>
      <c r="R1953" s="1">
        <v>1.48E8</v>
      </c>
      <c r="S1953" s="1">
        <v>1.48E8</v>
      </c>
    </row>
    <row r="1954">
      <c r="A1954" s="1">
        <v>1952.0</v>
      </c>
      <c r="B1954" s="2">
        <v>44377.0</v>
      </c>
      <c r="C1954" s="1" t="s">
        <v>1012</v>
      </c>
      <c r="D1954" s="1" t="s">
        <v>1013</v>
      </c>
      <c r="F1954" s="1">
        <v>2.601E8</v>
      </c>
      <c r="G1954" s="1">
        <v>2.225E8</v>
      </c>
      <c r="H1954" s="1">
        <v>2.828E8</v>
      </c>
      <c r="I1954" s="1">
        <v>5.347E8</v>
      </c>
      <c r="J1954" s="1">
        <v>2.519E8</v>
      </c>
      <c r="K1954" s="1">
        <v>2.519E8</v>
      </c>
      <c r="L1954" s="1">
        <v>-2.56E7</v>
      </c>
      <c r="M1954" s="1">
        <v>3.76E7</v>
      </c>
      <c r="N1954" s="1">
        <v>1.2897E9</v>
      </c>
      <c r="O1954" s="1">
        <v>1.0378E9</v>
      </c>
      <c r="P1954" s="1">
        <v>7.55E8</v>
      </c>
      <c r="Q1954" s="1">
        <v>8200000.0</v>
      </c>
      <c r="R1954" s="1">
        <v>2.225E8</v>
      </c>
      <c r="S1954" s="1">
        <v>2.225E8</v>
      </c>
    </row>
    <row r="1955">
      <c r="A1955" s="1">
        <v>1953.0</v>
      </c>
      <c r="B1955" s="2">
        <v>44286.0</v>
      </c>
      <c r="C1955" s="1" t="s">
        <v>1012</v>
      </c>
      <c r="D1955" s="1" t="s">
        <v>1013</v>
      </c>
      <c r="F1955" s="1">
        <v>2.029E8</v>
      </c>
      <c r="G1955" s="1">
        <v>1.818E8</v>
      </c>
      <c r="H1955" s="1">
        <v>2.743E8</v>
      </c>
      <c r="I1955" s="1">
        <v>5.04E8</v>
      </c>
      <c r="J1955" s="1">
        <v>2.297E8</v>
      </c>
      <c r="K1955" s="1">
        <v>2.297E8</v>
      </c>
      <c r="L1955" s="1">
        <v>-2.84E7</v>
      </c>
      <c r="M1955" s="1">
        <v>2.11E7</v>
      </c>
      <c r="N1955" s="1">
        <v>1.21E9</v>
      </c>
      <c r="O1955" s="1">
        <v>9.803E8</v>
      </c>
      <c r="P1955" s="1">
        <v>7.06E8</v>
      </c>
      <c r="Q1955" s="1">
        <v>-2.68E7</v>
      </c>
      <c r="R1955" s="1">
        <v>1.818E8</v>
      </c>
      <c r="S1955" s="1">
        <v>1.818E8</v>
      </c>
    </row>
    <row r="1956">
      <c r="A1956" s="1">
        <v>1954.0</v>
      </c>
      <c r="B1956" s="2">
        <v>44196.0</v>
      </c>
      <c r="C1956" s="1" t="s">
        <v>1012</v>
      </c>
      <c r="D1956" s="1" t="s">
        <v>1013</v>
      </c>
      <c r="F1956" s="1">
        <v>1.99E8</v>
      </c>
      <c r="G1956" s="1">
        <v>1.771E8</v>
      </c>
      <c r="H1956" s="1">
        <v>2.786E8</v>
      </c>
      <c r="I1956" s="1">
        <v>5.146E8</v>
      </c>
      <c r="J1956" s="1">
        <v>2.36E8</v>
      </c>
      <c r="K1956" s="1">
        <v>2.36E8</v>
      </c>
      <c r="L1956" s="1">
        <v>-2.81E7</v>
      </c>
      <c r="M1956" s="1">
        <v>2.19E7</v>
      </c>
      <c r="N1956" s="1">
        <v>1.2718E9</v>
      </c>
      <c r="O1956" s="1">
        <v>1.0358E9</v>
      </c>
      <c r="P1956" s="1">
        <v>7.572E8</v>
      </c>
      <c r="Q1956" s="1">
        <v>-3.7E7</v>
      </c>
      <c r="R1956" s="1">
        <v>1.771E8</v>
      </c>
      <c r="S1956" s="1">
        <v>1.771E8</v>
      </c>
    </row>
    <row r="1957">
      <c r="A1957" s="1">
        <v>1955.0</v>
      </c>
      <c r="B1957" s="2">
        <v>44104.0</v>
      </c>
      <c r="C1957" s="1" t="s">
        <v>1012</v>
      </c>
      <c r="D1957" s="1" t="s">
        <v>1013</v>
      </c>
      <c r="F1957" s="1">
        <v>2.61E8</v>
      </c>
      <c r="G1957" s="1">
        <v>2.286E8</v>
      </c>
      <c r="H1957" s="1">
        <v>2.462E8</v>
      </c>
      <c r="I1957" s="1">
        <v>5.376E8</v>
      </c>
      <c r="J1957" s="1">
        <v>2.914E8</v>
      </c>
      <c r="K1957" s="1">
        <v>2.914E8</v>
      </c>
      <c r="L1957" s="1">
        <v>-2.82E7</v>
      </c>
      <c r="M1957" s="1">
        <v>3.24E7</v>
      </c>
      <c r="N1957" s="1">
        <v>1.2585E9</v>
      </c>
      <c r="O1957" s="1">
        <v>9.671E8</v>
      </c>
      <c r="P1957" s="1">
        <v>7.209E8</v>
      </c>
      <c r="Q1957" s="1">
        <v>-3.04E7</v>
      </c>
      <c r="R1957" s="1">
        <v>2.286E8</v>
      </c>
      <c r="S1957" s="1">
        <v>2.286E8</v>
      </c>
    </row>
    <row r="1958">
      <c r="A1958" s="1">
        <v>1956.0</v>
      </c>
      <c r="B1958" s="2">
        <v>44286.0</v>
      </c>
      <c r="C1958" s="1" t="s">
        <v>1014</v>
      </c>
      <c r="D1958" s="1" t="s">
        <v>1015</v>
      </c>
      <c r="F1958" s="1">
        <v>1.449E8</v>
      </c>
      <c r="G1958" s="1">
        <v>1.125E8</v>
      </c>
      <c r="H1958" s="1">
        <v>4.234E8</v>
      </c>
      <c r="I1958" s="1">
        <v>7.496E8</v>
      </c>
      <c r="J1958" s="1">
        <v>2.376E8</v>
      </c>
      <c r="K1958" s="1">
        <v>2.376E8</v>
      </c>
      <c r="L1958" s="1">
        <v>-9.49E7</v>
      </c>
      <c r="M1958" s="1">
        <v>3.05E7</v>
      </c>
      <c r="N1958" s="1">
        <v>4.4378E9</v>
      </c>
      <c r="O1958" s="1">
        <v>4.2002E9</v>
      </c>
      <c r="P1958" s="1">
        <v>3.6882E9</v>
      </c>
      <c r="Q1958" s="1">
        <v>-9.27E7</v>
      </c>
      <c r="R1958" s="1">
        <v>1.144E8</v>
      </c>
      <c r="S1958" s="1">
        <v>1.124E8</v>
      </c>
    </row>
    <row r="1959">
      <c r="A1959" s="1">
        <v>1957.0</v>
      </c>
      <c r="B1959" s="2">
        <v>44196.0</v>
      </c>
      <c r="C1959" s="1" t="s">
        <v>1014</v>
      </c>
      <c r="D1959" s="1" t="s">
        <v>1015</v>
      </c>
      <c r="F1959" s="1">
        <v>2.028E8</v>
      </c>
      <c r="G1959" s="1">
        <v>1.52E8</v>
      </c>
      <c r="H1959" s="1">
        <v>3.829E8</v>
      </c>
      <c r="I1959" s="1">
        <v>7.523E8</v>
      </c>
      <c r="J1959" s="1">
        <v>2.775E8</v>
      </c>
      <c r="K1959" s="1">
        <v>2.775E8</v>
      </c>
      <c r="L1959" s="1">
        <v>-1.055E8</v>
      </c>
      <c r="M1959" s="1">
        <v>5.03E7</v>
      </c>
      <c r="N1959" s="1">
        <v>4.4015E9</v>
      </c>
      <c r="O1959" s="1">
        <v>4.124E9</v>
      </c>
      <c r="P1959" s="1">
        <v>3.6492E9</v>
      </c>
      <c r="Q1959" s="1">
        <v>-7.47E7</v>
      </c>
      <c r="R1959" s="1">
        <v>1.525E8</v>
      </c>
      <c r="S1959" s="1">
        <v>1.52E8</v>
      </c>
    </row>
    <row r="1960">
      <c r="A1960" s="1">
        <v>1958.0</v>
      </c>
      <c r="B1960" s="2">
        <v>44104.0</v>
      </c>
      <c r="C1960" s="1" t="s">
        <v>1014</v>
      </c>
      <c r="D1960" s="1" t="s">
        <v>1015</v>
      </c>
      <c r="F1960" s="1">
        <v>-1.1145E9</v>
      </c>
      <c r="G1960" s="1">
        <v>-1.156E9</v>
      </c>
      <c r="H1960" s="1">
        <v>3.651E8</v>
      </c>
      <c r="I1960" s="1">
        <v>8.73E8</v>
      </c>
      <c r="J1960" s="1">
        <v>4.089E8</v>
      </c>
      <c r="K1960" s="1">
        <v>4.089E8</v>
      </c>
      <c r="L1960" s="1">
        <v>-1.647E8</v>
      </c>
      <c r="M1960" s="1">
        <v>4.0E7</v>
      </c>
      <c r="N1960" s="1">
        <v>4.4715E9</v>
      </c>
      <c r="O1960" s="1">
        <v>4.0626E9</v>
      </c>
      <c r="P1960" s="1">
        <v>3.5985E9</v>
      </c>
      <c r="Q1960" s="1">
        <v>-1.5234E9</v>
      </c>
      <c r="R1960" s="1">
        <v>-1.1545E9</v>
      </c>
      <c r="S1960" s="1">
        <v>-1.156E9</v>
      </c>
    </row>
    <row r="1961">
      <c r="A1961" s="1">
        <v>1959.0</v>
      </c>
      <c r="B1961" s="2">
        <v>44012.0</v>
      </c>
      <c r="C1961" s="1" t="s">
        <v>1014</v>
      </c>
      <c r="D1961" s="1" t="s">
        <v>1015</v>
      </c>
      <c r="F1961" s="1">
        <v>1.992E8</v>
      </c>
      <c r="G1961" s="1">
        <v>1.785E8</v>
      </c>
      <c r="H1961" s="1">
        <v>3.645E8</v>
      </c>
      <c r="I1961" s="1">
        <v>7.658E8</v>
      </c>
      <c r="J1961" s="1">
        <v>3.017E8</v>
      </c>
      <c r="K1961" s="1">
        <v>3.017E8</v>
      </c>
      <c r="L1961" s="1">
        <v>-9.84E7</v>
      </c>
      <c r="M1961" s="1">
        <v>1.92E7</v>
      </c>
      <c r="N1961" s="1">
        <v>4.2363E9</v>
      </c>
      <c r="O1961" s="1">
        <v>3.9346E9</v>
      </c>
      <c r="P1961" s="1">
        <v>3.4705E9</v>
      </c>
      <c r="Q1961" s="1">
        <v>-1.025E8</v>
      </c>
      <c r="R1961" s="1">
        <v>1.8E8</v>
      </c>
      <c r="S1961" s="1">
        <v>1.785E8</v>
      </c>
    </row>
    <row r="1962">
      <c r="A1962" s="1">
        <v>1960.0</v>
      </c>
      <c r="B1962" s="2">
        <v>44377.0</v>
      </c>
      <c r="C1962" s="1" t="s">
        <v>1016</v>
      </c>
      <c r="D1962" s="1" t="s">
        <v>1017</v>
      </c>
      <c r="F1962" s="1">
        <v>1.352E9</v>
      </c>
      <c r="G1962" s="1">
        <v>1.028E9</v>
      </c>
      <c r="H1962" s="1">
        <v>1.2E8</v>
      </c>
      <c r="I1962" s="1">
        <v>1.561E9</v>
      </c>
      <c r="J1962" s="1">
        <v>1.432E9</v>
      </c>
      <c r="K1962" s="1">
        <v>1.432E9</v>
      </c>
      <c r="L1962" s="1">
        <v>-7.8E7</v>
      </c>
      <c r="M1962" s="1">
        <v>3.24E8</v>
      </c>
      <c r="N1962" s="1">
        <v>3.144E9</v>
      </c>
      <c r="O1962" s="1">
        <v>1.712E9</v>
      </c>
      <c r="P1962" s="1">
        <v>1.583E9</v>
      </c>
      <c r="Q1962" s="1">
        <v>-8.0E7</v>
      </c>
      <c r="R1962" s="1">
        <v>1.028E9</v>
      </c>
      <c r="S1962" s="1">
        <v>1.028E9</v>
      </c>
    </row>
    <row r="1963">
      <c r="A1963" s="1">
        <v>1961.0</v>
      </c>
      <c r="B1963" s="2">
        <v>44286.0</v>
      </c>
      <c r="C1963" s="1" t="s">
        <v>1016</v>
      </c>
      <c r="D1963" s="1" t="s">
        <v>1017</v>
      </c>
      <c r="F1963" s="1">
        <v>8.7E8</v>
      </c>
      <c r="G1963" s="1">
        <v>6.81E8</v>
      </c>
      <c r="H1963" s="1">
        <v>1.18E8</v>
      </c>
      <c r="I1963" s="1">
        <v>1.076E9</v>
      </c>
      <c r="J1963" s="1">
        <v>9.53E8</v>
      </c>
      <c r="K1963" s="1">
        <v>9.53E8</v>
      </c>
      <c r="L1963" s="1">
        <v>-7.9E7</v>
      </c>
      <c r="M1963" s="1">
        <v>1.89E8</v>
      </c>
      <c r="N1963" s="1">
        <v>2.506E9</v>
      </c>
      <c r="O1963" s="1">
        <v>1.553E9</v>
      </c>
      <c r="P1963" s="1">
        <v>1.43E9</v>
      </c>
      <c r="Q1963" s="1">
        <v>-8.3E7</v>
      </c>
      <c r="R1963" s="1">
        <v>6.81E8</v>
      </c>
      <c r="S1963" s="1">
        <v>6.81E8</v>
      </c>
    </row>
    <row r="1964">
      <c r="A1964" s="1">
        <v>1962.0</v>
      </c>
      <c r="B1964" s="2">
        <v>44196.0</v>
      </c>
      <c r="C1964" s="1" t="s">
        <v>1016</v>
      </c>
      <c r="D1964" s="1" t="s">
        <v>1017</v>
      </c>
      <c r="F1964" s="1">
        <v>3.11E8</v>
      </c>
      <c r="G1964" s="1">
        <v>2.92E8</v>
      </c>
      <c r="H1964" s="1">
        <v>1.23E8</v>
      </c>
      <c r="I1964" s="1">
        <v>6.71E8</v>
      </c>
      <c r="J1964" s="1">
        <v>5.29E8</v>
      </c>
      <c r="K1964" s="1">
        <v>5.29E8</v>
      </c>
      <c r="L1964" s="1">
        <v>-1.44E8</v>
      </c>
      <c r="M1964" s="1">
        <v>1.9E7</v>
      </c>
      <c r="N1964" s="1">
        <v>2.063E9</v>
      </c>
      <c r="O1964" s="1">
        <v>1.534E9</v>
      </c>
      <c r="P1964" s="1">
        <v>1.392E9</v>
      </c>
      <c r="Q1964" s="1">
        <v>-2.18E8</v>
      </c>
      <c r="R1964" s="1">
        <v>2.92E8</v>
      </c>
      <c r="S1964" s="1">
        <v>2.92E8</v>
      </c>
    </row>
    <row r="1965">
      <c r="A1965" s="1">
        <v>1963.0</v>
      </c>
      <c r="B1965" s="2">
        <v>44104.0</v>
      </c>
      <c r="C1965" s="1" t="s">
        <v>1016</v>
      </c>
      <c r="D1965" s="1" t="s">
        <v>1017</v>
      </c>
      <c r="F1965" s="1">
        <v>3.92E8</v>
      </c>
      <c r="G1965" s="1">
        <v>2.83E8</v>
      </c>
      <c r="H1965" s="1">
        <v>1.27E8</v>
      </c>
      <c r="I1965" s="1">
        <v>7.2E8</v>
      </c>
      <c r="J1965" s="1">
        <v>5.86E8</v>
      </c>
      <c r="K1965" s="1">
        <v>5.86E8</v>
      </c>
      <c r="L1965" s="1">
        <v>-1.11E8</v>
      </c>
      <c r="M1965" s="1">
        <v>1.09E8</v>
      </c>
      <c r="N1965" s="1">
        <v>2.11E9</v>
      </c>
      <c r="O1965" s="1">
        <v>1.524E9</v>
      </c>
      <c r="P1965" s="1">
        <v>1.39E9</v>
      </c>
      <c r="Q1965" s="1">
        <v>-1.94E8</v>
      </c>
      <c r="R1965" s="1">
        <v>2.83E8</v>
      </c>
      <c r="S1965" s="1">
        <v>2.83E8</v>
      </c>
    </row>
    <row r="1966">
      <c r="A1966" s="1">
        <v>1964.0</v>
      </c>
      <c r="B1966" s="2">
        <v>44377.0</v>
      </c>
      <c r="C1966" s="1" t="s">
        <v>1018</v>
      </c>
      <c r="D1966" s="1" t="s">
        <v>1019</v>
      </c>
      <c r="F1966" s="1">
        <v>6.74E8</v>
      </c>
      <c r="G1966" s="1">
        <v>5.81E8</v>
      </c>
      <c r="H1966" s="1">
        <v>4.99E8</v>
      </c>
      <c r="I1966" s="1">
        <v>1.09E9</v>
      </c>
      <c r="J1966" s="1">
        <v>5.81E8</v>
      </c>
      <c r="K1966" s="1">
        <v>5.81E8</v>
      </c>
      <c r="L1966" s="1">
        <v>-4.5E7</v>
      </c>
      <c r="M1966" s="1">
        <v>9.4E7</v>
      </c>
      <c r="N1966" s="1">
        <v>5.324E9</v>
      </c>
      <c r="O1966" s="1">
        <v>4.743E9</v>
      </c>
      <c r="P1966" s="1">
        <v>4.234E9</v>
      </c>
      <c r="Q1966" s="1">
        <v>9.3E7</v>
      </c>
      <c r="R1966" s="1">
        <v>5.8E8</v>
      </c>
      <c r="S1966" s="1">
        <v>5.81E8</v>
      </c>
    </row>
    <row r="1967">
      <c r="A1967" s="1">
        <v>1965.0</v>
      </c>
      <c r="B1967" s="2">
        <v>44286.0</v>
      </c>
      <c r="C1967" s="1" t="s">
        <v>1018</v>
      </c>
      <c r="D1967" s="1" t="s">
        <v>1019</v>
      </c>
      <c r="F1967" s="1">
        <v>5.99E8</v>
      </c>
      <c r="G1967" s="1">
        <v>4.33E8</v>
      </c>
      <c r="H1967" s="1">
        <v>4.9E8</v>
      </c>
      <c r="I1967" s="1">
        <v>1.148E9</v>
      </c>
      <c r="J1967" s="1">
        <v>6.41E8</v>
      </c>
      <c r="K1967" s="1">
        <v>6.41E8</v>
      </c>
      <c r="L1967" s="1">
        <v>-4.5E7</v>
      </c>
      <c r="M1967" s="1">
        <v>1.59E8</v>
      </c>
      <c r="N1967" s="1">
        <v>5.358E9</v>
      </c>
      <c r="O1967" s="1">
        <v>4.717E9</v>
      </c>
      <c r="P1967" s="1">
        <v>4.21E9</v>
      </c>
      <c r="Q1967" s="1">
        <v>-4.2E7</v>
      </c>
      <c r="R1967" s="1">
        <v>4.4E8</v>
      </c>
      <c r="S1967" s="1">
        <v>4.33E8</v>
      </c>
    </row>
    <row r="1968">
      <c r="A1968" s="1">
        <v>1966.0</v>
      </c>
      <c r="B1968" s="2">
        <v>44196.0</v>
      </c>
      <c r="C1968" s="1" t="s">
        <v>1018</v>
      </c>
      <c r="D1968" s="1" t="s">
        <v>1019</v>
      </c>
      <c r="F1968" s="1">
        <v>6.52E8</v>
      </c>
      <c r="G1968" s="1">
        <v>4.97E8</v>
      </c>
      <c r="H1968" s="1">
        <v>5.56E8</v>
      </c>
      <c r="I1968" s="1">
        <v>1.364E9</v>
      </c>
      <c r="J1968" s="1">
        <v>7.92E8</v>
      </c>
      <c r="K1968" s="1">
        <v>7.92E8</v>
      </c>
      <c r="L1968" s="1">
        <v>-4.7E7</v>
      </c>
      <c r="M1968" s="1">
        <v>1.51E8</v>
      </c>
      <c r="N1968" s="1">
        <v>5.798E9</v>
      </c>
      <c r="O1968" s="1">
        <v>5.006E9</v>
      </c>
      <c r="P1968" s="1">
        <v>4.434E9</v>
      </c>
      <c r="Q1968" s="1">
        <v>-1.4E8</v>
      </c>
      <c r="R1968" s="1">
        <v>5.01E8</v>
      </c>
      <c r="S1968" s="1">
        <v>4.97E8</v>
      </c>
    </row>
    <row r="1969">
      <c r="A1969" s="1">
        <v>1967.0</v>
      </c>
      <c r="B1969" s="2">
        <v>44104.0</v>
      </c>
      <c r="C1969" s="1" t="s">
        <v>1018</v>
      </c>
      <c r="D1969" s="1" t="s">
        <v>1019</v>
      </c>
      <c r="F1969" s="1">
        <v>5.41E8</v>
      </c>
      <c r="G1969" s="1">
        <v>3.97E8</v>
      </c>
      <c r="H1969" s="1">
        <v>5.01E8</v>
      </c>
      <c r="I1969" s="1">
        <v>1.155E9</v>
      </c>
      <c r="J1969" s="1">
        <v>6.38E8</v>
      </c>
      <c r="K1969" s="1">
        <v>6.38E8</v>
      </c>
      <c r="L1969" s="1">
        <v>-5.1E7</v>
      </c>
      <c r="M1969" s="1">
        <v>1.43E8</v>
      </c>
      <c r="N1969" s="1">
        <v>5.291E9</v>
      </c>
      <c r="O1969" s="1">
        <v>4.653E9</v>
      </c>
      <c r="P1969" s="1">
        <v>4.136E9</v>
      </c>
      <c r="Q1969" s="1">
        <v>-9.7E7</v>
      </c>
      <c r="R1969" s="1">
        <v>3.98E8</v>
      </c>
      <c r="S1969" s="1">
        <v>3.97E8</v>
      </c>
    </row>
    <row r="1970">
      <c r="A1970" s="1">
        <v>1968.0</v>
      </c>
      <c r="B1970" s="2">
        <v>44377.0</v>
      </c>
      <c r="C1970" s="1" t="s">
        <v>1020</v>
      </c>
      <c r="D1970" s="1" t="s">
        <v>1021</v>
      </c>
      <c r="F1970" s="1">
        <v>4.41E8</v>
      </c>
      <c r="G1970" s="1">
        <v>3.04E8</v>
      </c>
      <c r="H1970" s="1">
        <v>1.13E8</v>
      </c>
      <c r="I1970" s="1">
        <v>1.189E9</v>
      </c>
      <c r="J1970" s="1">
        <v>6.01E8</v>
      </c>
      <c r="K1970" s="1">
        <v>6.01E8</v>
      </c>
      <c r="L1970" s="1">
        <v>-2.98E8</v>
      </c>
      <c r="M1970" s="1">
        <v>1.19E8</v>
      </c>
      <c r="N1970" s="1">
        <v>2.283E9</v>
      </c>
      <c r="O1970" s="1">
        <v>1.682E9</v>
      </c>
      <c r="P1970" s="1">
        <v>1.094E9</v>
      </c>
      <c r="Q1970" s="1">
        <v>-1.6E8</v>
      </c>
      <c r="R1970" s="1">
        <v>3.22E8</v>
      </c>
      <c r="S1970" s="1">
        <v>3.04E8</v>
      </c>
    </row>
    <row r="1971">
      <c r="A1971" s="1">
        <v>1969.0</v>
      </c>
      <c r="B1971" s="2">
        <v>44286.0</v>
      </c>
      <c r="C1971" s="1" t="s">
        <v>1020</v>
      </c>
      <c r="D1971" s="1" t="s">
        <v>1021</v>
      </c>
      <c r="F1971" s="1">
        <v>5.76E8</v>
      </c>
      <c r="G1971" s="1">
        <v>4.26E8</v>
      </c>
      <c r="H1971" s="1">
        <v>1.23E8</v>
      </c>
      <c r="I1971" s="1">
        <v>1.299E9</v>
      </c>
      <c r="J1971" s="1">
        <v>7.39E8</v>
      </c>
      <c r="K1971" s="1">
        <v>7.39E8</v>
      </c>
      <c r="L1971" s="1">
        <v>-2.94E8</v>
      </c>
      <c r="M1971" s="1">
        <v>1.41E8</v>
      </c>
      <c r="N1971" s="1">
        <v>2.612E9</v>
      </c>
      <c r="O1971" s="1">
        <v>1.873E9</v>
      </c>
      <c r="P1971" s="1">
        <v>1.313E9</v>
      </c>
      <c r="Q1971" s="1">
        <v>-1.63E8</v>
      </c>
      <c r="R1971" s="1">
        <v>4.35E8</v>
      </c>
      <c r="S1971" s="1">
        <v>4.25E8</v>
      </c>
    </row>
    <row r="1972">
      <c r="A1972" s="1">
        <v>1970.0</v>
      </c>
      <c r="B1972" s="2">
        <v>44196.0</v>
      </c>
      <c r="C1972" s="1" t="s">
        <v>1020</v>
      </c>
      <c r="D1972" s="1" t="s">
        <v>1021</v>
      </c>
      <c r="F1972" s="1">
        <v>1.85E8</v>
      </c>
      <c r="G1972" s="1">
        <v>1.16E8</v>
      </c>
      <c r="H1972" s="1">
        <v>1.12E8</v>
      </c>
      <c r="I1972" s="1">
        <v>1.242E9</v>
      </c>
      <c r="J1972" s="1">
        <v>7.0E8</v>
      </c>
      <c r="K1972" s="1">
        <v>7.0E8</v>
      </c>
      <c r="L1972" s="1">
        <v>-2.9E8</v>
      </c>
      <c r="M1972" s="1">
        <v>5.5E7</v>
      </c>
      <c r="N1972" s="1">
        <v>2.092E9</v>
      </c>
      <c r="O1972" s="1">
        <v>1.392E9</v>
      </c>
      <c r="P1972" s="1">
        <v>8.5E8</v>
      </c>
      <c r="Q1972" s="1">
        <v>-5.15E8</v>
      </c>
      <c r="R1972" s="1">
        <v>1.3E8</v>
      </c>
      <c r="S1972" s="1">
        <v>1.15E8</v>
      </c>
    </row>
    <row r="1973">
      <c r="A1973" s="1">
        <v>1971.0</v>
      </c>
      <c r="B1973" s="2">
        <v>44104.0</v>
      </c>
      <c r="C1973" s="1" t="s">
        <v>1020</v>
      </c>
      <c r="D1973" s="1" t="s">
        <v>1021</v>
      </c>
      <c r="F1973" s="1">
        <v>4.34E8</v>
      </c>
      <c r="G1973" s="1">
        <v>3.09E8</v>
      </c>
      <c r="H1973" s="1">
        <v>1.15E8</v>
      </c>
      <c r="I1973" s="1">
        <v>1.196E9</v>
      </c>
      <c r="J1973" s="1">
        <v>6.4E8</v>
      </c>
      <c r="K1973" s="1">
        <v>6.4E8</v>
      </c>
      <c r="L1973" s="1">
        <v>-2.92E8</v>
      </c>
      <c r="M1973" s="1">
        <v>1.11E8</v>
      </c>
      <c r="N1973" s="1">
        <v>1.933E9</v>
      </c>
      <c r="O1973" s="1">
        <v>1.293E9</v>
      </c>
      <c r="P1973" s="1">
        <v>7.37E8</v>
      </c>
      <c r="Q1973" s="1">
        <v>-2.06E8</v>
      </c>
      <c r="R1973" s="1">
        <v>3.23E8</v>
      </c>
      <c r="S1973" s="1">
        <v>3.08E8</v>
      </c>
    </row>
    <row r="1974">
      <c r="A1974" s="1">
        <v>1972.0</v>
      </c>
      <c r="B1974" s="2">
        <v>44286.0</v>
      </c>
      <c r="C1974" s="1" t="s">
        <v>1022</v>
      </c>
      <c r="D1974" s="1" t="s">
        <v>1023</v>
      </c>
      <c r="F1974" s="1">
        <v>8.32E8</v>
      </c>
      <c r="G1974" s="1">
        <v>7.33E8</v>
      </c>
      <c r="H1974" s="1">
        <v>5.9E7</v>
      </c>
      <c r="I1974" s="1">
        <v>1.143E9</v>
      </c>
      <c r="J1974" s="1">
        <v>5.52E8</v>
      </c>
      <c r="K1974" s="1">
        <v>5.52E8</v>
      </c>
      <c r="L1974" s="1">
        <v>-5.9E7</v>
      </c>
      <c r="M1974" s="1">
        <v>9.6E7</v>
      </c>
      <c r="N1974" s="1">
        <v>2.59E9</v>
      </c>
      <c r="O1974" s="1">
        <v>2.038E9</v>
      </c>
      <c r="P1974" s="1">
        <v>1.447E9</v>
      </c>
      <c r="Q1974" s="1">
        <v>2.8E8</v>
      </c>
      <c r="R1974" s="1">
        <v>7.36E8</v>
      </c>
      <c r="S1974" s="1">
        <v>7.33E8</v>
      </c>
    </row>
    <row r="1975">
      <c r="A1975" s="1">
        <v>1973.0</v>
      </c>
      <c r="B1975" s="2">
        <v>44196.0</v>
      </c>
      <c r="C1975" s="1" t="s">
        <v>1022</v>
      </c>
      <c r="D1975" s="1" t="s">
        <v>1023</v>
      </c>
      <c r="F1975" s="1">
        <v>6.02E8</v>
      </c>
      <c r="G1975" s="1">
        <v>4.76E8</v>
      </c>
      <c r="H1975" s="1">
        <v>5.9E7</v>
      </c>
      <c r="I1975" s="1">
        <v>1.422E9</v>
      </c>
      <c r="J1975" s="1">
        <v>7.98E8</v>
      </c>
      <c r="K1975" s="1">
        <v>7.98E8</v>
      </c>
      <c r="L1975" s="1">
        <v>-6.0E7</v>
      </c>
      <c r="M1975" s="1">
        <v>1.19E8</v>
      </c>
      <c r="N1975" s="1">
        <v>2.764E9</v>
      </c>
      <c r="O1975" s="1">
        <v>1.966E9</v>
      </c>
      <c r="P1975" s="1">
        <v>1.342E9</v>
      </c>
      <c r="Q1975" s="1">
        <v>-1.96E8</v>
      </c>
      <c r="R1975" s="1">
        <v>4.83E8</v>
      </c>
      <c r="S1975" s="1">
        <v>4.76E8</v>
      </c>
    </row>
    <row r="1976">
      <c r="A1976" s="1">
        <v>1974.0</v>
      </c>
      <c r="B1976" s="2">
        <v>44104.0</v>
      </c>
      <c r="C1976" s="1" t="s">
        <v>1022</v>
      </c>
      <c r="D1976" s="1" t="s">
        <v>1023</v>
      </c>
      <c r="F1976" s="1">
        <v>1.68E8</v>
      </c>
      <c r="G1976" s="1">
        <v>1.21E8</v>
      </c>
      <c r="H1976" s="1">
        <v>6.0E7</v>
      </c>
      <c r="I1976" s="1">
        <v>7.54E8</v>
      </c>
      <c r="J1976" s="1">
        <v>1.91E8</v>
      </c>
      <c r="K1976" s="1">
        <v>1.91E8</v>
      </c>
      <c r="L1976" s="1">
        <v>-6.1E7</v>
      </c>
      <c r="M1976" s="1">
        <v>4.6E7</v>
      </c>
      <c r="N1976" s="1">
        <v>2.009E9</v>
      </c>
      <c r="O1976" s="1">
        <v>1.818E9</v>
      </c>
      <c r="P1976" s="1">
        <v>1.255E9</v>
      </c>
      <c r="Q1976" s="1">
        <v>-2.3E7</v>
      </c>
      <c r="R1976" s="1">
        <v>1.22E8</v>
      </c>
      <c r="S1976" s="1">
        <v>1.21E8</v>
      </c>
    </row>
    <row r="1977">
      <c r="A1977" s="1">
        <v>1975.0</v>
      </c>
      <c r="B1977" s="2">
        <v>44012.0</v>
      </c>
      <c r="C1977" s="1" t="s">
        <v>1022</v>
      </c>
      <c r="D1977" s="1" t="s">
        <v>1023</v>
      </c>
      <c r="F1977" s="1">
        <v>1.77E8</v>
      </c>
      <c r="G1977" s="1">
        <v>9.4E7</v>
      </c>
      <c r="H1977" s="1">
        <v>5.9E7</v>
      </c>
      <c r="I1977" s="1">
        <v>8.22E8</v>
      </c>
      <c r="J1977" s="1">
        <v>2.49E8</v>
      </c>
      <c r="K1977" s="1">
        <v>2.49E8</v>
      </c>
      <c r="L1977" s="1">
        <v>-6.2E7</v>
      </c>
      <c r="M1977" s="1">
        <v>7.5E7</v>
      </c>
      <c r="N1977" s="1">
        <v>2.113E9</v>
      </c>
      <c r="O1977" s="1">
        <v>1.864E9</v>
      </c>
      <c r="P1977" s="1">
        <v>1.291E9</v>
      </c>
      <c r="Q1977" s="1">
        <v>-7.2E7</v>
      </c>
      <c r="R1977" s="1">
        <v>1.02E8</v>
      </c>
      <c r="S1977" s="1">
        <v>9.4E7</v>
      </c>
    </row>
    <row r="1978">
      <c r="A1978" s="1">
        <v>1976.0</v>
      </c>
      <c r="B1978" s="2">
        <v>44377.0</v>
      </c>
      <c r="C1978" s="1" t="s">
        <v>1024</v>
      </c>
      <c r="D1978" s="1" t="s">
        <v>1025</v>
      </c>
      <c r="F1978" s="1">
        <v>-1.727E8</v>
      </c>
      <c r="G1978" s="1">
        <v>-1.31369E8</v>
      </c>
      <c r="H1978" s="1">
        <v>1.97545E8</v>
      </c>
      <c r="I1978" s="1">
        <v>5.94118E8</v>
      </c>
      <c r="J1978" s="1">
        <v>-2.5921E7</v>
      </c>
      <c r="K1978" s="1">
        <v>-2.5921E7</v>
      </c>
      <c r="L1978" s="1">
        <v>-1.50424E8</v>
      </c>
      <c r="M1978" s="1">
        <v>697000.0</v>
      </c>
      <c r="N1978" s="1">
        <v>9.90113E8</v>
      </c>
      <c r="O1978" s="1">
        <v>1.016034E9</v>
      </c>
      <c r="P1978" s="1">
        <v>3.95995E8</v>
      </c>
      <c r="Q1978" s="1">
        <v>-1.46779E8</v>
      </c>
      <c r="R1978" s="1">
        <v>-1.73397E8</v>
      </c>
      <c r="S1978" s="1">
        <v>-1.31369E8</v>
      </c>
    </row>
    <row r="1979">
      <c r="A1979" s="1">
        <v>1977.0</v>
      </c>
      <c r="B1979" s="2">
        <v>44286.0</v>
      </c>
      <c r="C1979" s="1" t="s">
        <v>1024</v>
      </c>
      <c r="D1979" s="1" t="s">
        <v>1025</v>
      </c>
      <c r="F1979" s="1">
        <v>-3.35686E8</v>
      </c>
      <c r="G1979" s="1">
        <v>-2.80978E8</v>
      </c>
      <c r="H1979" s="1">
        <v>1.79774E8</v>
      </c>
      <c r="I1979" s="1">
        <v>4.18774E8</v>
      </c>
      <c r="J1979" s="1">
        <v>-1.72632E8</v>
      </c>
      <c r="K1979" s="1">
        <v>-1.72632E8</v>
      </c>
      <c r="L1979" s="1">
        <v>-1.52852E8</v>
      </c>
      <c r="M1979" s="1">
        <v>493000.0</v>
      </c>
      <c r="N1979" s="1">
        <v>7.36682E8</v>
      </c>
      <c r="O1979" s="1">
        <v>9.09314E8</v>
      </c>
      <c r="P1979" s="1">
        <v>3.17908E8</v>
      </c>
      <c r="Q1979" s="1">
        <v>-1.63054E8</v>
      </c>
      <c r="R1979" s="1">
        <v>-3.36179E8</v>
      </c>
      <c r="S1979" s="1">
        <v>-2.80978E8</v>
      </c>
    </row>
    <row r="1980">
      <c r="A1980" s="1">
        <v>1978.0</v>
      </c>
      <c r="B1980" s="2">
        <v>44196.0</v>
      </c>
      <c r="C1980" s="1" t="s">
        <v>1024</v>
      </c>
      <c r="D1980" s="1" t="s">
        <v>1025</v>
      </c>
      <c r="F1980" s="1">
        <v>-3.09723E8</v>
      </c>
      <c r="G1980" s="1">
        <v>-2.69502E8</v>
      </c>
      <c r="H1980" s="1">
        <v>1.73544E8</v>
      </c>
      <c r="I1980" s="1">
        <v>4.0241E8</v>
      </c>
      <c r="J1980" s="1">
        <v>-1.19911E8</v>
      </c>
      <c r="K1980" s="1">
        <v>-1.19911E8</v>
      </c>
      <c r="L1980" s="1">
        <v>-1.49287E8</v>
      </c>
      <c r="M1980" s="1">
        <v>568000.0</v>
      </c>
      <c r="N1980" s="1">
        <v>6.85995E8</v>
      </c>
      <c r="O1980" s="1">
        <v>8.05906E8</v>
      </c>
      <c r="P1980" s="1">
        <v>2.83585E8</v>
      </c>
      <c r="Q1980" s="1">
        <v>-1.89812E8</v>
      </c>
      <c r="R1980" s="1">
        <v>-3.10291E8</v>
      </c>
      <c r="S1980" s="1">
        <v>-2.69502E8</v>
      </c>
    </row>
    <row r="1981">
      <c r="A1981" s="1">
        <v>1979.0</v>
      </c>
      <c r="B1981" s="2">
        <v>44104.0</v>
      </c>
      <c r="C1981" s="1" t="s">
        <v>1024</v>
      </c>
      <c r="D1981" s="1" t="s">
        <v>1025</v>
      </c>
      <c r="F1981" s="1">
        <v>-4.24168E8</v>
      </c>
      <c r="G1981" s="1">
        <v>-7.58142E8</v>
      </c>
      <c r="H1981" s="1">
        <v>1.60896E8</v>
      </c>
      <c r="I1981" s="1">
        <v>1.49845E8</v>
      </c>
      <c r="J1981" s="1">
        <v>-2.75707E8</v>
      </c>
      <c r="K1981" s="1">
        <v>-2.75707E8</v>
      </c>
      <c r="L1981" s="1">
        <v>-1.45142E8</v>
      </c>
      <c r="M1981" s="1">
        <v>4.07365E8</v>
      </c>
      <c r="N1981" s="1">
        <v>3.70452E8</v>
      </c>
      <c r="O1981" s="1">
        <v>6.46159E8</v>
      </c>
      <c r="P1981" s="1">
        <v>2.20607E8</v>
      </c>
      <c r="Q1981" s="1">
        <v>-1.48461E8</v>
      </c>
      <c r="R1981" s="1">
        <v>-8.31533E8</v>
      </c>
      <c r="S1981" s="1">
        <v>-7.58142E8</v>
      </c>
    </row>
    <row r="1982">
      <c r="A1982" s="1">
        <v>1980.0</v>
      </c>
      <c r="B1982" s="2">
        <v>44469.0</v>
      </c>
      <c r="C1982" s="1" t="s">
        <v>1026</v>
      </c>
      <c r="D1982" s="1" t="s">
        <v>1027</v>
      </c>
      <c r="F1982" s="1">
        <v>6.52E8</v>
      </c>
      <c r="G1982" s="1">
        <v>6.09E8</v>
      </c>
      <c r="H1982" s="1">
        <v>5.6E7</v>
      </c>
      <c r="I1982" s="1">
        <v>1.57E9</v>
      </c>
      <c r="J1982" s="1">
        <v>8.25E8</v>
      </c>
      <c r="K1982" s="1">
        <v>8.25E8</v>
      </c>
      <c r="L1982" s="1">
        <v>-2.11E8</v>
      </c>
      <c r="M1982" s="1">
        <v>4.3E7</v>
      </c>
      <c r="N1982" s="1">
        <v>3.467E9</v>
      </c>
      <c r="O1982" s="1">
        <v>2.642E9</v>
      </c>
      <c r="P1982" s="1">
        <v>1.897E9</v>
      </c>
      <c r="Q1982" s="1">
        <v>-1.73E8</v>
      </c>
      <c r="R1982" s="1">
        <v>6.09E8</v>
      </c>
      <c r="S1982" s="1">
        <v>6.09E8</v>
      </c>
    </row>
    <row r="1983">
      <c r="A1983" s="1">
        <v>1981.0</v>
      </c>
      <c r="B1983" s="2">
        <v>44377.0</v>
      </c>
      <c r="C1983" s="1" t="s">
        <v>1026</v>
      </c>
      <c r="D1983" s="1" t="s">
        <v>1027</v>
      </c>
      <c r="F1983" s="1">
        <v>2.73E8</v>
      </c>
      <c r="G1983" s="1">
        <v>3.11E8</v>
      </c>
      <c r="H1983" s="1">
        <v>5.5E7</v>
      </c>
      <c r="I1983" s="1">
        <v>1.179E9</v>
      </c>
      <c r="J1983" s="1">
        <v>4.39E8</v>
      </c>
      <c r="K1983" s="1">
        <v>4.39E8</v>
      </c>
      <c r="L1983" s="1">
        <v>-2.12E8</v>
      </c>
      <c r="M1983" s="1">
        <v>-3.8E7</v>
      </c>
      <c r="N1983" s="1">
        <v>3.068E9</v>
      </c>
      <c r="O1983" s="1">
        <v>2.629E9</v>
      </c>
      <c r="P1983" s="1">
        <v>1.889E9</v>
      </c>
      <c r="Q1983" s="1">
        <v>-1.66E8</v>
      </c>
      <c r="R1983" s="1">
        <v>3.11E8</v>
      </c>
      <c r="S1983" s="1">
        <v>3.11E8</v>
      </c>
    </row>
    <row r="1984">
      <c r="A1984" s="1">
        <v>1982.0</v>
      </c>
      <c r="B1984" s="2">
        <v>44286.0</v>
      </c>
      <c r="C1984" s="1" t="s">
        <v>1026</v>
      </c>
      <c r="D1984" s="1" t="s">
        <v>1027</v>
      </c>
      <c r="F1984" s="1">
        <v>3.4E8</v>
      </c>
      <c r="G1984" s="1">
        <v>3.62E8</v>
      </c>
      <c r="H1984" s="1">
        <v>5.8E7</v>
      </c>
      <c r="I1984" s="1">
        <v>1.249E9</v>
      </c>
      <c r="J1984" s="1">
        <v>5.07E8</v>
      </c>
      <c r="K1984" s="1">
        <v>5.07E8</v>
      </c>
      <c r="L1984" s="1">
        <v>-2.05E8</v>
      </c>
      <c r="M1984" s="1">
        <v>-2.2E7</v>
      </c>
      <c r="N1984" s="1">
        <v>3.541E9</v>
      </c>
      <c r="O1984" s="1">
        <v>3.034E9</v>
      </c>
      <c r="P1984" s="1">
        <v>2.292E9</v>
      </c>
      <c r="Q1984" s="1">
        <v>-1.67E8</v>
      </c>
      <c r="R1984" s="1">
        <v>3.62E8</v>
      </c>
      <c r="S1984" s="1">
        <v>3.62E8</v>
      </c>
    </row>
    <row r="1985">
      <c r="A1985" s="1">
        <v>1983.0</v>
      </c>
      <c r="B1985" s="2">
        <v>44196.0</v>
      </c>
      <c r="C1985" s="1" t="s">
        <v>1026</v>
      </c>
      <c r="D1985" s="1" t="s">
        <v>1027</v>
      </c>
      <c r="F1985" s="1">
        <v>2.58E8</v>
      </c>
      <c r="G1985" s="1">
        <v>2.88E8</v>
      </c>
      <c r="H1985" s="1">
        <v>2.41E8</v>
      </c>
      <c r="I1985" s="1">
        <v>1.322E9</v>
      </c>
      <c r="J1985" s="1">
        <v>4.23E8</v>
      </c>
      <c r="K1985" s="1">
        <v>4.23E8</v>
      </c>
      <c r="L1985" s="1">
        <v>-2.12E8</v>
      </c>
      <c r="M1985" s="1">
        <v>-3.0E7</v>
      </c>
      <c r="N1985" s="1">
        <v>2.947E9</v>
      </c>
      <c r="O1985" s="1">
        <v>2.524E9</v>
      </c>
      <c r="P1985" s="1">
        <v>1.625E9</v>
      </c>
      <c r="Q1985" s="1">
        <v>-1.65E8</v>
      </c>
      <c r="R1985" s="1">
        <v>2.88E8</v>
      </c>
      <c r="S1985" s="1">
        <v>2.88E8</v>
      </c>
    </row>
    <row r="1986">
      <c r="A1986" s="1">
        <v>1984.0</v>
      </c>
      <c r="B1986" s="2">
        <v>44380.0</v>
      </c>
      <c r="C1986" s="1" t="s">
        <v>1028</v>
      </c>
      <c r="D1986" s="1" t="s">
        <v>1029</v>
      </c>
      <c r="E1986" s="1">
        <v>2.47975E8</v>
      </c>
      <c r="F1986" s="1">
        <v>2.11363E8</v>
      </c>
      <c r="G1986" s="1">
        <v>2.06341E8</v>
      </c>
      <c r="H1986" s="1">
        <v>1.2492E8</v>
      </c>
      <c r="I1986" s="1">
        <v>5.95165E8</v>
      </c>
      <c r="J1986" s="1">
        <v>2.10363E8</v>
      </c>
      <c r="K1986" s="1">
        <v>2.10363E8</v>
      </c>
      <c r="L1986" s="1">
        <v>-1.0276E7</v>
      </c>
      <c r="M1986" s="1">
        <v>5022000.0</v>
      </c>
      <c r="N1986" s="1">
        <v>8.78606E8</v>
      </c>
      <c r="O1986" s="1">
        <v>6.68243E8</v>
      </c>
      <c r="P1986" s="1">
        <v>2.83441E8</v>
      </c>
      <c r="Q1986" s="1">
        <v>1000000.0</v>
      </c>
      <c r="R1986" s="1">
        <v>2.06341E8</v>
      </c>
      <c r="S1986" s="1">
        <v>2.06341E8</v>
      </c>
    </row>
    <row r="1987">
      <c r="A1987" s="1">
        <v>1985.0</v>
      </c>
      <c r="B1987" s="2">
        <v>44289.0</v>
      </c>
      <c r="C1987" s="1" t="s">
        <v>1028</v>
      </c>
      <c r="D1987" s="1" t="s">
        <v>1029</v>
      </c>
      <c r="E1987" s="1">
        <v>2.39863E8</v>
      </c>
      <c r="F1987" s="1">
        <v>1.95536E8</v>
      </c>
      <c r="G1987" s="1">
        <v>1.87883E8</v>
      </c>
      <c r="H1987" s="1">
        <v>1.27872E8</v>
      </c>
      <c r="I1987" s="1">
        <v>5.78136E8</v>
      </c>
      <c r="J1987" s="1">
        <v>1.99782E8</v>
      </c>
      <c r="K1987" s="1">
        <v>1.99782E8</v>
      </c>
      <c r="L1987" s="1">
        <v>-1.3578E7</v>
      </c>
      <c r="M1987" s="1">
        <v>7653000.0</v>
      </c>
      <c r="N1987" s="1">
        <v>8.50987E8</v>
      </c>
      <c r="O1987" s="1">
        <v>6.51205E8</v>
      </c>
      <c r="P1987" s="1">
        <v>2.72851E8</v>
      </c>
      <c r="Q1987" s="1">
        <v>-4246000.0</v>
      </c>
      <c r="R1987" s="1">
        <v>1.87883E8</v>
      </c>
      <c r="S1987" s="1">
        <v>1.87883E8</v>
      </c>
    </row>
    <row r="1988">
      <c r="A1988" s="1">
        <v>1986.0</v>
      </c>
      <c r="B1988" s="2">
        <v>44198.0</v>
      </c>
      <c r="C1988" s="1" t="s">
        <v>1028</v>
      </c>
      <c r="D1988" s="1" t="s">
        <v>1029</v>
      </c>
      <c r="E1988" s="1">
        <v>2.35018E8</v>
      </c>
      <c r="F1988" s="1">
        <v>1.76134E8</v>
      </c>
      <c r="G1988" s="1">
        <v>1.70972E8</v>
      </c>
      <c r="H1988" s="1">
        <v>1.36701E8</v>
      </c>
      <c r="I1988" s="1">
        <v>5.53875E8</v>
      </c>
      <c r="J1988" s="1">
        <v>1.72425E8</v>
      </c>
      <c r="K1988" s="1">
        <v>1.72425E8</v>
      </c>
      <c r="L1988" s="1">
        <v>-1.4228E7</v>
      </c>
      <c r="M1988" s="1">
        <v>5162000.0</v>
      </c>
      <c r="N1988" s="1">
        <v>8.03404E8</v>
      </c>
      <c r="O1988" s="1">
        <v>6.30979E8</v>
      </c>
      <c r="P1988" s="1">
        <v>2.49529E8</v>
      </c>
      <c r="Q1988" s="1">
        <v>3709000.0</v>
      </c>
      <c r="R1988" s="1">
        <v>1.70972E8</v>
      </c>
      <c r="S1988" s="1">
        <v>1.70972E8</v>
      </c>
    </row>
    <row r="1989">
      <c r="A1989" s="1">
        <v>1987.0</v>
      </c>
      <c r="B1989" s="2">
        <v>44100.0</v>
      </c>
      <c r="C1989" s="1" t="s">
        <v>1028</v>
      </c>
      <c r="D1989" s="1" t="s">
        <v>1029</v>
      </c>
      <c r="E1989" s="1">
        <v>2.19647E8</v>
      </c>
      <c r="F1989" s="1">
        <v>1.94646E8</v>
      </c>
      <c r="G1989" s="1">
        <v>1.93816E8</v>
      </c>
      <c r="H1989" s="1">
        <v>1.13793E8</v>
      </c>
      <c r="I1989" s="1">
        <v>5.48415E8</v>
      </c>
      <c r="J1989" s="1">
        <v>2.05417E8</v>
      </c>
      <c r="K1989" s="1">
        <v>2.05417E8</v>
      </c>
      <c r="L1989" s="1">
        <v>-1.4226E7</v>
      </c>
      <c r="M1989" s="1">
        <v>830000.0</v>
      </c>
      <c r="N1989" s="1">
        <v>7.66535E8</v>
      </c>
      <c r="O1989" s="1">
        <v>5.61118E8</v>
      </c>
      <c r="P1989" s="1">
        <v>2.1812E8</v>
      </c>
      <c r="Q1989" s="1">
        <v>-1.0771E7</v>
      </c>
      <c r="R1989" s="1">
        <v>1.93816E8</v>
      </c>
      <c r="S1989" s="1">
        <v>1.93816E8</v>
      </c>
    </row>
    <row r="1990">
      <c r="A1990" s="1">
        <v>1988.0</v>
      </c>
      <c r="B1990" s="2">
        <v>44377.0</v>
      </c>
      <c r="C1990" s="1" t="s">
        <v>1030</v>
      </c>
      <c r="D1990" s="1" t="s">
        <v>1031</v>
      </c>
      <c r="E1990" s="1">
        <v>5.3E7</v>
      </c>
      <c r="F1990" s="1">
        <v>1.38E8</v>
      </c>
      <c r="G1990" s="1">
        <v>1.13E8</v>
      </c>
      <c r="H1990" s="1">
        <v>3.09E8</v>
      </c>
      <c r="I1990" s="1">
        <v>5.2E8</v>
      </c>
      <c r="J1990" s="1">
        <v>1.58E8</v>
      </c>
      <c r="K1990" s="1">
        <v>1.58E8</v>
      </c>
      <c r="L1990" s="1">
        <v>-2.1E7</v>
      </c>
      <c r="M1990" s="1">
        <v>2.5E7</v>
      </c>
      <c r="N1990" s="1">
        <v>1.351E9</v>
      </c>
      <c r="O1990" s="1">
        <v>1.193E9</v>
      </c>
      <c r="P1990" s="1">
        <v>8.31E8</v>
      </c>
      <c r="Q1990" s="1">
        <v>-2.0E7</v>
      </c>
      <c r="R1990" s="1">
        <v>1.13E8</v>
      </c>
      <c r="S1990" s="1">
        <v>1.13E8</v>
      </c>
    </row>
    <row r="1991">
      <c r="A1991" s="1">
        <v>1989.0</v>
      </c>
      <c r="B1991" s="2">
        <v>44286.0</v>
      </c>
      <c r="C1991" s="1" t="s">
        <v>1030</v>
      </c>
      <c r="D1991" s="1" t="s">
        <v>1031</v>
      </c>
      <c r="E1991" s="1">
        <v>5.0E7</v>
      </c>
      <c r="F1991" s="1">
        <v>1.14E8</v>
      </c>
      <c r="G1991" s="1">
        <v>8.7E7</v>
      </c>
      <c r="H1991" s="1">
        <v>3.04E8</v>
      </c>
      <c r="I1991" s="1">
        <v>4.9E8</v>
      </c>
      <c r="J1991" s="1">
        <v>1.36E8</v>
      </c>
      <c r="K1991" s="1">
        <v>1.36E8</v>
      </c>
      <c r="L1991" s="1">
        <v>-2.1E7</v>
      </c>
      <c r="M1991" s="1">
        <v>2.7E7</v>
      </c>
      <c r="N1991" s="1">
        <v>1.256E9</v>
      </c>
      <c r="O1991" s="1">
        <v>1.12E9</v>
      </c>
      <c r="P1991" s="1">
        <v>7.66E8</v>
      </c>
      <c r="Q1991" s="1">
        <v>-2.2E7</v>
      </c>
      <c r="R1991" s="1">
        <v>8.7E7</v>
      </c>
      <c r="S1991" s="1">
        <v>8.7E7</v>
      </c>
    </row>
    <row r="1992">
      <c r="A1992" s="1">
        <v>1990.0</v>
      </c>
      <c r="B1992" s="2">
        <v>44196.0</v>
      </c>
      <c r="C1992" s="1" t="s">
        <v>1030</v>
      </c>
      <c r="D1992" s="1" t="s">
        <v>1031</v>
      </c>
      <c r="E1992" s="1">
        <v>4.9E7</v>
      </c>
      <c r="F1992" s="1">
        <v>1.58E8</v>
      </c>
      <c r="G1992" s="1">
        <v>1.48E8</v>
      </c>
      <c r="H1992" s="1">
        <v>2.96E8</v>
      </c>
      <c r="I1992" s="1">
        <v>5.32E8</v>
      </c>
      <c r="J1992" s="1">
        <v>1.87E8</v>
      </c>
      <c r="K1992" s="1">
        <v>1.87E8</v>
      </c>
      <c r="L1992" s="1">
        <v>-2.1E7</v>
      </c>
      <c r="M1992" s="1">
        <v>1.0E7</v>
      </c>
      <c r="N1992" s="1">
        <v>1.373E9</v>
      </c>
      <c r="O1992" s="1">
        <v>1.186E9</v>
      </c>
      <c r="P1992" s="1">
        <v>8.41E8</v>
      </c>
      <c r="Q1992" s="1">
        <v>-2.9E7</v>
      </c>
      <c r="R1992" s="1">
        <v>1.48E8</v>
      </c>
      <c r="S1992" s="1">
        <v>1.48E8</v>
      </c>
    </row>
    <row r="1993">
      <c r="A1993" s="1">
        <v>1991.0</v>
      </c>
      <c r="B1993" s="2">
        <v>44104.0</v>
      </c>
      <c r="C1993" s="1" t="s">
        <v>1030</v>
      </c>
      <c r="D1993" s="1" t="s">
        <v>1031</v>
      </c>
      <c r="E1993" s="1">
        <v>4.5E7</v>
      </c>
      <c r="F1993" s="1">
        <v>5.0E7</v>
      </c>
      <c r="G1993" s="1">
        <v>3.7E7</v>
      </c>
      <c r="H1993" s="1">
        <v>2.69E8</v>
      </c>
      <c r="I1993" s="1">
        <v>4.61E8</v>
      </c>
      <c r="J1993" s="1">
        <v>1.47E8</v>
      </c>
      <c r="K1993" s="1">
        <v>1.47E8</v>
      </c>
      <c r="L1993" s="1">
        <v>-2.2E7</v>
      </c>
      <c r="M1993" s="1">
        <v>1.3E7</v>
      </c>
      <c r="N1993" s="1">
        <v>1.22E9</v>
      </c>
      <c r="O1993" s="1">
        <v>1.073E9</v>
      </c>
      <c r="P1993" s="1">
        <v>7.59E8</v>
      </c>
      <c r="Q1993" s="1">
        <v>-9.7E7</v>
      </c>
      <c r="R1993" s="1">
        <v>3.7E7</v>
      </c>
      <c r="S1993" s="1">
        <v>3.7E7</v>
      </c>
    </row>
    <row r="1994">
      <c r="A1994" s="1">
        <v>1992.0</v>
      </c>
      <c r="B1994" s="2">
        <v>44377.0</v>
      </c>
      <c r="C1994" s="1" t="s">
        <v>1032</v>
      </c>
      <c r="D1994" s="1" t="s">
        <v>1033</v>
      </c>
      <c r="F1994" s="1">
        <v>4.07E8</v>
      </c>
      <c r="G1994" s="1">
        <v>3.91E8</v>
      </c>
      <c r="H1994" s="1">
        <v>2.31E8</v>
      </c>
      <c r="I1994" s="1">
        <v>7.86E8</v>
      </c>
      <c r="J1994" s="1">
        <v>5.6E8</v>
      </c>
      <c r="K1994" s="1">
        <v>5.6E8</v>
      </c>
      <c r="L1994" s="1">
        <v>-1.25E8</v>
      </c>
      <c r="M1994" s="1">
        <v>1.6E7</v>
      </c>
      <c r="N1994" s="1">
        <v>1.602E9</v>
      </c>
      <c r="O1994" s="1">
        <v>1.042E9</v>
      </c>
      <c r="P1994" s="1">
        <v>8.16E8</v>
      </c>
      <c r="Q1994" s="1">
        <v>-1.53E8</v>
      </c>
      <c r="R1994" s="1">
        <v>3.91E8</v>
      </c>
      <c r="S1994" s="1">
        <v>3.91E8</v>
      </c>
    </row>
    <row r="1995">
      <c r="A1995" s="1">
        <v>1993.0</v>
      </c>
      <c r="B1995" s="2">
        <v>44286.0</v>
      </c>
      <c r="C1995" s="1" t="s">
        <v>1032</v>
      </c>
      <c r="D1995" s="1" t="s">
        <v>1033</v>
      </c>
      <c r="F1995" s="1">
        <v>4.09E8</v>
      </c>
      <c r="G1995" s="1">
        <v>3.26E8</v>
      </c>
      <c r="H1995" s="1">
        <v>2.09E8</v>
      </c>
      <c r="I1995" s="1">
        <v>7.28E8</v>
      </c>
      <c r="J1995" s="1">
        <v>5.32E8</v>
      </c>
      <c r="K1995" s="1">
        <v>5.32E8</v>
      </c>
      <c r="L1995" s="1">
        <v>-1.19E8</v>
      </c>
      <c r="M1995" s="1">
        <v>8.3E7</v>
      </c>
      <c r="N1995" s="1">
        <v>1.486E9</v>
      </c>
      <c r="O1995" s="1">
        <v>9.54E8</v>
      </c>
      <c r="P1995" s="1">
        <v>7.58E8</v>
      </c>
      <c r="Q1995" s="1">
        <v>-1.23E8</v>
      </c>
      <c r="R1995" s="1">
        <v>3.26E8</v>
      </c>
      <c r="S1995" s="1">
        <v>3.26E8</v>
      </c>
    </row>
    <row r="1996">
      <c r="A1996" s="1">
        <v>1994.0</v>
      </c>
      <c r="B1996" s="2">
        <v>44196.0</v>
      </c>
      <c r="C1996" s="1" t="s">
        <v>1032</v>
      </c>
      <c r="D1996" s="1" t="s">
        <v>1033</v>
      </c>
      <c r="F1996" s="1">
        <v>3.52E8</v>
      </c>
      <c r="G1996" s="1">
        <v>3.32E8</v>
      </c>
      <c r="H1996" s="1">
        <v>3.31E8</v>
      </c>
      <c r="I1996" s="1">
        <v>8.23E8</v>
      </c>
      <c r="J1996" s="1">
        <v>4.96E8</v>
      </c>
      <c r="K1996" s="1">
        <v>4.96E8</v>
      </c>
      <c r="L1996" s="1">
        <v>-1.47E8</v>
      </c>
      <c r="M1996" s="1">
        <v>2.0E7</v>
      </c>
      <c r="N1996" s="1">
        <v>1.743E9</v>
      </c>
      <c r="O1996" s="1">
        <v>1.247E9</v>
      </c>
      <c r="P1996" s="1">
        <v>9.2E8</v>
      </c>
      <c r="Q1996" s="1">
        <v>-1.44E8</v>
      </c>
      <c r="R1996" s="1">
        <v>3.32E8</v>
      </c>
      <c r="S1996" s="1">
        <v>3.32E8</v>
      </c>
    </row>
    <row r="1997">
      <c r="A1997" s="1">
        <v>1995.0</v>
      </c>
      <c r="B1997" s="2">
        <v>44104.0</v>
      </c>
      <c r="C1997" s="1" t="s">
        <v>1032</v>
      </c>
      <c r="D1997" s="1" t="s">
        <v>1033</v>
      </c>
      <c r="F1997" s="1">
        <v>3.16E8</v>
      </c>
      <c r="G1997" s="1">
        <v>2.83E8</v>
      </c>
      <c r="H1997" s="1">
        <v>2.28E8</v>
      </c>
      <c r="I1997" s="1">
        <v>7.23E8</v>
      </c>
      <c r="J1997" s="1">
        <v>5.02E8</v>
      </c>
      <c r="K1997" s="1">
        <v>5.02E8</v>
      </c>
      <c r="L1997" s="1">
        <v>-1.61E8</v>
      </c>
      <c r="M1997" s="1">
        <v>3.3E7</v>
      </c>
      <c r="N1997" s="1">
        <v>1.448E9</v>
      </c>
      <c r="O1997" s="1">
        <v>9.46E8</v>
      </c>
      <c r="P1997" s="1">
        <v>7.25E8</v>
      </c>
      <c r="Q1997" s="1">
        <v>-1.86E8</v>
      </c>
      <c r="R1997" s="1">
        <v>2.83E8</v>
      </c>
      <c r="S1997" s="1">
        <v>2.83E8</v>
      </c>
    </row>
    <row r="1998">
      <c r="A1998" s="1">
        <v>1996.0</v>
      </c>
      <c r="B1998" s="2">
        <v>44380.0</v>
      </c>
      <c r="C1998" s="1" t="s">
        <v>1034</v>
      </c>
      <c r="D1998" s="1" t="s">
        <v>1035</v>
      </c>
      <c r="E1998" s="1">
        <v>1.41E8</v>
      </c>
      <c r="F1998" s="1">
        <v>2.38E8</v>
      </c>
      <c r="G1998" s="1">
        <v>2.19E8</v>
      </c>
      <c r="H1998" s="1">
        <v>2.4E8</v>
      </c>
      <c r="I1998" s="1">
        <v>6.58E8</v>
      </c>
      <c r="J1998" s="1">
        <v>2.51E8</v>
      </c>
      <c r="K1998" s="1">
        <v>2.51E8</v>
      </c>
      <c r="L1998" s="1">
        <v>-7000000.0</v>
      </c>
      <c r="M1998" s="1">
        <v>1.9E7</v>
      </c>
      <c r="N1998" s="1">
        <v>1.377E9</v>
      </c>
      <c r="O1998" s="1">
        <v>1.126E9</v>
      </c>
      <c r="P1998" s="1">
        <v>7.19E8</v>
      </c>
      <c r="Q1998" s="1">
        <v>-1.3E7</v>
      </c>
      <c r="R1998" s="1">
        <v>2.19E8</v>
      </c>
      <c r="S1998" s="1">
        <v>2.19E8</v>
      </c>
    </row>
    <row r="1999">
      <c r="A1999" s="1">
        <v>1997.0</v>
      </c>
      <c r="B1999" s="2">
        <v>44289.0</v>
      </c>
      <c r="C1999" s="1" t="s">
        <v>1034</v>
      </c>
      <c r="D1999" s="1" t="s">
        <v>1035</v>
      </c>
      <c r="E1999" s="1">
        <v>1.4E8</v>
      </c>
      <c r="F1999" s="1">
        <v>2.76E8</v>
      </c>
      <c r="G1999" s="1">
        <v>2.28E8</v>
      </c>
      <c r="H1999" s="1">
        <v>2.16E8</v>
      </c>
      <c r="I1999" s="1">
        <v>6.55E8</v>
      </c>
      <c r="J1999" s="1">
        <v>2.73E8</v>
      </c>
      <c r="K1999" s="1">
        <v>2.73E8</v>
      </c>
      <c r="L1999" s="1">
        <v>-7000000.0</v>
      </c>
      <c r="M1999" s="1">
        <v>4.8E7</v>
      </c>
      <c r="N1999" s="1">
        <v>1.347E9</v>
      </c>
      <c r="O1999" s="1">
        <v>1.074E9</v>
      </c>
      <c r="P1999" s="1">
        <v>6.92E8</v>
      </c>
      <c r="Q1999" s="1">
        <v>3000000.0</v>
      </c>
      <c r="R1999" s="1">
        <v>2.28E8</v>
      </c>
      <c r="S1999" s="1">
        <v>2.28E8</v>
      </c>
    </row>
    <row r="2000">
      <c r="A2000" s="1">
        <v>1998.0</v>
      </c>
      <c r="B2000" s="2">
        <v>44196.0</v>
      </c>
      <c r="C2000" s="1" t="s">
        <v>1034</v>
      </c>
      <c r="D2000" s="1" t="s">
        <v>1035</v>
      </c>
      <c r="E2000" s="1">
        <v>1.37E8</v>
      </c>
      <c r="F2000" s="1">
        <v>2.16E8</v>
      </c>
      <c r="G2000" s="1">
        <v>1.99E8</v>
      </c>
      <c r="H2000" s="1">
        <v>2.18E8</v>
      </c>
      <c r="I2000" s="1">
        <v>6.18E8</v>
      </c>
      <c r="J2000" s="1">
        <v>2.37E8</v>
      </c>
      <c r="K2000" s="1">
        <v>2.37E8</v>
      </c>
      <c r="L2000" s="1">
        <v>-7000000.0</v>
      </c>
      <c r="M2000" s="1">
        <v>1.7E7</v>
      </c>
      <c r="N2000" s="1">
        <v>1.308E9</v>
      </c>
      <c r="O2000" s="1">
        <v>1.071E9</v>
      </c>
      <c r="P2000" s="1">
        <v>6.9E8</v>
      </c>
      <c r="Q2000" s="1">
        <v>-2.1E7</v>
      </c>
      <c r="R2000" s="1">
        <v>1.99E8</v>
      </c>
      <c r="S2000" s="1">
        <v>1.99E8</v>
      </c>
    </row>
    <row r="2001">
      <c r="A2001" s="1">
        <v>1999.0</v>
      </c>
      <c r="B2001" s="2">
        <v>44100.0</v>
      </c>
      <c r="C2001" s="1" t="s">
        <v>1034</v>
      </c>
      <c r="D2001" s="1" t="s">
        <v>1035</v>
      </c>
      <c r="E2001" s="1">
        <v>1.13E8</v>
      </c>
      <c r="F2001" s="1">
        <v>1.38E8</v>
      </c>
      <c r="G2001" s="1">
        <v>1.16E8</v>
      </c>
      <c r="H2001" s="1">
        <v>1.9E8</v>
      </c>
      <c r="I2001" s="1">
        <v>4.93E8</v>
      </c>
      <c r="J2001" s="1">
        <v>1.7E8</v>
      </c>
      <c r="K2001" s="1">
        <v>1.7E8</v>
      </c>
      <c r="L2001" s="1">
        <v>-1.0E7</v>
      </c>
      <c r="M2001" s="1">
        <v>2.2E7</v>
      </c>
      <c r="N2001" s="1">
        <v>1.132E9</v>
      </c>
      <c r="O2001" s="1">
        <v>9.62E8</v>
      </c>
      <c r="P2001" s="1">
        <v>6.39E8</v>
      </c>
      <c r="Q2001" s="1">
        <v>-3.2E7</v>
      </c>
      <c r="R2001" s="1">
        <v>1.16E8</v>
      </c>
      <c r="S2001" s="1">
        <v>1.16E8</v>
      </c>
    </row>
    <row r="2002">
      <c r="A2002" s="1">
        <v>2000.0</v>
      </c>
      <c r="B2002" s="2">
        <v>44377.0</v>
      </c>
      <c r="C2002" s="1" t="s">
        <v>1036</v>
      </c>
      <c r="D2002" s="1" t="s">
        <v>1037</v>
      </c>
      <c r="E2002" s="1">
        <v>1.805E8</v>
      </c>
      <c r="F2002" s="1">
        <v>1.739E8</v>
      </c>
      <c r="G2002" s="1">
        <v>1.419E8</v>
      </c>
      <c r="H2002" s="1">
        <v>8.12E8</v>
      </c>
      <c r="I2002" s="1">
        <v>1.4532E9</v>
      </c>
      <c r="J2002" s="1">
        <v>3.061E8</v>
      </c>
      <c r="K2002" s="1">
        <v>3.061E8</v>
      </c>
      <c r="L2002" s="1">
        <v>-5.47E7</v>
      </c>
      <c r="M2002" s="1">
        <v>3.14E7</v>
      </c>
      <c r="N2002" s="1">
        <v>2.0269E9</v>
      </c>
      <c r="O2002" s="1">
        <v>1.7208E9</v>
      </c>
      <c r="P2002" s="1">
        <v>5.737E8</v>
      </c>
      <c r="Q2002" s="1">
        <v>-1.322E8</v>
      </c>
      <c r="R2002" s="1">
        <v>1.425E8</v>
      </c>
      <c r="S2002" s="1">
        <v>1.419E8</v>
      </c>
    </row>
    <row r="2003">
      <c r="A2003" s="1">
        <v>2001.0</v>
      </c>
      <c r="B2003" s="2">
        <v>44286.0</v>
      </c>
      <c r="C2003" s="1" t="s">
        <v>1036</v>
      </c>
      <c r="D2003" s="1" t="s">
        <v>1037</v>
      </c>
      <c r="E2003" s="1">
        <v>9.44E7</v>
      </c>
      <c r="F2003" s="1">
        <v>2.206E8</v>
      </c>
      <c r="G2003" s="1">
        <v>1.981E8</v>
      </c>
      <c r="H2003" s="1">
        <v>7.655E8</v>
      </c>
      <c r="I2003" s="1">
        <v>1.331E9</v>
      </c>
      <c r="J2003" s="1">
        <v>3.156E8</v>
      </c>
      <c r="K2003" s="1">
        <v>3.156E8</v>
      </c>
      <c r="L2003" s="1">
        <v>-5.23E7</v>
      </c>
      <c r="M2003" s="1">
        <v>2.29E7</v>
      </c>
      <c r="N2003" s="1">
        <v>1.8474E9</v>
      </c>
      <c r="O2003" s="1">
        <v>1.5318E9</v>
      </c>
      <c r="P2003" s="1">
        <v>5.164E8</v>
      </c>
      <c r="Q2003" s="1">
        <v>-9.5E7</v>
      </c>
      <c r="R2003" s="1">
        <v>1.977E8</v>
      </c>
      <c r="S2003" s="1">
        <v>1.981E8</v>
      </c>
    </row>
    <row r="2004">
      <c r="A2004" s="1">
        <v>2002.0</v>
      </c>
      <c r="B2004" s="2">
        <v>44196.0</v>
      </c>
      <c r="C2004" s="1" t="s">
        <v>1036</v>
      </c>
      <c r="D2004" s="1" t="s">
        <v>1037</v>
      </c>
      <c r="E2004" s="1">
        <v>1.0E8</v>
      </c>
      <c r="F2004" s="1">
        <v>1.956E8</v>
      </c>
      <c r="G2004" s="1">
        <v>3.337E8</v>
      </c>
      <c r="H2004" s="1">
        <v>8.072E8</v>
      </c>
      <c r="I2004" s="1">
        <v>1.4337E9</v>
      </c>
      <c r="J2004" s="1">
        <v>3.739E8</v>
      </c>
      <c r="K2004" s="1">
        <v>3.739E8</v>
      </c>
      <c r="L2004" s="1">
        <v>-5.31E7</v>
      </c>
      <c r="M2004" s="1">
        <v>-1.382E8</v>
      </c>
      <c r="N2004" s="1">
        <v>2.0853E9</v>
      </c>
      <c r="O2004" s="1">
        <v>1.7114E9</v>
      </c>
      <c r="P2004" s="1">
        <v>6.516E8</v>
      </c>
      <c r="Q2004" s="1">
        <v>-1.783E8</v>
      </c>
      <c r="R2004" s="1">
        <v>3.338E8</v>
      </c>
      <c r="S2004" s="1">
        <v>3.337E8</v>
      </c>
    </row>
    <row r="2005">
      <c r="A2005" s="1">
        <v>2003.0</v>
      </c>
      <c r="B2005" s="2">
        <v>44104.0</v>
      </c>
      <c r="C2005" s="1" t="s">
        <v>1036</v>
      </c>
      <c r="D2005" s="1" t="s">
        <v>1037</v>
      </c>
      <c r="E2005" s="1">
        <v>8.59E7</v>
      </c>
      <c r="F2005" s="1">
        <v>2.558E8</v>
      </c>
      <c r="G2005" s="1">
        <v>2.425E8</v>
      </c>
      <c r="H2005" s="1">
        <v>7.723E8</v>
      </c>
      <c r="I2005" s="1">
        <v>1.3622E9</v>
      </c>
      <c r="J2005" s="1">
        <v>3.543E8</v>
      </c>
      <c r="K2005" s="1">
        <v>3.543E8</v>
      </c>
      <c r="L2005" s="1">
        <v>-5.4E7</v>
      </c>
      <c r="M2005" s="1">
        <v>9700000.0</v>
      </c>
      <c r="N2005" s="1">
        <v>1.9293E9</v>
      </c>
      <c r="O2005" s="1">
        <v>1.575E9</v>
      </c>
      <c r="P2005" s="1">
        <v>5.671E8</v>
      </c>
      <c r="Q2005" s="1">
        <v>-9.85E7</v>
      </c>
      <c r="R2005" s="1">
        <v>2.461E8</v>
      </c>
      <c r="S2005" s="1">
        <v>2.425E8</v>
      </c>
    </row>
    <row r="2006">
      <c r="A2006" s="1">
        <v>2004.0</v>
      </c>
      <c r="B2006" s="2">
        <v>44377.0</v>
      </c>
      <c r="C2006" s="1" t="s">
        <v>1038</v>
      </c>
      <c r="D2006" s="1" t="s">
        <v>1039</v>
      </c>
      <c r="F2006" s="1">
        <v>4.55E8</v>
      </c>
      <c r="G2006" s="1">
        <v>3.54E8</v>
      </c>
      <c r="H2006" s="1">
        <v>3.58E8</v>
      </c>
      <c r="I2006" s="1">
        <v>8.83E8</v>
      </c>
      <c r="J2006" s="1">
        <v>0.0</v>
      </c>
      <c r="K2006" s="1">
        <v>4.61E8</v>
      </c>
      <c r="M2006" s="1">
        <v>1.01E8</v>
      </c>
      <c r="N2006" s="1">
        <v>8.83E8</v>
      </c>
      <c r="O2006" s="1">
        <v>4.22E8</v>
      </c>
      <c r="P2006" s="1">
        <v>0.0</v>
      </c>
      <c r="Q2006" s="1">
        <v>-6000000.0</v>
      </c>
      <c r="R2006" s="1">
        <v>3.54E8</v>
      </c>
      <c r="S2006" s="1">
        <v>3.4E8</v>
      </c>
    </row>
    <row r="2007">
      <c r="A2007" s="1">
        <v>2005.0</v>
      </c>
      <c r="B2007" s="2">
        <v>44286.0</v>
      </c>
      <c r="C2007" s="1" t="s">
        <v>1038</v>
      </c>
      <c r="D2007" s="1" t="s">
        <v>1039</v>
      </c>
      <c r="F2007" s="1">
        <v>4.11E8</v>
      </c>
      <c r="G2007" s="1">
        <v>3.22E8</v>
      </c>
      <c r="H2007" s="1">
        <v>3.78E8</v>
      </c>
      <c r="I2007" s="1">
        <v>8.37E8</v>
      </c>
      <c r="J2007" s="1">
        <v>0.0</v>
      </c>
      <c r="K2007" s="1">
        <v>4.18E8</v>
      </c>
      <c r="M2007" s="1">
        <v>8.9E7</v>
      </c>
      <c r="N2007" s="1">
        <v>8.37E8</v>
      </c>
      <c r="O2007" s="1">
        <v>4.19E8</v>
      </c>
      <c r="P2007" s="1">
        <v>0.0</v>
      </c>
      <c r="Q2007" s="1">
        <v>-7000000.0</v>
      </c>
      <c r="R2007" s="1">
        <v>3.22E8</v>
      </c>
      <c r="S2007" s="1">
        <v>3.12E8</v>
      </c>
    </row>
    <row r="2008">
      <c r="A2008" s="1">
        <v>2006.0</v>
      </c>
      <c r="B2008" s="2">
        <v>44196.0</v>
      </c>
      <c r="C2008" s="1" t="s">
        <v>1038</v>
      </c>
      <c r="D2008" s="1" t="s">
        <v>1039</v>
      </c>
      <c r="F2008" s="1">
        <v>3.59E8</v>
      </c>
      <c r="G2008" s="1">
        <v>2.84E8</v>
      </c>
      <c r="H2008" s="1">
        <v>3.63E8</v>
      </c>
      <c r="I2008" s="1">
        <v>7.78E8</v>
      </c>
      <c r="J2008" s="1">
        <v>0.0</v>
      </c>
      <c r="K2008" s="1">
        <v>3.96E8</v>
      </c>
      <c r="M2008" s="1">
        <v>7.5E7</v>
      </c>
      <c r="N2008" s="1">
        <v>7.78E8</v>
      </c>
      <c r="O2008" s="1">
        <v>3.82E8</v>
      </c>
      <c r="P2008" s="1">
        <v>0.0</v>
      </c>
      <c r="Q2008" s="1">
        <v>-3.7E7</v>
      </c>
      <c r="R2008" s="1">
        <v>2.84E8</v>
      </c>
      <c r="S2008" s="1">
        <v>2.72E8</v>
      </c>
    </row>
    <row r="2009">
      <c r="A2009" s="1">
        <v>2007.0</v>
      </c>
      <c r="B2009" s="2">
        <v>44104.0</v>
      </c>
      <c r="C2009" s="1" t="s">
        <v>1038</v>
      </c>
      <c r="D2009" s="1" t="s">
        <v>1039</v>
      </c>
      <c r="F2009" s="1">
        <v>2.15E8</v>
      </c>
      <c r="G2009" s="1">
        <v>1.75E8</v>
      </c>
      <c r="H2009" s="1">
        <v>3.53E8</v>
      </c>
      <c r="I2009" s="1">
        <v>6.67E8</v>
      </c>
      <c r="J2009" s="1">
        <v>0.0</v>
      </c>
      <c r="K2009" s="1">
        <v>2.22E8</v>
      </c>
      <c r="M2009" s="1">
        <v>4.0E7</v>
      </c>
      <c r="N2009" s="1">
        <v>6.67E8</v>
      </c>
      <c r="O2009" s="1">
        <v>4.45E8</v>
      </c>
      <c r="P2009" s="1">
        <v>0.0</v>
      </c>
      <c r="Q2009" s="1">
        <v>-7000000.0</v>
      </c>
      <c r="R2009" s="1">
        <v>1.75E8</v>
      </c>
      <c r="S2009" s="1">
        <v>1.66E8</v>
      </c>
    </row>
    <row r="2010">
      <c r="A2010" s="1">
        <v>2008.0</v>
      </c>
      <c r="B2010" s="2">
        <v>44377.0</v>
      </c>
      <c r="C2010" s="1" t="s">
        <v>1040</v>
      </c>
      <c r="D2010" s="1" t="s">
        <v>1041</v>
      </c>
      <c r="E2010" s="1">
        <v>1.2E8</v>
      </c>
      <c r="F2010" s="1">
        <v>6.36E8</v>
      </c>
      <c r="G2010" s="1">
        <v>5.12E8</v>
      </c>
      <c r="H2010" s="1">
        <v>4.95E8</v>
      </c>
      <c r="I2010" s="1">
        <v>1.382E9</v>
      </c>
      <c r="J2010" s="1">
        <v>7.26E8</v>
      </c>
      <c r="K2010" s="1">
        <v>7.26E8</v>
      </c>
      <c r="L2010" s="1">
        <v>-5.7E7</v>
      </c>
      <c r="M2010" s="1">
        <v>1.25E8</v>
      </c>
      <c r="N2010" s="1">
        <v>1.948E9</v>
      </c>
      <c r="O2010" s="1">
        <v>1.222E9</v>
      </c>
      <c r="P2010" s="1">
        <v>5.66E8</v>
      </c>
      <c r="Q2010" s="1">
        <v>-9.0E7</v>
      </c>
      <c r="R2010" s="1">
        <v>5.11E8</v>
      </c>
      <c r="S2010" s="1">
        <v>5.12E8</v>
      </c>
    </row>
    <row r="2011">
      <c r="A2011" s="1">
        <v>2009.0</v>
      </c>
      <c r="B2011" s="2">
        <v>44286.0</v>
      </c>
      <c r="C2011" s="1" t="s">
        <v>1040</v>
      </c>
      <c r="D2011" s="1" t="s">
        <v>1041</v>
      </c>
      <c r="E2011" s="1">
        <v>1.18E8</v>
      </c>
      <c r="F2011" s="1">
        <v>6.87E8</v>
      </c>
      <c r="G2011" s="1">
        <v>5.59E8</v>
      </c>
      <c r="H2011" s="1">
        <v>4.09E8</v>
      </c>
      <c r="I2011" s="1">
        <v>1.323E9</v>
      </c>
      <c r="J2011" s="1">
        <v>7.56E8</v>
      </c>
      <c r="K2011" s="1">
        <v>7.56E8</v>
      </c>
      <c r="L2011" s="1">
        <v>-5.7E7</v>
      </c>
      <c r="M2011" s="1">
        <v>1.29E8</v>
      </c>
      <c r="N2011" s="1">
        <v>1.871E9</v>
      </c>
      <c r="O2011" s="1">
        <v>1.115E9</v>
      </c>
      <c r="P2011" s="1">
        <v>5.48E8</v>
      </c>
      <c r="Q2011" s="1">
        <v>-6.9E7</v>
      </c>
      <c r="R2011" s="1">
        <v>5.58E8</v>
      </c>
      <c r="S2011" s="1">
        <v>5.59E8</v>
      </c>
    </row>
    <row r="2012">
      <c r="A2012" s="1">
        <v>2010.0</v>
      </c>
      <c r="B2012" s="2">
        <v>44196.0</v>
      </c>
      <c r="C2012" s="1" t="s">
        <v>1040</v>
      </c>
      <c r="D2012" s="1" t="s">
        <v>1041</v>
      </c>
      <c r="E2012" s="1">
        <v>1.33E8</v>
      </c>
      <c r="F2012" s="1">
        <v>4.2E8</v>
      </c>
      <c r="G2012" s="1">
        <v>3.59E8</v>
      </c>
      <c r="H2012" s="1">
        <v>5.18E8</v>
      </c>
      <c r="I2012" s="1">
        <v>1.221E9</v>
      </c>
      <c r="J2012" s="1">
        <v>5.3E8</v>
      </c>
      <c r="K2012" s="1">
        <v>5.3E8</v>
      </c>
      <c r="L2012" s="1">
        <v>-5.8E7</v>
      </c>
      <c r="M2012" s="1">
        <v>6.2E7</v>
      </c>
      <c r="N2012" s="1">
        <v>1.807E9</v>
      </c>
      <c r="O2012" s="1">
        <v>1.277E9</v>
      </c>
      <c r="P2012" s="1">
        <v>5.86E8</v>
      </c>
      <c r="Q2012" s="1">
        <v>-1.1E8</v>
      </c>
      <c r="R2012" s="1">
        <v>3.58E8</v>
      </c>
      <c r="S2012" s="1">
        <v>3.59E8</v>
      </c>
    </row>
    <row r="2013">
      <c r="A2013" s="1">
        <v>2011.0</v>
      </c>
      <c r="B2013" s="2">
        <v>44104.0</v>
      </c>
      <c r="C2013" s="1" t="s">
        <v>1040</v>
      </c>
      <c r="D2013" s="1" t="s">
        <v>1041</v>
      </c>
      <c r="E2013" s="1">
        <v>1.12E8</v>
      </c>
      <c r="F2013" s="1">
        <v>5.97E8</v>
      </c>
      <c r="G2013" s="1">
        <v>4.79E8</v>
      </c>
      <c r="H2013" s="1">
        <v>4.19E8</v>
      </c>
      <c r="I2013" s="1">
        <v>1.241E9</v>
      </c>
      <c r="J2013" s="1">
        <v>6.7E8</v>
      </c>
      <c r="K2013" s="1">
        <v>6.7E8</v>
      </c>
      <c r="L2013" s="1">
        <v>-6.2E7</v>
      </c>
      <c r="M2013" s="1">
        <v>1.18E8</v>
      </c>
      <c r="N2013" s="1">
        <v>1.786E9</v>
      </c>
      <c r="O2013" s="1">
        <v>1.116E9</v>
      </c>
      <c r="P2013" s="1">
        <v>5.45E8</v>
      </c>
      <c r="Q2013" s="1">
        <v>-7.3E7</v>
      </c>
      <c r="R2013" s="1">
        <v>4.79E8</v>
      </c>
      <c r="S2013" s="1">
        <v>4.79E8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4" max="4" width="28.5"/>
    <col customWidth="1" min="7" max="7" width="26.13"/>
    <col customWidth="1" min="8" max="8" width="12.13"/>
    <col customWidth="1" min="10" max="10" width="14.75"/>
    <col customWidth="1" min="15" max="15" width="28.5"/>
    <col customWidth="1" min="16" max="16" width="13.88"/>
  </cols>
  <sheetData>
    <row r="1">
      <c r="A1" s="5" t="s">
        <v>89</v>
      </c>
      <c r="B1" s="5" t="s">
        <v>92</v>
      </c>
      <c r="D1" s="1" t="s">
        <v>93</v>
      </c>
      <c r="G1" s="5" t="s">
        <v>94</v>
      </c>
      <c r="H1" s="5" t="s">
        <v>14</v>
      </c>
      <c r="M1" s="4" t="b">
        <f>ISNUMBER(K24)</f>
        <v>0</v>
      </c>
      <c r="R1" s="6"/>
    </row>
    <row r="2">
      <c r="A2" s="7" t="s">
        <v>14</v>
      </c>
      <c r="B2" s="7">
        <f>SUM(Cleaned_Data!N2:N2013)</f>
        <v>13173344212500</v>
      </c>
      <c r="D2" s="1" t="s">
        <v>101</v>
      </c>
      <c r="E2" s="1" t="s">
        <v>14</v>
      </c>
      <c r="G2" s="4" t="str">
        <f>IFERROR(__xludf.DUMMYFUNCTION("SORTN(D3:E504,10,0,2,FALSE)"),"Walmart")</f>
        <v>Walmart</v>
      </c>
      <c r="H2" s="4">
        <f>IFERROR(__xludf.DUMMYFUNCTION("""COMPUTED_VALUE"""),5.66145E11)</f>
        <v>566145000000</v>
      </c>
      <c r="M2" s="4" t="b">
        <f>ISNUMBER(L24)</f>
        <v>0</v>
      </c>
      <c r="R2" s="6"/>
    </row>
    <row r="3">
      <c r="A3" s="7" t="s">
        <v>106</v>
      </c>
      <c r="B3" s="7">
        <f>SUM(Cleaned_Data!I2:I2013)</f>
        <v>5165530836500</v>
      </c>
      <c r="D3" s="4" t="str">
        <f t="array" ref="D3:D504">UNIQUE(Cleaned_Data!C2:C2013)</f>
        <v>3M</v>
      </c>
      <c r="E3" s="4">
        <f>SUMIF(Cleaned_Data!C$2:C$2013,D3,Cleaned_Data!N$2:N$2013)</f>
        <v>70652000000</v>
      </c>
      <c r="G3" s="4" t="str">
        <f>IFERROR(__xludf.DUMMYFUNCTION("""COMPUTED_VALUE"""),"Amazon")</f>
        <v>Amazon</v>
      </c>
      <c r="H3" s="4">
        <f>IFERROR(__xludf.DUMMYFUNCTION("""COMPUTED_VALUE"""),4.43298E11)</f>
        <v>443298000000</v>
      </c>
      <c r="R3" s="6"/>
    </row>
    <row r="4">
      <c r="A4" s="7" t="s">
        <v>115</v>
      </c>
      <c r="B4" s="7">
        <f>SUM(Cleaned_Data!K2:K2013)</f>
        <v>2049131813000</v>
      </c>
      <c r="D4" s="4" t="s">
        <v>22</v>
      </c>
      <c r="E4" s="4">
        <f>SUMIF(Cleaned_Data!C$2:C$2013,D4,Cleaned_Data!N$2:N$2013)</f>
        <v>3377900000</v>
      </c>
      <c r="G4" s="4" t="str">
        <f>IFERROR(__xludf.DUMMYFUNCTION("""COMPUTED_VALUE"""),"Apple")</f>
        <v>Apple</v>
      </c>
      <c r="H4" s="4">
        <f>IFERROR(__xludf.DUMMYFUNCTION("""COMPUTED_VALUE"""),3.47155E11)</f>
        <v>347155000000</v>
      </c>
      <c r="R4" s="6"/>
    </row>
    <row r="5">
      <c r="A5" s="7" t="s">
        <v>120</v>
      </c>
      <c r="B5" s="7">
        <f>SUM(Cleaned_Data!G2:G2013)</f>
        <v>1441865680000</v>
      </c>
      <c r="D5" s="4" t="s">
        <v>24</v>
      </c>
      <c r="E5" s="4">
        <f>SUMIF(Cleaned_Data!C$2:C$2013,D5,Cleaned_Data!N$2:N$2013)</f>
        <v>42308000000</v>
      </c>
      <c r="G5" s="4" t="str">
        <f>IFERROR(__xludf.DUMMYFUNCTION("""COMPUTED_VALUE"""),"CVS Health")</f>
        <v>CVS Health</v>
      </c>
      <c r="H5" s="4">
        <f>IFERROR(__xludf.DUMMYFUNCTION("""COMPUTED_VALUE"""),2.77285E11)</f>
        <v>277285000000</v>
      </c>
      <c r="R5" s="6"/>
    </row>
    <row r="6">
      <c r="A6" s="7" t="s">
        <v>125</v>
      </c>
      <c r="B6" s="7">
        <f>AVERAGE(Cleaned_Data!N2:N2013)</f>
        <v>6547387780</v>
      </c>
      <c r="D6" s="4" t="s">
        <v>26</v>
      </c>
      <c r="E6" s="4">
        <f>SUMIF(Cleaned_Data!C$2:C$2013,D6,Cleaned_Data!N$2:N$2013)</f>
        <v>55169000000</v>
      </c>
      <c r="G6" s="4" t="str">
        <f>IFERROR(__xludf.DUMMYFUNCTION("""COMPUTED_VALUE"""),"UnitedHealth Group")</f>
        <v>UnitedHealth Group</v>
      </c>
      <c r="H6" s="4">
        <f>IFERROR(__xludf.DUMMYFUNCTION("""COMPUTED_VALUE"""),2.72099E11)</f>
        <v>272099000000</v>
      </c>
      <c r="R6" s="6"/>
    </row>
    <row r="7">
      <c r="A7" s="7" t="s">
        <v>130</v>
      </c>
      <c r="B7" s="7">
        <f>MEDIAN(Cleaned_Data!N2:N2013)</f>
        <v>2624661500</v>
      </c>
      <c r="D7" s="4" t="s">
        <v>28</v>
      </c>
      <c r="E7" s="4">
        <f>SUMIF(Cleaned_Data!C$2:C$2013,D7,Cleaned_Data!N$2:N$2013)</f>
        <v>973635000</v>
      </c>
      <c r="G7" s="4" t="str">
        <f>IFERROR(__xludf.DUMMYFUNCTION("""COMPUTED_VALUE"""),"McKesson Corporation")</f>
        <v>McKesson Corporation</v>
      </c>
      <c r="H7" s="4">
        <f>IFERROR(__xludf.DUMMYFUNCTION("""COMPUTED_VALUE"""),2.38228E11)</f>
        <v>238228000000</v>
      </c>
      <c r="R7" s="6"/>
    </row>
    <row r="8">
      <c r="A8" s="7"/>
      <c r="B8" s="7"/>
      <c r="D8" s="4" t="s">
        <v>30</v>
      </c>
      <c r="E8" s="4">
        <f>SUMIF(Cleaned_Data!C$2:C$2013,D8,Cleaned_Data!N$2:N$2013)</f>
        <v>50533389000</v>
      </c>
      <c r="G8" s="4" t="str">
        <f>IFERROR(__xludf.DUMMYFUNCTION("""COMPUTED_VALUE"""),"Alphabet (Class A)")</f>
        <v>Alphabet (Class A)</v>
      </c>
      <c r="H8" s="4">
        <f>IFERROR(__xludf.DUMMYFUNCTION("""COMPUTED_VALUE"""),2.20265E11)</f>
        <v>220265000000</v>
      </c>
      <c r="R8" s="6"/>
    </row>
    <row r="9">
      <c r="A9" s="1" t="s">
        <v>135</v>
      </c>
      <c r="B9" s="1" t="s">
        <v>92</v>
      </c>
      <c r="D9" s="4" t="s">
        <v>32</v>
      </c>
      <c r="E9" s="4">
        <f>SUMIF(Cleaned_Data!C$2:C$2013,D9,Cleaned_Data!N$2:N$2013)</f>
        <v>9053000000</v>
      </c>
      <c r="G9" s="4" t="str">
        <f>IFERROR(__xludf.DUMMYFUNCTION("""COMPUTED_VALUE"""),"Alphabet (Class C)")</f>
        <v>Alphabet (Class C)</v>
      </c>
      <c r="H9" s="4">
        <f>IFERROR(__xludf.DUMMYFUNCTION("""COMPUTED_VALUE"""),2.20265E11)</f>
        <v>220265000000</v>
      </c>
      <c r="R9" s="6"/>
    </row>
    <row r="10">
      <c r="A10" s="1" t="s">
        <v>140</v>
      </c>
      <c r="B10" s="6">
        <f t="shared" ref="B10:B12" si="1">B3/B2</f>
        <v>0.392119932</v>
      </c>
      <c r="C10" s="6"/>
      <c r="D10" s="4" t="s">
        <v>34</v>
      </c>
      <c r="E10" s="4">
        <f>SUMIF(Cleaned_Data!C$2:C$2013,D10,Cleaned_Data!N$2:N$2013)</f>
        <v>80137000000</v>
      </c>
      <c r="G10" s="4" t="str">
        <f>IFERROR(__xludf.DUMMYFUNCTION("""COMPUTED_VALUE"""),"ExxonMobil")</f>
        <v>ExxonMobil</v>
      </c>
      <c r="H10" s="4">
        <f>IFERROR(__xludf.DUMMYFUNCTION("""COMPUTED_VALUE"""),2.15879E11)</f>
        <v>215879000000</v>
      </c>
      <c r="R10" s="6"/>
    </row>
    <row r="11">
      <c r="A11" s="1" t="s">
        <v>145</v>
      </c>
      <c r="B11" s="6">
        <f t="shared" si="1"/>
        <v>0.3966933657</v>
      </c>
      <c r="C11" s="6"/>
      <c r="D11" s="4" t="s">
        <v>35</v>
      </c>
      <c r="E11" s="4">
        <f>SUMIF(Cleaned_Data!C$2:C$2013,D11,Cleaned_Data!N$2:N$2013)</f>
        <v>15099000000</v>
      </c>
      <c r="G11" s="4" t="str">
        <f>IFERROR(__xludf.DUMMYFUNCTION("""COMPUTED_VALUE"""),"AmerisourceBergen")</f>
        <v>AmerisourceBergen</v>
      </c>
      <c r="H11" s="4">
        <f>IFERROR(__xludf.DUMMYFUNCTION("""COMPUTED_VALUE"""),2.0432119E11)</f>
        <v>204321190000</v>
      </c>
      <c r="R11" s="6"/>
    </row>
    <row r="12">
      <c r="A12" s="1" t="s">
        <v>150</v>
      </c>
      <c r="B12" s="6">
        <f t="shared" si="1"/>
        <v>0.7036471109</v>
      </c>
      <c r="C12" s="6"/>
      <c r="D12" s="4" t="s">
        <v>37</v>
      </c>
      <c r="E12" s="4">
        <f>SUMIF(Cleaned_Data!C$2:C$2013,D12,Cleaned_Data!N$2:N$2013)</f>
        <v>11619092500</v>
      </c>
      <c r="R12" s="6"/>
    </row>
    <row r="13">
      <c r="D13" s="4" t="s">
        <v>39</v>
      </c>
      <c r="E13" s="4">
        <f>SUMIF(Cleaned_Data!C$2:C$2013,D13,Cleaned_Data!N$2:N$2013)</f>
        <v>14852000000</v>
      </c>
      <c r="R13" s="6"/>
    </row>
    <row r="14">
      <c r="D14" s="4" t="s">
        <v>41</v>
      </c>
      <c r="E14" s="4">
        <f>SUMIF(Cleaned_Data!C$2:C$2013,D14,Cleaned_Data!N$2:N$2013)</f>
        <v>10931000000</v>
      </c>
      <c r="R14" s="6"/>
    </row>
    <row r="15">
      <c r="D15" s="4" t="s">
        <v>43</v>
      </c>
      <c r="E15" s="4">
        <f>SUMIF(Cleaned_Data!C$2:C$2013,D15,Cleaned_Data!N$2:N$2013)</f>
        <v>22583000000</v>
      </c>
      <c r="R15" s="6"/>
    </row>
    <row r="16">
      <c r="A16" s="1" t="s">
        <v>89</v>
      </c>
      <c r="B16" s="1">
        <v>2020.0</v>
      </c>
      <c r="C16" s="1">
        <v>2021.0</v>
      </c>
      <c r="D16" s="4" t="s">
        <v>45</v>
      </c>
      <c r="E16" s="4">
        <f>SUMIF(Cleaned_Data!C$2:C$2013,D16,Cleaned_Data!N$2:N$2013)</f>
        <v>6142000000</v>
      </c>
      <c r="I16" s="8"/>
      <c r="J16" s="1" t="s">
        <v>167</v>
      </c>
      <c r="K16" s="9" t="s">
        <v>168</v>
      </c>
      <c r="L16" s="7"/>
      <c r="R16" s="6"/>
    </row>
    <row r="17">
      <c r="A17" s="1" t="s">
        <v>14</v>
      </c>
      <c r="B17" s="4">
        <f>SUMPRODUCT((YEAR(Cleaned_Data!$B$2:$B$2013)=2020)*Cleaned_Data!$N$2:$N$2013)</f>
        <v>5602951341000</v>
      </c>
      <c r="C17" s="4">
        <f>SUMPRODUCT((YEAR(Cleaned_Data!$B$2:$B$2013)=2021)*Cleaned_Data!$N$2:$N$2013)</f>
        <v>7570392871500</v>
      </c>
      <c r="D17" s="4" t="s">
        <v>47</v>
      </c>
      <c r="E17" s="4">
        <f>SUMIF(Cleaned_Data!C$2:C$2013,D17,Cleaned_Data!N$2:N$2013)</f>
        <v>10323000000</v>
      </c>
      <c r="J17" s="1" t="s">
        <v>177</v>
      </c>
      <c r="K17" s="6">
        <f t="shared" ref="K17:K20" si="2">(C17-B17)/B17</f>
        <v>0.3511437831</v>
      </c>
      <c r="L17" s="10"/>
      <c r="R17" s="6"/>
    </row>
    <row r="18">
      <c r="A18" s="1" t="s">
        <v>9</v>
      </c>
      <c r="B18" s="4">
        <f>SUMPRODUCT((YEAR(Cleaned_Data!$B$2:$B$2013)=2020)*Cleaned_Data!$I$2:$I$2013)</f>
        <v>2135633400000</v>
      </c>
      <c r="C18" s="4">
        <f>SUMPRODUCT((YEAR(Cleaned_Data!$B$2:$B$2013)=2021)*Cleaned_Data!$I$2:$I$2013)</f>
        <v>3029897436500</v>
      </c>
      <c r="D18" s="4" t="s">
        <v>49</v>
      </c>
      <c r="E18" s="4">
        <f>SUMIF(Cleaned_Data!C$2:C$2013,D18,Cleaned_Data!N$2:N$2013)</f>
        <v>3402152000</v>
      </c>
      <c r="J18" s="1" t="s">
        <v>184</v>
      </c>
      <c r="K18" s="6">
        <f t="shared" si="2"/>
        <v>0.4187348056</v>
      </c>
      <c r="L18" s="10"/>
      <c r="R18" s="6"/>
    </row>
    <row r="19">
      <c r="A19" s="1" t="s">
        <v>11</v>
      </c>
      <c r="B19" s="4">
        <f>SUMPRODUCT((YEAR(Cleaned_Data!$B$2:$B$2013)=2020)*Cleaned_Data!$K$2:$K$2013)</f>
        <v>781890796000</v>
      </c>
      <c r="C19" s="4">
        <f>SUMPRODUCT((YEAR(Cleaned_Data!$B$2:$B$2013)=2021)*Cleaned_Data!$K$2:$K$2013)</f>
        <v>1267241017000</v>
      </c>
      <c r="D19" s="4" t="s">
        <v>51</v>
      </c>
      <c r="E19" s="4">
        <f>SUMIF(Cleaned_Data!C$2:C$2013,D19,Cleaned_Data!N$2:N$2013)</f>
        <v>3312900000</v>
      </c>
      <c r="J19" s="1" t="s">
        <v>191</v>
      </c>
      <c r="K19" s="6">
        <f t="shared" si="2"/>
        <v>0.6207391409</v>
      </c>
      <c r="L19" s="10"/>
      <c r="R19" s="6"/>
    </row>
    <row r="20">
      <c r="A20" s="1" t="s">
        <v>7</v>
      </c>
      <c r="B20" s="4">
        <f>SUMPRODUCT((YEAR(Cleaned_Data!$B$2:$B$2013)=2020)*Cleaned_Data!$G$2:$G$2013)</f>
        <v>476451314000</v>
      </c>
      <c r="C20" s="4">
        <f>SUMPRODUCT((YEAR(Cleaned_Data!$B$2:$B$2013)=2021)*Cleaned_Data!$G$2:$G$2013)</f>
        <v>965414366000</v>
      </c>
      <c r="D20" s="4" t="s">
        <v>53</v>
      </c>
      <c r="E20" s="4">
        <f>SUMIF(Cleaned_Data!C$2:C$2013,D20,Cleaned_Data!N$2:N$2013)</f>
        <v>5085000000</v>
      </c>
      <c r="J20" s="1" t="s">
        <v>196</v>
      </c>
      <c r="K20" s="6">
        <f t="shared" si="2"/>
        <v>1.026260265</v>
      </c>
      <c r="L20" s="10"/>
      <c r="R20" s="6"/>
    </row>
    <row r="21">
      <c r="D21" s="4" t="s">
        <v>55</v>
      </c>
      <c r="E21" s="4">
        <f>SUMIF(Cleaned_Data!C$2:C$2013,D21,Cleaned_Data!N$2:N$2013)</f>
        <v>2013777000</v>
      </c>
      <c r="R21" s="6"/>
    </row>
    <row r="22">
      <c r="D22" s="4" t="s">
        <v>57</v>
      </c>
      <c r="E22" s="4">
        <f>SUMIF(Cleaned_Data!C$2:C$2013,D22,Cleaned_Data!N$2:N$2013)</f>
        <v>3756005000</v>
      </c>
      <c r="R22" s="6"/>
    </row>
    <row r="23">
      <c r="A23" s="1" t="s">
        <v>199</v>
      </c>
      <c r="B23" s="1">
        <v>2020.0</v>
      </c>
      <c r="C23" s="1">
        <v>2021.0</v>
      </c>
      <c r="D23" s="4" t="s">
        <v>59</v>
      </c>
      <c r="E23" s="4">
        <f>SUMIF(Cleaned_Data!C$2:C$2013,D23,Cleaned_Data!N$2:N$2013)</f>
        <v>2885500000</v>
      </c>
      <c r="J23" s="1" t="s">
        <v>200</v>
      </c>
      <c r="O23" s="1" t="s">
        <v>101</v>
      </c>
      <c r="P23" s="1" t="s">
        <v>11</v>
      </c>
      <c r="Q23" s="1" t="s">
        <v>201</v>
      </c>
      <c r="R23" s="9" t="s">
        <v>145</v>
      </c>
      <c r="T23" s="1" t="s">
        <v>101</v>
      </c>
      <c r="U23" s="1" t="s">
        <v>145</v>
      </c>
    </row>
    <row r="24">
      <c r="A24" s="1" t="s">
        <v>140</v>
      </c>
      <c r="B24" s="6">
        <f t="shared" ref="B24:C24" si="3">B18/B17</f>
        <v>0.3811622251</v>
      </c>
      <c r="C24" s="6">
        <f t="shared" si="3"/>
        <v>0.4002298808</v>
      </c>
      <c r="D24" s="4" t="s">
        <v>61</v>
      </c>
      <c r="E24" s="4">
        <f>SUMIF(Cleaned_Data!C$2:C$2013,D24,Cleaned_Data!N$2:N$2013)</f>
        <v>3559000000</v>
      </c>
      <c r="J24" s="8" t="str">
        <f>IFERROR(__xludf.DUMMYFUNCTION("QUERY({Cleaned_Data!C2:C2013,Cleaned_Data!K2:K2013,Cleaned_Data!N2:N2013},""select Col1, sum(Col2), sum(Col3) where Col1 is not null group by Col1"",0)"),"")</f>
        <v/>
      </c>
      <c r="K24" s="8" t="str">
        <f>IFERROR(__xludf.DUMMYFUNCTION("""COMPUTED_VALUE"""),"sum ")</f>
        <v>sum </v>
      </c>
      <c r="L24" s="4" t="str">
        <f>IFERROR(__xludf.DUMMYFUNCTION("""COMPUTED_VALUE"""),"sum ")</f>
        <v>sum </v>
      </c>
      <c r="M24" s="4" t="str">
        <f>IFERROR(K24*1/(L24*1),"")</f>
        <v/>
      </c>
      <c r="O24" s="4" t="str">
        <f t="array" ref="O24:O525">UNIQUE(Cleaned_Data!C2:C2013)</f>
        <v>3M</v>
      </c>
      <c r="P24" s="4">
        <f>SUMIF(Cleaned_Data!C$2:C$2013,O24,Cleaned_Data!K$2:K$2013)</f>
        <v>15978000000</v>
      </c>
      <c r="Q24" s="4">
        <f>SUMIF(Cleaned_Data!C$2:C$2013,O24,Cleaned_Data!N$2:N$2013)</f>
        <v>70652000000</v>
      </c>
      <c r="R24" s="6">
        <f t="shared" ref="R24:R525" si="5">IFERROR(P24/Q24,"")</f>
        <v>0.2261507105</v>
      </c>
      <c r="T24" s="4" t="str">
        <f>IFERROR(__xludf.DUMMYFUNCTION("SORTN(FILTER({O24:O525,R24:R525},Q24:Q525&gt;1000000000),10,0,2,FALSE)"),"Visa")</f>
        <v>Visa</v>
      </c>
      <c r="U24" s="6">
        <f>IFERROR(__xludf.DUMMYFUNCTION("""COMPUTED_VALUE"""),0.6476796043626087)</f>
        <v>0.6476796044</v>
      </c>
    </row>
    <row r="25">
      <c r="A25" s="1" t="s">
        <v>145</v>
      </c>
      <c r="B25" s="6">
        <f t="shared" ref="B25:C25" si="4">B19/B17</f>
        <v>0.1395498102</v>
      </c>
      <c r="C25" s="6">
        <f t="shared" si="4"/>
        <v>0.167394353</v>
      </c>
      <c r="D25" s="4" t="s">
        <v>63</v>
      </c>
      <c r="E25" s="4">
        <f>SUMIF(Cleaned_Data!C$2:C$2013,D25,Cleaned_Data!N$2:N$2013)</f>
        <v>49595000000</v>
      </c>
      <c r="J25" s="4" t="str">
        <f>IFERROR(__xludf.DUMMYFUNCTION("""COMPUTED_VALUE"""),"3M")</f>
        <v>3M</v>
      </c>
      <c r="K25" s="4">
        <f>IFERROR(__xludf.DUMMYFUNCTION("""COMPUTED_VALUE"""),1.5978E10)</f>
        <v>15978000000</v>
      </c>
      <c r="L25" s="4">
        <f>IFERROR(__xludf.DUMMYFUNCTION("""COMPUTED_VALUE"""),7.0652E10)</f>
        <v>70652000000</v>
      </c>
      <c r="O25" s="4" t="s">
        <v>22</v>
      </c>
      <c r="P25" s="4">
        <f>SUMIF(Cleaned_Data!C$2:C$2013,O25,Cleaned_Data!K$2:K$2013)</f>
        <v>579100000</v>
      </c>
      <c r="Q25" s="4">
        <f>SUMIF(Cleaned_Data!C$2:C$2013,O25,Cleaned_Data!N$2:N$2013)</f>
        <v>3377900000</v>
      </c>
      <c r="R25" s="6">
        <f t="shared" si="5"/>
        <v>0.1714378756</v>
      </c>
      <c r="T25" s="4" t="str">
        <f>IFERROR(__xludf.DUMMYFUNCTION("""COMPUTED_VALUE"""),"Verisign")</f>
        <v>Verisign</v>
      </c>
      <c r="U25" s="6">
        <f>IFERROR(__xludf.DUMMYFUNCTION("""COMPUTED_VALUE"""),0.6463368259797753)</f>
        <v>0.646336826</v>
      </c>
    </row>
    <row r="26">
      <c r="A26" s="1" t="s">
        <v>150</v>
      </c>
      <c r="B26" s="6">
        <f t="shared" ref="B26:C26" si="6">B20/B17</f>
        <v>0.08503577579</v>
      </c>
      <c r="C26" s="6">
        <f t="shared" si="6"/>
        <v>0.127525002</v>
      </c>
      <c r="D26" s="4" t="s">
        <v>65</v>
      </c>
      <c r="E26" s="4">
        <f>SUMIF(Cleaned_Data!C$2:C$2013,D26,Cleaned_Data!N$2:N$2013)</f>
        <v>220265000000</v>
      </c>
      <c r="J26" s="4" t="str">
        <f>IFERROR(__xludf.DUMMYFUNCTION("""COMPUTED_VALUE"""),"A. O. Smith")</f>
        <v>A. O. Smith</v>
      </c>
      <c r="K26" s="4">
        <f>IFERROR(__xludf.DUMMYFUNCTION("""COMPUTED_VALUE"""),5.791E8)</f>
        <v>579100000</v>
      </c>
      <c r="L26" s="4">
        <f>IFERROR(__xludf.DUMMYFUNCTION("""COMPUTED_VALUE"""),3.3779E9)</f>
        <v>3377900000</v>
      </c>
      <c r="O26" s="4" t="s">
        <v>24</v>
      </c>
      <c r="P26" s="4">
        <f>SUMIF(Cleaned_Data!C$2:C$2013,O26,Cleaned_Data!K$2:K$2013)</f>
        <v>9292000000</v>
      </c>
      <c r="Q26" s="4">
        <f>SUMIF(Cleaned_Data!C$2:C$2013,O26,Cleaned_Data!N$2:N$2013)</f>
        <v>42308000000</v>
      </c>
      <c r="R26" s="6">
        <f t="shared" si="5"/>
        <v>0.2196274936</v>
      </c>
      <c r="T26" s="4" t="str">
        <f>IFERROR(__xludf.DUMMYFUNCTION("""COMPUTED_VALUE"""),"Discover Financial Services")</f>
        <v>Discover Financial Services</v>
      </c>
      <c r="U26" s="6">
        <f>IFERROR(__xludf.DUMMYFUNCTION("""COMPUTED_VALUE"""),0.5950649111499862)</f>
        <v>0.5950649111</v>
      </c>
    </row>
    <row r="27">
      <c r="D27" s="4" t="s">
        <v>67</v>
      </c>
      <c r="E27" s="4">
        <f>SUMIF(Cleaned_Data!C$2:C$2013,D27,Cleaned_Data!N$2:N$2013)</f>
        <v>220265000000</v>
      </c>
      <c r="J27" s="4" t="str">
        <f>IFERROR(__xludf.DUMMYFUNCTION("""COMPUTED_VALUE"""),"ADM")</f>
        <v>ADM</v>
      </c>
      <c r="K27" s="4">
        <f>IFERROR(__xludf.DUMMYFUNCTION("""COMPUTED_VALUE"""),2.707E9)</f>
        <v>2707000000</v>
      </c>
      <c r="L27" s="4">
        <f>IFERROR(__xludf.DUMMYFUNCTION("""COMPUTED_VALUE"""),8.0137E10)</f>
        <v>80137000000</v>
      </c>
      <c r="O27" s="4" t="s">
        <v>26</v>
      </c>
      <c r="P27" s="4">
        <f>SUMIF(Cleaned_Data!C$2:C$2013,O27,Cleaned_Data!K$2:K$2013)</f>
        <v>19467000000</v>
      </c>
      <c r="Q27" s="4">
        <f>SUMIF(Cleaned_Data!C$2:C$2013,O27,Cleaned_Data!N$2:N$2013)</f>
        <v>55169000000</v>
      </c>
      <c r="R27" s="6">
        <f t="shared" si="5"/>
        <v>0.3528612083</v>
      </c>
      <c r="T27" s="4" t="str">
        <f>IFERROR(__xludf.DUMMYFUNCTION("""COMPUTED_VALUE"""),"Synchrony Financial")</f>
        <v>Synchrony Financial</v>
      </c>
      <c r="U27" s="6">
        <f>IFERROR(__xludf.DUMMYFUNCTION("""COMPUTED_VALUE"""),0.5730718004601041)</f>
        <v>0.5730718005</v>
      </c>
    </row>
    <row r="28">
      <c r="D28" s="4" t="s">
        <v>69</v>
      </c>
      <c r="E28" s="4">
        <f>SUMIF(Cleaned_Data!C$2:C$2013,D28,Cleaned_Data!N$2:N$2013)</f>
        <v>21227000000</v>
      </c>
      <c r="J28" s="4" t="str">
        <f>IFERROR(__xludf.DUMMYFUNCTION("""COMPUTED_VALUE"""),"AES Corp")</f>
        <v>AES Corp</v>
      </c>
      <c r="K28" s="4">
        <f>IFERROR(__xludf.DUMMYFUNCTION("""COMPUTED_VALUE"""),2.699E9)</f>
        <v>2699000000</v>
      </c>
      <c r="L28" s="4">
        <f>IFERROR(__xludf.DUMMYFUNCTION("""COMPUTED_VALUE"""),1.0931E10)</f>
        <v>10931000000</v>
      </c>
      <c r="O28" s="4" t="s">
        <v>28</v>
      </c>
      <c r="P28" s="4">
        <f>SUMIF(Cleaned_Data!C$2:C$2013,O28,Cleaned_Data!K$2:K$2013)</f>
        <v>261956000</v>
      </c>
      <c r="Q28" s="4">
        <f>SUMIF(Cleaned_Data!C$2:C$2013,O28,Cleaned_Data!N$2:N$2013)</f>
        <v>973635000</v>
      </c>
      <c r="R28" s="6">
        <f t="shared" si="5"/>
        <v>0.2690494898</v>
      </c>
      <c r="T28" s="4" t="str">
        <f>IFERROR(__xludf.DUMMYFUNCTION("""COMPUTED_VALUE"""),"Altria Group")</f>
        <v>Altria Group</v>
      </c>
      <c r="U28" s="6">
        <f>IFERROR(__xludf.DUMMYFUNCTION("""COMPUTED_VALUE"""),0.5641871201771329)</f>
        <v>0.5641871202</v>
      </c>
    </row>
    <row r="29">
      <c r="A29" s="1" t="s">
        <v>224</v>
      </c>
      <c r="B29" s="1">
        <v>2020.0</v>
      </c>
      <c r="C29" s="1">
        <v>2021.0</v>
      </c>
      <c r="D29" s="4" t="s">
        <v>71</v>
      </c>
      <c r="E29" s="4">
        <f>SUMIF(Cleaned_Data!C$2:C$2013,D29,Cleaned_Data!N$2:N$2013)</f>
        <v>443298000000</v>
      </c>
      <c r="J29" s="4" t="str">
        <f>IFERROR(__xludf.DUMMYFUNCTION("""COMPUTED_VALUE"""),"APA Corporation")</f>
        <v>APA Corporation</v>
      </c>
      <c r="K29" s="4">
        <f>IFERROR(__xludf.DUMMYFUNCTION("""COMPUTED_VALUE"""),-2.676E9)</f>
        <v>-2676000000</v>
      </c>
      <c r="L29" s="4">
        <f>IFERROR(__xludf.DUMMYFUNCTION("""COMPUTED_VALUE"""),6.027E9)</f>
        <v>6027000000</v>
      </c>
      <c r="O29" s="4" t="s">
        <v>30</v>
      </c>
      <c r="P29" s="4">
        <f>SUMIF(Cleaned_Data!C$2:C$2013,O29,Cleaned_Data!K$2:K$2013)</f>
        <v>7621529000</v>
      </c>
      <c r="Q29" s="4">
        <f>SUMIF(Cleaned_Data!C$2:C$2013,O29,Cleaned_Data!N$2:N$2013)</f>
        <v>50533389000</v>
      </c>
      <c r="R29" s="6">
        <f t="shared" si="5"/>
        <v>0.1508216478</v>
      </c>
      <c r="T29" s="4" t="str">
        <f>IFERROR(__xludf.DUMMYFUNCTION("""COMPUTED_VALUE"""),"Moderna")</f>
        <v>Moderna</v>
      </c>
      <c r="U29" s="6">
        <f>IFERROR(__xludf.DUMMYFUNCTION("""COMPUTED_VALUE"""),0.543879293213128)</f>
        <v>0.5438792932</v>
      </c>
    </row>
    <row r="30">
      <c r="A30" s="1" t="s">
        <v>227</v>
      </c>
      <c r="B30" s="4">
        <f>SUMPRODUCT((YEAR(Cleaned_Data!$B$2:$B$2013)=B$29)*Cleaned_Data!$P$2:$P$2013)</f>
        <v>3467317941000</v>
      </c>
      <c r="C30" s="4">
        <f>SUMPRODUCT((YEAR(Cleaned_Data!$B$2:$B$2013)=C$29)*Cleaned_Data!$P$2:$P$2013)</f>
        <v>4537383866000</v>
      </c>
      <c r="D30" s="4" t="s">
        <v>73</v>
      </c>
      <c r="E30" s="4">
        <f>SUMIF(Cleaned_Data!C$2:C$2013,D30,Cleaned_Data!N$2:N$2013)</f>
        <v>12861000000</v>
      </c>
      <c r="J30" s="4" t="str">
        <f>IFERROR(__xludf.DUMMYFUNCTION("""COMPUTED_VALUE"""),"AT&amp;T")</f>
        <v>AT&amp;T</v>
      </c>
      <c r="K30" s="4">
        <f>IFERROR(__xludf.DUMMYFUNCTION("""COMPUTED_VALUE"""),3.07E10)</f>
        <v>30700000000</v>
      </c>
      <c r="L30" s="4">
        <f>IFERROR(__xludf.DUMMYFUNCTION("""COMPUTED_VALUE"""),1.76015E11)</f>
        <v>176015000000</v>
      </c>
      <c r="O30" s="4" t="s">
        <v>32</v>
      </c>
      <c r="P30" s="4">
        <f>SUMIF(Cleaned_Data!C$2:C$2013,O30,Cleaned_Data!K$2:K$2013)</f>
        <v>3274000000</v>
      </c>
      <c r="Q30" s="4">
        <f>SUMIF(Cleaned_Data!C$2:C$2013,O30,Cleaned_Data!N$2:N$2013)</f>
        <v>9053000000</v>
      </c>
      <c r="R30" s="6">
        <f t="shared" si="5"/>
        <v>0.3616480725</v>
      </c>
      <c r="T30" s="4" t="str">
        <f>IFERROR(__xludf.DUMMYFUNCTION("""COMPUTED_VALUE"""),"S&amp;P Global")</f>
        <v>S&amp;P Global</v>
      </c>
      <c r="U30" s="6">
        <f>IFERROR(__xludf.DUMMYFUNCTION("""COMPUTED_VALUE"""),0.5418524021792966)</f>
        <v>0.5418524022</v>
      </c>
    </row>
    <row r="31">
      <c r="A31" s="1" t="s">
        <v>232</v>
      </c>
      <c r="B31" s="4">
        <f>SUMPRODUCT((YEAR(Cleaned_Data!$B$2:$B$2013)=B$29)*Cleaned_Data!$O$2:$O$2013)</f>
        <v>4821060545000</v>
      </c>
      <c r="C31" s="4">
        <f>SUMPRODUCT((YEAR(Cleaned_Data!$B$2:$B$2013)=C$29)*Cleaned_Data!$O$2:$O$2013)</f>
        <v>6298459761000</v>
      </c>
      <c r="D31" s="4" t="s">
        <v>75</v>
      </c>
      <c r="E31" s="4">
        <f>SUMIF(Cleaned_Data!C$2:C$2013,D31,Cleaned_Data!N$2:N$2013)</f>
        <v>5735000000</v>
      </c>
      <c r="J31" s="4" t="str">
        <f>IFERROR(__xludf.DUMMYFUNCTION("""COMPUTED_VALUE"""),"AbbVie")</f>
        <v>AbbVie</v>
      </c>
      <c r="K31" s="4">
        <f>IFERROR(__xludf.DUMMYFUNCTION("""COMPUTED_VALUE"""),1.9467E10)</f>
        <v>19467000000</v>
      </c>
      <c r="L31" s="4">
        <f>IFERROR(__xludf.DUMMYFUNCTION("""COMPUTED_VALUE"""),5.5169E10)</f>
        <v>55169000000</v>
      </c>
      <c r="O31" s="4" t="s">
        <v>34</v>
      </c>
      <c r="P31" s="4">
        <f>SUMIF(Cleaned_Data!C$2:C$2013,O31,Cleaned_Data!K$2:K$2013)</f>
        <v>2707000000</v>
      </c>
      <c r="Q31" s="4">
        <f>SUMIF(Cleaned_Data!C$2:C$2013,O31,Cleaned_Data!N$2:N$2013)</f>
        <v>80137000000</v>
      </c>
      <c r="R31" s="6">
        <f t="shared" si="5"/>
        <v>0.03377965235</v>
      </c>
      <c r="T31" s="4" t="str">
        <f>IFERROR(__xludf.DUMMYFUNCTION("""COMPUTED_VALUE"""),"Regeneron Pharmaceuticals")</f>
        <v>Regeneron Pharmaceuticals</v>
      </c>
      <c r="U31" s="6">
        <f>IFERROR(__xludf.DUMMYFUNCTION("""COMPUTED_VALUE"""),0.538506461418667)</f>
        <v>0.5385064614</v>
      </c>
    </row>
    <row r="32">
      <c r="A32" s="1" t="s">
        <v>237</v>
      </c>
      <c r="B32" s="4">
        <f>SUMPRODUCT((YEAR(Cleaned_Data!$B$2:$B$2013)=B$29)*Cleaned_Data!$H$2:$H$2013)</f>
        <v>911532452000</v>
      </c>
      <c r="C32" s="4">
        <f>SUMPRODUCT((YEAR(Cleaned_Data!$B$2:$B$2013)=C$29)*Cleaned_Data!$H$2:$H$2013)</f>
        <v>1243437938000</v>
      </c>
      <c r="D32" s="4" t="s">
        <v>77</v>
      </c>
      <c r="E32" s="4">
        <f>SUMIF(Cleaned_Data!C$2:C$2013,D32,Cleaned_Data!N$2:N$2013)</f>
        <v>18687000000</v>
      </c>
      <c r="J32" s="4" t="str">
        <f>IFERROR(__xludf.DUMMYFUNCTION("""COMPUTED_VALUE"""),"Abbott Laboratories")</f>
        <v>Abbott Laboratories</v>
      </c>
      <c r="K32" s="4">
        <f>IFERROR(__xludf.DUMMYFUNCTION("""COMPUTED_VALUE"""),9.292E9)</f>
        <v>9292000000</v>
      </c>
      <c r="L32" s="4">
        <f>IFERROR(__xludf.DUMMYFUNCTION("""COMPUTED_VALUE"""),4.2308E10)</f>
        <v>42308000000</v>
      </c>
      <c r="O32" s="4" t="s">
        <v>35</v>
      </c>
      <c r="P32" s="4">
        <f>SUMIF(Cleaned_Data!C$2:C$2013,O32,Cleaned_Data!K$2:K$2013)</f>
        <v>5516000000</v>
      </c>
      <c r="Q32" s="4">
        <f>SUMIF(Cleaned_Data!C$2:C$2013,O32,Cleaned_Data!N$2:N$2013)</f>
        <v>15099000000</v>
      </c>
      <c r="R32" s="6">
        <f t="shared" si="5"/>
        <v>0.3653222068</v>
      </c>
      <c r="T32" s="4" t="str">
        <f>IFERROR(__xludf.DUMMYFUNCTION("""COMPUTED_VALUE"""),"CME Group")</f>
        <v>CME Group</v>
      </c>
      <c r="U32" s="6">
        <f>IFERROR(__xludf.DUMMYFUNCTION("""COMPUTED_VALUE"""),0.5381939915655841)</f>
        <v>0.5381939916</v>
      </c>
    </row>
    <row r="33">
      <c r="A33" s="1" t="s">
        <v>244</v>
      </c>
      <c r="B33" s="4">
        <f>SUMPRODUCT((YEAR(Cleaned_Data!$B$2:$B$2013)=B$29)*Cleaned_Data!$E$2:$E$2013)</f>
        <v>180628916000</v>
      </c>
      <c r="C33" s="4">
        <f>SUMPRODUCT((YEAR(Cleaned_Data!$B$2:$B$2013)=C$29)*Cleaned_Data!$E$2:$E$2013)</f>
        <v>221617415000</v>
      </c>
      <c r="D33" s="4" t="s">
        <v>79</v>
      </c>
      <c r="E33" s="4">
        <f>SUMIF(Cleaned_Data!C$2:C$2013,D33,Cleaned_Data!N$2:N$2013)</f>
        <v>15784600000</v>
      </c>
      <c r="J33" s="4" t="str">
        <f>IFERROR(__xludf.DUMMYFUNCTION("""COMPUTED_VALUE"""),"Abiomed")</f>
        <v>Abiomed</v>
      </c>
      <c r="K33" s="4">
        <f>IFERROR(__xludf.DUMMYFUNCTION("""COMPUTED_VALUE"""),2.61956E8)</f>
        <v>261956000</v>
      </c>
      <c r="L33" s="4">
        <f>IFERROR(__xludf.DUMMYFUNCTION("""COMPUTED_VALUE"""),9.73635E8)</f>
        <v>973635000</v>
      </c>
      <c r="O33" s="4" t="s">
        <v>37</v>
      </c>
      <c r="P33" s="4">
        <f>SUMIF(Cleaned_Data!C$2:C$2013,O33,Cleaned_Data!K$2:K$2013)</f>
        <v>1087428000</v>
      </c>
      <c r="Q33" s="4">
        <f>SUMIF(Cleaned_Data!C$2:C$2013,O33,Cleaned_Data!N$2:N$2013)</f>
        <v>11619092500</v>
      </c>
      <c r="R33" s="6">
        <f t="shared" si="5"/>
        <v>0.09358975324</v>
      </c>
      <c r="T33" s="4" t="str">
        <f>IFERROR(__xludf.DUMMYFUNCTION("""COMPUTED_VALUE"""),"MSCI")</f>
        <v>MSCI</v>
      </c>
      <c r="U33" s="6">
        <f>IFERROR(__xludf.DUMMYFUNCTION("""COMPUTED_VALUE"""),0.5354430029957786)</f>
        <v>0.535443003</v>
      </c>
    </row>
    <row r="34">
      <c r="D34" s="4" t="s">
        <v>81</v>
      </c>
      <c r="E34" s="4">
        <f>SUMIF(Cleaned_Data!C$2:C$2013,D34,Cleaned_Data!N$2:N$2013)</f>
        <v>38136000000</v>
      </c>
      <c r="J34" s="4" t="str">
        <f>IFERROR(__xludf.DUMMYFUNCTION("""COMPUTED_VALUE"""),"Accenture")</f>
        <v>Accenture</v>
      </c>
      <c r="K34" s="4">
        <f>IFERROR(__xludf.DUMMYFUNCTION("""COMPUTED_VALUE"""),7.621529E9)</f>
        <v>7621529000</v>
      </c>
      <c r="L34" s="4">
        <f>IFERROR(__xludf.DUMMYFUNCTION("""COMPUTED_VALUE"""),5.0533389E10)</f>
        <v>50533389000</v>
      </c>
      <c r="O34" s="4" t="s">
        <v>39</v>
      </c>
      <c r="P34" s="4">
        <f>SUMIF(Cleaned_Data!C$2:C$2013,O34,Cleaned_Data!K$2:K$2013)</f>
        <v>3044000000</v>
      </c>
      <c r="Q34" s="4">
        <f>SUMIF(Cleaned_Data!C$2:C$2013,O34,Cleaned_Data!N$2:N$2013)</f>
        <v>14852000000</v>
      </c>
      <c r="R34" s="6">
        <f t="shared" si="5"/>
        <v>0.2049555615</v>
      </c>
    </row>
    <row r="35">
      <c r="D35" s="4" t="s">
        <v>83</v>
      </c>
      <c r="E35" s="4">
        <f>SUMIF(Cleaned_Data!C$2:C$2013,D35,Cleaned_Data!N$2:N$2013)</f>
        <v>44339000000</v>
      </c>
      <c r="J35" s="4" t="str">
        <f>IFERROR(__xludf.DUMMYFUNCTION("""COMPUTED_VALUE"""),"Activision Blizzard")</f>
        <v>Activision Blizzard</v>
      </c>
      <c r="K35" s="4">
        <f>IFERROR(__xludf.DUMMYFUNCTION("""COMPUTED_VALUE"""),3.274E9)</f>
        <v>3274000000</v>
      </c>
      <c r="L35" s="4">
        <f>IFERROR(__xludf.DUMMYFUNCTION("""COMPUTED_VALUE"""),9.053E9)</f>
        <v>9053000000</v>
      </c>
      <c r="O35" s="4" t="s">
        <v>41</v>
      </c>
      <c r="P35" s="4">
        <f>SUMIF(Cleaned_Data!C$2:C$2013,O35,Cleaned_Data!K$2:K$2013)</f>
        <v>2699000000</v>
      </c>
      <c r="Q35" s="4">
        <f>SUMIF(Cleaned_Data!C$2:C$2013,O35,Cleaned_Data!N$2:N$2013)</f>
        <v>10931000000</v>
      </c>
      <c r="R35" s="6">
        <f t="shared" si="5"/>
        <v>0.2469124508</v>
      </c>
    </row>
    <row r="36">
      <c r="D36" s="4" t="s">
        <v>85</v>
      </c>
      <c r="E36" s="4">
        <f>SUMIF(Cleaned_Data!C$2:C$2013,D36,Cleaned_Data!N$2:N$2013)</f>
        <v>8592800000</v>
      </c>
      <c r="J36" s="4" t="str">
        <f>IFERROR(__xludf.DUMMYFUNCTION("""COMPUTED_VALUE"""),"Adobe")</f>
        <v>Adobe</v>
      </c>
      <c r="K36" s="4">
        <f>IFERROR(__xludf.DUMMYFUNCTION("""COMPUTED_VALUE"""),5.516E9)</f>
        <v>5516000000</v>
      </c>
      <c r="L36" s="4">
        <f>IFERROR(__xludf.DUMMYFUNCTION("""COMPUTED_VALUE"""),1.5099E10)</f>
        <v>15099000000</v>
      </c>
      <c r="O36" s="4" t="s">
        <v>43</v>
      </c>
      <c r="P36" s="4">
        <f>SUMIF(Cleaned_Data!C$2:C$2013,O36,Cleaned_Data!K$2:K$2013)</f>
        <v>5548000000</v>
      </c>
      <c r="Q36" s="4">
        <f>SUMIF(Cleaned_Data!C$2:C$2013,O36,Cleaned_Data!N$2:N$2013)</f>
        <v>22583000000</v>
      </c>
      <c r="R36" s="6">
        <f t="shared" si="5"/>
        <v>0.2456715228</v>
      </c>
    </row>
    <row r="37">
      <c r="B37" s="6">
        <f t="shared" ref="B37:C37" si="7">B30/B17</f>
        <v>0.6188377749</v>
      </c>
      <c r="C37" s="6">
        <f t="shared" si="7"/>
        <v>0.599359101</v>
      </c>
      <c r="D37" s="4" t="s">
        <v>87</v>
      </c>
      <c r="E37" s="4">
        <f>SUMIF(Cleaned_Data!C$2:C$2013,D37,Cleaned_Data!N$2:N$2013)</f>
        <v>3889000000</v>
      </c>
      <c r="J37" s="4" t="str">
        <f>IFERROR(__xludf.DUMMYFUNCTION("""COMPUTED_VALUE"""),"Advance Auto Parts")</f>
        <v>Advance Auto Parts</v>
      </c>
      <c r="K37" s="4">
        <f>IFERROR(__xludf.DUMMYFUNCTION("""COMPUTED_VALUE"""),1.087428E9)</f>
        <v>1087428000</v>
      </c>
      <c r="L37" s="4">
        <f>IFERROR(__xludf.DUMMYFUNCTION("""COMPUTED_VALUE"""),1.16190925E10)</f>
        <v>11619092500</v>
      </c>
      <c r="O37" s="4" t="s">
        <v>45</v>
      </c>
      <c r="P37" s="4">
        <f>SUMIF(Cleaned_Data!C$2:C$2013,O37,Cleaned_Data!K$2:K$2013)</f>
        <v>1318000000</v>
      </c>
      <c r="Q37" s="4">
        <f>SUMIF(Cleaned_Data!C$2:C$2013,O37,Cleaned_Data!N$2:N$2013)</f>
        <v>6142000000</v>
      </c>
      <c r="R37" s="6">
        <f t="shared" si="5"/>
        <v>0.2145880821</v>
      </c>
    </row>
    <row r="38">
      <c r="B38" s="6">
        <f t="shared" ref="B38:C38" si="8">B31/B17</f>
        <v>0.8604501898</v>
      </c>
      <c r="C38" s="6">
        <f t="shared" si="8"/>
        <v>0.8319858517</v>
      </c>
      <c r="D38" s="4" t="s">
        <v>90</v>
      </c>
      <c r="E38" s="4">
        <f>SUMIF(Cleaned_Data!C$2:C$2013,D38,Cleaned_Data!N$2:N$2013)</f>
        <v>12977000000</v>
      </c>
      <c r="J38" s="4" t="str">
        <f>IFERROR(__xludf.DUMMYFUNCTION("""COMPUTED_VALUE"""),"Advanced Micro Devices")</f>
        <v>Advanced Micro Devices</v>
      </c>
      <c r="K38" s="4">
        <f>IFERROR(__xludf.DUMMYFUNCTION("""COMPUTED_VALUE"""),3.044E9)</f>
        <v>3044000000</v>
      </c>
      <c r="L38" s="4">
        <f>IFERROR(__xludf.DUMMYFUNCTION("""COMPUTED_VALUE"""),1.4852E10)</f>
        <v>14852000000</v>
      </c>
      <c r="O38" s="4" t="s">
        <v>47</v>
      </c>
      <c r="P38" s="4">
        <f>SUMIF(Cleaned_Data!C$2:C$2013,O38,Cleaned_Data!K$2:K$2013)</f>
        <v>2333400000</v>
      </c>
      <c r="Q38" s="4">
        <f>SUMIF(Cleaned_Data!C$2:C$2013,O38,Cleaned_Data!N$2:N$2013)</f>
        <v>10323000000</v>
      </c>
      <c r="R38" s="6">
        <f t="shared" si="5"/>
        <v>0.2260389422</v>
      </c>
    </row>
    <row r="39">
      <c r="B39" s="6">
        <f t="shared" ref="B39:C39" si="9">B32/B17</f>
        <v>0.1626879115</v>
      </c>
      <c r="C39" s="6">
        <f t="shared" si="9"/>
        <v>0.1642501201</v>
      </c>
      <c r="D39" s="4" t="s">
        <v>95</v>
      </c>
      <c r="E39" s="4">
        <f>SUMIF(Cleaned_Data!C$2:C$2013,D39,Cleaned_Data!N$2:N$2013)</f>
        <v>204321190000</v>
      </c>
      <c r="J39" s="4" t="str">
        <f>IFERROR(__xludf.DUMMYFUNCTION("""COMPUTED_VALUE"""),"Aflac")</f>
        <v>Aflac</v>
      </c>
      <c r="K39" s="4">
        <f>IFERROR(__xludf.DUMMYFUNCTION("""COMPUTED_VALUE"""),5.548E9)</f>
        <v>5548000000</v>
      </c>
      <c r="L39" s="4">
        <f>IFERROR(__xludf.DUMMYFUNCTION("""COMPUTED_VALUE"""),2.2583E10)</f>
        <v>22583000000</v>
      </c>
      <c r="O39" s="4" t="s">
        <v>49</v>
      </c>
      <c r="P39" s="4">
        <f>SUMIF(Cleaned_Data!C$2:C$2013,O39,Cleaned_Data!K$2:K$2013)</f>
        <v>759729000</v>
      </c>
      <c r="Q39" s="4">
        <f>SUMIF(Cleaned_Data!C$2:C$2013,O39,Cleaned_Data!N$2:N$2013)</f>
        <v>3402152000</v>
      </c>
      <c r="R39" s="6">
        <f t="shared" si="5"/>
        <v>0.2233083648</v>
      </c>
    </row>
    <row r="40">
      <c r="B40" s="6">
        <f t="shared" ref="B40:C40" si="10">B33/B17</f>
        <v>0.03223817324</v>
      </c>
      <c r="C40" s="6">
        <f t="shared" si="10"/>
        <v>0.02927422906</v>
      </c>
      <c r="D40" s="4" t="s">
        <v>97</v>
      </c>
      <c r="E40" s="4">
        <f>SUMIF(Cleaned_Data!C$2:C$2013,D40,Cleaned_Data!N$2:N$2013)</f>
        <v>4927977000</v>
      </c>
      <c r="J40" s="4" t="str">
        <f>IFERROR(__xludf.DUMMYFUNCTION("""COMPUTED_VALUE"""),"Agilent Technologies")</f>
        <v>Agilent Technologies</v>
      </c>
      <c r="K40" s="4">
        <f>IFERROR(__xludf.DUMMYFUNCTION("""COMPUTED_VALUE"""),1.318E9)</f>
        <v>1318000000</v>
      </c>
      <c r="L40" s="4">
        <f>IFERROR(__xludf.DUMMYFUNCTION("""COMPUTED_VALUE"""),6.142E9)</f>
        <v>6142000000</v>
      </c>
      <c r="O40" s="4" t="s">
        <v>51</v>
      </c>
      <c r="P40" s="4">
        <f>SUMIF(Cleaned_Data!C$2:C$2013,O40,Cleaned_Data!K$2:K$2013)</f>
        <v>561132000</v>
      </c>
      <c r="Q40" s="4">
        <f>SUMIF(Cleaned_Data!C$2:C$2013,O40,Cleaned_Data!N$2:N$2013)</f>
        <v>3312900000</v>
      </c>
      <c r="R40" s="6">
        <f t="shared" si="5"/>
        <v>0.1693778864</v>
      </c>
    </row>
    <row r="41">
      <c r="D41" s="4" t="s">
        <v>99</v>
      </c>
      <c r="E41" s="4">
        <f>SUMIF(Cleaned_Data!C$2:C$2013,D41,Cleaned_Data!N$2:N$2013)</f>
        <v>25484000000</v>
      </c>
      <c r="J41" s="4" t="str">
        <f>IFERROR(__xludf.DUMMYFUNCTION("""COMPUTED_VALUE"""),"Air Products &amp; Chemicals")</f>
        <v>Air Products &amp; Chemicals</v>
      </c>
      <c r="K41" s="4">
        <f>IFERROR(__xludf.DUMMYFUNCTION("""COMPUTED_VALUE"""),2.3334E9)</f>
        <v>2333400000</v>
      </c>
      <c r="L41" s="4">
        <f>IFERROR(__xludf.DUMMYFUNCTION("""COMPUTED_VALUE"""),1.0323E10)</f>
        <v>10323000000</v>
      </c>
      <c r="O41" s="4" t="s">
        <v>53</v>
      </c>
      <c r="P41" s="4">
        <f>SUMIF(Cleaned_Data!C$2:C$2013,O41,Cleaned_Data!K$2:K$2013)</f>
        <v>-801000000</v>
      </c>
      <c r="Q41" s="4">
        <f>SUMIF(Cleaned_Data!C$2:C$2013,O41,Cleaned_Data!N$2:N$2013)</f>
        <v>5085000000</v>
      </c>
      <c r="R41" s="6">
        <f t="shared" si="5"/>
        <v>-0.1575221239</v>
      </c>
    </row>
    <row r="42">
      <c r="D42" s="4" t="s">
        <v>102</v>
      </c>
      <c r="E42" s="4">
        <f>SUMIF(Cleaned_Data!C$2:C$2013,D42,Cleaned_Data!N$2:N$2013)</f>
        <v>9114000000</v>
      </c>
      <c r="J42" s="4" t="str">
        <f>IFERROR(__xludf.DUMMYFUNCTION("""COMPUTED_VALUE"""),"Akamai Technologies")</f>
        <v>Akamai Technologies</v>
      </c>
      <c r="K42" s="4">
        <f>IFERROR(__xludf.DUMMYFUNCTION("""COMPUTED_VALUE"""),7.59729E8)</f>
        <v>759729000</v>
      </c>
      <c r="L42" s="4">
        <f>IFERROR(__xludf.DUMMYFUNCTION("""COMPUTED_VALUE"""),3.402152E9)</f>
        <v>3402152000</v>
      </c>
      <c r="O42" s="4" t="s">
        <v>55</v>
      </c>
      <c r="P42" s="4">
        <f>SUMIF(Cleaned_Data!C$2:C$2013,O42,Cleaned_Data!K$2:K$2013)</f>
        <v>527118000</v>
      </c>
      <c r="Q42" s="4">
        <f>SUMIF(Cleaned_Data!C$2:C$2013,O42,Cleaned_Data!N$2:N$2013)</f>
        <v>2013777000</v>
      </c>
      <c r="R42" s="6">
        <f t="shared" si="5"/>
        <v>0.2617558945</v>
      </c>
    </row>
    <row r="43">
      <c r="D43" s="4" t="s">
        <v>104</v>
      </c>
      <c r="E43" s="4">
        <f>SUMIF(Cleaned_Data!C$2:C$2013,D43,Cleaned_Data!N$2:N$2013)</f>
        <v>6505013000</v>
      </c>
      <c r="J43" s="4" t="str">
        <f>IFERROR(__xludf.DUMMYFUNCTION("""COMPUTED_VALUE"""),"Alaska Air Group")</f>
        <v>Alaska Air Group</v>
      </c>
      <c r="K43" s="4">
        <f>IFERROR(__xludf.DUMMYFUNCTION("""COMPUTED_VALUE"""),5.61132E8)</f>
        <v>561132000</v>
      </c>
      <c r="L43" s="4">
        <f>IFERROR(__xludf.DUMMYFUNCTION("""COMPUTED_VALUE"""),3.3129E9)</f>
        <v>3312900000</v>
      </c>
      <c r="O43" s="4" t="s">
        <v>57</v>
      </c>
      <c r="P43" s="4">
        <f>SUMIF(Cleaned_Data!C$2:C$2013,O43,Cleaned_Data!K$2:K$2013)</f>
        <v>968692000</v>
      </c>
      <c r="Q43" s="4">
        <f>SUMIF(Cleaned_Data!C$2:C$2013,O43,Cleaned_Data!N$2:N$2013)</f>
        <v>3756005000</v>
      </c>
      <c r="R43" s="6">
        <f t="shared" si="5"/>
        <v>0.257904875</v>
      </c>
    </row>
    <row r="44">
      <c r="D44" s="4" t="s">
        <v>107</v>
      </c>
      <c r="E44" s="4">
        <f>SUMIF(Cleaned_Data!C$2:C$2013,D44,Cleaned_Data!N$2:N$2013)</f>
        <v>1800531000</v>
      </c>
      <c r="J44" s="4" t="str">
        <f>IFERROR(__xludf.DUMMYFUNCTION("""COMPUTED_VALUE"""),"Albemarle Corporation")</f>
        <v>Albemarle Corporation</v>
      </c>
      <c r="K44" s="4">
        <f>IFERROR(__xludf.DUMMYFUNCTION("""COMPUTED_VALUE"""),-8.01E8)</f>
        <v>-801000000</v>
      </c>
      <c r="L44" s="4">
        <f>IFERROR(__xludf.DUMMYFUNCTION("""COMPUTED_VALUE"""),5.085E9)</f>
        <v>5085000000</v>
      </c>
      <c r="O44" s="4" t="s">
        <v>59</v>
      </c>
      <c r="P44" s="4">
        <f>SUMIF(Cleaned_Data!C$2:C$2013,O44,Cleaned_Data!K$2:K$2013)</f>
        <v>585200000</v>
      </c>
      <c r="Q44" s="4">
        <f>SUMIF(Cleaned_Data!C$2:C$2013,O44,Cleaned_Data!N$2:N$2013)</f>
        <v>2885500000</v>
      </c>
      <c r="R44" s="6">
        <f t="shared" si="5"/>
        <v>0.2028071391</v>
      </c>
    </row>
    <row r="45">
      <c r="D45" s="4" t="s">
        <v>109</v>
      </c>
      <c r="E45" s="4">
        <f>SUMIF(Cleaned_Data!C$2:C$2013,D45,Cleaned_Data!N$2:N$2013)</f>
        <v>133883000000</v>
      </c>
      <c r="J45" s="4" t="str">
        <f>IFERROR(__xludf.DUMMYFUNCTION("""COMPUTED_VALUE"""),"Alexandria Real Estate Equities")</f>
        <v>Alexandria Real Estate Equities</v>
      </c>
      <c r="K45" s="4">
        <f>IFERROR(__xludf.DUMMYFUNCTION("""COMPUTED_VALUE"""),5.27118E8)</f>
        <v>527118000</v>
      </c>
      <c r="L45" s="4">
        <f>IFERROR(__xludf.DUMMYFUNCTION("""COMPUTED_VALUE"""),2.013777E9)</f>
        <v>2013777000</v>
      </c>
      <c r="O45" s="4" t="s">
        <v>61</v>
      </c>
      <c r="P45" s="4">
        <f>SUMIF(Cleaned_Data!C$2:C$2013,O45,Cleaned_Data!K$2:K$2013)</f>
        <v>751000000</v>
      </c>
      <c r="Q45" s="4">
        <f>SUMIF(Cleaned_Data!C$2:C$2013,O45,Cleaned_Data!N$2:N$2013)</f>
        <v>3559000000</v>
      </c>
      <c r="R45" s="6">
        <f t="shared" si="5"/>
        <v>0.2110143299</v>
      </c>
    </row>
    <row r="46">
      <c r="D46" s="4" t="s">
        <v>111</v>
      </c>
      <c r="E46" s="4">
        <f>SUMIF(Cleaned_Data!C$2:C$2013,D46,Cleaned_Data!N$2:N$2013)</f>
        <v>11761000000</v>
      </c>
      <c r="J46" s="4" t="str">
        <f>IFERROR(__xludf.DUMMYFUNCTION("""COMPUTED_VALUE"""),"Align Technology")</f>
        <v>Align Technology</v>
      </c>
      <c r="K46" s="4">
        <f>IFERROR(__xludf.DUMMYFUNCTION("""COMPUTED_VALUE"""),9.68692E8)</f>
        <v>968692000</v>
      </c>
      <c r="L46" s="4">
        <f>IFERROR(__xludf.DUMMYFUNCTION("""COMPUTED_VALUE"""),3.756005E9)</f>
        <v>3756005000</v>
      </c>
      <c r="O46" s="4" t="s">
        <v>63</v>
      </c>
      <c r="P46" s="4">
        <f>SUMIF(Cleaned_Data!C$2:C$2013,O46,Cleaned_Data!K$2:K$2013)</f>
        <v>8926000000</v>
      </c>
      <c r="Q46" s="4">
        <f>SUMIF(Cleaned_Data!C$2:C$2013,O46,Cleaned_Data!N$2:N$2013)</f>
        <v>49595000000</v>
      </c>
      <c r="R46" s="6">
        <f t="shared" si="5"/>
        <v>0.1799778203</v>
      </c>
    </row>
    <row r="47">
      <c r="D47" s="4" t="s">
        <v>113</v>
      </c>
      <c r="E47" s="4">
        <f>SUMIF(Cleaned_Data!C$2:C$2013,D47,Cleaned_Data!N$2:N$2013)</f>
        <v>6027000000</v>
      </c>
      <c r="J47" s="4" t="str">
        <f>IFERROR(__xludf.DUMMYFUNCTION("""COMPUTED_VALUE"""),"Allegion")</f>
        <v>Allegion</v>
      </c>
      <c r="K47" s="4">
        <f>IFERROR(__xludf.DUMMYFUNCTION("""COMPUTED_VALUE"""),5.852E8)</f>
        <v>585200000</v>
      </c>
      <c r="L47" s="4">
        <f>IFERROR(__xludf.DUMMYFUNCTION("""COMPUTED_VALUE"""),2.8855E9)</f>
        <v>2885500000</v>
      </c>
      <c r="O47" s="4" t="s">
        <v>65</v>
      </c>
      <c r="P47" s="4">
        <f>SUMIF(Cleaned_Data!C$2:C$2013,O47,Cleaned_Data!K$2:K$2013)</f>
        <v>62662000000</v>
      </c>
      <c r="Q47" s="4">
        <f>SUMIF(Cleaned_Data!C$2:C$2013,O47,Cleaned_Data!N$2:N$2013)</f>
        <v>220265000000</v>
      </c>
      <c r="R47" s="6">
        <f t="shared" si="5"/>
        <v>0.2844845981</v>
      </c>
    </row>
    <row r="48">
      <c r="D48" s="4" t="s">
        <v>116</v>
      </c>
      <c r="E48" s="4">
        <f>SUMIF(Cleaned_Data!C$2:C$2013,D48,Cleaned_Data!N$2:N$2013)</f>
        <v>347155000000</v>
      </c>
      <c r="J48" s="4" t="str">
        <f>IFERROR(__xludf.DUMMYFUNCTION("""COMPUTED_VALUE"""),"Alliant Energy")</f>
        <v>Alliant Energy</v>
      </c>
      <c r="K48" s="4">
        <f>IFERROR(__xludf.DUMMYFUNCTION("""COMPUTED_VALUE"""),7.51E8)</f>
        <v>751000000</v>
      </c>
      <c r="L48" s="4">
        <f>IFERROR(__xludf.DUMMYFUNCTION("""COMPUTED_VALUE"""),3.559E9)</f>
        <v>3559000000</v>
      </c>
      <c r="O48" s="4" t="s">
        <v>67</v>
      </c>
      <c r="P48" s="4">
        <f>SUMIF(Cleaned_Data!C$2:C$2013,O48,Cleaned_Data!K$2:K$2013)</f>
        <v>62662000000</v>
      </c>
      <c r="Q48" s="4">
        <f>SUMIF(Cleaned_Data!C$2:C$2013,O48,Cleaned_Data!N$2:N$2013)</f>
        <v>220265000000</v>
      </c>
      <c r="R48" s="6">
        <f t="shared" si="5"/>
        <v>0.2844845981</v>
      </c>
    </row>
    <row r="49">
      <c r="D49" s="4" t="s">
        <v>118</v>
      </c>
      <c r="E49" s="4">
        <f>SUMIF(Cleaned_Data!C$2:C$2013,D49,Cleaned_Data!N$2:N$2013)</f>
        <v>21628000000</v>
      </c>
      <c r="J49" s="4" t="str">
        <f>IFERROR(__xludf.DUMMYFUNCTION("""COMPUTED_VALUE"""),"Allstate Corp")</f>
        <v>Allstate Corp</v>
      </c>
      <c r="K49" s="4">
        <f>IFERROR(__xludf.DUMMYFUNCTION("""COMPUTED_VALUE"""),8.926E9)</f>
        <v>8926000000</v>
      </c>
      <c r="L49" s="4">
        <f>IFERROR(__xludf.DUMMYFUNCTION("""COMPUTED_VALUE"""),4.9595E10)</f>
        <v>49595000000</v>
      </c>
      <c r="O49" s="4" t="s">
        <v>69</v>
      </c>
      <c r="P49" s="4">
        <f>SUMIF(Cleaned_Data!C$2:C$2013,O49,Cleaned_Data!K$2:K$2013)</f>
        <v>11976000000</v>
      </c>
      <c r="Q49" s="4">
        <f>SUMIF(Cleaned_Data!C$2:C$2013,O49,Cleaned_Data!N$2:N$2013)</f>
        <v>21227000000</v>
      </c>
      <c r="R49" s="6">
        <f t="shared" si="5"/>
        <v>0.5641871202</v>
      </c>
    </row>
    <row r="50">
      <c r="D50" s="4" t="s">
        <v>121</v>
      </c>
      <c r="E50" s="4">
        <f>SUMIF(Cleaned_Data!C$2:C$2013,D50,Cleaned_Data!N$2:N$2013)</f>
        <v>15710000000</v>
      </c>
      <c r="J50" s="4" t="str">
        <f>IFERROR(__xludf.DUMMYFUNCTION("""COMPUTED_VALUE"""),"Alphabet (Class A)")</f>
        <v>Alphabet (Class A)</v>
      </c>
      <c r="K50" s="4">
        <f>IFERROR(__xludf.DUMMYFUNCTION("""COMPUTED_VALUE"""),6.2662E10)</f>
        <v>62662000000</v>
      </c>
      <c r="L50" s="4">
        <f>IFERROR(__xludf.DUMMYFUNCTION("""COMPUTED_VALUE"""),2.20265E11)</f>
        <v>220265000000</v>
      </c>
      <c r="O50" s="4" t="s">
        <v>71</v>
      </c>
      <c r="P50" s="4">
        <f>SUMIF(Cleaned_Data!C$2:C$2013,O50,Cleaned_Data!K$2:K$2013)</f>
        <v>29634000000</v>
      </c>
      <c r="Q50" s="4">
        <f>SUMIF(Cleaned_Data!C$2:C$2013,O50,Cleaned_Data!N$2:N$2013)</f>
        <v>443298000000</v>
      </c>
      <c r="R50" s="6">
        <f t="shared" si="5"/>
        <v>0.06684893683</v>
      </c>
    </row>
    <row r="51">
      <c r="D51" s="4" t="s">
        <v>123</v>
      </c>
      <c r="E51" s="4">
        <f>SUMIF(Cleaned_Data!C$2:C$2013,D51,Cleaned_Data!N$2:N$2013)</f>
        <v>2628794000</v>
      </c>
      <c r="J51" s="4" t="str">
        <f>IFERROR(__xludf.DUMMYFUNCTION("""COMPUTED_VALUE"""),"Alphabet (Class C)")</f>
        <v>Alphabet (Class C)</v>
      </c>
      <c r="K51" s="4">
        <f>IFERROR(__xludf.DUMMYFUNCTION("""COMPUTED_VALUE"""),6.2662E10)</f>
        <v>62662000000</v>
      </c>
      <c r="L51" s="4">
        <f>IFERROR(__xludf.DUMMYFUNCTION("""COMPUTED_VALUE"""),2.20265E11)</f>
        <v>220265000000</v>
      </c>
      <c r="O51" s="4" t="s">
        <v>73</v>
      </c>
      <c r="P51" s="4">
        <f>SUMIF(Cleaned_Data!C$2:C$2013,O51,Cleaned_Data!K$2:K$2013)</f>
        <v>1438000000</v>
      </c>
      <c r="Q51" s="4">
        <f>SUMIF(Cleaned_Data!C$2:C$2013,O51,Cleaned_Data!N$2:N$2013)</f>
        <v>12861000000</v>
      </c>
      <c r="R51" s="6">
        <f t="shared" si="5"/>
        <v>0.1118109012</v>
      </c>
    </row>
    <row r="52">
      <c r="D52" s="4" t="s">
        <v>126</v>
      </c>
      <c r="E52" s="4">
        <f>SUMIF(Cleaned_Data!C$2:C$2013,D52,Cleaned_Data!N$2:N$2013)</f>
        <v>7426500000</v>
      </c>
      <c r="J52" s="4" t="str">
        <f>IFERROR(__xludf.DUMMYFUNCTION("""COMPUTED_VALUE"""),"Altria Group")</f>
        <v>Altria Group</v>
      </c>
      <c r="K52" s="4">
        <f>IFERROR(__xludf.DUMMYFUNCTION("""COMPUTED_VALUE"""),1.1976E10)</f>
        <v>11976000000</v>
      </c>
      <c r="L52" s="4">
        <f>IFERROR(__xludf.DUMMYFUNCTION("""COMPUTED_VALUE"""),2.1227E10)</f>
        <v>21227000000</v>
      </c>
      <c r="O52" s="4" t="s">
        <v>75</v>
      </c>
      <c r="P52" s="4">
        <f>SUMIF(Cleaned_Data!C$2:C$2013,O52,Cleaned_Data!K$2:K$2013)</f>
        <v>1438000000</v>
      </c>
      <c r="Q52" s="4">
        <f>SUMIF(Cleaned_Data!C$2:C$2013,O52,Cleaned_Data!N$2:N$2013)</f>
        <v>5735000000</v>
      </c>
      <c r="R52" s="6">
        <f t="shared" si="5"/>
        <v>0.2507410636</v>
      </c>
    </row>
    <row r="53">
      <c r="D53" s="4" t="s">
        <v>128</v>
      </c>
      <c r="E53" s="4">
        <f>SUMIF(Cleaned_Data!C$2:C$2013,D53,Cleaned_Data!N$2:N$2013)</f>
        <v>10032500000</v>
      </c>
      <c r="J53" s="4" t="str">
        <f>IFERROR(__xludf.DUMMYFUNCTION("""COMPUTED_VALUE"""),"Amazon")</f>
        <v>Amazon</v>
      </c>
      <c r="K53" s="4">
        <f>IFERROR(__xludf.DUMMYFUNCTION("""COMPUTED_VALUE"""),2.9634E10)</f>
        <v>29634000000</v>
      </c>
      <c r="L53" s="4">
        <f>IFERROR(__xludf.DUMMYFUNCTION("""COMPUTED_VALUE"""),4.43298E11)</f>
        <v>443298000000</v>
      </c>
      <c r="O53" s="4" t="s">
        <v>77</v>
      </c>
      <c r="P53" s="4">
        <f>SUMIF(Cleaned_Data!C$2:C$2013,O53,Cleaned_Data!K$2:K$2013)</f>
        <v>-9862000000</v>
      </c>
      <c r="Q53" s="4">
        <f>SUMIF(Cleaned_Data!C$2:C$2013,O53,Cleaned_Data!N$2:N$2013)</f>
        <v>18687000000</v>
      </c>
      <c r="R53" s="6">
        <f t="shared" si="5"/>
        <v>-0.5277465618</v>
      </c>
    </row>
    <row r="54">
      <c r="D54" s="4" t="s">
        <v>131</v>
      </c>
      <c r="E54" s="4">
        <f>SUMIF(Cleaned_Data!C$2:C$2013,D54,Cleaned_Data!N$2:N$2013)</f>
        <v>176015000000</v>
      </c>
      <c r="J54" s="4" t="str">
        <f>IFERROR(__xludf.DUMMYFUNCTION("""COMPUTED_VALUE"""),"Amcor")</f>
        <v>Amcor</v>
      </c>
      <c r="K54" s="4">
        <f>IFERROR(__xludf.DUMMYFUNCTION("""COMPUTED_VALUE"""),1.438E9)</f>
        <v>1438000000</v>
      </c>
      <c r="L54" s="4">
        <f>IFERROR(__xludf.DUMMYFUNCTION("""COMPUTED_VALUE"""),1.2861E10)</f>
        <v>12861000000</v>
      </c>
      <c r="O54" s="4" t="s">
        <v>79</v>
      </c>
      <c r="P54" s="4">
        <f>SUMIF(Cleaned_Data!C$2:C$2013,O54,Cleaned_Data!K$2:K$2013)</f>
        <v>3252400000</v>
      </c>
      <c r="Q54" s="4">
        <f>SUMIF(Cleaned_Data!C$2:C$2013,O54,Cleaned_Data!N$2:N$2013)</f>
        <v>15784600000</v>
      </c>
      <c r="R54" s="6">
        <f t="shared" si="5"/>
        <v>0.2060489338</v>
      </c>
    </row>
    <row r="55">
      <c r="D55" s="4" t="s">
        <v>133</v>
      </c>
      <c r="E55" s="4">
        <f>SUMIF(Cleaned_Data!C$2:C$2013,D55,Cleaned_Data!N$2:N$2013)</f>
        <v>3314020000</v>
      </c>
      <c r="J55" s="4" t="str">
        <f>IFERROR(__xludf.DUMMYFUNCTION("""COMPUTED_VALUE"""),"Ameren Corp")</f>
        <v>Ameren Corp</v>
      </c>
      <c r="K55" s="4">
        <f>IFERROR(__xludf.DUMMYFUNCTION("""COMPUTED_VALUE"""),1.438E9)</f>
        <v>1438000000</v>
      </c>
      <c r="L55" s="4">
        <f>IFERROR(__xludf.DUMMYFUNCTION("""COMPUTED_VALUE"""),5.735E9)</f>
        <v>5735000000</v>
      </c>
      <c r="O55" s="4" t="s">
        <v>81</v>
      </c>
      <c r="P55" s="4">
        <f>SUMIF(Cleaned_Data!C$2:C$2013,O55,Cleaned_Data!K$2:K$2013)</f>
        <v>8677000000</v>
      </c>
      <c r="Q55" s="4">
        <f>SUMIF(Cleaned_Data!C$2:C$2013,O55,Cleaned_Data!N$2:N$2013)</f>
        <v>38136000000</v>
      </c>
      <c r="R55" s="6">
        <f t="shared" si="5"/>
        <v>0.2275277953</v>
      </c>
    </row>
    <row r="56">
      <c r="D56" s="4" t="s">
        <v>136</v>
      </c>
      <c r="E56" s="4">
        <f>SUMIF(Cleaned_Data!C$2:C$2013,D56,Cleaned_Data!N$2:N$2013)</f>
        <v>4040600000</v>
      </c>
      <c r="J56" s="4" t="str">
        <f>IFERROR(__xludf.DUMMYFUNCTION("""COMPUTED_VALUE"""),"American Airlines Group")</f>
        <v>American Airlines Group</v>
      </c>
      <c r="K56" s="4">
        <f>IFERROR(__xludf.DUMMYFUNCTION("""COMPUTED_VALUE"""),-9.862E9)</f>
        <v>-9862000000</v>
      </c>
      <c r="L56" s="4">
        <f>IFERROR(__xludf.DUMMYFUNCTION("""COMPUTED_VALUE"""),1.8687E10)</f>
        <v>18687000000</v>
      </c>
      <c r="O56" s="4" t="s">
        <v>83</v>
      </c>
      <c r="P56" s="4">
        <f>SUMIF(Cleaned_Data!C$2:C$2013,O56,Cleaned_Data!K$2:K$2013)</f>
        <v>5804000000</v>
      </c>
      <c r="Q56" s="4">
        <f>SUMIF(Cleaned_Data!C$2:C$2013,O56,Cleaned_Data!N$2:N$2013)</f>
        <v>44339000000</v>
      </c>
      <c r="R56" s="6">
        <f t="shared" si="5"/>
        <v>0.1309005616</v>
      </c>
    </row>
    <row r="57">
      <c r="D57" s="4" t="s">
        <v>138</v>
      </c>
      <c r="E57" s="4">
        <f>SUMIF(Cleaned_Data!C$2:C$2013,D57,Cleaned_Data!N$2:N$2013)</f>
        <v>15005400000</v>
      </c>
      <c r="J57" s="4" t="str">
        <f>IFERROR(__xludf.DUMMYFUNCTION("""COMPUTED_VALUE"""),"American Electric Power")</f>
        <v>American Electric Power</v>
      </c>
      <c r="K57" s="4">
        <f>IFERROR(__xludf.DUMMYFUNCTION("""COMPUTED_VALUE"""),3.2524E9)</f>
        <v>3252400000</v>
      </c>
      <c r="L57" s="4">
        <f>IFERROR(__xludf.DUMMYFUNCTION("""COMPUTED_VALUE"""),1.57846E10)</f>
        <v>15784600000</v>
      </c>
      <c r="O57" s="4" t="s">
        <v>85</v>
      </c>
      <c r="P57" s="4">
        <f>SUMIF(Cleaned_Data!C$2:C$2013,O57,Cleaned_Data!K$2:K$2013)</f>
        <v>3425900000</v>
      </c>
      <c r="Q57" s="4">
        <f>SUMIF(Cleaned_Data!C$2:C$2013,O57,Cleaned_Data!N$2:N$2013)</f>
        <v>8592800000</v>
      </c>
      <c r="R57" s="6">
        <f t="shared" si="5"/>
        <v>0.3986942557</v>
      </c>
    </row>
    <row r="58">
      <c r="D58" s="4" t="s">
        <v>141</v>
      </c>
      <c r="E58" s="4">
        <f>SUMIF(Cleaned_Data!C$2:C$2013,D58,Cleaned_Data!N$2:N$2013)</f>
        <v>14629586000</v>
      </c>
      <c r="J58" s="4" t="str">
        <f>IFERROR(__xludf.DUMMYFUNCTION("""COMPUTED_VALUE"""),"American Express")</f>
        <v>American Express</v>
      </c>
      <c r="K58" s="4">
        <f>IFERROR(__xludf.DUMMYFUNCTION("""COMPUTED_VALUE"""),8.677E9)</f>
        <v>8677000000</v>
      </c>
      <c r="L58" s="4">
        <f>IFERROR(__xludf.DUMMYFUNCTION("""COMPUTED_VALUE"""),3.8136E10)</f>
        <v>38136000000</v>
      </c>
      <c r="O58" s="4" t="s">
        <v>87</v>
      </c>
      <c r="P58" s="4">
        <f>SUMIF(Cleaned_Data!C$2:C$2013,O58,Cleaned_Data!K$2:K$2013)</f>
        <v>1318000000</v>
      </c>
      <c r="Q58" s="4">
        <f>SUMIF(Cleaned_Data!C$2:C$2013,O58,Cleaned_Data!N$2:N$2013)</f>
        <v>3889000000</v>
      </c>
      <c r="R58" s="6">
        <f t="shared" si="5"/>
        <v>0.3389046027</v>
      </c>
    </row>
    <row r="59">
      <c r="D59" s="4" t="s">
        <v>143</v>
      </c>
      <c r="E59" s="4">
        <f>SUMIF(Cleaned_Data!C$2:C$2013,D59,Cleaned_Data!N$2:N$2013)</f>
        <v>2234664000</v>
      </c>
      <c r="J59" s="4" t="str">
        <f>IFERROR(__xludf.DUMMYFUNCTION("""COMPUTED_VALUE"""),"American International Group")</f>
        <v>American International Group</v>
      </c>
      <c r="K59" s="4">
        <f>IFERROR(__xludf.DUMMYFUNCTION("""COMPUTED_VALUE"""),5.804E9)</f>
        <v>5804000000</v>
      </c>
      <c r="L59" s="4">
        <f>IFERROR(__xludf.DUMMYFUNCTION("""COMPUTED_VALUE"""),4.4339E10)</f>
        <v>44339000000</v>
      </c>
      <c r="O59" s="4" t="s">
        <v>90</v>
      </c>
      <c r="P59" s="4">
        <f>SUMIF(Cleaned_Data!C$2:C$2013,O59,Cleaned_Data!K$2:K$2013)</f>
        <v>1985000000</v>
      </c>
      <c r="Q59" s="4">
        <f>SUMIF(Cleaned_Data!C$2:C$2013,O59,Cleaned_Data!N$2:N$2013)</f>
        <v>12977000000</v>
      </c>
      <c r="R59" s="6">
        <f t="shared" si="5"/>
        <v>0.1529629344</v>
      </c>
    </row>
    <row r="60">
      <c r="D60" s="4" t="s">
        <v>146</v>
      </c>
      <c r="E60" s="4">
        <f>SUMIF(Cleaned_Data!C$2:C$2013,D60,Cleaned_Data!N$2:N$2013)</f>
        <v>7873300000</v>
      </c>
      <c r="J60" s="4" t="str">
        <f>IFERROR(__xludf.DUMMYFUNCTION("""COMPUTED_VALUE"""),"American Tower")</f>
        <v>American Tower</v>
      </c>
      <c r="K60" s="4">
        <f>IFERROR(__xludf.DUMMYFUNCTION("""COMPUTED_VALUE"""),3.4259E9)</f>
        <v>3425900000</v>
      </c>
      <c r="L60" s="4">
        <f>IFERROR(__xludf.DUMMYFUNCTION("""COMPUTED_VALUE"""),8.5928E9)</f>
        <v>8592800000</v>
      </c>
      <c r="O60" s="4" t="s">
        <v>95</v>
      </c>
      <c r="P60" s="4">
        <f>SUMIF(Cleaned_Data!C$2:C$2013,O60,Cleaned_Data!K$2:K$2013)</f>
        <v>2745755000</v>
      </c>
      <c r="Q60" s="4">
        <f>SUMIF(Cleaned_Data!C$2:C$2013,O60,Cleaned_Data!N$2:N$2013)</f>
        <v>204321190000</v>
      </c>
      <c r="R60" s="6">
        <f t="shared" si="5"/>
        <v>0.01343842506</v>
      </c>
    </row>
    <row r="61">
      <c r="D61" s="4" t="s">
        <v>148</v>
      </c>
      <c r="E61" s="4">
        <f>SUMIF(Cleaned_Data!C$2:C$2013,D61,Cleaned_Data!N$2:N$2013)</f>
        <v>20512000000</v>
      </c>
      <c r="J61" s="4" t="str">
        <f>IFERROR(__xludf.DUMMYFUNCTION("""COMPUTED_VALUE"""),"American Water Works")</f>
        <v>American Water Works</v>
      </c>
      <c r="K61" s="4">
        <f>IFERROR(__xludf.DUMMYFUNCTION("""COMPUTED_VALUE"""),1.318E9)</f>
        <v>1318000000</v>
      </c>
      <c r="L61" s="4">
        <f>IFERROR(__xludf.DUMMYFUNCTION("""COMPUTED_VALUE"""),3.889E9)</f>
        <v>3889000000</v>
      </c>
      <c r="O61" s="4" t="s">
        <v>97</v>
      </c>
      <c r="P61" s="4">
        <f>SUMIF(Cleaned_Data!C$2:C$2013,O61,Cleaned_Data!K$2:K$2013)</f>
        <v>1163411000</v>
      </c>
      <c r="Q61" s="4">
        <f>SUMIF(Cleaned_Data!C$2:C$2013,O61,Cleaned_Data!N$2:N$2013)</f>
        <v>4927977000</v>
      </c>
      <c r="R61" s="6">
        <f t="shared" si="5"/>
        <v>0.2360828794</v>
      </c>
    </row>
    <row r="62">
      <c r="D62" s="4" t="s">
        <v>151</v>
      </c>
      <c r="E62" s="4">
        <f>SUMIF(Cleaned_Data!C$2:C$2013,D62,Cleaned_Data!N$2:N$2013)</f>
        <v>12779000000</v>
      </c>
      <c r="J62" s="4" t="str">
        <f>IFERROR(__xludf.DUMMYFUNCTION("""COMPUTED_VALUE"""),"Ameriprise Financial")</f>
        <v>Ameriprise Financial</v>
      </c>
      <c r="K62" s="4">
        <f>IFERROR(__xludf.DUMMYFUNCTION("""COMPUTED_VALUE"""),1.985E9)</f>
        <v>1985000000</v>
      </c>
      <c r="L62" s="4">
        <f>IFERROR(__xludf.DUMMYFUNCTION("""COMPUTED_VALUE"""),1.2977E10)</f>
        <v>12977000000</v>
      </c>
      <c r="O62" s="4" t="s">
        <v>99</v>
      </c>
      <c r="P62" s="4">
        <f>SUMIF(Cleaned_Data!C$2:C$2013,O62,Cleaned_Data!K$2:K$2013)</f>
        <v>8950000000</v>
      </c>
      <c r="Q62" s="4">
        <f>SUMIF(Cleaned_Data!C$2:C$2013,O62,Cleaned_Data!N$2:N$2013)</f>
        <v>25484000000</v>
      </c>
      <c r="R62" s="6">
        <f t="shared" si="5"/>
        <v>0.3512007534</v>
      </c>
    </row>
    <row r="63">
      <c r="D63" s="4" t="s">
        <v>153</v>
      </c>
      <c r="E63" s="4">
        <f>SUMIF(Cleaned_Data!C$2:C$2013,D63,Cleaned_Data!N$2:N$2013)</f>
        <v>91204000000</v>
      </c>
      <c r="J63" s="4" t="str">
        <f>IFERROR(__xludf.DUMMYFUNCTION("""COMPUTED_VALUE"""),"AmerisourceBergen")</f>
        <v>AmerisourceBergen</v>
      </c>
      <c r="K63" s="4">
        <f>IFERROR(__xludf.DUMMYFUNCTION("""COMPUTED_VALUE"""),2.745755E9)</f>
        <v>2745755000</v>
      </c>
      <c r="L63" s="4">
        <f>IFERROR(__xludf.DUMMYFUNCTION("""COMPUTED_VALUE"""),2.0432119E11)</f>
        <v>204321190000</v>
      </c>
      <c r="O63" s="4" t="s">
        <v>102</v>
      </c>
      <c r="P63" s="4">
        <f>SUMIF(Cleaned_Data!C$2:C$2013,O63,Cleaned_Data!K$2:K$2013)</f>
        <v>1791000000</v>
      </c>
      <c r="Q63" s="4">
        <f>SUMIF(Cleaned_Data!C$2:C$2013,O63,Cleaned_Data!N$2:N$2013)</f>
        <v>9114000000</v>
      </c>
      <c r="R63" s="6">
        <f t="shared" si="5"/>
        <v>0.1965108624</v>
      </c>
    </row>
    <row r="64">
      <c r="D64" s="4" t="s">
        <v>155</v>
      </c>
      <c r="E64" s="4">
        <f>SUMIF(Cleaned_Data!C$2:C$2013,D64,Cleaned_Data!N$2:N$2013)</f>
        <v>14215000000</v>
      </c>
      <c r="J64" s="4" t="str">
        <f>IFERROR(__xludf.DUMMYFUNCTION("""COMPUTED_VALUE"""),"Ametek")</f>
        <v>Ametek</v>
      </c>
      <c r="K64" s="4">
        <f>IFERROR(__xludf.DUMMYFUNCTION("""COMPUTED_VALUE"""),1.163411E9)</f>
        <v>1163411000</v>
      </c>
      <c r="L64" s="4">
        <f>IFERROR(__xludf.DUMMYFUNCTION("""COMPUTED_VALUE"""),4.927977E9)</f>
        <v>4927977000</v>
      </c>
      <c r="O64" s="4" t="s">
        <v>104</v>
      </c>
      <c r="P64" s="4">
        <f>SUMIF(Cleaned_Data!C$2:C$2013,O64,Cleaned_Data!K$2:K$2013)</f>
        <v>2130126000</v>
      </c>
      <c r="Q64" s="4">
        <f>SUMIF(Cleaned_Data!C$2:C$2013,O64,Cleaned_Data!N$2:N$2013)</f>
        <v>6505013000</v>
      </c>
      <c r="R64" s="6">
        <f t="shared" si="5"/>
        <v>0.3274591457</v>
      </c>
    </row>
    <row r="65">
      <c r="D65" s="4" t="s">
        <v>157</v>
      </c>
      <c r="E65" s="4">
        <f>SUMIF(Cleaned_Data!C$2:C$2013,D65,Cleaned_Data!N$2:N$2013)</f>
        <v>12197000000</v>
      </c>
      <c r="J65" s="4" t="str">
        <f>IFERROR(__xludf.DUMMYFUNCTION("""COMPUTED_VALUE"""),"Amgen")</f>
        <v>Amgen</v>
      </c>
      <c r="K65" s="4">
        <f>IFERROR(__xludf.DUMMYFUNCTION("""COMPUTED_VALUE"""),8.95E9)</f>
        <v>8950000000</v>
      </c>
      <c r="L65" s="4">
        <f>IFERROR(__xludf.DUMMYFUNCTION("""COMPUTED_VALUE"""),2.5484E10)</f>
        <v>25484000000</v>
      </c>
      <c r="O65" s="4" t="s">
        <v>107</v>
      </c>
      <c r="P65" s="4">
        <f>SUMIF(Cleaned_Data!C$2:C$2013,O65,Cleaned_Data!K$2:K$2013)</f>
        <v>523432000</v>
      </c>
      <c r="Q65" s="4">
        <f>SUMIF(Cleaned_Data!C$2:C$2013,O65,Cleaned_Data!N$2:N$2013)</f>
        <v>1800531000</v>
      </c>
      <c r="R65" s="6">
        <f t="shared" si="5"/>
        <v>0.2907097962</v>
      </c>
    </row>
    <row r="66">
      <c r="D66" s="4" t="s">
        <v>159</v>
      </c>
      <c r="E66" s="4">
        <f>SUMIF(Cleaned_Data!C$2:C$2013,D66,Cleaned_Data!N$2:N$2013)</f>
        <v>19896000000</v>
      </c>
      <c r="J66" s="4" t="str">
        <f>IFERROR(__xludf.DUMMYFUNCTION("""COMPUTED_VALUE"""),"Amphenol")</f>
        <v>Amphenol</v>
      </c>
      <c r="K66" s="4">
        <f>IFERROR(__xludf.DUMMYFUNCTION("""COMPUTED_VALUE"""),1.791E9)</f>
        <v>1791000000</v>
      </c>
      <c r="L66" s="4">
        <f>IFERROR(__xludf.DUMMYFUNCTION("""COMPUTED_VALUE"""),9.114E9)</f>
        <v>9114000000</v>
      </c>
      <c r="O66" s="4" t="s">
        <v>109</v>
      </c>
      <c r="P66" s="4">
        <f>SUMIF(Cleaned_Data!C$2:C$2013,O66,Cleaned_Data!K$2:K$2013)</f>
        <v>7933000000</v>
      </c>
      <c r="Q66" s="4">
        <f>SUMIF(Cleaned_Data!C$2:C$2013,O66,Cleaned_Data!N$2:N$2013)</f>
        <v>133883000000</v>
      </c>
      <c r="R66" s="6">
        <f t="shared" si="5"/>
        <v>0.05925322857</v>
      </c>
    </row>
    <row r="67">
      <c r="D67" s="4" t="s">
        <v>161</v>
      </c>
      <c r="E67" s="4">
        <f>SUMIF(Cleaned_Data!C$2:C$2013,D67,Cleaned_Data!N$2:N$2013)</f>
        <v>52276000000</v>
      </c>
      <c r="J67" s="4" t="str">
        <f>IFERROR(__xludf.DUMMYFUNCTION("""COMPUTED_VALUE"""),"Analog Devices")</f>
        <v>Analog Devices</v>
      </c>
      <c r="K67" s="4">
        <f>IFERROR(__xludf.DUMMYFUNCTION("""COMPUTED_VALUE"""),2.130126E9)</f>
        <v>2130126000</v>
      </c>
      <c r="L67" s="4">
        <f>IFERROR(__xludf.DUMMYFUNCTION("""COMPUTED_VALUE"""),6.505013E9)</f>
        <v>6505013000</v>
      </c>
      <c r="O67" s="4" t="s">
        <v>111</v>
      </c>
      <c r="P67" s="4">
        <f>SUMIF(Cleaned_Data!C$2:C$2013,O67,Cleaned_Data!K$2:K$2013)</f>
        <v>3237000000</v>
      </c>
      <c r="Q67" s="4">
        <f>SUMIF(Cleaned_Data!C$2:C$2013,O67,Cleaned_Data!N$2:N$2013)</f>
        <v>11761000000</v>
      </c>
      <c r="R67" s="6">
        <f t="shared" si="5"/>
        <v>0.275231698</v>
      </c>
    </row>
    <row r="68">
      <c r="D68" s="4" t="s">
        <v>163</v>
      </c>
      <c r="E68" s="4">
        <f>SUMIF(Cleaned_Data!C$2:C$2013,D68,Cleaned_Data!N$2:N$2013)</f>
        <v>2879829000</v>
      </c>
      <c r="J68" s="4" t="str">
        <f>IFERROR(__xludf.DUMMYFUNCTION("""COMPUTED_VALUE"""),"Ansys")</f>
        <v>Ansys</v>
      </c>
      <c r="K68" s="4">
        <f>IFERROR(__xludf.DUMMYFUNCTION("""COMPUTED_VALUE"""),5.23432E8)</f>
        <v>523432000</v>
      </c>
      <c r="L68" s="4">
        <f>IFERROR(__xludf.DUMMYFUNCTION("""COMPUTED_VALUE"""),1.800531E9)</f>
        <v>1800531000</v>
      </c>
      <c r="O68" s="4" t="s">
        <v>113</v>
      </c>
      <c r="P68" s="4">
        <f>SUMIF(Cleaned_Data!C$2:C$2013,O68,Cleaned_Data!K$2:K$2013)</f>
        <v>-2676000000</v>
      </c>
      <c r="Q68" s="4">
        <f>SUMIF(Cleaned_Data!C$2:C$2013,O68,Cleaned_Data!N$2:N$2013)</f>
        <v>6027000000</v>
      </c>
      <c r="R68" s="6">
        <f t="shared" si="5"/>
        <v>-0.444001991</v>
      </c>
    </row>
    <row r="69">
      <c r="D69" s="4" t="s">
        <v>165</v>
      </c>
      <c r="E69" s="4">
        <f>SUMIF(Cleaned_Data!C$2:C$2013,D69,Cleaned_Data!N$2:N$2013)</f>
        <v>931032000</v>
      </c>
      <c r="J69" s="4" t="str">
        <f>IFERROR(__xludf.DUMMYFUNCTION("""COMPUTED_VALUE"""),"Anthem")</f>
        <v>Anthem</v>
      </c>
      <c r="K69" s="4">
        <f>IFERROR(__xludf.DUMMYFUNCTION("""COMPUTED_VALUE"""),7.933E9)</f>
        <v>7933000000</v>
      </c>
      <c r="L69" s="4">
        <f>IFERROR(__xludf.DUMMYFUNCTION("""COMPUTED_VALUE"""),1.33883E11)</f>
        <v>133883000000</v>
      </c>
      <c r="O69" s="4" t="s">
        <v>116</v>
      </c>
      <c r="P69" s="4">
        <f>SUMIF(Cleaned_Data!C$2:C$2013,O69,Cleaned_Data!K$2:K$2013)</f>
        <v>99938000000</v>
      </c>
      <c r="Q69" s="4">
        <f>SUMIF(Cleaned_Data!C$2:C$2013,O69,Cleaned_Data!N$2:N$2013)</f>
        <v>347155000000</v>
      </c>
      <c r="R69" s="6">
        <f t="shared" si="5"/>
        <v>0.287877173</v>
      </c>
    </row>
    <row r="70">
      <c r="D70" s="4" t="s">
        <v>169</v>
      </c>
      <c r="E70" s="4">
        <f>SUMIF(Cleaned_Data!C$2:C$2013,D70,Cleaned_Data!N$2:N$2013)</f>
        <v>11697700000</v>
      </c>
      <c r="J70" s="4" t="str">
        <f>IFERROR(__xludf.DUMMYFUNCTION("""COMPUTED_VALUE"""),"Aon")</f>
        <v>Aon</v>
      </c>
      <c r="K70" s="4">
        <f>IFERROR(__xludf.DUMMYFUNCTION("""COMPUTED_VALUE"""),3.237E9)</f>
        <v>3237000000</v>
      </c>
      <c r="L70" s="4">
        <f>IFERROR(__xludf.DUMMYFUNCTION("""COMPUTED_VALUE"""),1.1761E10)</f>
        <v>11761000000</v>
      </c>
      <c r="O70" s="4" t="s">
        <v>118</v>
      </c>
      <c r="P70" s="4">
        <f>SUMIF(Cleaned_Data!C$2:C$2013,O70,Cleaned_Data!K$2:K$2013)</f>
        <v>6549000000</v>
      </c>
      <c r="Q70" s="4">
        <f>SUMIF(Cleaned_Data!C$2:C$2013,O70,Cleaned_Data!N$2:N$2013)</f>
        <v>21628000000</v>
      </c>
      <c r="R70" s="6">
        <f t="shared" si="5"/>
        <v>0.3028019234</v>
      </c>
    </row>
    <row r="71">
      <c r="D71" s="4" t="s">
        <v>171</v>
      </c>
      <c r="E71" s="4">
        <f>SUMIF(Cleaned_Data!C$2:C$2013,D71,Cleaned_Data!N$2:N$2013)</f>
        <v>18065000000</v>
      </c>
      <c r="J71" s="4" t="str">
        <f>IFERROR(__xludf.DUMMYFUNCTION("""COMPUTED_VALUE"""),"Apple")</f>
        <v>Apple</v>
      </c>
      <c r="K71" s="4">
        <f>IFERROR(__xludf.DUMMYFUNCTION("""COMPUTED_VALUE"""),9.9938E10)</f>
        <v>99938000000</v>
      </c>
      <c r="L71" s="4">
        <f>IFERROR(__xludf.DUMMYFUNCTION("""COMPUTED_VALUE"""),3.47155E11)</f>
        <v>347155000000</v>
      </c>
      <c r="O71" s="4" t="s">
        <v>121</v>
      </c>
      <c r="P71" s="4">
        <f>SUMIF(Cleaned_Data!C$2:C$2013,O71,Cleaned_Data!K$2:K$2013)</f>
        <v>1562000000</v>
      </c>
      <c r="Q71" s="4">
        <f>SUMIF(Cleaned_Data!C$2:C$2013,O71,Cleaned_Data!N$2:N$2013)</f>
        <v>15710000000</v>
      </c>
      <c r="R71" s="6">
        <f t="shared" si="5"/>
        <v>0.09942711649</v>
      </c>
    </row>
    <row r="72">
      <c r="D72" s="4" t="s">
        <v>173</v>
      </c>
      <c r="E72" s="4">
        <f>SUMIF(Cleaned_Data!C$2:C$2013,D72,Cleaned_Data!N$2:N$2013)</f>
        <v>15958000000</v>
      </c>
      <c r="J72" s="4" t="str">
        <f>IFERROR(__xludf.DUMMYFUNCTION("""COMPUTED_VALUE"""),"Applied Materials")</f>
        <v>Applied Materials</v>
      </c>
      <c r="K72" s="4">
        <f>IFERROR(__xludf.DUMMYFUNCTION("""COMPUTED_VALUE"""),6.549E9)</f>
        <v>6549000000</v>
      </c>
      <c r="L72" s="4">
        <f>IFERROR(__xludf.DUMMYFUNCTION("""COMPUTED_VALUE"""),2.1628E10)</f>
        <v>21628000000</v>
      </c>
      <c r="O72" s="4" t="s">
        <v>123</v>
      </c>
      <c r="P72" s="4">
        <f>SUMIF(Cleaned_Data!C$2:C$2013,O72,Cleaned_Data!K$2:K$2013)</f>
        <v>803390000</v>
      </c>
      <c r="Q72" s="4">
        <f>SUMIF(Cleaned_Data!C$2:C$2013,O72,Cleaned_Data!N$2:N$2013)</f>
        <v>2628794000</v>
      </c>
      <c r="R72" s="6">
        <f t="shared" si="5"/>
        <v>0.3056116227</v>
      </c>
    </row>
    <row r="73">
      <c r="D73" s="4" t="s">
        <v>175</v>
      </c>
      <c r="E73" s="4">
        <f>SUMIF(Cleaned_Data!C$2:C$2013,D73,Cleaned_Data!N$2:N$2013)</f>
        <v>62797000000</v>
      </c>
      <c r="J73" s="4" t="str">
        <f>IFERROR(__xludf.DUMMYFUNCTION("""COMPUTED_VALUE"""),"Aptiv")</f>
        <v>Aptiv</v>
      </c>
      <c r="K73" s="4">
        <f>IFERROR(__xludf.DUMMYFUNCTION("""COMPUTED_VALUE"""),1.562E9)</f>
        <v>1562000000</v>
      </c>
      <c r="L73" s="4">
        <f>IFERROR(__xludf.DUMMYFUNCTION("""COMPUTED_VALUE"""),1.571E10)</f>
        <v>15710000000</v>
      </c>
      <c r="O73" s="4" t="s">
        <v>126</v>
      </c>
      <c r="P73" s="4">
        <f>SUMIF(Cleaned_Data!C$2:C$2013,O73,Cleaned_Data!K$2:K$2013)</f>
        <v>1323300000</v>
      </c>
      <c r="Q73" s="4">
        <f>SUMIF(Cleaned_Data!C$2:C$2013,O73,Cleaned_Data!N$2:N$2013)</f>
        <v>7426500000</v>
      </c>
      <c r="R73" s="6">
        <f t="shared" si="5"/>
        <v>0.178186225</v>
      </c>
    </row>
    <row r="74">
      <c r="D74" s="4" t="s">
        <v>178</v>
      </c>
      <c r="E74" s="4">
        <f>SUMIF(Cleaned_Data!C$2:C$2013,D74,Cleaned_Data!N$2:N$2013)</f>
        <v>7179000000</v>
      </c>
      <c r="J74" s="4" t="str">
        <f>IFERROR(__xludf.DUMMYFUNCTION("""COMPUTED_VALUE"""),"Arista Networks")</f>
        <v>Arista Networks</v>
      </c>
      <c r="K74" s="4">
        <f>IFERROR(__xludf.DUMMYFUNCTION("""COMPUTED_VALUE"""),8.0339E8)</f>
        <v>803390000</v>
      </c>
      <c r="L74" s="4">
        <f>IFERROR(__xludf.DUMMYFUNCTION("""COMPUTED_VALUE"""),2.628794E9)</f>
        <v>2628794000</v>
      </c>
      <c r="O74" s="4" t="s">
        <v>128</v>
      </c>
      <c r="P74" s="4">
        <f>SUMIF(Cleaned_Data!C$2:C$2013,O74,Cleaned_Data!K$2:K$2013)</f>
        <v>881700000</v>
      </c>
      <c r="Q74" s="4">
        <f>SUMIF(Cleaned_Data!C$2:C$2013,O74,Cleaned_Data!N$2:N$2013)</f>
        <v>10032500000</v>
      </c>
      <c r="R74" s="6">
        <f t="shared" si="5"/>
        <v>0.08788437578</v>
      </c>
    </row>
    <row r="75">
      <c r="D75" s="4" t="s">
        <v>180</v>
      </c>
      <c r="E75" s="4">
        <f>SUMIF(Cleaned_Data!C$2:C$2013,D75,Cleaned_Data!N$2:N$2013)</f>
        <v>14227000000</v>
      </c>
      <c r="J75" s="4" t="str">
        <f>IFERROR(__xludf.DUMMYFUNCTION("""COMPUTED_VALUE"""),"Arthur J. Gallagher &amp; Co.")</f>
        <v>Arthur J. Gallagher &amp; Co.</v>
      </c>
      <c r="K75" s="4">
        <f>IFERROR(__xludf.DUMMYFUNCTION("""COMPUTED_VALUE"""),1.3233E9)</f>
        <v>1323300000</v>
      </c>
      <c r="L75" s="4">
        <f>IFERROR(__xludf.DUMMYFUNCTION("""COMPUTED_VALUE"""),7.4265E9)</f>
        <v>7426500000</v>
      </c>
      <c r="O75" s="4" t="s">
        <v>131</v>
      </c>
      <c r="P75" s="4">
        <f>SUMIF(Cleaned_Data!C$2:C$2013,O75,Cleaned_Data!K$2:K$2013)</f>
        <v>30700000000</v>
      </c>
      <c r="Q75" s="4">
        <f>SUMIF(Cleaned_Data!C$2:C$2013,O75,Cleaned_Data!N$2:N$2013)</f>
        <v>176015000000</v>
      </c>
      <c r="R75" s="6">
        <f t="shared" si="5"/>
        <v>0.1744169531</v>
      </c>
    </row>
    <row r="76">
      <c r="D76" s="4" t="s">
        <v>182</v>
      </c>
      <c r="E76" s="4">
        <f>SUMIF(Cleaned_Data!C$2:C$2013,D76,Cleaned_Data!N$2:N$2013)</f>
        <v>2752285000</v>
      </c>
      <c r="J76" s="4" t="str">
        <f>IFERROR(__xludf.DUMMYFUNCTION("""COMPUTED_VALUE"""),"Assurant")</f>
        <v>Assurant</v>
      </c>
      <c r="K76" s="4">
        <f>IFERROR(__xludf.DUMMYFUNCTION("""COMPUTED_VALUE"""),8.817E8)</f>
        <v>881700000</v>
      </c>
      <c r="L76" s="4">
        <f>IFERROR(__xludf.DUMMYFUNCTION("""COMPUTED_VALUE"""),1.00325E10)</f>
        <v>10032500000</v>
      </c>
      <c r="O76" s="4" t="s">
        <v>133</v>
      </c>
      <c r="P76" s="4">
        <f>SUMIF(Cleaned_Data!C$2:C$2013,O76,Cleaned_Data!K$2:K$2013)</f>
        <v>904107000</v>
      </c>
      <c r="Q76" s="4">
        <f>SUMIF(Cleaned_Data!C$2:C$2013,O76,Cleaned_Data!N$2:N$2013)</f>
        <v>3314020000</v>
      </c>
      <c r="R76" s="6">
        <f t="shared" si="5"/>
        <v>0.2728127772</v>
      </c>
    </row>
    <row r="77">
      <c r="D77" s="4" t="s">
        <v>185</v>
      </c>
      <c r="E77" s="4">
        <f>SUMIF(Cleaned_Data!C$2:C$2013,D77,Cleaned_Data!N$2:N$2013)</f>
        <v>11197000000</v>
      </c>
      <c r="J77" s="4" t="str">
        <f>IFERROR(__xludf.DUMMYFUNCTION("""COMPUTED_VALUE"""),"Atmos Energy")</f>
        <v>Atmos Energy</v>
      </c>
      <c r="K77" s="4">
        <f>IFERROR(__xludf.DUMMYFUNCTION("""COMPUTED_VALUE"""),9.04107E8)</f>
        <v>904107000</v>
      </c>
      <c r="L77" s="4">
        <f>IFERROR(__xludf.DUMMYFUNCTION("""COMPUTED_VALUE"""),3.31402E9)</f>
        <v>3314020000</v>
      </c>
      <c r="O77" s="4" t="s">
        <v>136</v>
      </c>
      <c r="P77" s="4">
        <f>SUMIF(Cleaned_Data!C$2:C$2013,O77,Cleaned_Data!K$2:K$2013)</f>
        <v>665600000</v>
      </c>
      <c r="Q77" s="4">
        <f>SUMIF(Cleaned_Data!C$2:C$2013,O77,Cleaned_Data!N$2:N$2013)</f>
        <v>4040600000</v>
      </c>
      <c r="R77" s="6">
        <f t="shared" si="5"/>
        <v>0.1647280107</v>
      </c>
    </row>
    <row r="78">
      <c r="D78" s="4" t="s">
        <v>187</v>
      </c>
      <c r="E78" s="4">
        <f>SUMIF(Cleaned_Data!C$2:C$2013,D78,Cleaned_Data!N$2:N$2013)</f>
        <v>44384000000</v>
      </c>
      <c r="J78" s="4" t="str">
        <f>IFERROR(__xludf.DUMMYFUNCTION("""COMPUTED_VALUE"""),"AutoZone")</f>
        <v>AutoZone</v>
      </c>
      <c r="K78" s="4">
        <f>IFERROR(__xludf.DUMMYFUNCTION("""COMPUTED_VALUE"""),2.981427E9)</f>
        <v>2981427000</v>
      </c>
      <c r="L78" s="4">
        <f>IFERROR(__xludf.DUMMYFUNCTION("""COMPUTED_VALUE"""),1.4629586E10)</f>
        <v>14629586000</v>
      </c>
      <c r="O78" s="4" t="s">
        <v>138</v>
      </c>
      <c r="P78" s="4">
        <f>SUMIF(Cleaned_Data!C$2:C$2013,O78,Cleaned_Data!K$2:K$2013)</f>
        <v>3355400000</v>
      </c>
      <c r="Q78" s="4">
        <f>SUMIF(Cleaned_Data!C$2:C$2013,O78,Cleaned_Data!N$2:N$2013)</f>
        <v>15005400000</v>
      </c>
      <c r="R78" s="6">
        <f t="shared" si="5"/>
        <v>0.2236128327</v>
      </c>
    </row>
    <row r="79">
      <c r="D79" s="4" t="s">
        <v>189</v>
      </c>
      <c r="E79" s="4">
        <f>SUMIF(Cleaned_Data!C$2:C$2013,D79,Cleaned_Data!N$2:N$2013)</f>
        <v>26510000000</v>
      </c>
      <c r="J79" s="4" t="str">
        <f>IFERROR(__xludf.DUMMYFUNCTION("""COMPUTED_VALUE"""),"Autodesk")</f>
        <v>Autodesk</v>
      </c>
      <c r="K79" s="4">
        <f>IFERROR(__xludf.DUMMYFUNCTION("""COMPUTED_VALUE"""),6.656E8)</f>
        <v>665600000</v>
      </c>
      <c r="L79" s="4">
        <f>IFERROR(__xludf.DUMMYFUNCTION("""COMPUTED_VALUE"""),4.0406E9)</f>
        <v>4040600000</v>
      </c>
      <c r="O79" s="4" t="s">
        <v>141</v>
      </c>
      <c r="P79" s="4">
        <f>SUMIF(Cleaned_Data!C$2:C$2013,O79,Cleaned_Data!K$2:K$2013)</f>
        <v>2981427000</v>
      </c>
      <c r="Q79" s="4">
        <f>SUMIF(Cleaned_Data!C$2:C$2013,O79,Cleaned_Data!N$2:N$2013)</f>
        <v>14629586000</v>
      </c>
      <c r="R79" s="6">
        <f t="shared" si="5"/>
        <v>0.2037943521</v>
      </c>
    </row>
    <row r="80">
      <c r="D80" s="4" t="s">
        <v>192</v>
      </c>
      <c r="E80" s="4">
        <f>SUMIF(Cleaned_Data!C$2:C$2013,D80,Cleaned_Data!N$2:N$2013)</f>
        <v>4824000000</v>
      </c>
      <c r="J80" s="4" t="str">
        <f>IFERROR(__xludf.DUMMYFUNCTION("""COMPUTED_VALUE"""),"Automatic Data Processing")</f>
        <v>Automatic Data Processing</v>
      </c>
      <c r="K80" s="4">
        <f>IFERROR(__xludf.DUMMYFUNCTION("""COMPUTED_VALUE"""),3.3554E9)</f>
        <v>3355400000</v>
      </c>
      <c r="L80" s="4">
        <f>IFERROR(__xludf.DUMMYFUNCTION("""COMPUTED_VALUE"""),1.50054E10)</f>
        <v>15005400000</v>
      </c>
      <c r="O80" s="4" t="s">
        <v>143</v>
      </c>
      <c r="P80" s="4">
        <f>SUMIF(Cleaned_Data!C$2:C$2013,O80,Cleaned_Data!K$2:K$2013)</f>
        <v>603917000</v>
      </c>
      <c r="Q80" s="4">
        <f>SUMIF(Cleaned_Data!C$2:C$2013,O80,Cleaned_Data!N$2:N$2013)</f>
        <v>2234664000</v>
      </c>
      <c r="R80" s="6">
        <f t="shared" si="5"/>
        <v>0.2702495767</v>
      </c>
    </row>
    <row r="81">
      <c r="D81" s="4" t="s">
        <v>194</v>
      </c>
      <c r="E81" s="4">
        <f>SUMIF(Cleaned_Data!C$2:C$2013,D81,Cleaned_Data!N$2:N$2013)</f>
        <v>2729087000</v>
      </c>
      <c r="J81" s="4" t="str">
        <f>IFERROR(__xludf.DUMMYFUNCTION("""COMPUTED_VALUE"""),"AvalonBay Communities")</f>
        <v>AvalonBay Communities</v>
      </c>
      <c r="K81" s="4">
        <f>IFERROR(__xludf.DUMMYFUNCTION("""COMPUTED_VALUE"""),6.03917E8)</f>
        <v>603917000</v>
      </c>
      <c r="L81" s="4">
        <f>IFERROR(__xludf.DUMMYFUNCTION("""COMPUTED_VALUE"""),2.234664E9)</f>
        <v>2234664000</v>
      </c>
      <c r="O81" s="4" t="s">
        <v>146</v>
      </c>
      <c r="P81" s="4">
        <f>SUMIF(Cleaned_Data!C$2:C$2013,O81,Cleaned_Data!K$2:K$2013)</f>
        <v>1060000000</v>
      </c>
      <c r="Q81" s="4">
        <f>SUMIF(Cleaned_Data!C$2:C$2013,O81,Cleaned_Data!N$2:N$2013)</f>
        <v>7873300000</v>
      </c>
      <c r="R81" s="6">
        <f t="shared" si="5"/>
        <v>0.1346322381</v>
      </c>
    </row>
    <row r="82">
      <c r="D82" s="4" t="s">
        <v>197</v>
      </c>
      <c r="E82" s="4">
        <f>SUMIF(Cleaned_Data!C$2:C$2013,D82,Cleaned_Data!N$2:N$2013)</f>
        <v>17205967000</v>
      </c>
      <c r="J82" s="4" t="str">
        <f>IFERROR(__xludf.DUMMYFUNCTION("""COMPUTED_VALUE"""),"Avery Dennison")</f>
        <v>Avery Dennison</v>
      </c>
      <c r="K82" s="4">
        <f>IFERROR(__xludf.DUMMYFUNCTION("""COMPUTED_VALUE"""),1.06E9)</f>
        <v>1060000000</v>
      </c>
      <c r="L82" s="4">
        <f>IFERROR(__xludf.DUMMYFUNCTION("""COMPUTED_VALUE"""),7.8733E9)</f>
        <v>7873300000</v>
      </c>
      <c r="O82" s="4" t="s">
        <v>148</v>
      </c>
      <c r="P82" s="4">
        <f>SUMIF(Cleaned_Data!C$2:C$2013,O82,Cleaned_Data!K$2:K$2013)</f>
        <v>1407000000</v>
      </c>
      <c r="Q82" s="4">
        <f>SUMIF(Cleaned_Data!C$2:C$2013,O82,Cleaned_Data!N$2:N$2013)</f>
        <v>20512000000</v>
      </c>
      <c r="R82" s="6">
        <f t="shared" si="5"/>
        <v>0.06859399376</v>
      </c>
    </row>
    <row r="83">
      <c r="D83" s="4" t="s">
        <v>202</v>
      </c>
      <c r="E83" s="4">
        <f>SUMIF(Cleaned_Data!C$2:C$2013,D83,Cleaned_Data!N$2:N$2013)</f>
        <v>2890829000</v>
      </c>
      <c r="J83" s="4" t="str">
        <f>IFERROR(__xludf.DUMMYFUNCTION("""COMPUTED_VALUE"""),"BNY Mellon")</f>
        <v>BNY Mellon</v>
      </c>
      <c r="K83" s="4">
        <f>IFERROR(__xludf.DUMMYFUNCTION("""COMPUTED_VALUE"""),4.575E9)</f>
        <v>4575000000</v>
      </c>
      <c r="L83" s="4">
        <f>IFERROR(__xludf.DUMMYFUNCTION("""COMPUTED_VALUE"""),1.5958E10)</f>
        <v>15958000000</v>
      </c>
      <c r="O83" s="4" t="s">
        <v>151</v>
      </c>
      <c r="P83" s="4">
        <f>SUMIF(Cleaned_Data!C$2:C$2013,O83,Cleaned_Data!K$2:K$2013)</f>
        <v>1373000000</v>
      </c>
      <c r="Q83" s="4">
        <f>SUMIF(Cleaned_Data!C$2:C$2013,O83,Cleaned_Data!N$2:N$2013)</f>
        <v>12779000000</v>
      </c>
      <c r="R83" s="6">
        <f t="shared" si="5"/>
        <v>0.1074418969</v>
      </c>
    </row>
    <row r="84">
      <c r="D84" s="4" t="s">
        <v>204</v>
      </c>
      <c r="E84" s="4">
        <f>SUMIF(Cleaned_Data!C$2:C$2013,D84,Cleaned_Data!N$2:N$2013)</f>
        <v>7160000000</v>
      </c>
      <c r="J84" s="4" t="str">
        <f>IFERROR(__xludf.DUMMYFUNCTION("""COMPUTED_VALUE"""),"Baker Hughes")</f>
        <v>Baker Hughes</v>
      </c>
      <c r="K84" s="4">
        <f>IFERROR(__xludf.DUMMYFUNCTION("""COMPUTED_VALUE"""),1.407E9)</f>
        <v>1407000000</v>
      </c>
      <c r="L84" s="4">
        <f>IFERROR(__xludf.DUMMYFUNCTION("""COMPUTED_VALUE"""),2.0512E10)</f>
        <v>20512000000</v>
      </c>
      <c r="O84" s="4" t="s">
        <v>153</v>
      </c>
      <c r="P84" s="4">
        <f>SUMIF(Cleaned_Data!C$2:C$2013,O84,Cleaned_Data!K$2:K$2013)</f>
        <v>32277000000</v>
      </c>
      <c r="Q84" s="4">
        <f>SUMIF(Cleaned_Data!C$2:C$2013,O84,Cleaned_Data!N$2:N$2013)</f>
        <v>91204000000</v>
      </c>
      <c r="R84" s="6">
        <f t="shared" si="5"/>
        <v>0.3538989518</v>
      </c>
    </row>
    <row r="85">
      <c r="D85" s="4" t="s">
        <v>206</v>
      </c>
      <c r="E85" s="4">
        <f>SUMIF(Cleaned_Data!C$2:C$2013,D85,Cleaned_Data!N$2:N$2013)</f>
        <v>8711000000</v>
      </c>
      <c r="J85" s="4" t="str">
        <f>IFERROR(__xludf.DUMMYFUNCTION("""COMPUTED_VALUE"""),"Ball Corp")</f>
        <v>Ball Corp</v>
      </c>
      <c r="K85" s="4">
        <f>IFERROR(__xludf.DUMMYFUNCTION("""COMPUTED_VALUE"""),1.373E9)</f>
        <v>1373000000</v>
      </c>
      <c r="L85" s="4">
        <f>IFERROR(__xludf.DUMMYFUNCTION("""COMPUTED_VALUE"""),1.2779E10)</f>
        <v>12779000000</v>
      </c>
      <c r="O85" s="4" t="s">
        <v>155</v>
      </c>
      <c r="P85" s="4">
        <f>SUMIF(Cleaned_Data!C$2:C$2013,O85,Cleaned_Data!K$2:K$2013)</f>
        <v>3060000000</v>
      </c>
      <c r="Q85" s="4">
        <f>SUMIF(Cleaned_Data!C$2:C$2013,O85,Cleaned_Data!N$2:N$2013)</f>
        <v>14215000000</v>
      </c>
      <c r="R85" s="6">
        <f t="shared" si="5"/>
        <v>0.2152655645</v>
      </c>
    </row>
    <row r="86">
      <c r="D86" s="4" t="s">
        <v>208</v>
      </c>
      <c r="E86" s="4">
        <f>SUMIF(Cleaned_Data!C$2:C$2013,D86,Cleaned_Data!N$2:N$2013)</f>
        <v>30593000000</v>
      </c>
      <c r="J86" s="4" t="str">
        <f>IFERROR(__xludf.DUMMYFUNCTION("""COMPUTED_VALUE"""),"Bank of America")</f>
        <v>Bank of America</v>
      </c>
      <c r="K86" s="4">
        <f>IFERROR(__xludf.DUMMYFUNCTION("""COMPUTED_VALUE"""),3.2277E10)</f>
        <v>32277000000</v>
      </c>
      <c r="L86" s="4">
        <f>IFERROR(__xludf.DUMMYFUNCTION("""COMPUTED_VALUE"""),9.1204E10)</f>
        <v>91204000000</v>
      </c>
      <c r="O86" s="4" t="s">
        <v>157</v>
      </c>
      <c r="P86" s="4">
        <f>SUMIF(Cleaned_Data!C$2:C$2013,O86,Cleaned_Data!K$2:K$2013)</f>
        <v>1905000000</v>
      </c>
      <c r="Q86" s="4">
        <f>SUMIF(Cleaned_Data!C$2:C$2013,O86,Cleaned_Data!N$2:N$2013)</f>
        <v>12197000000</v>
      </c>
      <c r="R86" s="6">
        <f t="shared" si="5"/>
        <v>0.1561859474</v>
      </c>
    </row>
    <row r="87">
      <c r="D87" s="4" t="s">
        <v>210</v>
      </c>
      <c r="E87" s="4">
        <f>SUMIF(Cleaned_Data!C$2:C$2013,D87,Cleaned_Data!N$2:N$2013)</f>
        <v>162467000000</v>
      </c>
      <c r="J87" s="4" t="str">
        <f>IFERROR(__xludf.DUMMYFUNCTION("""COMPUTED_VALUE"""),"Bath &amp; Body Works Inc.")</f>
        <v>Bath &amp; Body Works Inc.</v>
      </c>
      <c r="K87" s="4">
        <f>IFERROR(__xludf.DUMMYFUNCTION("""COMPUTED_VALUE"""),3.06E9)</f>
        <v>3060000000</v>
      </c>
      <c r="L87" s="4">
        <f>IFERROR(__xludf.DUMMYFUNCTION("""COMPUTED_VALUE"""),1.4215E10)</f>
        <v>14215000000</v>
      </c>
      <c r="O87" s="4" t="s">
        <v>159</v>
      </c>
      <c r="P87" s="4">
        <f>SUMIF(Cleaned_Data!C$2:C$2013,O87,Cleaned_Data!K$2:K$2013)</f>
        <v>3729000000</v>
      </c>
      <c r="Q87" s="4">
        <f>SUMIF(Cleaned_Data!C$2:C$2013,O87,Cleaned_Data!N$2:N$2013)</f>
        <v>19896000000</v>
      </c>
      <c r="R87" s="6">
        <f t="shared" si="5"/>
        <v>0.187424608</v>
      </c>
    </row>
    <row r="88">
      <c r="D88" s="4" t="s">
        <v>212</v>
      </c>
      <c r="E88" s="4">
        <f>SUMIF(Cleaned_Data!C$2:C$2013,D88,Cleaned_Data!N$2:N$2013)</f>
        <v>24588766000</v>
      </c>
      <c r="J88" s="4" t="str">
        <f>IFERROR(__xludf.DUMMYFUNCTION("""COMPUTED_VALUE"""),"Baxter International")</f>
        <v>Baxter International</v>
      </c>
      <c r="K88" s="4">
        <f>IFERROR(__xludf.DUMMYFUNCTION("""COMPUTED_VALUE"""),1.905E9)</f>
        <v>1905000000</v>
      </c>
      <c r="L88" s="4">
        <f>IFERROR(__xludf.DUMMYFUNCTION("""COMPUTED_VALUE"""),1.2197E10)</f>
        <v>12197000000</v>
      </c>
      <c r="O88" s="4" t="s">
        <v>161</v>
      </c>
      <c r="P88" s="4">
        <f>SUMIF(Cleaned_Data!C$2:C$2013,O88,Cleaned_Data!K$2:K$2013)</f>
        <v>3392000000</v>
      </c>
      <c r="Q88" s="4">
        <f>SUMIF(Cleaned_Data!C$2:C$2013,O88,Cleaned_Data!N$2:N$2013)</f>
        <v>52276000000</v>
      </c>
      <c r="R88" s="6">
        <f t="shared" si="5"/>
        <v>0.06488637233</v>
      </c>
    </row>
    <row r="89">
      <c r="D89" s="4" t="s">
        <v>214</v>
      </c>
      <c r="E89" s="4">
        <f>SUMIF(Cleaned_Data!C$2:C$2013,D89,Cleaned_Data!N$2:N$2013)</f>
        <v>139000000</v>
      </c>
      <c r="J89" s="4" t="str">
        <f>IFERROR(__xludf.DUMMYFUNCTION("""COMPUTED_VALUE"""),"Becton Dickinson")</f>
        <v>Becton Dickinson</v>
      </c>
      <c r="K89" s="4">
        <f>IFERROR(__xludf.DUMMYFUNCTION("""COMPUTED_VALUE"""),3.729E9)</f>
        <v>3729000000</v>
      </c>
      <c r="L89" s="4">
        <f>IFERROR(__xludf.DUMMYFUNCTION("""COMPUTED_VALUE"""),1.9896E10)</f>
        <v>19896000000</v>
      </c>
      <c r="O89" s="4" t="s">
        <v>163</v>
      </c>
      <c r="P89" s="4">
        <f>SUMIF(Cleaned_Data!C$2:C$2013,O89,Cleaned_Data!K$2:K$2013)</f>
        <v>576286000</v>
      </c>
      <c r="Q89" s="4">
        <f>SUMIF(Cleaned_Data!C$2:C$2013,O89,Cleaned_Data!N$2:N$2013)</f>
        <v>2879829000</v>
      </c>
      <c r="R89" s="6">
        <f t="shared" si="5"/>
        <v>0.2001111872</v>
      </c>
    </row>
    <row r="90">
      <c r="D90" s="4" t="s">
        <v>216</v>
      </c>
      <c r="E90" s="4">
        <f>SUMIF(Cleaned_Data!C$2:C$2013,D90,Cleaned_Data!N$2:N$2013)</f>
        <v>19735000000</v>
      </c>
      <c r="J90" s="4" t="str">
        <f>IFERROR(__xludf.DUMMYFUNCTION("""COMPUTED_VALUE"""),"Best Buy")</f>
        <v>Best Buy</v>
      </c>
      <c r="K90" s="4">
        <f>IFERROR(__xludf.DUMMYFUNCTION("""COMPUTED_VALUE"""),3.392E9)</f>
        <v>3392000000</v>
      </c>
      <c r="L90" s="4">
        <f>IFERROR(__xludf.DUMMYFUNCTION("""COMPUTED_VALUE"""),5.2276E10)</f>
        <v>52276000000</v>
      </c>
      <c r="O90" s="4" t="s">
        <v>165</v>
      </c>
      <c r="P90" s="4">
        <f>SUMIF(Cleaned_Data!C$2:C$2013,O90,Cleaned_Data!K$2:K$2013)</f>
        <v>245835000</v>
      </c>
      <c r="Q90" s="4">
        <f>SUMIF(Cleaned_Data!C$2:C$2013,O90,Cleaned_Data!N$2:N$2013)</f>
        <v>931032000</v>
      </c>
      <c r="R90" s="6">
        <f t="shared" si="5"/>
        <v>0.2640457041</v>
      </c>
    </row>
    <row r="91">
      <c r="D91" s="4" t="s">
        <v>218</v>
      </c>
      <c r="E91" s="4">
        <f>SUMIF(Cleaned_Data!C$2:C$2013,D91,Cleaned_Data!N$2:N$2013)</f>
        <v>3998000000</v>
      </c>
      <c r="J91" s="4" t="str">
        <f>IFERROR(__xludf.DUMMYFUNCTION("""COMPUTED_VALUE"""),"Bio-Rad Laboratories")</f>
        <v>Bio-Rad Laboratories</v>
      </c>
      <c r="K91" s="4">
        <f>IFERROR(__xludf.DUMMYFUNCTION("""COMPUTED_VALUE"""),5.76286E8)</f>
        <v>576286000</v>
      </c>
      <c r="L91" s="4">
        <f>IFERROR(__xludf.DUMMYFUNCTION("""COMPUTED_VALUE"""),2.879829E9)</f>
        <v>2879829000</v>
      </c>
      <c r="O91" s="4" t="s">
        <v>169</v>
      </c>
      <c r="P91" s="4">
        <f>SUMIF(Cleaned_Data!C$2:C$2013,O91,Cleaned_Data!K$2:K$2013)</f>
        <v>2224600000</v>
      </c>
      <c r="Q91" s="4">
        <f>SUMIF(Cleaned_Data!C$2:C$2013,O91,Cleaned_Data!N$2:N$2013)</f>
        <v>11697700000</v>
      </c>
      <c r="R91" s="6">
        <f t="shared" si="5"/>
        <v>0.1901741368</v>
      </c>
    </row>
    <row r="92">
      <c r="D92" s="4" t="s">
        <v>220</v>
      </c>
      <c r="E92" s="4">
        <f>SUMIF(Cleaned_Data!C$2:C$2013,D92,Cleaned_Data!N$2:N$2013)</f>
        <v>43000000000</v>
      </c>
      <c r="J92" s="4" t="str">
        <f>IFERROR(__xludf.DUMMYFUNCTION("""COMPUTED_VALUE"""),"Bio-Techne")</f>
        <v>Bio-Techne</v>
      </c>
      <c r="K92" s="4">
        <f>IFERROR(__xludf.DUMMYFUNCTION("""COMPUTED_VALUE"""),2.45835E8)</f>
        <v>245835000</v>
      </c>
      <c r="L92" s="4">
        <f>IFERROR(__xludf.DUMMYFUNCTION("""COMPUTED_VALUE"""),9.31032E8)</f>
        <v>931032000</v>
      </c>
      <c r="O92" s="4" t="s">
        <v>171</v>
      </c>
      <c r="P92" s="4">
        <f>SUMIF(Cleaned_Data!C$2:C$2013,O92,Cleaned_Data!K$2:K$2013)</f>
        <v>7085000000</v>
      </c>
      <c r="Q92" s="4">
        <f>SUMIF(Cleaned_Data!C$2:C$2013,O92,Cleaned_Data!N$2:N$2013)</f>
        <v>18065000000</v>
      </c>
      <c r="R92" s="6">
        <f t="shared" si="5"/>
        <v>0.3921948519</v>
      </c>
    </row>
    <row r="93">
      <c r="D93" s="4" t="s">
        <v>222</v>
      </c>
      <c r="E93" s="4">
        <f>SUMIF(Cleaned_Data!C$2:C$2013,D93,Cleaned_Data!N$2:N$2013)</f>
        <v>3448500000</v>
      </c>
      <c r="J93" s="4" t="str">
        <f>IFERROR(__xludf.DUMMYFUNCTION("""COMPUTED_VALUE"""),"Biogen")</f>
        <v>Biogen</v>
      </c>
      <c r="K93" s="4">
        <f>IFERROR(__xludf.DUMMYFUNCTION("""COMPUTED_VALUE"""),2.2246E9)</f>
        <v>2224600000</v>
      </c>
      <c r="L93" s="4">
        <f>IFERROR(__xludf.DUMMYFUNCTION("""COMPUTED_VALUE"""),1.16977E10)</f>
        <v>11697700000</v>
      </c>
      <c r="O93" s="4" t="s">
        <v>173</v>
      </c>
      <c r="P93" s="4">
        <f>SUMIF(Cleaned_Data!C$2:C$2013,O93,Cleaned_Data!K$2:K$2013)</f>
        <v>4575000000</v>
      </c>
      <c r="Q93" s="4">
        <f>SUMIF(Cleaned_Data!C$2:C$2013,O93,Cleaned_Data!N$2:N$2013)</f>
        <v>15958000000</v>
      </c>
      <c r="R93" s="6">
        <f t="shared" si="5"/>
        <v>0.2866900614</v>
      </c>
    </row>
    <row r="94">
      <c r="D94" s="4" t="s">
        <v>225</v>
      </c>
      <c r="E94" s="4">
        <f>SUMIF(Cleaned_Data!C$2:C$2013,D94,Cleaned_Data!N$2:N$2013)</f>
        <v>24953135000</v>
      </c>
      <c r="J94" s="4" t="str">
        <f>IFERROR(__xludf.DUMMYFUNCTION("""COMPUTED_VALUE"""),"BlackRock")</f>
        <v>BlackRock</v>
      </c>
      <c r="K94" s="4">
        <f>IFERROR(__xludf.DUMMYFUNCTION("""COMPUTED_VALUE"""),7.085E9)</f>
        <v>7085000000</v>
      </c>
      <c r="L94" s="4">
        <f>IFERROR(__xludf.DUMMYFUNCTION("""COMPUTED_VALUE"""),1.8065E10)</f>
        <v>18065000000</v>
      </c>
      <c r="O94" s="4" t="s">
        <v>175</v>
      </c>
      <c r="P94" s="4">
        <f>SUMIF(Cleaned_Data!C$2:C$2013,O94,Cleaned_Data!K$2:K$2013)</f>
        <v>-3700000000</v>
      </c>
      <c r="Q94" s="4">
        <f>SUMIF(Cleaned_Data!C$2:C$2013,O94,Cleaned_Data!N$2:N$2013)</f>
        <v>62797000000</v>
      </c>
      <c r="R94" s="6">
        <f t="shared" si="5"/>
        <v>-0.0589200121</v>
      </c>
    </row>
    <row r="95">
      <c r="D95" s="4" t="s">
        <v>226</v>
      </c>
      <c r="E95" s="4">
        <f>SUMIF(Cleaned_Data!C$2:C$2013,D95,Cleaned_Data!N$2:N$2013)</f>
        <v>19696500000</v>
      </c>
      <c r="J95" s="4" t="str">
        <f>IFERROR(__xludf.DUMMYFUNCTION("""COMPUTED_VALUE"""),"Boeing")</f>
        <v>Boeing</v>
      </c>
      <c r="K95" s="4">
        <f>IFERROR(__xludf.DUMMYFUNCTION("""COMPUTED_VALUE"""),-3.7E9)</f>
        <v>-3700000000</v>
      </c>
      <c r="L95" s="4">
        <f>IFERROR(__xludf.DUMMYFUNCTION("""COMPUTED_VALUE"""),6.2797E10)</f>
        <v>62797000000</v>
      </c>
      <c r="O95" s="4" t="s">
        <v>178</v>
      </c>
      <c r="P95" s="4">
        <f>SUMIF(Cleaned_Data!C$2:C$2013,O95,Cleaned_Data!K$2:K$2013)</f>
        <v>492000000</v>
      </c>
      <c r="Q95" s="4">
        <f>SUMIF(Cleaned_Data!C$2:C$2013,O95,Cleaned_Data!N$2:N$2013)</f>
        <v>7179000000</v>
      </c>
      <c r="R95" s="6">
        <f t="shared" si="5"/>
        <v>0.0685332219</v>
      </c>
    </row>
    <row r="96">
      <c r="D96" s="4" t="s">
        <v>228</v>
      </c>
      <c r="E96" s="4">
        <f>SUMIF(Cleaned_Data!C$2:C$2013,D96,Cleaned_Data!N$2:N$2013)</f>
        <v>6998000000</v>
      </c>
      <c r="J96" s="4" t="str">
        <f>IFERROR(__xludf.DUMMYFUNCTION("""COMPUTED_VALUE"""),"Booking Holdings")</f>
        <v>Booking Holdings</v>
      </c>
      <c r="K96" s="4">
        <f>IFERROR(__xludf.DUMMYFUNCTION("""COMPUTED_VALUE"""),4.92E8)</f>
        <v>492000000</v>
      </c>
      <c r="L96" s="4">
        <f>IFERROR(__xludf.DUMMYFUNCTION("""COMPUTED_VALUE"""),7.179E9)</f>
        <v>7179000000</v>
      </c>
      <c r="O96" s="4" t="s">
        <v>180</v>
      </c>
      <c r="P96" s="4">
        <f>SUMIF(Cleaned_Data!C$2:C$2013,O96,Cleaned_Data!K$2:K$2013)</f>
        <v>1610000000</v>
      </c>
      <c r="Q96" s="4">
        <f>SUMIF(Cleaned_Data!C$2:C$2013,O96,Cleaned_Data!N$2:N$2013)</f>
        <v>14227000000</v>
      </c>
      <c r="R96" s="6">
        <f t="shared" si="5"/>
        <v>0.1131651086</v>
      </c>
    </row>
    <row r="97">
      <c r="D97" s="4" t="s">
        <v>230</v>
      </c>
      <c r="E97" s="4">
        <f>SUMIF(Cleaned_Data!C$2:C$2013,D97,Cleaned_Data!N$2:N$2013)</f>
        <v>114130000000</v>
      </c>
      <c r="J97" s="4" t="str">
        <f>IFERROR(__xludf.DUMMYFUNCTION("""COMPUTED_VALUE"""),"BorgWarner")</f>
        <v>BorgWarner</v>
      </c>
      <c r="K97" s="4">
        <f>IFERROR(__xludf.DUMMYFUNCTION("""COMPUTED_VALUE"""),1.61E9)</f>
        <v>1610000000</v>
      </c>
      <c r="L97" s="4">
        <f>IFERROR(__xludf.DUMMYFUNCTION("""COMPUTED_VALUE"""),1.4227E10)</f>
        <v>14227000000</v>
      </c>
      <c r="O97" s="4" t="s">
        <v>182</v>
      </c>
      <c r="P97" s="4">
        <f>SUMIF(Cleaned_Data!C$2:C$2013,O97,Cleaned_Data!K$2:K$2013)</f>
        <v>900832000</v>
      </c>
      <c r="Q97" s="4">
        <f>SUMIF(Cleaned_Data!C$2:C$2013,O97,Cleaned_Data!N$2:N$2013)</f>
        <v>2752285000</v>
      </c>
      <c r="R97" s="6">
        <f t="shared" si="5"/>
        <v>0.3273033134</v>
      </c>
    </row>
    <row r="98">
      <c r="D98" s="4" t="s">
        <v>233</v>
      </c>
      <c r="E98" s="4">
        <f>SUMIF(Cleaned_Data!C$2:C$2013,D98,Cleaned_Data!N$2:N$2013)</f>
        <v>7965000000</v>
      </c>
      <c r="J98" s="4" t="str">
        <f>IFERROR(__xludf.DUMMYFUNCTION("""COMPUTED_VALUE"""),"Boston Properties")</f>
        <v>Boston Properties</v>
      </c>
      <c r="K98" s="4">
        <f>IFERROR(__xludf.DUMMYFUNCTION("""COMPUTED_VALUE"""),9.00832E8)</f>
        <v>900832000</v>
      </c>
      <c r="L98" s="4">
        <f>IFERROR(__xludf.DUMMYFUNCTION("""COMPUTED_VALUE"""),2.752285E9)</f>
        <v>2752285000</v>
      </c>
      <c r="O98" s="4" t="s">
        <v>185</v>
      </c>
      <c r="P98" s="4">
        <f>SUMIF(Cleaned_Data!C$2:C$2013,O98,Cleaned_Data!K$2:K$2013)</f>
        <v>1803000000</v>
      </c>
      <c r="Q98" s="4">
        <f>SUMIF(Cleaned_Data!C$2:C$2013,O98,Cleaned_Data!N$2:N$2013)</f>
        <v>11197000000</v>
      </c>
      <c r="R98" s="6">
        <f t="shared" si="5"/>
        <v>0.1610252746</v>
      </c>
    </row>
    <row r="99">
      <c r="D99" s="4" t="s">
        <v>235</v>
      </c>
      <c r="E99" s="4">
        <f>SUMIF(Cleaned_Data!C$2:C$2013,D99,Cleaned_Data!N$2:N$2013)</f>
        <v>912100000</v>
      </c>
      <c r="J99" s="4" t="str">
        <f>IFERROR(__xludf.DUMMYFUNCTION("""COMPUTED_VALUE"""),"Boston Scientific")</f>
        <v>Boston Scientific</v>
      </c>
      <c r="K99" s="4">
        <f>IFERROR(__xludf.DUMMYFUNCTION("""COMPUTED_VALUE"""),1.803E9)</f>
        <v>1803000000</v>
      </c>
      <c r="L99" s="4">
        <f>IFERROR(__xludf.DUMMYFUNCTION("""COMPUTED_VALUE"""),1.1197E10)</f>
        <v>11197000000</v>
      </c>
      <c r="O99" s="4" t="s">
        <v>187</v>
      </c>
      <c r="P99" s="4">
        <f>SUMIF(Cleaned_Data!C$2:C$2013,O99,Cleaned_Data!K$2:K$2013)</f>
        <v>8197000000</v>
      </c>
      <c r="Q99" s="4">
        <f>SUMIF(Cleaned_Data!C$2:C$2013,O99,Cleaned_Data!N$2:N$2013)</f>
        <v>44384000000</v>
      </c>
      <c r="R99" s="6">
        <f t="shared" si="5"/>
        <v>0.1846836698</v>
      </c>
    </row>
    <row r="100">
      <c r="D100" s="4" t="s">
        <v>238</v>
      </c>
      <c r="E100" s="4">
        <f>SUMIF(Cleaned_Data!C$2:C$2013,D100,Cleaned_Data!N$2:N$2013)</f>
        <v>5608231000</v>
      </c>
      <c r="J100" s="4" t="str">
        <f>IFERROR(__xludf.DUMMYFUNCTION("""COMPUTED_VALUE"""),"Bristol Myers Squibb")</f>
        <v>Bristol Myers Squibb</v>
      </c>
      <c r="K100" s="4">
        <f>IFERROR(__xludf.DUMMYFUNCTION("""COMPUTED_VALUE"""),8.197E9)</f>
        <v>8197000000</v>
      </c>
      <c r="L100" s="4">
        <f>IFERROR(__xludf.DUMMYFUNCTION("""COMPUTED_VALUE"""),4.4384E10)</f>
        <v>44384000000</v>
      </c>
      <c r="O100" s="4" t="s">
        <v>189</v>
      </c>
      <c r="P100" s="4">
        <f>SUMIF(Cleaned_Data!C$2:C$2013,O100,Cleaned_Data!K$2:K$2013)</f>
        <v>7536000000</v>
      </c>
      <c r="Q100" s="4">
        <f>SUMIF(Cleaned_Data!C$2:C$2013,O100,Cleaned_Data!N$2:N$2013)</f>
        <v>26510000000</v>
      </c>
      <c r="R100" s="6">
        <f t="shared" si="5"/>
        <v>0.2842700868</v>
      </c>
    </row>
    <row r="101">
      <c r="D101" s="4" t="s">
        <v>240</v>
      </c>
      <c r="E101" s="4">
        <f>SUMIF(Cleaned_Data!C$2:C$2013,D101,Cleaned_Data!N$2:N$2013)</f>
        <v>4585000000</v>
      </c>
      <c r="J101" s="4" t="str">
        <f>IFERROR(__xludf.DUMMYFUNCTION("""COMPUTED_VALUE"""),"Broadcom")</f>
        <v>Broadcom</v>
      </c>
      <c r="K101" s="4">
        <f>IFERROR(__xludf.DUMMYFUNCTION("""COMPUTED_VALUE"""),7.536E9)</f>
        <v>7536000000</v>
      </c>
      <c r="L101" s="4">
        <f>IFERROR(__xludf.DUMMYFUNCTION("""COMPUTED_VALUE"""),2.651E10)</f>
        <v>26510000000</v>
      </c>
      <c r="O101" s="4" t="s">
        <v>192</v>
      </c>
      <c r="P101" s="4">
        <f>SUMIF(Cleaned_Data!C$2:C$2013,O101,Cleaned_Data!K$2:K$2013)</f>
        <v>696100000</v>
      </c>
      <c r="Q101" s="4">
        <f>SUMIF(Cleaned_Data!C$2:C$2013,O101,Cleaned_Data!N$2:N$2013)</f>
        <v>4824000000</v>
      </c>
      <c r="R101" s="6">
        <f t="shared" si="5"/>
        <v>0.1442993367</v>
      </c>
    </row>
    <row r="102">
      <c r="D102" s="4" t="s">
        <v>242</v>
      </c>
      <c r="E102" s="4">
        <f>SUMIF(Cleaned_Data!C$2:C$2013,D102,Cleaned_Data!N$2:N$2013)</f>
        <v>3273463000</v>
      </c>
      <c r="J102" s="4" t="str">
        <f>IFERROR(__xludf.DUMMYFUNCTION("""COMPUTED_VALUE"""),"Broadridge Financial Solutions")</f>
        <v>Broadridge Financial Solutions</v>
      </c>
      <c r="K102" s="4">
        <f>IFERROR(__xludf.DUMMYFUNCTION("""COMPUTED_VALUE"""),6.961E8)</f>
        <v>696100000</v>
      </c>
      <c r="L102" s="4">
        <f>IFERROR(__xludf.DUMMYFUNCTION("""COMPUTED_VALUE"""),4.824E9)</f>
        <v>4824000000</v>
      </c>
      <c r="O102" s="4" t="s">
        <v>194</v>
      </c>
      <c r="P102" s="4">
        <f>SUMIF(Cleaned_Data!C$2:C$2013,O102,Cleaned_Data!K$2:K$2013)</f>
        <v>720296000</v>
      </c>
      <c r="Q102" s="4">
        <f>SUMIF(Cleaned_Data!C$2:C$2013,O102,Cleaned_Data!N$2:N$2013)</f>
        <v>2729087000</v>
      </c>
      <c r="R102" s="6">
        <f t="shared" si="5"/>
        <v>0.2639329563</v>
      </c>
    </row>
    <row r="103">
      <c r="D103" s="4" t="s">
        <v>245</v>
      </c>
      <c r="E103" s="4">
        <f>SUMIF(Cleaned_Data!C$2:C$2013,D103,Cleaned_Data!N$2:N$2013)</f>
        <v>15866000000</v>
      </c>
      <c r="J103" s="4" t="str">
        <f>IFERROR(__xludf.DUMMYFUNCTION("""COMPUTED_VALUE"""),"Brown &amp; Brown")</f>
        <v>Brown &amp; Brown</v>
      </c>
      <c r="K103" s="4">
        <f>IFERROR(__xludf.DUMMYFUNCTION("""COMPUTED_VALUE"""),7.20296E8)</f>
        <v>720296000</v>
      </c>
      <c r="L103" s="4">
        <f>IFERROR(__xludf.DUMMYFUNCTION("""COMPUTED_VALUE"""),2.729087E9)</f>
        <v>2729087000</v>
      </c>
      <c r="O103" s="4" t="s">
        <v>197</v>
      </c>
      <c r="P103" s="4">
        <f>SUMIF(Cleaned_Data!C$2:C$2013,O103,Cleaned_Data!K$2:K$2013)</f>
        <v>787157000</v>
      </c>
      <c r="Q103" s="4">
        <f>SUMIF(Cleaned_Data!C$2:C$2013,O103,Cleaned_Data!N$2:N$2013)</f>
        <v>17205967000</v>
      </c>
      <c r="R103" s="6">
        <f t="shared" si="5"/>
        <v>0.04574907066</v>
      </c>
    </row>
    <row r="104">
      <c r="D104" s="4" t="s">
        <v>247</v>
      </c>
      <c r="E104" s="4">
        <f>SUMIF(Cleaned_Data!C$2:C$2013,D104,Cleaned_Data!N$2:N$2013)</f>
        <v>51094000000</v>
      </c>
      <c r="J104" s="4" t="str">
        <f>IFERROR(__xludf.DUMMYFUNCTION("""COMPUTED_VALUE"""),"C. H. Robinson")</f>
        <v>C. H. Robinson</v>
      </c>
      <c r="K104" s="4">
        <f>IFERROR(__xludf.DUMMYFUNCTION("""COMPUTED_VALUE"""),7.87157E8)</f>
        <v>787157000</v>
      </c>
      <c r="L104" s="4">
        <f>IFERROR(__xludf.DUMMYFUNCTION("""COMPUTED_VALUE"""),1.7205967E10)</f>
        <v>17205967000</v>
      </c>
      <c r="O104" s="4" t="s">
        <v>202</v>
      </c>
      <c r="P104" s="4">
        <f>SUMIF(Cleaned_Data!C$2:C$2013,O104,Cleaned_Data!K$2:K$2013)</f>
        <v>753437000</v>
      </c>
      <c r="Q104" s="4">
        <f>SUMIF(Cleaned_Data!C$2:C$2013,O104,Cleaned_Data!N$2:N$2013)</f>
        <v>2890829000</v>
      </c>
      <c r="R104" s="6">
        <f t="shared" si="5"/>
        <v>0.2606300822</v>
      </c>
    </row>
    <row r="105">
      <c r="D105" s="4" t="s">
        <v>249</v>
      </c>
      <c r="E105" s="4">
        <f>SUMIF(Cleaned_Data!C$2:C$2013,D105,Cleaned_Data!N$2:N$2013)</f>
        <v>116033000000</v>
      </c>
      <c r="J105" s="4" t="str">
        <f>IFERROR(__xludf.DUMMYFUNCTION("""COMPUTED_VALUE"""),"CBRE")</f>
        <v>CBRE</v>
      </c>
      <c r="K105" s="4">
        <f>IFERROR(__xludf.DUMMYFUNCTION("""COMPUTED_VALUE"""),1.41538E9)</f>
        <v>1415380000</v>
      </c>
      <c r="L105" s="4">
        <f>IFERROR(__xludf.DUMMYFUNCTION("""COMPUTED_VALUE"""),2.4953135E10)</f>
        <v>24953135000</v>
      </c>
      <c r="O105" s="4" t="s">
        <v>204</v>
      </c>
      <c r="P105" s="4">
        <f>SUMIF(Cleaned_Data!C$2:C$2013,O105,Cleaned_Data!K$2:K$2013)</f>
        <v>955000000</v>
      </c>
      <c r="Q105" s="4">
        <f>SUMIF(Cleaned_Data!C$2:C$2013,O105,Cleaned_Data!N$2:N$2013)</f>
        <v>7160000000</v>
      </c>
      <c r="R105" s="6">
        <f t="shared" si="5"/>
        <v>0.1333798883</v>
      </c>
    </row>
    <row r="106">
      <c r="D106" s="4" t="s">
        <v>251</v>
      </c>
      <c r="E106" s="4">
        <f>SUMIF(Cleaned_Data!C$2:C$2013,D106,Cleaned_Data!N$2:N$2013)</f>
        <v>7194138000</v>
      </c>
      <c r="J106" s="4" t="str">
        <f>IFERROR(__xludf.DUMMYFUNCTION("""COMPUTED_VALUE"""),"CDW")</f>
        <v>CDW</v>
      </c>
      <c r="K106" s="4">
        <f>IFERROR(__xludf.DUMMYFUNCTION("""COMPUTED_VALUE"""),1.3518E9)</f>
        <v>1351800000</v>
      </c>
      <c r="L106" s="4">
        <f>IFERROR(__xludf.DUMMYFUNCTION("""COMPUTED_VALUE"""),1.96965E10)</f>
        <v>19696500000</v>
      </c>
      <c r="O106" s="4" t="s">
        <v>206</v>
      </c>
      <c r="P106" s="4">
        <f>SUMIF(Cleaned_Data!C$2:C$2013,O106,Cleaned_Data!K$2:K$2013)</f>
        <v>1363000000</v>
      </c>
      <c r="Q106" s="4">
        <f>SUMIF(Cleaned_Data!C$2:C$2013,O106,Cleaned_Data!N$2:N$2013)</f>
        <v>8711000000</v>
      </c>
      <c r="R106" s="6">
        <f t="shared" si="5"/>
        <v>0.1564688325</v>
      </c>
    </row>
    <row r="107">
      <c r="D107" s="4" t="s">
        <v>253</v>
      </c>
      <c r="E107" s="4">
        <f>SUMIF(Cleaned_Data!C$2:C$2013,D107,Cleaned_Data!N$2:N$2013)</f>
        <v>39040000000</v>
      </c>
      <c r="J107" s="4" t="str">
        <f>IFERROR(__xludf.DUMMYFUNCTION("""COMPUTED_VALUE"""),"CF Industries")</f>
        <v>CF Industries</v>
      </c>
      <c r="K107" s="4">
        <f>IFERROR(__xludf.DUMMYFUNCTION("""COMPUTED_VALUE"""),8.53E8)</f>
        <v>853000000</v>
      </c>
      <c r="L107" s="4">
        <f>IFERROR(__xludf.DUMMYFUNCTION("""COMPUTED_VALUE"""),4.585E9)</f>
        <v>4585000000</v>
      </c>
      <c r="O107" s="4" t="s">
        <v>208</v>
      </c>
      <c r="P107" s="4">
        <f>SUMIF(Cleaned_Data!C$2:C$2013,O107,Cleaned_Data!K$2:K$2013)</f>
        <v>15816000000</v>
      </c>
      <c r="Q107" s="4">
        <f>SUMIF(Cleaned_Data!C$2:C$2013,O107,Cleaned_Data!N$2:N$2013)</f>
        <v>30593000000</v>
      </c>
      <c r="R107" s="6">
        <f t="shared" si="5"/>
        <v>0.5169810087</v>
      </c>
    </row>
    <row r="108">
      <c r="D108" s="4" t="s">
        <v>255</v>
      </c>
      <c r="E108" s="4">
        <f>SUMIF(Cleaned_Data!C$2:C$2013,D108,Cleaned_Data!N$2:N$2013)</f>
        <v>5116700000</v>
      </c>
      <c r="J108" s="4" t="str">
        <f>IFERROR(__xludf.DUMMYFUNCTION("""COMPUTED_VALUE"""),"CME Group")</f>
        <v>CME Group</v>
      </c>
      <c r="K108" s="4">
        <f>IFERROR(__xludf.DUMMYFUNCTION("""COMPUTED_VALUE"""),2.4758E9)</f>
        <v>2475800000</v>
      </c>
      <c r="L108" s="4">
        <f>IFERROR(__xludf.DUMMYFUNCTION("""COMPUTED_VALUE"""),4.6002E9)</f>
        <v>4600200000</v>
      </c>
      <c r="O108" s="4" t="s">
        <v>210</v>
      </c>
      <c r="P108" s="4">
        <f>SUMIF(Cleaned_Data!C$2:C$2013,O108,Cleaned_Data!K$2:K$2013)</f>
        <v>1991000000</v>
      </c>
      <c r="Q108" s="4">
        <f>SUMIF(Cleaned_Data!C$2:C$2013,O108,Cleaned_Data!N$2:N$2013)</f>
        <v>162467000000</v>
      </c>
      <c r="R108" s="6">
        <f t="shared" si="5"/>
        <v>0.01225479636</v>
      </c>
    </row>
    <row r="109">
      <c r="D109" s="4" t="s">
        <v>257</v>
      </c>
      <c r="E109" s="4">
        <f>SUMIF(Cleaned_Data!C$2:C$2013,D109,Cleaned_Data!N$2:N$2013)</f>
        <v>167028000000</v>
      </c>
      <c r="J109" s="4" t="str">
        <f>IFERROR(__xludf.DUMMYFUNCTION("""COMPUTED_VALUE"""),"CMS Energy")</f>
        <v>CMS Energy</v>
      </c>
      <c r="K109" s="4">
        <f>IFERROR(__xludf.DUMMYFUNCTION("""COMPUTED_VALUE"""),1.44E9)</f>
        <v>1440000000</v>
      </c>
      <c r="L109" s="4">
        <f>IFERROR(__xludf.DUMMYFUNCTION("""COMPUTED_VALUE"""),7.094E9)</f>
        <v>7094000000</v>
      </c>
      <c r="O109" s="4" t="s">
        <v>212</v>
      </c>
      <c r="P109" s="4">
        <f>SUMIF(Cleaned_Data!C$2:C$2013,O109,Cleaned_Data!K$2:K$2013)</f>
        <v>1574024000</v>
      </c>
      <c r="Q109" s="4">
        <f>SUMIF(Cleaned_Data!C$2:C$2013,O109,Cleaned_Data!N$2:N$2013)</f>
        <v>24588766000</v>
      </c>
      <c r="R109" s="6">
        <f t="shared" si="5"/>
        <v>0.06401394848</v>
      </c>
    </row>
    <row r="110">
      <c r="D110" s="4" t="s">
        <v>259</v>
      </c>
      <c r="E110" s="4">
        <f>SUMIF(Cleaned_Data!C$2:C$2013,D110,Cleaned_Data!N$2:N$2013)</f>
        <v>9862000000</v>
      </c>
      <c r="J110" s="4" t="str">
        <f>IFERROR(__xludf.DUMMYFUNCTION("""COMPUTED_VALUE"""),"CSX")</f>
        <v>CSX</v>
      </c>
      <c r="K110" s="4">
        <f>IFERROR(__xludf.DUMMYFUNCTION("""COMPUTED_VALUE"""),5.086E9)</f>
        <v>5086000000</v>
      </c>
      <c r="L110" s="4">
        <f>IFERROR(__xludf.DUMMYFUNCTION("""COMPUTED_VALUE"""),1.192E10)</f>
        <v>11920000000</v>
      </c>
      <c r="O110" s="4" t="s">
        <v>214</v>
      </c>
      <c r="P110" s="4">
        <f>SUMIF(Cleaned_Data!C$2:C$2013,O110,Cleaned_Data!K$2:K$2013)</f>
        <v>-6066000000</v>
      </c>
      <c r="Q110" s="4">
        <f>SUMIF(Cleaned_Data!C$2:C$2013,O110,Cleaned_Data!N$2:N$2013)</f>
        <v>139000000</v>
      </c>
      <c r="R110" s="6">
        <f t="shared" si="5"/>
        <v>-43.64028777</v>
      </c>
    </row>
    <row r="111">
      <c r="D111" s="4" t="s">
        <v>261</v>
      </c>
      <c r="E111" s="4">
        <f>SUMIF(Cleaned_Data!C$2:C$2013,D111,Cleaned_Data!N$2:N$2013)</f>
        <v>7266716000</v>
      </c>
      <c r="J111" s="4" t="str">
        <f>IFERROR(__xludf.DUMMYFUNCTION("""COMPUTED_VALUE"""),"CVS Health")</f>
        <v>CVS Health</v>
      </c>
      <c r="K111" s="4">
        <f>IFERROR(__xludf.DUMMYFUNCTION("""COMPUTED_VALUE"""),1.2913E10)</f>
        <v>12913000000</v>
      </c>
      <c r="L111" s="4">
        <f>IFERROR(__xludf.DUMMYFUNCTION("""COMPUTED_VALUE"""),2.77285E11)</f>
        <v>277285000000</v>
      </c>
      <c r="O111" s="4" t="s">
        <v>216</v>
      </c>
      <c r="P111" s="4">
        <f>SUMIF(Cleaned_Data!C$2:C$2013,O111,Cleaned_Data!K$2:K$2013)</f>
        <v>2392000000</v>
      </c>
      <c r="Q111" s="4">
        <f>SUMIF(Cleaned_Data!C$2:C$2013,O111,Cleaned_Data!N$2:N$2013)</f>
        <v>19735000000</v>
      </c>
      <c r="R111" s="6">
        <f t="shared" si="5"/>
        <v>0.1212059792</v>
      </c>
    </row>
    <row r="112">
      <c r="D112" s="4" t="s">
        <v>263</v>
      </c>
      <c r="E112" s="4">
        <f>SUMIF(Cleaned_Data!C$2:C$2013,D112,Cleaned_Data!N$2:N$2013)</f>
        <v>48846000000</v>
      </c>
      <c r="J112" s="4" t="str">
        <f>IFERROR(__xludf.DUMMYFUNCTION("""COMPUTED_VALUE"""),"Cadence Design Systems")</f>
        <v>Cadence Design Systems</v>
      </c>
      <c r="K112" s="4">
        <f>IFERROR(__xludf.DUMMYFUNCTION("""COMPUTED_VALUE"""),7.53437E8)</f>
        <v>753437000</v>
      </c>
      <c r="L112" s="4">
        <f>IFERROR(__xludf.DUMMYFUNCTION("""COMPUTED_VALUE"""),2.890829E9)</f>
        <v>2890829000</v>
      </c>
      <c r="O112" s="4" t="s">
        <v>218</v>
      </c>
      <c r="P112" s="4">
        <f>SUMIF(Cleaned_Data!C$2:C$2013,O112,Cleaned_Data!K$2:K$2013)</f>
        <v>665000000</v>
      </c>
      <c r="Q112" s="4">
        <f>SUMIF(Cleaned_Data!C$2:C$2013,O112,Cleaned_Data!N$2:N$2013)</f>
        <v>3998000000</v>
      </c>
      <c r="R112" s="6">
        <f t="shared" si="5"/>
        <v>0.1663331666</v>
      </c>
    </row>
    <row r="113">
      <c r="D113" s="4" t="s">
        <v>265</v>
      </c>
      <c r="E113" s="4">
        <f>SUMIF(Cleaned_Data!C$2:C$2013,D113,Cleaned_Data!N$2:N$2013)</f>
        <v>71462000000</v>
      </c>
      <c r="J113" s="4" t="str">
        <f>IFERROR(__xludf.DUMMYFUNCTION("""COMPUTED_VALUE"""),"Caesars Entertainment")</f>
        <v>Caesars Entertainment</v>
      </c>
      <c r="K113" s="4">
        <f>IFERROR(__xludf.DUMMYFUNCTION("""COMPUTED_VALUE"""),9.55E8)</f>
        <v>955000000</v>
      </c>
      <c r="L113" s="4">
        <f>IFERROR(__xludf.DUMMYFUNCTION("""COMPUTED_VALUE"""),7.16E9)</f>
        <v>7160000000</v>
      </c>
      <c r="O113" s="4" t="s">
        <v>220</v>
      </c>
      <c r="P113" s="4">
        <f>SUMIF(Cleaned_Data!C$2:C$2013,O113,Cleaned_Data!K$2:K$2013)</f>
        <v>5222000000</v>
      </c>
      <c r="Q113" s="4">
        <f>SUMIF(Cleaned_Data!C$2:C$2013,O113,Cleaned_Data!N$2:N$2013)</f>
        <v>43000000000</v>
      </c>
      <c r="R113" s="6">
        <f t="shared" si="5"/>
        <v>0.1214418605</v>
      </c>
    </row>
    <row r="114">
      <c r="D114" s="4" t="s">
        <v>267</v>
      </c>
      <c r="E114" s="4">
        <f>SUMIF(Cleaned_Data!C$2:C$2013,D114,Cleaned_Data!N$2:N$2013)</f>
        <v>6567000000</v>
      </c>
      <c r="J114" s="4" t="str">
        <f>IFERROR(__xludf.DUMMYFUNCTION("""COMPUTED_VALUE"""),"Campbell Soup")</f>
        <v>Campbell Soup</v>
      </c>
      <c r="K114" s="4">
        <f>IFERROR(__xludf.DUMMYFUNCTION("""COMPUTED_VALUE"""),1.363E9)</f>
        <v>1363000000</v>
      </c>
      <c r="L114" s="4">
        <f>IFERROR(__xludf.DUMMYFUNCTION("""COMPUTED_VALUE"""),8.711E9)</f>
        <v>8711000000</v>
      </c>
      <c r="O114" s="4" t="s">
        <v>222</v>
      </c>
      <c r="P114" s="4">
        <f>SUMIF(Cleaned_Data!C$2:C$2013,O114,Cleaned_Data!K$2:K$2013)</f>
        <v>715600000</v>
      </c>
      <c r="Q114" s="4">
        <f>SUMIF(Cleaned_Data!C$2:C$2013,O114,Cleaned_Data!N$2:N$2013)</f>
        <v>3448500000</v>
      </c>
      <c r="R114" s="6">
        <f t="shared" si="5"/>
        <v>0.2075105118</v>
      </c>
    </row>
    <row r="115">
      <c r="D115" s="4" t="s">
        <v>269</v>
      </c>
      <c r="E115" s="4">
        <f>SUMIF(Cleaned_Data!C$2:C$2013,D115,Cleaned_Data!N$2:N$2013)</f>
        <v>3164703000</v>
      </c>
      <c r="J115" s="4" t="str">
        <f>IFERROR(__xludf.DUMMYFUNCTION("""COMPUTED_VALUE"""),"Capital One Financial")</f>
        <v>Capital One Financial</v>
      </c>
      <c r="K115" s="4">
        <f>IFERROR(__xludf.DUMMYFUNCTION("""COMPUTED_VALUE"""),1.5816E10)</f>
        <v>15816000000</v>
      </c>
      <c r="L115" s="4">
        <f>IFERROR(__xludf.DUMMYFUNCTION("""COMPUTED_VALUE"""),3.0593E10)</f>
        <v>30593000000</v>
      </c>
      <c r="O115" s="4" t="s">
        <v>225</v>
      </c>
      <c r="P115" s="4">
        <f>SUMIF(Cleaned_Data!C$2:C$2013,O115,Cleaned_Data!K$2:K$2013)</f>
        <v>1415380000</v>
      </c>
      <c r="Q115" s="4">
        <f>SUMIF(Cleaned_Data!C$2:C$2013,O115,Cleaned_Data!N$2:N$2013)</f>
        <v>24953135000</v>
      </c>
      <c r="R115" s="6">
        <f t="shared" si="5"/>
        <v>0.05672153018</v>
      </c>
    </row>
    <row r="116">
      <c r="D116" s="4" t="s">
        <v>271</v>
      </c>
      <c r="E116" s="4">
        <f>SUMIF(Cleaned_Data!C$2:C$2013,D116,Cleaned_Data!N$2:N$2013)</f>
        <v>7341000000</v>
      </c>
      <c r="J116" s="4" t="str">
        <f>IFERROR(__xludf.DUMMYFUNCTION("""COMPUTED_VALUE"""),"CarMax")</f>
        <v>CarMax</v>
      </c>
      <c r="K116" s="4">
        <f>IFERROR(__xludf.DUMMYFUNCTION("""COMPUTED_VALUE"""),1.574024E9)</f>
        <v>1574024000</v>
      </c>
      <c r="L116" s="4">
        <f>IFERROR(__xludf.DUMMYFUNCTION("""COMPUTED_VALUE"""),2.4588766E10)</f>
        <v>24588766000</v>
      </c>
      <c r="O116" s="4" t="s">
        <v>226</v>
      </c>
      <c r="P116" s="4">
        <f>SUMIF(Cleaned_Data!C$2:C$2013,O116,Cleaned_Data!K$2:K$2013)</f>
        <v>1351800000</v>
      </c>
      <c r="Q116" s="4">
        <f>SUMIF(Cleaned_Data!C$2:C$2013,O116,Cleaned_Data!N$2:N$2013)</f>
        <v>19696500000</v>
      </c>
      <c r="R116" s="6">
        <f t="shared" si="5"/>
        <v>0.06863148275</v>
      </c>
    </row>
    <row r="117">
      <c r="D117" s="4" t="s">
        <v>273</v>
      </c>
      <c r="E117" s="4">
        <f>SUMIF(Cleaned_Data!C$2:C$2013,D117,Cleaned_Data!N$2:N$2013)</f>
        <v>4600200000</v>
      </c>
      <c r="J117" s="4" t="str">
        <f>IFERROR(__xludf.DUMMYFUNCTION("""COMPUTED_VALUE"""),"Cardinal Health")</f>
        <v>Cardinal Health</v>
      </c>
      <c r="K117" s="4">
        <f>IFERROR(__xludf.DUMMYFUNCTION("""COMPUTED_VALUE"""),1.991E9)</f>
        <v>1991000000</v>
      </c>
      <c r="L117" s="4">
        <f>IFERROR(__xludf.DUMMYFUNCTION("""COMPUTED_VALUE"""),1.62467E11)</f>
        <v>162467000000</v>
      </c>
      <c r="O117" s="4" t="s">
        <v>228</v>
      </c>
      <c r="P117" s="4">
        <f>SUMIF(Cleaned_Data!C$2:C$2013,O117,Cleaned_Data!K$2:K$2013)</f>
        <v>1344000000</v>
      </c>
      <c r="Q117" s="4">
        <f>SUMIF(Cleaned_Data!C$2:C$2013,O117,Cleaned_Data!N$2:N$2013)</f>
        <v>6998000000</v>
      </c>
      <c r="R117" s="6">
        <f t="shared" si="5"/>
        <v>0.1920548728</v>
      </c>
    </row>
    <row r="118">
      <c r="D118" s="4" t="s">
        <v>275</v>
      </c>
      <c r="E118" s="4">
        <f>SUMIF(Cleaned_Data!C$2:C$2013,D118,Cleaned_Data!N$2:N$2013)</f>
        <v>7094000000</v>
      </c>
      <c r="J118" s="4" t="str">
        <f>IFERROR(__xludf.DUMMYFUNCTION("""COMPUTED_VALUE"""),"Carnival Corporation")</f>
        <v>Carnival Corporation</v>
      </c>
      <c r="K118" s="4">
        <f>IFERROR(__xludf.DUMMYFUNCTION("""COMPUTED_VALUE"""),-6.066E9)</f>
        <v>-6066000000</v>
      </c>
      <c r="L118" s="4">
        <f>IFERROR(__xludf.DUMMYFUNCTION("""COMPUTED_VALUE"""),1.39E8)</f>
        <v>139000000</v>
      </c>
      <c r="O118" s="4" t="s">
        <v>230</v>
      </c>
      <c r="P118" s="4">
        <f>SUMIF(Cleaned_Data!C$2:C$2013,O118,Cleaned_Data!K$2:K$2013)</f>
        <v>3209000000</v>
      </c>
      <c r="Q118" s="4">
        <f>SUMIF(Cleaned_Data!C$2:C$2013,O118,Cleaned_Data!N$2:N$2013)</f>
        <v>114130000000</v>
      </c>
      <c r="R118" s="6">
        <f t="shared" si="5"/>
        <v>0.02811705949</v>
      </c>
    </row>
    <row r="119">
      <c r="D119" s="4" t="s">
        <v>277</v>
      </c>
      <c r="E119" s="4">
        <f>SUMIF(Cleaned_Data!C$2:C$2013,D119,Cleaned_Data!N$2:N$2013)</f>
        <v>36412000000</v>
      </c>
      <c r="J119" s="4" t="str">
        <f>IFERROR(__xludf.DUMMYFUNCTION("""COMPUTED_VALUE"""),"Carrier Global")</f>
        <v>Carrier Global</v>
      </c>
      <c r="K119" s="4">
        <f>IFERROR(__xludf.DUMMYFUNCTION("""COMPUTED_VALUE"""),2.392E9)</f>
        <v>2392000000</v>
      </c>
      <c r="L119" s="4">
        <f>IFERROR(__xludf.DUMMYFUNCTION("""COMPUTED_VALUE"""),1.9735E10)</f>
        <v>19735000000</v>
      </c>
      <c r="O119" s="4" t="s">
        <v>233</v>
      </c>
      <c r="P119" s="4">
        <f>SUMIF(Cleaned_Data!C$2:C$2013,O119,Cleaned_Data!K$2:K$2013)</f>
        <v>1337000000</v>
      </c>
      <c r="Q119" s="4">
        <f>SUMIF(Cleaned_Data!C$2:C$2013,O119,Cleaned_Data!N$2:N$2013)</f>
        <v>7965000000</v>
      </c>
      <c r="R119" s="6">
        <f t="shared" si="5"/>
        <v>0.1678593848</v>
      </c>
    </row>
    <row r="120">
      <c r="D120" s="4" t="s">
        <v>279</v>
      </c>
      <c r="E120" s="4">
        <f>SUMIF(Cleaned_Data!C$2:C$2013,D120,Cleaned_Data!N$2:N$2013)</f>
        <v>17413000000</v>
      </c>
      <c r="J120" s="4" t="str">
        <f>IFERROR(__xludf.DUMMYFUNCTION("""COMPUTED_VALUE"""),"Catalent")</f>
        <v>Catalent</v>
      </c>
      <c r="K120" s="4">
        <f>IFERROR(__xludf.DUMMYFUNCTION("""COMPUTED_VALUE"""),6.65E8)</f>
        <v>665000000</v>
      </c>
      <c r="L120" s="4">
        <f>IFERROR(__xludf.DUMMYFUNCTION("""COMPUTED_VALUE"""),3.998E9)</f>
        <v>3998000000</v>
      </c>
      <c r="O120" s="4" t="s">
        <v>235</v>
      </c>
      <c r="P120" s="4">
        <f>SUMIF(Cleaned_Data!C$2:C$2013,O120,Cleaned_Data!K$2:K$2013)</f>
        <v>-1500000</v>
      </c>
      <c r="Q120" s="4">
        <f>SUMIF(Cleaned_Data!C$2:C$2013,O120,Cleaned_Data!N$2:N$2013)</f>
        <v>912100000</v>
      </c>
      <c r="R120" s="6">
        <f t="shared" si="5"/>
        <v>-0.001644556518</v>
      </c>
    </row>
    <row r="121">
      <c r="D121" s="4" t="s">
        <v>281</v>
      </c>
      <c r="E121" s="4">
        <f>SUMIF(Cleaned_Data!C$2:C$2013,D121,Cleaned_Data!N$2:N$2013)</f>
        <v>17081000000</v>
      </c>
      <c r="J121" s="4" t="str">
        <f>IFERROR(__xludf.DUMMYFUNCTION("""COMPUTED_VALUE"""),"Caterpillar")</f>
        <v>Caterpillar</v>
      </c>
      <c r="K121" s="4">
        <f>IFERROR(__xludf.DUMMYFUNCTION("""COMPUTED_VALUE"""),5.222E9)</f>
        <v>5222000000</v>
      </c>
      <c r="L121" s="4">
        <f>IFERROR(__xludf.DUMMYFUNCTION("""COMPUTED_VALUE"""),4.3E10)</f>
        <v>43000000000</v>
      </c>
      <c r="O121" s="4" t="s">
        <v>238</v>
      </c>
      <c r="P121" s="4">
        <f>SUMIF(Cleaned_Data!C$2:C$2013,O121,Cleaned_Data!K$2:K$2013)</f>
        <v>874388000</v>
      </c>
      <c r="Q121" s="4">
        <f>SUMIF(Cleaned_Data!C$2:C$2013,O121,Cleaned_Data!N$2:N$2013)</f>
        <v>5608231000</v>
      </c>
      <c r="R121" s="6">
        <f t="shared" si="5"/>
        <v>0.1559115521</v>
      </c>
    </row>
    <row r="122">
      <c r="D122" s="4" t="s">
        <v>283</v>
      </c>
      <c r="E122" s="4">
        <f>SUMIF(Cleaned_Data!C$2:C$2013,D122,Cleaned_Data!N$2:N$2013)</f>
        <v>108991000000</v>
      </c>
      <c r="J122" s="4" t="str">
        <f>IFERROR(__xludf.DUMMYFUNCTION("""COMPUTED_VALUE"""),"Cboe Global Markets")</f>
        <v>Cboe Global Markets</v>
      </c>
      <c r="K122" s="4">
        <f>IFERROR(__xludf.DUMMYFUNCTION("""COMPUTED_VALUE"""),7.156E8)</f>
        <v>715600000</v>
      </c>
      <c r="L122" s="4">
        <f>IFERROR(__xludf.DUMMYFUNCTION("""COMPUTED_VALUE"""),3.4485E9)</f>
        <v>3448500000</v>
      </c>
      <c r="O122" s="4" t="s">
        <v>240</v>
      </c>
      <c r="P122" s="4">
        <f>SUMIF(Cleaned_Data!C$2:C$2013,O122,Cleaned_Data!K$2:K$2013)</f>
        <v>853000000</v>
      </c>
      <c r="Q122" s="4">
        <f>SUMIF(Cleaned_Data!C$2:C$2013,O122,Cleaned_Data!N$2:N$2013)</f>
        <v>4585000000</v>
      </c>
      <c r="R122" s="6">
        <f t="shared" si="5"/>
        <v>0.1860414395</v>
      </c>
    </row>
    <row r="123">
      <c r="D123" s="4" t="s">
        <v>285</v>
      </c>
      <c r="E123" s="4">
        <f>SUMIF(Cleaned_Data!C$2:C$2013,D123,Cleaned_Data!N$2:N$2013)</f>
        <v>3235000000</v>
      </c>
      <c r="J123" s="4" t="str">
        <f>IFERROR(__xludf.DUMMYFUNCTION("""COMPUTED_VALUE"""),"Celanese")</f>
        <v>Celanese</v>
      </c>
      <c r="K123" s="4">
        <f>IFERROR(__xludf.DUMMYFUNCTION("""COMPUTED_VALUE"""),1.344E9)</f>
        <v>1344000000</v>
      </c>
      <c r="L123" s="4">
        <f>IFERROR(__xludf.DUMMYFUNCTION("""COMPUTED_VALUE"""),6.998E9)</f>
        <v>6998000000</v>
      </c>
      <c r="O123" s="4" t="s">
        <v>242</v>
      </c>
      <c r="P123" s="4">
        <f>SUMIF(Cleaned_Data!C$2:C$2013,O123,Cleaned_Data!K$2:K$2013)</f>
        <v>549058000</v>
      </c>
      <c r="Q123" s="4">
        <f>SUMIF(Cleaned_Data!C$2:C$2013,O123,Cleaned_Data!N$2:N$2013)</f>
        <v>3273463000</v>
      </c>
      <c r="R123" s="6">
        <f t="shared" si="5"/>
        <v>0.1677300156</v>
      </c>
    </row>
    <row r="124">
      <c r="D124" s="4" t="s">
        <v>287</v>
      </c>
      <c r="E124" s="4">
        <f>SUMIF(Cleaned_Data!C$2:C$2013,D124,Cleaned_Data!N$2:N$2013)</f>
        <v>11733100000</v>
      </c>
      <c r="J124" s="4" t="str">
        <f>IFERROR(__xludf.DUMMYFUNCTION("""COMPUTED_VALUE"""),"Centene Corporation")</f>
        <v>Centene Corporation</v>
      </c>
      <c r="K124" s="4">
        <f>IFERROR(__xludf.DUMMYFUNCTION("""COMPUTED_VALUE"""),3.209E9)</f>
        <v>3209000000</v>
      </c>
      <c r="L124" s="4">
        <f>IFERROR(__xludf.DUMMYFUNCTION("""COMPUTED_VALUE"""),1.1413E11)</f>
        <v>114130000000</v>
      </c>
      <c r="O124" s="4" t="s">
        <v>245</v>
      </c>
      <c r="P124" s="4">
        <f>SUMIF(Cleaned_Data!C$2:C$2013,O124,Cleaned_Data!K$2:K$2013)</f>
        <v>6723000000</v>
      </c>
      <c r="Q124" s="4">
        <f>SUMIF(Cleaned_Data!C$2:C$2013,O124,Cleaned_Data!N$2:N$2013)</f>
        <v>15866000000</v>
      </c>
      <c r="R124" s="6">
        <f t="shared" si="5"/>
        <v>0.4237362914</v>
      </c>
    </row>
    <row r="125">
      <c r="D125" s="4" t="s">
        <v>289</v>
      </c>
      <c r="E125" s="4">
        <f>SUMIF(Cleaned_Data!C$2:C$2013,D125,Cleaned_Data!N$2:N$2013)</f>
        <v>29641000000</v>
      </c>
      <c r="J125" s="4" t="str">
        <f>IFERROR(__xludf.DUMMYFUNCTION("""COMPUTED_VALUE"""),"CenterPoint Energy")</f>
        <v>CenterPoint Energy</v>
      </c>
      <c r="K125" s="4">
        <f>IFERROR(__xludf.DUMMYFUNCTION("""COMPUTED_VALUE"""),1.337E9)</f>
        <v>1337000000</v>
      </c>
      <c r="L125" s="4">
        <f>IFERROR(__xludf.DUMMYFUNCTION("""COMPUTED_VALUE"""),7.965E9)</f>
        <v>7965000000</v>
      </c>
      <c r="O125" s="4" t="s">
        <v>247</v>
      </c>
      <c r="P125" s="4">
        <f>SUMIF(Cleaned_Data!C$2:C$2013,O125,Cleaned_Data!K$2:K$2013)</f>
        <v>10555000000</v>
      </c>
      <c r="Q125" s="4">
        <f>SUMIF(Cleaned_Data!C$2:C$2013,O125,Cleaned_Data!N$2:N$2013)</f>
        <v>51094000000</v>
      </c>
      <c r="R125" s="6">
        <f t="shared" si="5"/>
        <v>0.206580029</v>
      </c>
    </row>
    <row r="126">
      <c r="D126" s="4" t="s">
        <v>291</v>
      </c>
      <c r="E126" s="4">
        <f>SUMIF(Cleaned_Data!C$2:C$2013,D126,Cleaned_Data!N$2:N$2013)</f>
        <v>12689000000</v>
      </c>
      <c r="J126" s="4" t="str">
        <f>IFERROR(__xludf.DUMMYFUNCTION("""COMPUTED_VALUE"""),"Ceridian")</f>
        <v>Ceridian</v>
      </c>
      <c r="K126" s="4">
        <f>IFERROR(__xludf.DUMMYFUNCTION("""COMPUTED_VALUE"""),-1500000.0)</f>
        <v>-1500000</v>
      </c>
      <c r="L126" s="4">
        <f>IFERROR(__xludf.DUMMYFUNCTION("""COMPUTED_VALUE"""),9.121E8)</f>
        <v>912100000</v>
      </c>
      <c r="O126" s="4" t="s">
        <v>249</v>
      </c>
      <c r="P126" s="4">
        <f>SUMIF(Cleaned_Data!C$2:C$2013,O126,Cleaned_Data!K$2:K$2013)</f>
        <v>6680000000</v>
      </c>
      <c r="Q126" s="4">
        <f>SUMIF(Cleaned_Data!C$2:C$2013,O126,Cleaned_Data!N$2:N$2013)</f>
        <v>116033000000</v>
      </c>
      <c r="R126" s="6">
        <f t="shared" si="5"/>
        <v>0.05756982927</v>
      </c>
    </row>
    <row r="127">
      <c r="D127" s="4" t="s">
        <v>293</v>
      </c>
      <c r="E127" s="4">
        <f>SUMIF(Cleaned_Data!C$2:C$2013,D127,Cleaned_Data!N$2:N$2013)</f>
        <v>8788700000</v>
      </c>
      <c r="J127" s="4" t="str">
        <f>IFERROR(__xludf.DUMMYFUNCTION("""COMPUTED_VALUE"""),"Cerner")</f>
        <v>Cerner</v>
      </c>
      <c r="K127" s="4">
        <f>IFERROR(__xludf.DUMMYFUNCTION("""COMPUTED_VALUE"""),8.74388E8)</f>
        <v>874388000</v>
      </c>
      <c r="L127" s="4">
        <f>IFERROR(__xludf.DUMMYFUNCTION("""COMPUTED_VALUE"""),5.608231E9)</f>
        <v>5608231000</v>
      </c>
      <c r="O127" s="4" t="s">
        <v>251</v>
      </c>
      <c r="P127" s="4">
        <f>SUMIF(Cleaned_Data!C$2:C$2013,O127,Cleaned_Data!K$2:K$2013)</f>
        <v>792388000</v>
      </c>
      <c r="Q127" s="4">
        <f>SUMIF(Cleaned_Data!C$2:C$2013,O127,Cleaned_Data!N$2:N$2013)</f>
        <v>7194138000</v>
      </c>
      <c r="R127" s="6">
        <f t="shared" si="5"/>
        <v>0.1101435641</v>
      </c>
    </row>
    <row r="128">
      <c r="D128" s="4" t="s">
        <v>295</v>
      </c>
      <c r="E128" s="4">
        <f>SUMIF(Cleaned_Data!C$2:C$2013,D128,Cleaned_Data!N$2:N$2013)</f>
        <v>2469540000</v>
      </c>
      <c r="J128" s="4" t="str">
        <f>IFERROR(__xludf.DUMMYFUNCTION("""COMPUTED_VALUE"""),"Charles River Laboratories")</f>
        <v>Charles River Laboratories</v>
      </c>
      <c r="K128" s="4">
        <f>IFERROR(__xludf.DUMMYFUNCTION("""COMPUTED_VALUE"""),5.49058E8)</f>
        <v>549058000</v>
      </c>
      <c r="L128" s="4">
        <f>IFERROR(__xludf.DUMMYFUNCTION("""COMPUTED_VALUE"""),3.273463E9)</f>
        <v>3273463000</v>
      </c>
      <c r="O128" s="4" t="s">
        <v>253</v>
      </c>
      <c r="P128" s="4">
        <f>SUMIF(Cleaned_Data!C$2:C$2013,O128,Cleaned_Data!K$2:K$2013)</f>
        <v>7474000000</v>
      </c>
      <c r="Q128" s="4">
        <f>SUMIF(Cleaned_Data!C$2:C$2013,O128,Cleaned_Data!N$2:N$2013)</f>
        <v>39040000000</v>
      </c>
      <c r="R128" s="6">
        <f t="shared" si="5"/>
        <v>0.1914446721</v>
      </c>
    </row>
    <row r="129">
      <c r="D129" s="4" t="s">
        <v>297</v>
      </c>
      <c r="E129" s="4">
        <f>SUMIF(Cleaned_Data!C$2:C$2013,D129,Cleaned_Data!N$2:N$2013)</f>
        <v>13142000000</v>
      </c>
      <c r="J129" s="4" t="str">
        <f>IFERROR(__xludf.DUMMYFUNCTION("""COMPUTED_VALUE"""),"Charles Schwab Corporation")</f>
        <v>Charles Schwab Corporation</v>
      </c>
      <c r="K129" s="4">
        <f>IFERROR(__xludf.DUMMYFUNCTION("""COMPUTED_VALUE"""),6.723E9)</f>
        <v>6723000000</v>
      </c>
      <c r="L129" s="4">
        <f>IFERROR(__xludf.DUMMYFUNCTION("""COMPUTED_VALUE"""),1.5866E10)</f>
        <v>15866000000</v>
      </c>
      <c r="O129" s="4" t="s">
        <v>255</v>
      </c>
      <c r="P129" s="4">
        <f>SUMIF(Cleaned_Data!C$2:C$2013,O129,Cleaned_Data!K$2:K$2013)</f>
        <v>973300000</v>
      </c>
      <c r="Q129" s="4">
        <f>SUMIF(Cleaned_Data!C$2:C$2013,O129,Cleaned_Data!N$2:N$2013)</f>
        <v>5116700000</v>
      </c>
      <c r="R129" s="6">
        <f t="shared" si="5"/>
        <v>0.1902202592</v>
      </c>
    </row>
    <row r="130">
      <c r="D130" s="4" t="s">
        <v>299</v>
      </c>
      <c r="E130" s="4">
        <f>SUMIF(Cleaned_Data!C$2:C$2013,D130,Cleaned_Data!N$2:N$2013)</f>
        <v>14875000000</v>
      </c>
      <c r="J130" s="4" t="str">
        <f>IFERROR(__xludf.DUMMYFUNCTION("""COMPUTED_VALUE"""),"Charter Communications")</f>
        <v>Charter Communications</v>
      </c>
      <c r="K130" s="4">
        <f>IFERROR(__xludf.DUMMYFUNCTION("""COMPUTED_VALUE"""),1.0555E10)</f>
        <v>10555000000</v>
      </c>
      <c r="L130" s="4">
        <f>IFERROR(__xludf.DUMMYFUNCTION("""COMPUTED_VALUE"""),5.1094E10)</f>
        <v>51094000000</v>
      </c>
      <c r="O130" s="4" t="s">
        <v>257</v>
      </c>
      <c r="P130" s="4">
        <f>SUMIF(Cleaned_Data!C$2:C$2013,O130,Cleaned_Data!K$2:K$2013)</f>
        <v>8141000000</v>
      </c>
      <c r="Q130" s="4">
        <f>SUMIF(Cleaned_Data!C$2:C$2013,O130,Cleaned_Data!N$2:N$2013)</f>
        <v>167028000000</v>
      </c>
      <c r="R130" s="6">
        <f t="shared" si="5"/>
        <v>0.04874033096</v>
      </c>
    </row>
    <row r="131">
      <c r="D131" s="4" t="s">
        <v>301</v>
      </c>
      <c r="E131" s="4">
        <f>SUMIF(Cleaned_Data!C$2:C$2013,D131,Cleaned_Data!N$2:N$2013)</f>
        <v>195929000000</v>
      </c>
      <c r="J131" s="4" t="str">
        <f>IFERROR(__xludf.DUMMYFUNCTION("""COMPUTED_VALUE"""),"Chevron Corporation")</f>
        <v>Chevron Corporation</v>
      </c>
      <c r="K131" s="4">
        <f>IFERROR(__xludf.DUMMYFUNCTION("""COMPUTED_VALUE"""),6.68E9)</f>
        <v>6680000000</v>
      </c>
      <c r="L131" s="4">
        <f>IFERROR(__xludf.DUMMYFUNCTION("""COMPUTED_VALUE"""),1.16033E11)</f>
        <v>116033000000</v>
      </c>
      <c r="O131" s="4" t="s">
        <v>259</v>
      </c>
      <c r="P131" s="4">
        <f>SUMIF(Cleaned_Data!C$2:C$2013,O131,Cleaned_Data!K$2:K$2013)</f>
        <v>3897000000</v>
      </c>
      <c r="Q131" s="4">
        <f>SUMIF(Cleaned_Data!C$2:C$2013,O131,Cleaned_Data!N$2:N$2013)</f>
        <v>9862000000</v>
      </c>
      <c r="R131" s="6">
        <f t="shared" si="5"/>
        <v>0.395153113</v>
      </c>
    </row>
    <row r="132">
      <c r="D132" s="4" t="s">
        <v>303</v>
      </c>
      <c r="E132" s="4">
        <f>SUMIF(Cleaned_Data!C$2:C$2013,D132,Cleaned_Data!N$2:N$2013)</f>
        <v>1631157000</v>
      </c>
      <c r="J132" s="4" t="str">
        <f>IFERROR(__xludf.DUMMYFUNCTION("""COMPUTED_VALUE"""),"Chipotle Mexican Grill")</f>
        <v>Chipotle Mexican Grill</v>
      </c>
      <c r="K132" s="4">
        <f>IFERROR(__xludf.DUMMYFUNCTION("""COMPUTED_VALUE"""),7.92388E8)</f>
        <v>792388000</v>
      </c>
      <c r="L132" s="4">
        <f>IFERROR(__xludf.DUMMYFUNCTION("""COMPUTED_VALUE"""),7.194138E9)</f>
        <v>7194138000</v>
      </c>
      <c r="O132" s="4" t="s">
        <v>261</v>
      </c>
      <c r="P132" s="4">
        <f>SUMIF(Cleaned_Data!C$2:C$2013,O132,Cleaned_Data!K$2:K$2013)</f>
        <v>1435001000</v>
      </c>
      <c r="Q132" s="4">
        <f>SUMIF(Cleaned_Data!C$2:C$2013,O132,Cleaned_Data!N$2:N$2013)</f>
        <v>7266716000</v>
      </c>
      <c r="R132" s="6">
        <f t="shared" si="5"/>
        <v>0.1974758612</v>
      </c>
    </row>
    <row r="133">
      <c r="D133" s="4" t="s">
        <v>305</v>
      </c>
      <c r="E133" s="4">
        <f>SUMIF(Cleaned_Data!C$2:C$2013,D133,Cleaned_Data!N$2:N$2013)</f>
        <v>6047000000</v>
      </c>
      <c r="J133" s="4" t="str">
        <f>IFERROR(__xludf.DUMMYFUNCTION("""COMPUTED_VALUE"""),"Chubb")</f>
        <v>Chubb</v>
      </c>
      <c r="K133" s="4">
        <f>IFERROR(__xludf.DUMMYFUNCTION("""COMPUTED_VALUE"""),7.474E9)</f>
        <v>7474000000</v>
      </c>
      <c r="L133" s="4">
        <f>IFERROR(__xludf.DUMMYFUNCTION("""COMPUTED_VALUE"""),3.904E10)</f>
        <v>39040000000</v>
      </c>
      <c r="O133" s="4" t="s">
        <v>263</v>
      </c>
      <c r="P133" s="4">
        <f>SUMIF(Cleaned_Data!C$2:C$2013,O133,Cleaned_Data!K$2:K$2013)</f>
        <v>13522000000</v>
      </c>
      <c r="Q133" s="4">
        <f>SUMIF(Cleaned_Data!C$2:C$2013,O133,Cleaned_Data!N$2:N$2013)</f>
        <v>48846000000</v>
      </c>
      <c r="R133" s="6">
        <f t="shared" si="5"/>
        <v>0.2768292184</v>
      </c>
    </row>
    <row r="134">
      <c r="D134" s="4" t="s">
        <v>307</v>
      </c>
      <c r="E134" s="4">
        <f>SUMIF(Cleaned_Data!C$2:C$2013,D134,Cleaned_Data!N$2:N$2013)</f>
        <v>11920000000</v>
      </c>
      <c r="J134" s="4" t="str">
        <f>IFERROR(__xludf.DUMMYFUNCTION("""COMPUTED_VALUE"""),"Church &amp; Dwight")</f>
        <v>Church &amp; Dwight</v>
      </c>
      <c r="K134" s="4">
        <f>IFERROR(__xludf.DUMMYFUNCTION("""COMPUTED_VALUE"""),9.733E8)</f>
        <v>973300000</v>
      </c>
      <c r="L134" s="4">
        <f>IFERROR(__xludf.DUMMYFUNCTION("""COMPUTED_VALUE"""),5.1167E9)</f>
        <v>5116700000</v>
      </c>
      <c r="O134" s="4" t="s">
        <v>265</v>
      </c>
      <c r="P134" s="4">
        <f>SUMIF(Cleaned_Data!C$2:C$2013,O134,Cleaned_Data!K$2:K$2013)</f>
        <v>26731000000</v>
      </c>
      <c r="Q134" s="4">
        <f>SUMIF(Cleaned_Data!C$2:C$2013,O134,Cleaned_Data!N$2:N$2013)</f>
        <v>71462000000</v>
      </c>
      <c r="R134" s="6">
        <f t="shared" si="5"/>
        <v>0.3740589404</v>
      </c>
    </row>
    <row r="135">
      <c r="D135" s="4" t="s">
        <v>308</v>
      </c>
      <c r="E135" s="4">
        <f>SUMIF(Cleaned_Data!C$2:C$2013,D135,Cleaned_Data!N$2:N$2013)</f>
        <v>23151000000</v>
      </c>
      <c r="J135" s="4" t="str">
        <f>IFERROR(__xludf.DUMMYFUNCTION("""COMPUTED_VALUE"""),"Cigna")</f>
        <v>Cigna</v>
      </c>
      <c r="K135" s="4">
        <f>IFERROR(__xludf.DUMMYFUNCTION("""COMPUTED_VALUE"""),8.141E9)</f>
        <v>8141000000</v>
      </c>
      <c r="L135" s="4">
        <f>IFERROR(__xludf.DUMMYFUNCTION("""COMPUTED_VALUE"""),1.67028E11)</f>
        <v>167028000000</v>
      </c>
      <c r="O135" s="4" t="s">
        <v>267</v>
      </c>
      <c r="P135" s="4">
        <f>SUMIF(Cleaned_Data!C$2:C$2013,O135,Cleaned_Data!K$2:K$2013)</f>
        <v>2558000000</v>
      </c>
      <c r="Q135" s="4">
        <f>SUMIF(Cleaned_Data!C$2:C$2013,O135,Cleaned_Data!N$2:N$2013)</f>
        <v>6567000000</v>
      </c>
      <c r="R135" s="6">
        <f t="shared" si="5"/>
        <v>0.3895233744</v>
      </c>
    </row>
    <row r="136">
      <c r="D136" s="4" t="s">
        <v>310</v>
      </c>
      <c r="E136" s="4">
        <f>SUMIF(Cleaned_Data!C$2:C$2013,D136,Cleaned_Data!N$2:N$2013)</f>
        <v>277285000000</v>
      </c>
      <c r="J136" s="4" t="str">
        <f>IFERROR(__xludf.DUMMYFUNCTION("""COMPUTED_VALUE"""),"Cincinnati Financial")</f>
        <v>Cincinnati Financial</v>
      </c>
      <c r="K136" s="4">
        <f>IFERROR(__xludf.DUMMYFUNCTION("""COMPUTED_VALUE"""),3.897E9)</f>
        <v>3897000000</v>
      </c>
      <c r="L136" s="4">
        <f>IFERROR(__xludf.DUMMYFUNCTION("""COMPUTED_VALUE"""),9.862E9)</f>
        <v>9862000000</v>
      </c>
      <c r="O136" s="4" t="s">
        <v>269</v>
      </c>
      <c r="P136" s="4">
        <f>SUMIF(Cleaned_Data!C$2:C$2013,O136,Cleaned_Data!K$2:K$2013)</f>
        <v>456400000</v>
      </c>
      <c r="Q136" s="4">
        <f>SUMIF(Cleaned_Data!C$2:C$2013,O136,Cleaned_Data!N$2:N$2013)</f>
        <v>3164703000</v>
      </c>
      <c r="R136" s="6">
        <f t="shared" si="5"/>
        <v>0.1442157447</v>
      </c>
    </row>
    <row r="137">
      <c r="D137" s="4" t="s">
        <v>312</v>
      </c>
      <c r="E137" s="4">
        <f>SUMIF(Cleaned_Data!C$2:C$2013,D137,Cleaned_Data!N$2:N$2013)</f>
        <v>26065200000</v>
      </c>
      <c r="J137" s="4" t="str">
        <f>IFERROR(__xludf.DUMMYFUNCTION("""COMPUTED_VALUE"""),"Cintas Corporation")</f>
        <v>Cintas Corporation</v>
      </c>
      <c r="K137" s="4">
        <f>IFERROR(__xludf.DUMMYFUNCTION("""COMPUTED_VALUE"""),1.435001E9)</f>
        <v>1435001000</v>
      </c>
      <c r="L137" s="4">
        <f>IFERROR(__xludf.DUMMYFUNCTION("""COMPUTED_VALUE"""),7.266716E9)</f>
        <v>7266716000</v>
      </c>
      <c r="O137" s="4" t="s">
        <v>271</v>
      </c>
      <c r="P137" s="4">
        <f>SUMIF(Cleaned_Data!C$2:C$2013,O137,Cleaned_Data!K$2:K$2013)</f>
        <v>1218000000</v>
      </c>
      <c r="Q137" s="4">
        <f>SUMIF(Cleaned_Data!C$2:C$2013,O137,Cleaned_Data!N$2:N$2013)</f>
        <v>7341000000</v>
      </c>
      <c r="R137" s="6">
        <f t="shared" si="5"/>
        <v>0.1659174499</v>
      </c>
    </row>
    <row r="138">
      <c r="D138" s="4" t="s">
        <v>314</v>
      </c>
      <c r="E138" s="4">
        <f>SUMIF(Cleaned_Data!C$2:C$2013,D138,Cleaned_Data!N$2:N$2013)</f>
        <v>26719500000</v>
      </c>
      <c r="J138" s="4" t="str">
        <f>IFERROR(__xludf.DUMMYFUNCTION("""COMPUTED_VALUE"""),"Cisco Systems")</f>
        <v>Cisco Systems</v>
      </c>
      <c r="K138" s="4">
        <f>IFERROR(__xludf.DUMMYFUNCTION("""COMPUTED_VALUE"""),1.3522E10)</f>
        <v>13522000000</v>
      </c>
      <c r="L138" s="4">
        <f>IFERROR(__xludf.DUMMYFUNCTION("""COMPUTED_VALUE"""),4.8846E10)</f>
        <v>48846000000</v>
      </c>
      <c r="O138" s="4" t="s">
        <v>273</v>
      </c>
      <c r="P138" s="4">
        <f>SUMIF(Cleaned_Data!C$2:C$2013,O138,Cleaned_Data!K$2:K$2013)</f>
        <v>2475800000</v>
      </c>
      <c r="Q138" s="4">
        <f>SUMIF(Cleaned_Data!C$2:C$2013,O138,Cleaned_Data!N$2:N$2013)</f>
        <v>4600200000</v>
      </c>
      <c r="R138" s="6">
        <f t="shared" si="5"/>
        <v>0.5381939916</v>
      </c>
    </row>
    <row r="139">
      <c r="D139" s="4" t="s">
        <v>316</v>
      </c>
      <c r="E139" s="4">
        <f>SUMIF(Cleaned_Data!C$2:C$2013,D139,Cleaned_Data!N$2:N$2013)</f>
        <v>7196100000</v>
      </c>
      <c r="J139" s="4" t="str">
        <f>IFERROR(__xludf.DUMMYFUNCTION("""COMPUTED_VALUE"""),"Citigroup")</f>
        <v>Citigroup</v>
      </c>
      <c r="K139" s="4">
        <f>IFERROR(__xludf.DUMMYFUNCTION("""COMPUTED_VALUE"""),2.6731E10)</f>
        <v>26731000000</v>
      </c>
      <c r="L139" s="4">
        <f>IFERROR(__xludf.DUMMYFUNCTION("""COMPUTED_VALUE"""),7.1462E10)</f>
        <v>71462000000</v>
      </c>
      <c r="O139" s="4" t="s">
        <v>275</v>
      </c>
      <c r="P139" s="4">
        <f>SUMIF(Cleaned_Data!C$2:C$2013,O139,Cleaned_Data!K$2:K$2013)</f>
        <v>1440000000</v>
      </c>
      <c r="Q139" s="4">
        <f>SUMIF(Cleaned_Data!C$2:C$2013,O139,Cleaned_Data!N$2:N$2013)</f>
        <v>7094000000</v>
      </c>
      <c r="R139" s="6">
        <f t="shared" si="5"/>
        <v>0.2029884409</v>
      </c>
    </row>
    <row r="140">
      <c r="D140" s="4" t="s">
        <v>318</v>
      </c>
      <c r="E140" s="4">
        <f>SUMIF(Cleaned_Data!C$2:C$2013,D140,Cleaned_Data!N$2:N$2013)</f>
        <v>11580152000</v>
      </c>
      <c r="J140" s="4" t="str">
        <f>IFERROR(__xludf.DUMMYFUNCTION("""COMPUTED_VALUE"""),"Citizens Financial Group")</f>
        <v>Citizens Financial Group</v>
      </c>
      <c r="K140" s="4">
        <f>IFERROR(__xludf.DUMMYFUNCTION("""COMPUTED_VALUE"""),2.558E9)</f>
        <v>2558000000</v>
      </c>
      <c r="L140" s="4">
        <f>IFERROR(__xludf.DUMMYFUNCTION("""COMPUTED_VALUE"""),6.567E9)</f>
        <v>6567000000</v>
      </c>
      <c r="O140" s="4" t="s">
        <v>277</v>
      </c>
      <c r="P140" s="4">
        <f>SUMIF(Cleaned_Data!C$2:C$2013,O140,Cleaned_Data!K$2:K$2013)</f>
        <v>11463000000</v>
      </c>
      <c r="Q140" s="4">
        <f>SUMIF(Cleaned_Data!C$2:C$2013,O140,Cleaned_Data!N$2:N$2013)</f>
        <v>36412000000</v>
      </c>
      <c r="R140" s="6">
        <f t="shared" si="5"/>
        <v>0.3148137976</v>
      </c>
    </row>
    <row r="141">
      <c r="D141" s="4" t="s">
        <v>320</v>
      </c>
      <c r="E141" s="4">
        <f>SUMIF(Cleaned_Data!C$2:C$2013,D141,Cleaned_Data!N$2:N$2013)</f>
        <v>42410000000</v>
      </c>
      <c r="J141" s="4" t="str">
        <f>IFERROR(__xludf.DUMMYFUNCTION("""COMPUTED_VALUE"""),"Citrix Systems")</f>
        <v>Citrix Systems</v>
      </c>
      <c r="K141" s="4">
        <f>IFERROR(__xludf.DUMMYFUNCTION("""COMPUTED_VALUE"""),4.564E8)</f>
        <v>456400000</v>
      </c>
      <c r="L141" s="4">
        <f>IFERROR(__xludf.DUMMYFUNCTION("""COMPUTED_VALUE"""),3.164703E9)</f>
        <v>3164703000</v>
      </c>
      <c r="O141" s="4" t="s">
        <v>279</v>
      </c>
      <c r="P141" s="4">
        <f>SUMIF(Cleaned_Data!C$2:C$2013,O141,Cleaned_Data!K$2:K$2013)</f>
        <v>2537000000</v>
      </c>
      <c r="Q141" s="4">
        <f>SUMIF(Cleaned_Data!C$2:C$2013,O141,Cleaned_Data!N$2:N$2013)</f>
        <v>17413000000</v>
      </c>
      <c r="R141" s="6">
        <f t="shared" si="5"/>
        <v>0.1456957446</v>
      </c>
    </row>
    <row r="142">
      <c r="D142" s="4" t="s">
        <v>322</v>
      </c>
      <c r="E142" s="4">
        <f>SUMIF(Cleaned_Data!C$2:C$2013,D142,Cleaned_Data!N$2:N$2013)</f>
        <v>24403000000</v>
      </c>
      <c r="J142" s="4" t="str">
        <f>IFERROR(__xludf.DUMMYFUNCTION("""COMPUTED_VALUE"""),"Clorox")</f>
        <v>Clorox</v>
      </c>
      <c r="K142" s="4">
        <f>IFERROR(__xludf.DUMMYFUNCTION("""COMPUTED_VALUE"""),1.218E9)</f>
        <v>1218000000</v>
      </c>
      <c r="L142" s="4">
        <f>IFERROR(__xludf.DUMMYFUNCTION("""COMPUTED_VALUE"""),7.341E9)</f>
        <v>7341000000</v>
      </c>
      <c r="O142" s="4" t="s">
        <v>281</v>
      </c>
      <c r="P142" s="4">
        <f>SUMIF(Cleaned_Data!C$2:C$2013,O142,Cleaned_Data!K$2:K$2013)</f>
        <v>3892000000</v>
      </c>
      <c r="Q142" s="4">
        <f>SUMIF(Cleaned_Data!C$2:C$2013,O142,Cleaned_Data!N$2:N$2013)</f>
        <v>17081000000</v>
      </c>
      <c r="R142" s="6">
        <f t="shared" si="5"/>
        <v>0.227855512</v>
      </c>
    </row>
    <row r="143">
      <c r="D143" s="4" t="s">
        <v>324</v>
      </c>
      <c r="E143" s="4">
        <f>SUMIF(Cleaned_Data!C$2:C$2013,D143,Cleaned_Data!N$2:N$2013)</f>
        <v>3494700000</v>
      </c>
      <c r="J143" s="4" t="str">
        <f>IFERROR(__xludf.DUMMYFUNCTION("""COMPUTED_VALUE"""),"Coca-Cola Company")</f>
        <v>Coca-Cola Company</v>
      </c>
      <c r="K143" s="4">
        <f>IFERROR(__xludf.DUMMYFUNCTION("""COMPUTED_VALUE"""),1.1463E10)</f>
        <v>11463000000</v>
      </c>
      <c r="L143" s="4">
        <f>IFERROR(__xludf.DUMMYFUNCTION("""COMPUTED_VALUE"""),3.6412E10)</f>
        <v>36412000000</v>
      </c>
      <c r="O143" s="4" t="s">
        <v>283</v>
      </c>
      <c r="P143" s="4">
        <f>SUMIF(Cleaned_Data!C$2:C$2013,O143,Cleaned_Data!K$2:K$2013)</f>
        <v>18540000000</v>
      </c>
      <c r="Q143" s="4">
        <f>SUMIF(Cleaned_Data!C$2:C$2013,O143,Cleaned_Data!N$2:N$2013)</f>
        <v>108991000000</v>
      </c>
      <c r="R143" s="6">
        <f t="shared" si="5"/>
        <v>0.1701057886</v>
      </c>
    </row>
    <row r="144">
      <c r="D144" s="4" t="s">
        <v>326</v>
      </c>
      <c r="E144" s="4">
        <f>SUMIF(Cleaned_Data!C$2:C$2013,D144,Cleaned_Data!N$2:N$2013)</f>
        <v>7900000000</v>
      </c>
      <c r="J144" s="4" t="str">
        <f>IFERROR(__xludf.DUMMYFUNCTION("""COMPUTED_VALUE"""),"Cognizant Technology Solutions")</f>
        <v>Cognizant Technology Solutions</v>
      </c>
      <c r="K144" s="4">
        <f>IFERROR(__xludf.DUMMYFUNCTION("""COMPUTED_VALUE"""),2.537E9)</f>
        <v>2537000000</v>
      </c>
      <c r="L144" s="4">
        <f>IFERROR(__xludf.DUMMYFUNCTION("""COMPUTED_VALUE"""),1.7413E10)</f>
        <v>17413000000</v>
      </c>
      <c r="O144" s="4" t="s">
        <v>285</v>
      </c>
      <c r="P144" s="4">
        <f>SUMIF(Cleaned_Data!C$2:C$2013,O144,Cleaned_Data!K$2:K$2013)</f>
        <v>1448000000</v>
      </c>
      <c r="Q144" s="4">
        <f>SUMIF(Cleaned_Data!C$2:C$2013,O144,Cleaned_Data!N$2:N$2013)</f>
        <v>3235000000</v>
      </c>
      <c r="R144" s="6">
        <f t="shared" si="5"/>
        <v>0.4476043277</v>
      </c>
    </row>
    <row r="145">
      <c r="D145" s="4" t="s">
        <v>328</v>
      </c>
      <c r="E145" s="4">
        <f>SUMIF(Cleaned_Data!C$2:C$2013,D145,Cleaned_Data!N$2:N$2013)</f>
        <v>2169900000</v>
      </c>
      <c r="J145" s="4" t="str">
        <f>IFERROR(__xludf.DUMMYFUNCTION("""COMPUTED_VALUE"""),"Colgate-Palmolive")</f>
        <v>Colgate-Palmolive</v>
      </c>
      <c r="K145" s="4">
        <f>IFERROR(__xludf.DUMMYFUNCTION("""COMPUTED_VALUE"""),3.892E9)</f>
        <v>3892000000</v>
      </c>
      <c r="L145" s="4">
        <f>IFERROR(__xludf.DUMMYFUNCTION("""COMPUTED_VALUE"""),1.7081E10)</f>
        <v>17081000000</v>
      </c>
      <c r="O145" s="4" t="s">
        <v>287</v>
      </c>
      <c r="P145" s="4">
        <f>SUMIF(Cleaned_Data!C$2:C$2013,O145,Cleaned_Data!K$2:K$2013)</f>
        <v>2128200000</v>
      </c>
      <c r="Q145" s="4">
        <f>SUMIF(Cleaned_Data!C$2:C$2013,O145,Cleaned_Data!N$2:N$2013)</f>
        <v>11733100000</v>
      </c>
      <c r="R145" s="6">
        <f t="shared" si="5"/>
        <v>0.1813842889</v>
      </c>
    </row>
    <row r="146">
      <c r="D146" s="4" t="s">
        <v>330</v>
      </c>
      <c r="E146" s="4">
        <f>SUMIF(Cleaned_Data!C$2:C$2013,D146,Cleaned_Data!N$2:N$2013)</f>
        <v>2939000000</v>
      </c>
      <c r="J146" s="4" t="str">
        <f>IFERROR(__xludf.DUMMYFUNCTION("""COMPUTED_VALUE"""),"Comcast")</f>
        <v>Comcast</v>
      </c>
      <c r="K146" s="4">
        <f>IFERROR(__xludf.DUMMYFUNCTION("""COMPUTED_VALUE"""),1.854E10)</f>
        <v>18540000000</v>
      </c>
      <c r="L146" s="4">
        <f>IFERROR(__xludf.DUMMYFUNCTION("""COMPUTED_VALUE"""),1.08991E11)</f>
        <v>108991000000</v>
      </c>
      <c r="O146" s="4" t="s">
        <v>289</v>
      </c>
      <c r="P146" s="4">
        <f>SUMIF(Cleaned_Data!C$2:C$2013,O146,Cleaned_Data!K$2:K$2013)</f>
        <v>2953000000</v>
      </c>
      <c r="Q146" s="4">
        <f>SUMIF(Cleaned_Data!C$2:C$2013,O146,Cleaned_Data!N$2:N$2013)</f>
        <v>29641000000</v>
      </c>
      <c r="R146" s="6">
        <f t="shared" si="5"/>
        <v>0.09962551871</v>
      </c>
    </row>
    <row r="147">
      <c r="D147" s="4" t="s">
        <v>332</v>
      </c>
      <c r="E147" s="4">
        <f>SUMIF(Cleaned_Data!C$2:C$2013,D147,Cleaned_Data!N$2:N$2013)</f>
        <v>4328967000</v>
      </c>
      <c r="J147" s="4" t="str">
        <f>IFERROR(__xludf.DUMMYFUNCTION("""COMPUTED_VALUE"""),"Comerica")</f>
        <v>Comerica</v>
      </c>
      <c r="K147" s="4">
        <f>IFERROR(__xludf.DUMMYFUNCTION("""COMPUTED_VALUE"""),1.448E9)</f>
        <v>1448000000</v>
      </c>
      <c r="L147" s="4">
        <f>IFERROR(__xludf.DUMMYFUNCTION("""COMPUTED_VALUE"""),3.235E9)</f>
        <v>3235000000</v>
      </c>
      <c r="O147" s="4" t="s">
        <v>291</v>
      </c>
      <c r="P147" s="4">
        <f>SUMIF(Cleaned_Data!C$2:C$2013,O147,Cleaned_Data!K$2:K$2013)</f>
        <v>2560000000</v>
      </c>
      <c r="Q147" s="4">
        <f>SUMIF(Cleaned_Data!C$2:C$2013,O147,Cleaned_Data!N$2:N$2013)</f>
        <v>12689000000</v>
      </c>
      <c r="R147" s="6">
        <f t="shared" si="5"/>
        <v>0.2017495469</v>
      </c>
    </row>
    <row r="148">
      <c r="D148" s="4" t="s">
        <v>334</v>
      </c>
      <c r="E148" s="4">
        <f>SUMIF(Cleaned_Data!C$2:C$2013,D148,Cleaned_Data!N$2:N$2013)</f>
        <v>10861000000</v>
      </c>
      <c r="J148" s="4" t="str">
        <f>IFERROR(__xludf.DUMMYFUNCTION("""COMPUTED_VALUE"""),"Conagra Brands")</f>
        <v>Conagra Brands</v>
      </c>
      <c r="K148" s="4">
        <f>IFERROR(__xludf.DUMMYFUNCTION("""COMPUTED_VALUE"""),2.1282E9)</f>
        <v>2128200000</v>
      </c>
      <c r="L148" s="4">
        <f>IFERROR(__xludf.DUMMYFUNCTION("""COMPUTED_VALUE"""),1.17331E10)</f>
        <v>11733100000</v>
      </c>
      <c r="O148" s="4" t="s">
        <v>293</v>
      </c>
      <c r="P148" s="4">
        <f>SUMIF(Cleaned_Data!C$2:C$2013,O148,Cleaned_Data!K$2:K$2013)</f>
        <v>2937800000</v>
      </c>
      <c r="Q148" s="4">
        <f>SUMIF(Cleaned_Data!C$2:C$2013,O148,Cleaned_Data!N$2:N$2013)</f>
        <v>8788700000</v>
      </c>
      <c r="R148" s="6">
        <f t="shared" si="5"/>
        <v>0.3342701423</v>
      </c>
    </row>
    <row r="149">
      <c r="D149" s="4" t="s">
        <v>336</v>
      </c>
      <c r="E149" s="4">
        <f>SUMIF(Cleaned_Data!C$2:C$2013,D149,Cleaned_Data!N$2:N$2013)</f>
        <v>10780000000</v>
      </c>
      <c r="J149" s="4" t="str">
        <f>IFERROR(__xludf.DUMMYFUNCTION("""COMPUTED_VALUE"""),"ConocoPhillips")</f>
        <v>ConocoPhillips</v>
      </c>
      <c r="K149" s="4">
        <f>IFERROR(__xludf.DUMMYFUNCTION("""COMPUTED_VALUE"""),2.953E9)</f>
        <v>2953000000</v>
      </c>
      <c r="L149" s="4">
        <f>IFERROR(__xludf.DUMMYFUNCTION("""COMPUTED_VALUE"""),2.9641E10)</f>
        <v>29641000000</v>
      </c>
      <c r="O149" s="4" t="s">
        <v>295</v>
      </c>
      <c r="P149" s="4">
        <f>SUMIF(Cleaned_Data!C$2:C$2013,O149,Cleaned_Data!K$2:K$2013)</f>
        <v>1040641000</v>
      </c>
      <c r="Q149" s="4">
        <f>SUMIF(Cleaned_Data!C$2:C$2013,O149,Cleaned_Data!N$2:N$2013)</f>
        <v>2469540000</v>
      </c>
      <c r="R149" s="6">
        <f t="shared" si="5"/>
        <v>0.4213906234</v>
      </c>
    </row>
    <row r="150">
      <c r="D150" s="4" t="s">
        <v>338</v>
      </c>
      <c r="E150" s="4">
        <f>SUMIF(Cleaned_Data!C$2:C$2013,D150,Cleaned_Data!N$2:N$2013)</f>
        <v>10780000000</v>
      </c>
      <c r="J150" s="4" t="str">
        <f>IFERROR(__xludf.DUMMYFUNCTION("""COMPUTED_VALUE"""),"Consolidated Edison")</f>
        <v>Consolidated Edison</v>
      </c>
      <c r="K150" s="4">
        <f>IFERROR(__xludf.DUMMYFUNCTION("""COMPUTED_VALUE"""),2.56E9)</f>
        <v>2560000000</v>
      </c>
      <c r="L150" s="4">
        <f>IFERROR(__xludf.DUMMYFUNCTION("""COMPUTED_VALUE"""),1.2689E10)</f>
        <v>12689000000</v>
      </c>
      <c r="O150" s="4" t="s">
        <v>297</v>
      </c>
      <c r="P150" s="4">
        <f>SUMIF(Cleaned_Data!C$2:C$2013,O150,Cleaned_Data!K$2:K$2013)</f>
        <v>2114000000</v>
      </c>
      <c r="Q150" s="4">
        <f>SUMIF(Cleaned_Data!C$2:C$2013,O150,Cleaned_Data!N$2:N$2013)</f>
        <v>13142000000</v>
      </c>
      <c r="R150" s="6">
        <f t="shared" si="5"/>
        <v>0.1608583168</v>
      </c>
    </row>
    <row r="151">
      <c r="D151" s="4" t="s">
        <v>340</v>
      </c>
      <c r="E151" s="4">
        <f>SUMIF(Cleaned_Data!C$2:C$2013,D151,Cleaned_Data!N$2:N$2013)</f>
        <v>18073769000</v>
      </c>
      <c r="J151" s="4" t="str">
        <f>IFERROR(__xludf.DUMMYFUNCTION("""COMPUTED_VALUE"""),"Constellation Brands")</f>
        <v>Constellation Brands</v>
      </c>
      <c r="K151" s="4">
        <f>IFERROR(__xludf.DUMMYFUNCTION("""COMPUTED_VALUE"""),2.9378E9)</f>
        <v>2937800000</v>
      </c>
      <c r="L151" s="4">
        <f>IFERROR(__xludf.DUMMYFUNCTION("""COMPUTED_VALUE"""),8.7887E9)</f>
        <v>8788700000</v>
      </c>
      <c r="O151" s="4" t="s">
        <v>299</v>
      </c>
      <c r="P151" s="4">
        <f>SUMIF(Cleaned_Data!C$2:C$2013,O151,Cleaned_Data!K$2:K$2013)</f>
        <v>1954000000</v>
      </c>
      <c r="Q151" s="4">
        <f>SUMIF(Cleaned_Data!C$2:C$2013,O151,Cleaned_Data!N$2:N$2013)</f>
        <v>14875000000</v>
      </c>
      <c r="R151" s="6">
        <f t="shared" si="5"/>
        <v>0.1313613445</v>
      </c>
    </row>
    <row r="152">
      <c r="D152" s="4" t="s">
        <v>342</v>
      </c>
      <c r="E152" s="4">
        <f>SUMIF(Cleaned_Data!C$2:C$2013,D152,Cleaned_Data!N$2:N$2013)</f>
        <v>33699354000</v>
      </c>
      <c r="J152" s="4" t="str">
        <f>IFERROR(__xludf.DUMMYFUNCTION("""COMPUTED_VALUE"""),"Copart")</f>
        <v>Copart</v>
      </c>
      <c r="K152" s="4">
        <f>IFERROR(__xludf.DUMMYFUNCTION("""COMPUTED_VALUE"""),1.040641E9)</f>
        <v>1040641000</v>
      </c>
      <c r="L152" s="4">
        <f>IFERROR(__xludf.DUMMYFUNCTION("""COMPUTED_VALUE"""),2.46954E9)</f>
        <v>2469540000</v>
      </c>
      <c r="O152" s="4" t="s">
        <v>301</v>
      </c>
      <c r="P152" s="4">
        <f>SUMIF(Cleaned_Data!C$2:C$2013,O152,Cleaned_Data!K$2:K$2013)</f>
        <v>6708000000</v>
      </c>
      <c r="Q152" s="4">
        <f>SUMIF(Cleaned_Data!C$2:C$2013,O152,Cleaned_Data!N$2:N$2013)</f>
        <v>195929000000</v>
      </c>
      <c r="R152" s="6">
        <f t="shared" si="5"/>
        <v>0.03423689194</v>
      </c>
    </row>
    <row r="153">
      <c r="D153" s="4" t="s">
        <v>344</v>
      </c>
      <c r="E153" s="4">
        <f>SUMIF(Cleaned_Data!C$2:C$2013,D153,Cleaned_Data!N$2:N$2013)</f>
        <v>25702200000</v>
      </c>
      <c r="J153" s="4" t="str">
        <f>IFERROR(__xludf.DUMMYFUNCTION("""COMPUTED_VALUE"""),"Corning")</f>
        <v>Corning</v>
      </c>
      <c r="K153" s="4">
        <f>IFERROR(__xludf.DUMMYFUNCTION("""COMPUTED_VALUE"""),2.114E9)</f>
        <v>2114000000</v>
      </c>
      <c r="L153" s="4">
        <f>IFERROR(__xludf.DUMMYFUNCTION("""COMPUTED_VALUE"""),1.3142E10)</f>
        <v>13142000000</v>
      </c>
      <c r="O153" s="4" t="s">
        <v>303</v>
      </c>
      <c r="P153" s="4">
        <f>SUMIF(Cleaned_Data!C$2:C$2013,O153,Cleaned_Data!K$2:K$2013)</f>
        <v>393535000</v>
      </c>
      <c r="Q153" s="4">
        <f>SUMIF(Cleaned_Data!C$2:C$2013,O153,Cleaned_Data!N$2:N$2013)</f>
        <v>1631157000</v>
      </c>
      <c r="R153" s="6">
        <f t="shared" si="5"/>
        <v>0.2412612642</v>
      </c>
    </row>
    <row r="154">
      <c r="D154" s="4" t="s">
        <v>346</v>
      </c>
      <c r="E154" s="4">
        <f>SUMIF(Cleaned_Data!C$2:C$2013,D154,Cleaned_Data!N$2:N$2013)</f>
        <v>14036000000</v>
      </c>
      <c r="J154" s="4" t="str">
        <f>IFERROR(__xludf.DUMMYFUNCTION("""COMPUTED_VALUE"""),"Corteva")</f>
        <v>Corteva</v>
      </c>
      <c r="K154" s="4">
        <f>IFERROR(__xludf.DUMMYFUNCTION("""COMPUTED_VALUE"""),1.954E9)</f>
        <v>1954000000</v>
      </c>
      <c r="L154" s="4">
        <f>IFERROR(__xludf.DUMMYFUNCTION("""COMPUTED_VALUE"""),1.4875E10)</f>
        <v>14875000000</v>
      </c>
      <c r="O154" s="4" t="s">
        <v>305</v>
      </c>
      <c r="P154" s="4">
        <f>SUMIF(Cleaned_Data!C$2:C$2013,O154,Cleaned_Data!K$2:K$2013)</f>
        <v>1807000000</v>
      </c>
      <c r="Q154" s="4">
        <f>SUMIF(Cleaned_Data!C$2:C$2013,O154,Cleaned_Data!N$2:N$2013)</f>
        <v>6047000000</v>
      </c>
      <c r="R154" s="6">
        <f t="shared" si="5"/>
        <v>0.2988258641</v>
      </c>
    </row>
    <row r="155">
      <c r="D155" s="4" t="s">
        <v>348</v>
      </c>
      <c r="E155" s="4">
        <f>SUMIF(Cleaned_Data!C$2:C$2013,D155,Cleaned_Data!N$2:N$2013)</f>
        <v>4340456000</v>
      </c>
      <c r="J155" s="4" t="str">
        <f>IFERROR(__xludf.DUMMYFUNCTION("""COMPUTED_VALUE"""),"Costco")</f>
        <v>Costco</v>
      </c>
      <c r="K155" s="4">
        <f>IFERROR(__xludf.DUMMYFUNCTION("""COMPUTED_VALUE"""),6.708E9)</f>
        <v>6708000000</v>
      </c>
      <c r="L155" s="4">
        <f>IFERROR(__xludf.DUMMYFUNCTION("""COMPUTED_VALUE"""),1.95929E11)</f>
        <v>195929000000</v>
      </c>
      <c r="O155" s="4" t="s">
        <v>307</v>
      </c>
      <c r="P155" s="4">
        <f>SUMIF(Cleaned_Data!C$2:C$2013,O155,Cleaned_Data!K$2:K$2013)</f>
        <v>5086000000</v>
      </c>
      <c r="Q155" s="4">
        <f>SUMIF(Cleaned_Data!C$2:C$2013,O155,Cleaned_Data!N$2:N$2013)</f>
        <v>11920000000</v>
      </c>
      <c r="R155" s="6">
        <f t="shared" si="5"/>
        <v>0.4266778523</v>
      </c>
    </row>
    <row r="156">
      <c r="D156" s="4" t="s">
        <v>350</v>
      </c>
      <c r="E156" s="4">
        <f>SUMIF(Cleaned_Data!C$2:C$2013,D156,Cleaned_Data!N$2:N$2013)</f>
        <v>7698236000</v>
      </c>
      <c r="J156" s="4" t="str">
        <f>IFERROR(__xludf.DUMMYFUNCTION("""COMPUTED_VALUE"""),"Coterra")</f>
        <v>Coterra</v>
      </c>
      <c r="K156" s="4">
        <f>IFERROR(__xludf.DUMMYFUNCTION("""COMPUTED_VALUE"""),3.93535E8)</f>
        <v>393535000</v>
      </c>
      <c r="L156" s="4">
        <f>IFERROR(__xludf.DUMMYFUNCTION("""COMPUTED_VALUE"""),1.631157E9)</f>
        <v>1631157000</v>
      </c>
      <c r="O156" s="4" t="s">
        <v>308</v>
      </c>
      <c r="P156" s="4">
        <f>SUMIF(Cleaned_Data!C$2:C$2013,O156,Cleaned_Data!K$2:K$2013)</f>
        <v>2389000000</v>
      </c>
      <c r="Q156" s="4">
        <f>SUMIF(Cleaned_Data!C$2:C$2013,O156,Cleaned_Data!N$2:N$2013)</f>
        <v>23151000000</v>
      </c>
      <c r="R156" s="6">
        <f t="shared" si="5"/>
        <v>0.1031920867</v>
      </c>
    </row>
    <row r="157">
      <c r="D157" s="4" t="s">
        <v>352</v>
      </c>
      <c r="E157" s="4">
        <f>SUMIF(Cleaned_Data!C$2:C$2013,D157,Cleaned_Data!N$2:N$2013)</f>
        <v>46185000000</v>
      </c>
      <c r="J157" s="4" t="str">
        <f>IFERROR(__xludf.DUMMYFUNCTION("""COMPUTED_VALUE"""),"Crown Castle")</f>
        <v>Crown Castle</v>
      </c>
      <c r="K157" s="4">
        <f>IFERROR(__xludf.DUMMYFUNCTION("""COMPUTED_VALUE"""),1.807E9)</f>
        <v>1807000000</v>
      </c>
      <c r="L157" s="4">
        <f>IFERROR(__xludf.DUMMYFUNCTION("""COMPUTED_VALUE"""),6.047E9)</f>
        <v>6047000000</v>
      </c>
      <c r="O157" s="4" t="s">
        <v>310</v>
      </c>
      <c r="P157" s="4">
        <f>SUMIF(Cleaned_Data!C$2:C$2013,O157,Cleaned_Data!K$2:K$2013)</f>
        <v>12913000000</v>
      </c>
      <c r="Q157" s="4">
        <f>SUMIF(Cleaned_Data!C$2:C$2013,O157,Cleaned_Data!N$2:N$2013)</f>
        <v>277285000000</v>
      </c>
      <c r="R157" s="6">
        <f t="shared" si="5"/>
        <v>0.04656941414</v>
      </c>
    </row>
    <row r="158">
      <c r="D158" s="4" t="s">
        <v>354</v>
      </c>
      <c r="E158" s="4">
        <f>SUMIF(Cleaned_Data!C$2:C$2013,D158,Cleaned_Data!N$2:N$2013)</f>
        <v>13579000000</v>
      </c>
      <c r="J158" s="4" t="str">
        <f>IFERROR(__xludf.DUMMYFUNCTION("""COMPUTED_VALUE"""),"Cummins")</f>
        <v>Cummins</v>
      </c>
      <c r="K158" s="4">
        <f>IFERROR(__xludf.DUMMYFUNCTION("""COMPUTED_VALUE"""),2.389E9)</f>
        <v>2389000000</v>
      </c>
      <c r="L158" s="4">
        <f>IFERROR(__xludf.DUMMYFUNCTION("""COMPUTED_VALUE"""),2.3151E10)</f>
        <v>23151000000</v>
      </c>
      <c r="O158" s="4" t="s">
        <v>312</v>
      </c>
      <c r="P158" s="4">
        <f>SUMIF(Cleaned_Data!C$2:C$2013,O158,Cleaned_Data!K$2:K$2013)</f>
        <v>4704500000</v>
      </c>
      <c r="Q158" s="4">
        <f>SUMIF(Cleaned_Data!C$2:C$2013,O158,Cleaned_Data!N$2:N$2013)</f>
        <v>26065200000</v>
      </c>
      <c r="R158" s="6">
        <f t="shared" si="5"/>
        <v>0.1804896951</v>
      </c>
    </row>
    <row r="159">
      <c r="D159" s="4" t="s">
        <v>356</v>
      </c>
      <c r="E159" s="4">
        <f>SUMIF(Cleaned_Data!C$2:C$2013,D159,Cleaned_Data!N$2:N$2013)</f>
        <v>24406000000</v>
      </c>
      <c r="J159" s="4" t="str">
        <f>IFERROR(__xludf.DUMMYFUNCTION("""COMPUTED_VALUE"""),"D. R. Horton")</f>
        <v>D. R. Horton</v>
      </c>
      <c r="K159" s="4">
        <f>IFERROR(__xludf.DUMMYFUNCTION("""COMPUTED_VALUE"""),4.7045E9)</f>
        <v>4704500000</v>
      </c>
      <c r="L159" s="4">
        <f>IFERROR(__xludf.DUMMYFUNCTION("""COMPUTED_VALUE"""),2.60652E10)</f>
        <v>26065200000</v>
      </c>
      <c r="O159" s="4" t="s">
        <v>314</v>
      </c>
      <c r="P159" s="4">
        <f>SUMIF(Cleaned_Data!C$2:C$2013,O159,Cleaned_Data!K$2:K$2013)</f>
        <v>7214500000</v>
      </c>
      <c r="Q159" s="4">
        <f>SUMIF(Cleaned_Data!C$2:C$2013,O159,Cleaned_Data!N$2:N$2013)</f>
        <v>26719500000</v>
      </c>
      <c r="R159" s="6">
        <f t="shared" si="5"/>
        <v>0.2700087951</v>
      </c>
    </row>
    <row r="160">
      <c r="D160" s="4" t="s">
        <v>358</v>
      </c>
      <c r="E160" s="4">
        <f>SUMIF(Cleaned_Data!C$2:C$2013,D160,Cleaned_Data!N$2:N$2013)</f>
        <v>1068098000</v>
      </c>
      <c r="J160" s="4" t="str">
        <f>IFERROR(__xludf.DUMMYFUNCTION("""COMPUTED_VALUE"""),"DTE Energy")</f>
        <v>DTE Energy</v>
      </c>
      <c r="K160" s="4">
        <f>IFERROR(__xludf.DUMMYFUNCTION("""COMPUTED_VALUE"""),1.97E9)</f>
        <v>1970000000</v>
      </c>
      <c r="L160" s="4">
        <f>IFERROR(__xludf.DUMMYFUNCTION("""COMPUTED_VALUE"""),1.3579E10)</f>
        <v>13579000000</v>
      </c>
      <c r="O160" s="4" t="s">
        <v>316</v>
      </c>
      <c r="P160" s="4">
        <f>SUMIF(Cleaned_Data!C$2:C$2013,O160,Cleaned_Data!K$2:K$2013)</f>
        <v>657900000</v>
      </c>
      <c r="Q160" s="4">
        <f>SUMIF(Cleaned_Data!C$2:C$2013,O160,Cleaned_Data!N$2:N$2013)</f>
        <v>7196100000</v>
      </c>
      <c r="R160" s="6">
        <f t="shared" si="5"/>
        <v>0.09142452162</v>
      </c>
    </row>
    <row r="161">
      <c r="D161" s="4" t="s">
        <v>360</v>
      </c>
      <c r="E161" s="4">
        <f>SUMIF(Cleaned_Data!C$2:C$2013,D161,Cleaned_Data!N$2:N$2013)</f>
        <v>18459000000</v>
      </c>
      <c r="J161" s="4" t="str">
        <f>IFERROR(__xludf.DUMMYFUNCTION("""COMPUTED_VALUE"""),"DXC Technology")</f>
        <v>DXC Technology</v>
      </c>
      <c r="K161" s="4">
        <f>IFERROR(__xludf.DUMMYFUNCTION("""COMPUTED_VALUE"""),1.82E8)</f>
        <v>182000000</v>
      </c>
      <c r="L161" s="4">
        <f>IFERROR(__xludf.DUMMYFUNCTION("""COMPUTED_VALUE"""),1.7368E10)</f>
        <v>17368000000</v>
      </c>
      <c r="O161" s="4" t="s">
        <v>318</v>
      </c>
      <c r="P161" s="4">
        <f>SUMIF(Cleaned_Data!C$2:C$2013,O161,Cleaned_Data!K$2:K$2013)</f>
        <v>1766606000</v>
      </c>
      <c r="Q161" s="4">
        <f>SUMIF(Cleaned_Data!C$2:C$2013,O161,Cleaned_Data!N$2:N$2013)</f>
        <v>11580152000</v>
      </c>
      <c r="R161" s="6">
        <f t="shared" si="5"/>
        <v>0.152554647</v>
      </c>
    </row>
    <row r="162">
      <c r="D162" s="4" t="s">
        <v>362</v>
      </c>
      <c r="E162" s="4">
        <f>SUMIF(Cleaned_Data!C$2:C$2013,D162,Cleaned_Data!N$2:N$2013)</f>
        <v>17368000000</v>
      </c>
      <c r="J162" s="4" t="str">
        <f>IFERROR(__xludf.DUMMYFUNCTION("""COMPUTED_VALUE"""),"DaVita")</f>
        <v>DaVita</v>
      </c>
      <c r="K162" s="4">
        <f>IFERROR(__xludf.DUMMYFUNCTION("""COMPUTED_VALUE"""),1.766606E9)</f>
        <v>1766606000</v>
      </c>
      <c r="L162" s="4">
        <f>IFERROR(__xludf.DUMMYFUNCTION("""COMPUTED_VALUE"""),1.1580152E10)</f>
        <v>11580152000</v>
      </c>
      <c r="O162" s="4" t="s">
        <v>320</v>
      </c>
      <c r="P162" s="4">
        <f>SUMIF(Cleaned_Data!C$2:C$2013,O162,Cleaned_Data!K$2:K$2013)</f>
        <v>8090000000</v>
      </c>
      <c r="Q162" s="4">
        <f>SUMIF(Cleaned_Data!C$2:C$2013,O162,Cleaned_Data!N$2:N$2013)</f>
        <v>42410000000</v>
      </c>
      <c r="R162" s="6">
        <f t="shared" si="5"/>
        <v>0.190756897</v>
      </c>
    </row>
    <row r="163">
      <c r="D163" s="4" t="s">
        <v>364</v>
      </c>
      <c r="E163" s="4">
        <f>SUMIF(Cleaned_Data!C$2:C$2013,D163,Cleaned_Data!N$2:N$2013)</f>
        <v>9370000000</v>
      </c>
      <c r="J163" s="4" t="str">
        <f>IFERROR(__xludf.DUMMYFUNCTION("""COMPUTED_VALUE"""),"Danaher Corporation")</f>
        <v>Danaher Corporation</v>
      </c>
      <c r="K163" s="4">
        <f>IFERROR(__xludf.DUMMYFUNCTION("""COMPUTED_VALUE"""),7.2145E9)</f>
        <v>7214500000</v>
      </c>
      <c r="L163" s="4">
        <f>IFERROR(__xludf.DUMMYFUNCTION("""COMPUTED_VALUE"""),2.67195E10)</f>
        <v>26719500000</v>
      </c>
      <c r="O163" s="4" t="s">
        <v>322</v>
      </c>
      <c r="P163" s="4">
        <f>SUMIF(Cleaned_Data!C$2:C$2013,O163,Cleaned_Data!K$2:K$2013)</f>
        <v>-6855000000</v>
      </c>
      <c r="Q163" s="4">
        <f>SUMIF(Cleaned_Data!C$2:C$2013,O163,Cleaned_Data!N$2:N$2013)</f>
        <v>24403000000</v>
      </c>
      <c r="R163" s="6">
        <f t="shared" si="5"/>
        <v>-0.2809080851</v>
      </c>
    </row>
    <row r="164">
      <c r="D164" s="4" t="s">
        <v>366</v>
      </c>
      <c r="E164" s="4">
        <f>SUMIF(Cleaned_Data!C$2:C$2013,D164,Cleaned_Data!N$2:N$2013)</f>
        <v>19120000000</v>
      </c>
      <c r="J164" s="4" t="str">
        <f>IFERROR(__xludf.DUMMYFUNCTION("""COMPUTED_VALUE"""),"Darden Restaurants")</f>
        <v>Darden Restaurants</v>
      </c>
      <c r="K164" s="4">
        <f>IFERROR(__xludf.DUMMYFUNCTION("""COMPUTED_VALUE"""),6.579E8)</f>
        <v>657900000</v>
      </c>
      <c r="L164" s="4">
        <f>IFERROR(__xludf.DUMMYFUNCTION("""COMPUTED_VALUE"""),7.1961E9)</f>
        <v>7196100000</v>
      </c>
      <c r="O164" s="4" t="s">
        <v>324</v>
      </c>
      <c r="P164" s="4">
        <f>SUMIF(Cleaned_Data!C$2:C$2013,O164,Cleaned_Data!K$2:K$2013)</f>
        <v>399000000</v>
      </c>
      <c r="Q164" s="4">
        <f>SUMIF(Cleaned_Data!C$2:C$2013,O164,Cleaned_Data!N$2:N$2013)</f>
        <v>3494700000</v>
      </c>
      <c r="R164" s="6">
        <f t="shared" si="5"/>
        <v>0.1141728904</v>
      </c>
    </row>
    <row r="165">
      <c r="D165" s="4" t="s">
        <v>368</v>
      </c>
      <c r="E165" s="4">
        <f>SUMIF(Cleaned_Data!C$2:C$2013,D165,Cleaned_Data!N$2:N$2013)</f>
        <v>10780000000</v>
      </c>
      <c r="J165" s="4" t="str">
        <f>IFERROR(__xludf.DUMMYFUNCTION("""COMPUTED_VALUE"""),"Deere &amp; Co.")</f>
        <v>Deere &amp; Co.</v>
      </c>
      <c r="K165" s="4">
        <f>IFERROR(__xludf.DUMMYFUNCTION("""COMPUTED_VALUE"""),8.09E9)</f>
        <v>8090000000</v>
      </c>
      <c r="L165" s="4">
        <f>IFERROR(__xludf.DUMMYFUNCTION("""COMPUTED_VALUE"""),4.241E10)</f>
        <v>42410000000</v>
      </c>
      <c r="O165" s="4" t="s">
        <v>326</v>
      </c>
      <c r="P165" s="4">
        <f>SUMIF(Cleaned_Data!C$2:C$2013,O165,Cleaned_Data!K$2:K$2013)</f>
        <v>3246000000</v>
      </c>
      <c r="Q165" s="4">
        <f>SUMIF(Cleaned_Data!C$2:C$2013,O165,Cleaned_Data!N$2:N$2013)</f>
        <v>7900000000</v>
      </c>
      <c r="R165" s="6">
        <f t="shared" si="5"/>
        <v>0.4108860759</v>
      </c>
    </row>
    <row r="166">
      <c r="D166" s="4" t="s">
        <v>370</v>
      </c>
      <c r="E166" s="4">
        <f>SUMIF(Cleaned_Data!C$2:C$2013,D166,Cleaned_Data!N$2:N$2013)</f>
        <v>12131600000</v>
      </c>
      <c r="J166" s="4" t="str">
        <f>IFERROR(__xludf.DUMMYFUNCTION("""COMPUTED_VALUE"""),"Delta Air Lines")</f>
        <v>Delta Air Lines</v>
      </c>
      <c r="K166" s="4">
        <f>IFERROR(__xludf.DUMMYFUNCTION("""COMPUTED_VALUE"""),-6.855E9)</f>
        <v>-6855000000</v>
      </c>
      <c r="L166" s="4">
        <f>IFERROR(__xludf.DUMMYFUNCTION("""COMPUTED_VALUE"""),2.4403E10)</f>
        <v>24403000000</v>
      </c>
      <c r="O166" s="4" t="s">
        <v>328</v>
      </c>
      <c r="P166" s="4">
        <f>SUMIF(Cleaned_Data!C$2:C$2013,O166,Cleaned_Data!K$2:K$2013)</f>
        <v>345000000</v>
      </c>
      <c r="Q166" s="4">
        <f>SUMIF(Cleaned_Data!C$2:C$2013,O166,Cleaned_Data!N$2:N$2013)</f>
        <v>2169900000</v>
      </c>
      <c r="R166" s="6">
        <f t="shared" si="5"/>
        <v>0.158993502</v>
      </c>
    </row>
    <row r="167">
      <c r="D167" s="4" t="s">
        <v>372</v>
      </c>
      <c r="E167" s="4">
        <f>SUMIF(Cleaned_Data!C$2:C$2013,D167,Cleaned_Data!N$2:N$2013)</f>
        <v>14076000000</v>
      </c>
      <c r="J167" s="4" t="str">
        <f>IFERROR(__xludf.DUMMYFUNCTION("""COMPUTED_VALUE"""),"Dentsply Sirona")</f>
        <v>Dentsply Sirona</v>
      </c>
      <c r="K167" s="4">
        <f>IFERROR(__xludf.DUMMYFUNCTION("""COMPUTED_VALUE"""),3.99E8)</f>
        <v>399000000</v>
      </c>
      <c r="L167" s="4">
        <f>IFERROR(__xludf.DUMMYFUNCTION("""COMPUTED_VALUE"""),3.4947E9)</f>
        <v>3494700000</v>
      </c>
      <c r="O167" s="4" t="s">
        <v>330</v>
      </c>
      <c r="P167" s="4">
        <f>SUMIF(Cleaned_Data!C$2:C$2013,O167,Cleaned_Data!K$2:K$2013)</f>
        <v>8000000</v>
      </c>
      <c r="Q167" s="4">
        <f>SUMIF(Cleaned_Data!C$2:C$2013,O167,Cleaned_Data!N$2:N$2013)</f>
        <v>2939000000</v>
      </c>
      <c r="R167" s="6">
        <f t="shared" si="5"/>
        <v>0.002722014291</v>
      </c>
    </row>
    <row r="168">
      <c r="D168" s="4" t="s">
        <v>374</v>
      </c>
      <c r="E168" s="4">
        <f>SUMIF(Cleaned_Data!C$2:C$2013,D168,Cleaned_Data!N$2:N$2013)</f>
        <v>4925200000</v>
      </c>
      <c r="J168" s="4" t="str">
        <f>IFERROR(__xludf.DUMMYFUNCTION("""COMPUTED_VALUE"""),"Devon Energy")</f>
        <v>Devon Energy</v>
      </c>
      <c r="K168" s="4">
        <f>IFERROR(__xludf.DUMMYFUNCTION("""COMPUTED_VALUE"""),3.246E9)</f>
        <v>3246000000</v>
      </c>
      <c r="L168" s="4">
        <f>IFERROR(__xludf.DUMMYFUNCTION("""COMPUTED_VALUE"""),7.9E9)</f>
        <v>7900000000</v>
      </c>
      <c r="O168" s="4" t="s">
        <v>332</v>
      </c>
      <c r="P168" s="4">
        <f>SUMIF(Cleaned_Data!C$2:C$2013,O168,Cleaned_Data!K$2:K$2013)</f>
        <v>788724000</v>
      </c>
      <c r="Q168" s="4">
        <f>SUMIF(Cleaned_Data!C$2:C$2013,O168,Cleaned_Data!N$2:N$2013)</f>
        <v>4328967000</v>
      </c>
      <c r="R168" s="6">
        <f t="shared" si="5"/>
        <v>0.1821968151</v>
      </c>
    </row>
    <row r="169">
      <c r="D169" s="4" t="s">
        <v>376</v>
      </c>
      <c r="E169" s="4">
        <f>SUMIF(Cleaned_Data!C$2:C$2013,D169,Cleaned_Data!N$2:N$2013)</f>
        <v>5721000000</v>
      </c>
      <c r="J169" s="4" t="str">
        <f>IFERROR(__xludf.DUMMYFUNCTION("""COMPUTED_VALUE"""),"DexCom")</f>
        <v>DexCom</v>
      </c>
      <c r="K169" s="4">
        <f>IFERROR(__xludf.DUMMYFUNCTION("""COMPUTED_VALUE"""),3.45E8)</f>
        <v>345000000</v>
      </c>
      <c r="L169" s="4">
        <f>IFERROR(__xludf.DUMMYFUNCTION("""COMPUTED_VALUE"""),2.1699E9)</f>
        <v>2169900000</v>
      </c>
      <c r="O169" s="4" t="s">
        <v>334</v>
      </c>
      <c r="P169" s="4">
        <f>SUMIF(Cleaned_Data!C$2:C$2013,O169,Cleaned_Data!K$2:K$2013)</f>
        <v>6463000000</v>
      </c>
      <c r="Q169" s="4">
        <f>SUMIF(Cleaned_Data!C$2:C$2013,O169,Cleaned_Data!N$2:N$2013)</f>
        <v>10861000000</v>
      </c>
      <c r="R169" s="6">
        <f t="shared" si="5"/>
        <v>0.5950649111</v>
      </c>
    </row>
    <row r="170">
      <c r="D170" s="4" t="s">
        <v>378</v>
      </c>
      <c r="E170" s="4">
        <f>SUMIF(Cleaned_Data!C$2:C$2013,D170,Cleaned_Data!N$2:N$2013)</f>
        <v>25485600000</v>
      </c>
      <c r="J170" s="4" t="str">
        <f>IFERROR(__xludf.DUMMYFUNCTION("""COMPUTED_VALUE"""),"Diamondback Energy")</f>
        <v>Diamondback Energy</v>
      </c>
      <c r="K170" s="4">
        <f>IFERROR(__xludf.DUMMYFUNCTION("""COMPUTED_VALUE"""),8000000.0)</f>
        <v>8000000</v>
      </c>
      <c r="L170" s="4">
        <f>IFERROR(__xludf.DUMMYFUNCTION("""COMPUTED_VALUE"""),2.939E9)</f>
        <v>2939000000</v>
      </c>
      <c r="O170" s="4" t="s">
        <v>336</v>
      </c>
      <c r="P170" s="4">
        <f>SUMIF(Cleaned_Data!C$2:C$2013,O170,Cleaned_Data!K$2:K$2013)</f>
        <v>2404000000</v>
      </c>
      <c r="Q170" s="4">
        <f>SUMIF(Cleaned_Data!C$2:C$2013,O170,Cleaned_Data!N$2:N$2013)</f>
        <v>10780000000</v>
      </c>
      <c r="R170" s="6">
        <f t="shared" si="5"/>
        <v>0.2230055659</v>
      </c>
    </row>
    <row r="171">
      <c r="D171" s="4" t="s">
        <v>380</v>
      </c>
      <c r="E171" s="4">
        <f>SUMIF(Cleaned_Data!C$2:C$2013,D171,Cleaned_Data!N$2:N$2013)</f>
        <v>17847000000</v>
      </c>
      <c r="J171" s="4" t="str">
        <f>IFERROR(__xludf.DUMMYFUNCTION("""COMPUTED_VALUE"""),"Digital Realty Trust")</f>
        <v>Digital Realty Trust</v>
      </c>
      <c r="K171" s="4">
        <f>IFERROR(__xludf.DUMMYFUNCTION("""COMPUTED_VALUE"""),7.88724E8)</f>
        <v>788724000</v>
      </c>
      <c r="L171" s="4">
        <f>IFERROR(__xludf.DUMMYFUNCTION("""COMPUTED_VALUE"""),4.328967E9)</f>
        <v>4328967000</v>
      </c>
      <c r="O171" s="4" t="s">
        <v>338</v>
      </c>
      <c r="P171" s="4">
        <f>SUMIF(Cleaned_Data!C$2:C$2013,O171,Cleaned_Data!K$2:K$2013)</f>
        <v>2404000000</v>
      </c>
      <c r="Q171" s="4">
        <f>SUMIF(Cleaned_Data!C$2:C$2013,O171,Cleaned_Data!N$2:N$2013)</f>
        <v>10780000000</v>
      </c>
      <c r="R171" s="6">
        <f t="shared" si="5"/>
        <v>0.2230055659</v>
      </c>
    </row>
    <row r="172">
      <c r="D172" s="4" t="s">
        <v>382</v>
      </c>
      <c r="E172" s="4">
        <f>SUMIF(Cleaned_Data!C$2:C$2013,D172,Cleaned_Data!N$2:N$2013)</f>
        <v>870634000</v>
      </c>
      <c r="J172" s="4" t="str">
        <f>IFERROR(__xludf.DUMMYFUNCTION("""COMPUTED_VALUE"""),"Discover Financial Services")</f>
        <v>Discover Financial Services</v>
      </c>
      <c r="K172" s="4">
        <f>IFERROR(__xludf.DUMMYFUNCTION("""COMPUTED_VALUE"""),6.463E9)</f>
        <v>6463000000</v>
      </c>
      <c r="L172" s="4">
        <f>IFERROR(__xludf.DUMMYFUNCTION("""COMPUTED_VALUE"""),1.0861E10)</f>
        <v>10861000000</v>
      </c>
      <c r="O172" s="4" t="s">
        <v>340</v>
      </c>
      <c r="P172" s="4">
        <f>SUMIF(Cleaned_Data!C$2:C$2013,O172,Cleaned_Data!K$2:K$2013)</f>
        <v>3572201000</v>
      </c>
      <c r="Q172" s="4">
        <f>SUMIF(Cleaned_Data!C$2:C$2013,O172,Cleaned_Data!N$2:N$2013)</f>
        <v>18073769000</v>
      </c>
      <c r="R172" s="6">
        <f t="shared" si="5"/>
        <v>0.1976456045</v>
      </c>
    </row>
    <row r="173">
      <c r="D173" s="4" t="s">
        <v>384</v>
      </c>
      <c r="E173" s="4">
        <f>SUMIF(Cleaned_Data!C$2:C$2013,D173,Cleaned_Data!N$2:N$2013)</f>
        <v>10940578000</v>
      </c>
      <c r="J173" s="4" t="str">
        <f>IFERROR(__xludf.DUMMYFUNCTION("""COMPUTED_VALUE"""),"Discovery (Series A)")</f>
        <v>Discovery (Series A)</v>
      </c>
      <c r="K173" s="4">
        <f>IFERROR(__xludf.DUMMYFUNCTION("""COMPUTED_VALUE"""),2.404E9)</f>
        <v>2404000000</v>
      </c>
      <c r="L173" s="4">
        <f>IFERROR(__xludf.DUMMYFUNCTION("""COMPUTED_VALUE"""),1.078E10)</f>
        <v>10780000000</v>
      </c>
      <c r="O173" s="4" t="s">
        <v>342</v>
      </c>
      <c r="P173" s="4">
        <f>SUMIF(Cleaned_Data!C$2:C$2013,O173,Cleaned_Data!K$2:K$2013)</f>
        <v>3599531000</v>
      </c>
      <c r="Q173" s="4">
        <f>SUMIF(Cleaned_Data!C$2:C$2013,O173,Cleaned_Data!N$2:N$2013)</f>
        <v>33699354000</v>
      </c>
      <c r="R173" s="6">
        <f t="shared" si="5"/>
        <v>0.1068130564</v>
      </c>
    </row>
    <row r="174">
      <c r="D174" s="4" t="s">
        <v>386</v>
      </c>
      <c r="E174" s="4">
        <f>SUMIF(Cleaned_Data!C$2:C$2013,D174,Cleaned_Data!N$2:N$2013)</f>
        <v>13804232000</v>
      </c>
      <c r="J174" s="4" t="str">
        <f>IFERROR(__xludf.DUMMYFUNCTION("""COMPUTED_VALUE"""),"Discovery (Series C)")</f>
        <v>Discovery (Series C)</v>
      </c>
      <c r="K174" s="4">
        <f>IFERROR(__xludf.DUMMYFUNCTION("""COMPUTED_VALUE"""),2.404E9)</f>
        <v>2404000000</v>
      </c>
      <c r="L174" s="4">
        <f>IFERROR(__xludf.DUMMYFUNCTION("""COMPUTED_VALUE"""),1.078E10)</f>
        <v>10780000000</v>
      </c>
      <c r="O174" s="4" t="s">
        <v>344</v>
      </c>
      <c r="P174" s="4">
        <f>SUMIF(Cleaned_Data!C$2:C$2013,O174,Cleaned_Data!K$2:K$2013)</f>
        <v>2258300000</v>
      </c>
      <c r="Q174" s="4">
        <f>SUMIF(Cleaned_Data!C$2:C$2013,O174,Cleaned_Data!N$2:N$2013)</f>
        <v>25702200000</v>
      </c>
      <c r="R174" s="6">
        <f t="shared" si="5"/>
        <v>0.08786407389</v>
      </c>
    </row>
    <row r="175">
      <c r="D175" s="4" t="s">
        <v>388</v>
      </c>
      <c r="E175" s="4">
        <f>SUMIF(Cleaned_Data!C$2:C$2013,D175,Cleaned_Data!N$2:N$2013)</f>
        <v>4634500000</v>
      </c>
      <c r="J175" s="4" t="str">
        <f>IFERROR(__xludf.DUMMYFUNCTION("""COMPUTED_VALUE"""),"Dish Network")</f>
        <v>Dish Network</v>
      </c>
      <c r="K175" s="4">
        <f>IFERROR(__xludf.DUMMYFUNCTION("""COMPUTED_VALUE"""),3.572201E9)</f>
        <v>3572201000</v>
      </c>
      <c r="L175" s="4">
        <f>IFERROR(__xludf.DUMMYFUNCTION("""COMPUTED_VALUE"""),1.8073769E10)</f>
        <v>18073769000</v>
      </c>
      <c r="O175" s="4" t="s">
        <v>346</v>
      </c>
      <c r="P175" s="4">
        <f>SUMIF(Cleaned_Data!C$2:C$2013,O175,Cleaned_Data!K$2:K$2013)</f>
        <v>3744000000</v>
      </c>
      <c r="Q175" s="4">
        <f>SUMIF(Cleaned_Data!C$2:C$2013,O175,Cleaned_Data!N$2:N$2013)</f>
        <v>14036000000</v>
      </c>
      <c r="R175" s="6">
        <f t="shared" si="5"/>
        <v>0.2667426617</v>
      </c>
    </row>
    <row r="176">
      <c r="D176" s="4" t="s">
        <v>390</v>
      </c>
      <c r="E176" s="4">
        <f>SUMIF(Cleaned_Data!C$2:C$2013,D176,Cleaned_Data!N$2:N$2013)</f>
        <v>6343181000</v>
      </c>
      <c r="J176" s="4" t="str">
        <f>IFERROR(__xludf.DUMMYFUNCTION("""COMPUTED_VALUE"""),"Dollar General")</f>
        <v>Dollar General</v>
      </c>
      <c r="K176" s="4">
        <f>IFERROR(__xludf.DUMMYFUNCTION("""COMPUTED_VALUE"""),3.599531E9)</f>
        <v>3599531000</v>
      </c>
      <c r="L176" s="4">
        <f>IFERROR(__xludf.DUMMYFUNCTION("""COMPUTED_VALUE"""),3.3699354E10)</f>
        <v>33699354000</v>
      </c>
      <c r="O176" s="4" t="s">
        <v>348</v>
      </c>
      <c r="P176" s="4">
        <f>SUMIF(Cleaned_Data!C$2:C$2013,O176,Cleaned_Data!K$2:K$2013)</f>
        <v>783665000</v>
      </c>
      <c r="Q176" s="4">
        <f>SUMIF(Cleaned_Data!C$2:C$2013,O176,Cleaned_Data!N$2:N$2013)</f>
        <v>4340456000</v>
      </c>
      <c r="R176" s="6">
        <f t="shared" si="5"/>
        <v>0.1805490022</v>
      </c>
    </row>
    <row r="177">
      <c r="D177" s="4" t="s">
        <v>392</v>
      </c>
      <c r="E177" s="4">
        <f>SUMIF(Cleaned_Data!C$2:C$2013,D177,Cleaned_Data!N$2:N$2013)</f>
        <v>2431529000</v>
      </c>
      <c r="J177" s="4" t="str">
        <f>IFERROR(__xludf.DUMMYFUNCTION("""COMPUTED_VALUE"""),"Dollar Tree")</f>
        <v>Dollar Tree</v>
      </c>
      <c r="K177" s="4">
        <f>IFERROR(__xludf.DUMMYFUNCTION("""COMPUTED_VALUE"""),2.2583E9)</f>
        <v>2258300000</v>
      </c>
      <c r="L177" s="4">
        <f>IFERROR(__xludf.DUMMYFUNCTION("""COMPUTED_VALUE"""),2.57022E10)</f>
        <v>25702200000</v>
      </c>
      <c r="O177" s="4" t="s">
        <v>350</v>
      </c>
      <c r="P177" s="4">
        <f>SUMIF(Cleaned_Data!C$2:C$2013,O177,Cleaned_Data!K$2:K$2013)</f>
        <v>1288860000</v>
      </c>
      <c r="Q177" s="4">
        <f>SUMIF(Cleaned_Data!C$2:C$2013,O177,Cleaned_Data!N$2:N$2013)</f>
        <v>7698236000</v>
      </c>
      <c r="R177" s="6">
        <f t="shared" si="5"/>
        <v>0.1674227706</v>
      </c>
    </row>
    <row r="178">
      <c r="D178" s="4" t="s">
        <v>394</v>
      </c>
      <c r="E178" s="4">
        <f>SUMIF(Cleaned_Data!C$2:C$2013,D178,Cleaned_Data!N$2:N$2013)</f>
        <v>1496866000</v>
      </c>
      <c r="J178" s="4" t="str">
        <f>IFERROR(__xludf.DUMMYFUNCTION("""COMPUTED_VALUE"""),"Dominion Energy")</f>
        <v>Dominion Energy</v>
      </c>
      <c r="K178" s="4">
        <f>IFERROR(__xludf.DUMMYFUNCTION("""COMPUTED_VALUE"""),3.744E9)</f>
        <v>3744000000</v>
      </c>
      <c r="L178" s="4">
        <f>IFERROR(__xludf.DUMMYFUNCTION("""COMPUTED_VALUE"""),1.4036E10)</f>
        <v>14036000000</v>
      </c>
      <c r="O178" s="4" t="s">
        <v>352</v>
      </c>
      <c r="P178" s="4">
        <f>SUMIF(Cleaned_Data!C$2:C$2013,O178,Cleaned_Data!K$2:K$2013)</f>
        <v>5348000000</v>
      </c>
      <c r="Q178" s="4">
        <f>SUMIF(Cleaned_Data!C$2:C$2013,O178,Cleaned_Data!N$2:N$2013)</f>
        <v>46185000000</v>
      </c>
      <c r="R178" s="6">
        <f t="shared" si="5"/>
        <v>0.1157951716</v>
      </c>
    </row>
    <row r="179">
      <c r="D179" s="4" t="s">
        <v>396</v>
      </c>
      <c r="E179" s="4">
        <f>SUMIF(Cleaned_Data!C$2:C$2013,D179,Cleaned_Data!N$2:N$2013)</f>
        <v>16215000000</v>
      </c>
      <c r="J179" s="4" t="str">
        <f>IFERROR(__xludf.DUMMYFUNCTION("""COMPUTED_VALUE"""),"Domino's Pizza")</f>
        <v>Domino's Pizza</v>
      </c>
      <c r="K179" s="4">
        <f>IFERROR(__xludf.DUMMYFUNCTION("""COMPUTED_VALUE"""),7.83665E8)</f>
        <v>783665000</v>
      </c>
      <c r="L179" s="4">
        <f>IFERROR(__xludf.DUMMYFUNCTION("""COMPUTED_VALUE"""),4.340456E9)</f>
        <v>4340456000</v>
      </c>
      <c r="O179" s="4" t="s">
        <v>354</v>
      </c>
      <c r="P179" s="4">
        <f>SUMIF(Cleaned_Data!C$2:C$2013,O179,Cleaned_Data!K$2:K$2013)</f>
        <v>1970000000</v>
      </c>
      <c r="Q179" s="4">
        <f>SUMIF(Cleaned_Data!C$2:C$2013,O179,Cleaned_Data!N$2:N$2013)</f>
        <v>13579000000</v>
      </c>
      <c r="R179" s="6">
        <f t="shared" si="5"/>
        <v>0.1450769571</v>
      </c>
    </row>
    <row r="180">
      <c r="D180" s="4" t="s">
        <v>398</v>
      </c>
      <c r="E180" s="4">
        <f>SUMIF(Cleaned_Data!C$2:C$2013,D180,Cleaned_Data!N$2:N$2013)</f>
        <v>2148379000</v>
      </c>
      <c r="J180" s="4" t="str">
        <f>IFERROR(__xludf.DUMMYFUNCTION("""COMPUTED_VALUE"""),"Dover Corporation")</f>
        <v>Dover Corporation</v>
      </c>
      <c r="K180" s="4">
        <f>IFERROR(__xludf.DUMMYFUNCTION("""COMPUTED_VALUE"""),1.28886E9)</f>
        <v>1288860000</v>
      </c>
      <c r="L180" s="4">
        <f>IFERROR(__xludf.DUMMYFUNCTION("""COMPUTED_VALUE"""),7.698236E9)</f>
        <v>7698236000</v>
      </c>
      <c r="O180" s="4" t="s">
        <v>356</v>
      </c>
      <c r="P180" s="4">
        <f>SUMIF(Cleaned_Data!C$2:C$2013,O180,Cleaned_Data!K$2:K$2013)</f>
        <v>5649000000</v>
      </c>
      <c r="Q180" s="4">
        <f>SUMIF(Cleaned_Data!C$2:C$2013,O180,Cleaned_Data!N$2:N$2013)</f>
        <v>24406000000</v>
      </c>
      <c r="R180" s="6">
        <f t="shared" si="5"/>
        <v>0.2314594772</v>
      </c>
    </row>
    <row r="181">
      <c r="D181" s="4" t="s">
        <v>400</v>
      </c>
      <c r="E181" s="4">
        <f>SUMIF(Cleaned_Data!C$2:C$2013,D181,Cleaned_Data!N$2:N$2013)</f>
        <v>11124046000</v>
      </c>
      <c r="J181" s="4" t="str">
        <f>IFERROR(__xludf.DUMMYFUNCTION("""COMPUTED_VALUE"""),"Dow")</f>
        <v>Dow</v>
      </c>
      <c r="K181" s="4">
        <f>IFERROR(__xludf.DUMMYFUNCTION("""COMPUTED_VALUE"""),5.348E9)</f>
        <v>5348000000</v>
      </c>
      <c r="L181" s="4">
        <f>IFERROR(__xludf.DUMMYFUNCTION("""COMPUTED_VALUE"""),4.6185E10)</f>
        <v>46185000000</v>
      </c>
      <c r="O181" s="4" t="s">
        <v>358</v>
      </c>
      <c r="P181" s="4">
        <f>SUMIF(Cleaned_Data!C$2:C$2013,O181,Cleaned_Data!K$2:K$2013)</f>
        <v>305011000</v>
      </c>
      <c r="Q181" s="4">
        <f>SUMIF(Cleaned_Data!C$2:C$2013,O181,Cleaned_Data!N$2:N$2013)</f>
        <v>1068098000</v>
      </c>
      <c r="R181" s="6">
        <f t="shared" si="5"/>
        <v>0.2855646205</v>
      </c>
    </row>
    <row r="182">
      <c r="D182" s="4" t="s">
        <v>402</v>
      </c>
      <c r="E182" s="4">
        <f>SUMIF(Cleaned_Data!C$2:C$2013,D182,Cleaned_Data!N$2:N$2013)</f>
        <v>5460100000</v>
      </c>
      <c r="J182" s="4" t="str">
        <f>IFERROR(__xludf.DUMMYFUNCTION("""COMPUTED_VALUE"""),"DuPont")</f>
        <v>DuPont</v>
      </c>
      <c r="K182" s="4">
        <f>IFERROR(__xludf.DUMMYFUNCTION("""COMPUTED_VALUE"""),2.33E9)</f>
        <v>2330000000</v>
      </c>
      <c r="L182" s="4">
        <f>IFERROR(__xludf.DUMMYFUNCTION("""COMPUTED_VALUE"""),1.8459E10)</f>
        <v>18459000000</v>
      </c>
      <c r="O182" s="4" t="s">
        <v>360</v>
      </c>
      <c r="P182" s="4">
        <f>SUMIF(Cleaned_Data!C$2:C$2013,O182,Cleaned_Data!K$2:K$2013)</f>
        <v>2330000000</v>
      </c>
      <c r="Q182" s="4">
        <f>SUMIF(Cleaned_Data!C$2:C$2013,O182,Cleaned_Data!N$2:N$2013)</f>
        <v>18459000000</v>
      </c>
      <c r="R182" s="6">
        <f t="shared" si="5"/>
        <v>0.1262256894</v>
      </c>
    </row>
    <row r="183">
      <c r="D183" s="4" t="s">
        <v>404</v>
      </c>
      <c r="E183" s="4">
        <f>SUMIF(Cleaned_Data!C$2:C$2013,D183,Cleaned_Data!N$2:N$2013)</f>
        <v>9525953000</v>
      </c>
      <c r="J183" s="4" t="str">
        <f>IFERROR(__xludf.DUMMYFUNCTION("""COMPUTED_VALUE"""),"Duke Energy")</f>
        <v>Duke Energy</v>
      </c>
      <c r="K183" s="4">
        <f>IFERROR(__xludf.DUMMYFUNCTION("""COMPUTED_VALUE"""),5.649E9)</f>
        <v>5649000000</v>
      </c>
      <c r="L183" s="4">
        <f>IFERROR(__xludf.DUMMYFUNCTION("""COMPUTED_VALUE"""),2.4406E10)</f>
        <v>24406000000</v>
      </c>
      <c r="O183" s="4" t="s">
        <v>362</v>
      </c>
      <c r="P183" s="4">
        <f>SUMIF(Cleaned_Data!C$2:C$2013,O183,Cleaned_Data!K$2:K$2013)</f>
        <v>182000000</v>
      </c>
      <c r="Q183" s="4">
        <f>SUMIF(Cleaned_Data!C$2:C$2013,O183,Cleaned_Data!N$2:N$2013)</f>
        <v>17368000000</v>
      </c>
      <c r="R183" s="6">
        <f t="shared" si="5"/>
        <v>0.01047904192</v>
      </c>
    </row>
    <row r="184">
      <c r="D184" s="4" t="s">
        <v>406</v>
      </c>
      <c r="E184" s="4">
        <f>SUMIF(Cleaned_Data!C$2:C$2013,D184,Cleaned_Data!N$2:N$2013)</f>
        <v>34182000000</v>
      </c>
      <c r="J184" s="4" t="str">
        <f>IFERROR(__xludf.DUMMYFUNCTION("""COMPUTED_VALUE"""),"Duke Realty Corp")</f>
        <v>Duke Realty Corp</v>
      </c>
      <c r="K184" s="4">
        <f>IFERROR(__xludf.DUMMYFUNCTION("""COMPUTED_VALUE"""),3.05011E8)</f>
        <v>305011000</v>
      </c>
      <c r="L184" s="4">
        <f>IFERROR(__xludf.DUMMYFUNCTION("""COMPUTED_VALUE"""),1.068098E9)</f>
        <v>1068098000</v>
      </c>
      <c r="O184" s="4" t="s">
        <v>364</v>
      </c>
      <c r="P184" s="4">
        <f>SUMIF(Cleaned_Data!C$2:C$2013,O184,Cleaned_Data!K$2:K$2013)</f>
        <v>1253000000</v>
      </c>
      <c r="Q184" s="4">
        <f>SUMIF(Cleaned_Data!C$2:C$2013,O184,Cleaned_Data!N$2:N$2013)</f>
        <v>9370000000</v>
      </c>
      <c r="R184" s="6">
        <f t="shared" si="5"/>
        <v>0.1337246531</v>
      </c>
    </row>
    <row r="185">
      <c r="D185" s="4" t="s">
        <v>408</v>
      </c>
      <c r="E185" s="4">
        <f>SUMIF(Cleaned_Data!C$2:C$2013,D185,Cleaned_Data!N$2:N$2013)</f>
        <v>4236000000</v>
      </c>
      <c r="J185" s="4" t="str">
        <f>IFERROR(__xludf.DUMMYFUNCTION("""COMPUTED_VALUE"""),"EOG Resources")</f>
        <v>EOG Resources</v>
      </c>
      <c r="K185" s="4">
        <f>IFERROR(__xludf.DUMMYFUNCTION("""COMPUTED_VALUE"""),2.981088E9)</f>
        <v>2981088000</v>
      </c>
      <c r="L185" s="4">
        <f>IFERROR(__xludf.DUMMYFUNCTION("""COMPUTED_VALUE"""),1.3804232E10)</f>
        <v>13804232000</v>
      </c>
      <c r="O185" s="4" t="s">
        <v>366</v>
      </c>
      <c r="P185" s="4">
        <f>SUMIF(Cleaned_Data!C$2:C$2013,O185,Cleaned_Data!K$2:K$2013)</f>
        <v>2415000000</v>
      </c>
      <c r="Q185" s="4">
        <f>SUMIF(Cleaned_Data!C$2:C$2013,O185,Cleaned_Data!N$2:N$2013)</f>
        <v>19120000000</v>
      </c>
      <c r="R185" s="6">
        <f t="shared" si="5"/>
        <v>0.1263075314</v>
      </c>
    </row>
    <row r="186">
      <c r="D186" s="4" t="s">
        <v>410</v>
      </c>
      <c r="E186" s="4">
        <f>SUMIF(Cleaned_Data!C$2:C$2013,D186,Cleaned_Data!N$2:N$2013)</f>
        <v>11572157000</v>
      </c>
      <c r="J186" s="4" t="str">
        <f>IFERROR(__xludf.DUMMYFUNCTION("""COMPUTED_VALUE"""),"Eastman Chemical")</f>
        <v>Eastman Chemical</v>
      </c>
      <c r="K186" s="4">
        <f>IFERROR(__xludf.DUMMYFUNCTION("""COMPUTED_VALUE"""),1.253E9)</f>
        <v>1253000000</v>
      </c>
      <c r="L186" s="4">
        <f>IFERROR(__xludf.DUMMYFUNCTION("""COMPUTED_VALUE"""),9.37E9)</f>
        <v>9370000000</v>
      </c>
      <c r="O186" s="4" t="s">
        <v>368</v>
      </c>
      <c r="P186" s="4">
        <f>SUMIF(Cleaned_Data!C$2:C$2013,O186,Cleaned_Data!K$2:K$2013)</f>
        <v>2964000000</v>
      </c>
      <c r="Q186" s="4">
        <f>SUMIF(Cleaned_Data!C$2:C$2013,O186,Cleaned_Data!N$2:N$2013)</f>
        <v>10780000000</v>
      </c>
      <c r="R186" s="6">
        <f t="shared" si="5"/>
        <v>0.2749536178</v>
      </c>
    </row>
    <row r="187">
      <c r="D187" s="4" t="s">
        <v>412</v>
      </c>
      <c r="E187" s="4">
        <f>SUMIF(Cleaned_Data!C$2:C$2013,D187,Cleaned_Data!N$2:N$2013)</f>
        <v>1467804000</v>
      </c>
      <c r="J187" s="4" t="str">
        <f>IFERROR(__xludf.DUMMYFUNCTION("""COMPUTED_VALUE"""),"Eaton Corporation")</f>
        <v>Eaton Corporation</v>
      </c>
      <c r="K187" s="4">
        <f>IFERROR(__xludf.DUMMYFUNCTION("""COMPUTED_VALUE"""),2.415E9)</f>
        <v>2415000000</v>
      </c>
      <c r="L187" s="4">
        <f>IFERROR(__xludf.DUMMYFUNCTION("""COMPUTED_VALUE"""),1.912E10)</f>
        <v>19120000000</v>
      </c>
      <c r="O187" s="4" t="s">
        <v>370</v>
      </c>
      <c r="P187" s="4">
        <f>SUMIF(Cleaned_Data!C$2:C$2013,O187,Cleaned_Data!K$2:K$2013)</f>
        <v>1796900000</v>
      </c>
      <c r="Q187" s="4">
        <f>SUMIF(Cleaned_Data!C$2:C$2013,O187,Cleaned_Data!N$2:N$2013)</f>
        <v>12131600000</v>
      </c>
      <c r="R187" s="6">
        <f t="shared" si="5"/>
        <v>0.1481173135</v>
      </c>
    </row>
    <row r="188">
      <c r="D188" s="4" t="s">
        <v>414</v>
      </c>
      <c r="E188" s="4">
        <f>SUMIF(Cleaned_Data!C$2:C$2013,D188,Cleaned_Data!N$2:N$2013)</f>
        <v>215879000000</v>
      </c>
      <c r="J188" s="4" t="str">
        <f>IFERROR(__xludf.DUMMYFUNCTION("""COMPUTED_VALUE"""),"Ecolab")</f>
        <v>Ecolab</v>
      </c>
      <c r="K188" s="4">
        <f>IFERROR(__xludf.DUMMYFUNCTION("""COMPUTED_VALUE"""),1.7969E9)</f>
        <v>1796900000</v>
      </c>
      <c r="L188" s="4">
        <f>IFERROR(__xludf.DUMMYFUNCTION("""COMPUTED_VALUE"""),1.21316E10)</f>
        <v>12131600000</v>
      </c>
      <c r="O188" s="4" t="s">
        <v>372</v>
      </c>
      <c r="P188" s="4">
        <f>SUMIF(Cleaned_Data!C$2:C$2013,O188,Cleaned_Data!K$2:K$2013)</f>
        <v>2976000000</v>
      </c>
      <c r="Q188" s="4">
        <f>SUMIF(Cleaned_Data!C$2:C$2013,O188,Cleaned_Data!N$2:N$2013)</f>
        <v>14076000000</v>
      </c>
      <c r="R188" s="6">
        <f t="shared" si="5"/>
        <v>0.2114236999</v>
      </c>
    </row>
    <row r="189">
      <c r="D189" s="4" t="s">
        <v>416</v>
      </c>
      <c r="E189" s="4">
        <f>SUMIF(Cleaned_Data!C$2:C$2013,D189,Cleaned_Data!N$2:N$2013)</f>
        <v>2467972000</v>
      </c>
      <c r="J189" s="4" t="str">
        <f>IFERROR(__xludf.DUMMYFUNCTION("""COMPUTED_VALUE"""),"Edison International")</f>
        <v>Edison International</v>
      </c>
      <c r="K189" s="4">
        <f>IFERROR(__xludf.DUMMYFUNCTION("""COMPUTED_VALUE"""),2.976E9)</f>
        <v>2976000000</v>
      </c>
      <c r="L189" s="4">
        <f>IFERROR(__xludf.DUMMYFUNCTION("""COMPUTED_VALUE"""),1.4076E10)</f>
        <v>14076000000</v>
      </c>
      <c r="O189" s="4" t="s">
        <v>374</v>
      </c>
      <c r="P189" s="4">
        <f>SUMIF(Cleaned_Data!C$2:C$2013,O189,Cleaned_Data!K$2:K$2013)</f>
        <v>1545300000</v>
      </c>
      <c r="Q189" s="4">
        <f>SUMIF(Cleaned_Data!C$2:C$2013,O189,Cleaned_Data!N$2:N$2013)</f>
        <v>4925200000</v>
      </c>
      <c r="R189" s="6">
        <f t="shared" si="5"/>
        <v>0.3137537562</v>
      </c>
    </row>
    <row r="190">
      <c r="D190" s="4" t="s">
        <v>418</v>
      </c>
      <c r="E190" s="4">
        <f>SUMIF(Cleaned_Data!C$2:C$2013,D190,Cleaned_Data!N$2:N$2013)</f>
        <v>104790000000</v>
      </c>
      <c r="J190" s="4" t="str">
        <f>IFERROR(__xludf.DUMMYFUNCTION("""COMPUTED_VALUE"""),"Edwards Lifesciences")</f>
        <v>Edwards Lifesciences</v>
      </c>
      <c r="K190" s="4">
        <f>IFERROR(__xludf.DUMMYFUNCTION("""COMPUTED_VALUE"""),1.5453E9)</f>
        <v>1545300000</v>
      </c>
      <c r="L190" s="4">
        <f>IFERROR(__xludf.DUMMYFUNCTION("""COMPUTED_VALUE"""),4.9252E9)</f>
        <v>4925200000</v>
      </c>
      <c r="O190" s="4" t="s">
        <v>376</v>
      </c>
      <c r="P190" s="4">
        <f>SUMIF(Cleaned_Data!C$2:C$2013,O190,Cleaned_Data!K$2:K$2013)</f>
        <v>929000000</v>
      </c>
      <c r="Q190" s="4">
        <f>SUMIF(Cleaned_Data!C$2:C$2013,O190,Cleaned_Data!N$2:N$2013)</f>
        <v>5721000000</v>
      </c>
      <c r="R190" s="6">
        <f t="shared" si="5"/>
        <v>0.1623841986</v>
      </c>
    </row>
    <row r="191">
      <c r="D191" s="4" t="s">
        <v>420</v>
      </c>
      <c r="E191" s="4">
        <f>SUMIF(Cleaned_Data!C$2:C$2013,D191,Cleaned_Data!N$2:N$2013)</f>
        <v>5696000000</v>
      </c>
      <c r="J191" s="4" t="str">
        <f>IFERROR(__xludf.DUMMYFUNCTION("""COMPUTED_VALUE"""),"Electronic Arts")</f>
        <v>Electronic Arts</v>
      </c>
      <c r="K191" s="4">
        <f>IFERROR(__xludf.DUMMYFUNCTION("""COMPUTED_VALUE"""),9.29E8)</f>
        <v>929000000</v>
      </c>
      <c r="L191" s="4">
        <f>IFERROR(__xludf.DUMMYFUNCTION("""COMPUTED_VALUE"""),5.721E9)</f>
        <v>5721000000</v>
      </c>
      <c r="O191" s="4" t="s">
        <v>378</v>
      </c>
      <c r="P191" s="4">
        <f>SUMIF(Cleaned_Data!C$2:C$2013,O191,Cleaned_Data!K$2:K$2013)</f>
        <v>7093400000</v>
      </c>
      <c r="Q191" s="4">
        <f>SUMIF(Cleaned_Data!C$2:C$2013,O191,Cleaned_Data!N$2:N$2013)</f>
        <v>25485600000</v>
      </c>
      <c r="R191" s="6">
        <f t="shared" si="5"/>
        <v>0.2783297235</v>
      </c>
    </row>
    <row r="192">
      <c r="D192" s="4" t="s">
        <v>422</v>
      </c>
      <c r="E192" s="4">
        <f>SUMIF(Cleaned_Data!C$2:C$2013,D192,Cleaned_Data!N$2:N$2013)</f>
        <v>873255000</v>
      </c>
      <c r="J192" s="4" t="str">
        <f>IFERROR(__xludf.DUMMYFUNCTION("""COMPUTED_VALUE"""),"Eli Lilly &amp; Co")</f>
        <v>Eli Lilly &amp; Co</v>
      </c>
      <c r="K192" s="4">
        <f>IFERROR(__xludf.DUMMYFUNCTION("""COMPUTED_VALUE"""),7.0934E9)</f>
        <v>7093400000</v>
      </c>
      <c r="L192" s="4">
        <f>IFERROR(__xludf.DUMMYFUNCTION("""COMPUTED_VALUE"""),2.54856E10)</f>
        <v>25485600000</v>
      </c>
      <c r="O192" s="4" t="s">
        <v>380</v>
      </c>
      <c r="P192" s="4">
        <f>SUMIF(Cleaned_Data!C$2:C$2013,O192,Cleaned_Data!K$2:K$2013)</f>
        <v>3194000000</v>
      </c>
      <c r="Q192" s="4">
        <f>SUMIF(Cleaned_Data!C$2:C$2013,O192,Cleaned_Data!N$2:N$2013)</f>
        <v>17847000000</v>
      </c>
      <c r="R192" s="6">
        <f t="shared" si="5"/>
        <v>0.1789656525</v>
      </c>
    </row>
    <row r="193">
      <c r="D193" s="4" t="s">
        <v>424</v>
      </c>
      <c r="E193" s="4">
        <f>SUMIF(Cleaned_Data!C$2:C$2013,D193,Cleaned_Data!N$2:N$2013)</f>
        <v>83959000000</v>
      </c>
      <c r="J193" s="4" t="str">
        <f>IFERROR(__xludf.DUMMYFUNCTION("""COMPUTED_VALUE"""),"Emerson Electric Company")</f>
        <v>Emerson Electric Company</v>
      </c>
      <c r="K193" s="4">
        <f>IFERROR(__xludf.DUMMYFUNCTION("""COMPUTED_VALUE"""),3.194E9)</f>
        <v>3194000000</v>
      </c>
      <c r="L193" s="4">
        <f>IFERROR(__xludf.DUMMYFUNCTION("""COMPUTED_VALUE"""),1.7847E10)</f>
        <v>17847000000</v>
      </c>
      <c r="O193" s="4" t="s">
        <v>382</v>
      </c>
      <c r="P193" s="4">
        <f>SUMIF(Cleaned_Data!C$2:C$2013,O193,Cleaned_Data!K$2:K$2013)</f>
        <v>206213000</v>
      </c>
      <c r="Q193" s="4">
        <f>SUMIF(Cleaned_Data!C$2:C$2013,O193,Cleaned_Data!N$2:N$2013)</f>
        <v>870634000</v>
      </c>
      <c r="R193" s="6">
        <f t="shared" si="5"/>
        <v>0.236853833</v>
      </c>
    </row>
    <row r="194">
      <c r="D194" s="4" t="s">
        <v>426</v>
      </c>
      <c r="E194" s="4">
        <f>SUMIF(Cleaned_Data!C$2:C$2013,D194,Cleaned_Data!N$2:N$2013)</f>
        <v>13211000000</v>
      </c>
      <c r="J194" s="4" t="str">
        <f>IFERROR(__xludf.DUMMYFUNCTION("""COMPUTED_VALUE"""),"Enphase Energy")</f>
        <v>Enphase Energy</v>
      </c>
      <c r="K194" s="4">
        <f>IFERROR(__xludf.DUMMYFUNCTION("""COMPUTED_VALUE"""),2.06213E8)</f>
        <v>206213000</v>
      </c>
      <c r="L194" s="4">
        <f>IFERROR(__xludf.DUMMYFUNCTION("""COMPUTED_VALUE"""),8.70634E8)</f>
        <v>870634000</v>
      </c>
      <c r="O194" s="4" t="s">
        <v>384</v>
      </c>
      <c r="P194" s="4">
        <f>SUMIF(Cleaned_Data!C$2:C$2013,O194,Cleaned_Data!K$2:K$2013)</f>
        <v>1949005000</v>
      </c>
      <c r="Q194" s="4">
        <f>SUMIF(Cleaned_Data!C$2:C$2013,O194,Cleaned_Data!N$2:N$2013)</f>
        <v>10940578000</v>
      </c>
      <c r="R194" s="6">
        <f t="shared" si="5"/>
        <v>0.1781446099</v>
      </c>
    </row>
    <row r="195">
      <c r="D195" s="4" t="s">
        <v>428</v>
      </c>
      <c r="E195" s="4">
        <f>SUMIF(Cleaned_Data!C$2:C$2013,D195,Cleaned_Data!N$2:N$2013)</f>
        <v>8100000000</v>
      </c>
      <c r="J195" s="4" t="str">
        <f>IFERROR(__xludf.DUMMYFUNCTION("""COMPUTED_VALUE"""),"Entergy")</f>
        <v>Entergy</v>
      </c>
      <c r="K195" s="4">
        <f>IFERROR(__xludf.DUMMYFUNCTION("""COMPUTED_VALUE"""),1.949005E9)</f>
        <v>1949005000</v>
      </c>
      <c r="L195" s="4">
        <f>IFERROR(__xludf.DUMMYFUNCTION("""COMPUTED_VALUE"""),1.0940578E10)</f>
        <v>10940578000</v>
      </c>
      <c r="O195" s="4" t="s">
        <v>386</v>
      </c>
      <c r="P195" s="4">
        <f>SUMIF(Cleaned_Data!C$2:C$2013,O195,Cleaned_Data!K$2:K$2013)</f>
        <v>2981088000</v>
      </c>
      <c r="Q195" s="4">
        <f>SUMIF(Cleaned_Data!C$2:C$2013,O195,Cleaned_Data!N$2:N$2013)</f>
        <v>13804232000</v>
      </c>
      <c r="R195" s="6">
        <f t="shared" si="5"/>
        <v>0.2159546435</v>
      </c>
    </row>
    <row r="196">
      <c r="D196" s="4" t="s">
        <v>430</v>
      </c>
      <c r="E196" s="4">
        <f>SUMIF(Cleaned_Data!C$2:C$2013,D196,Cleaned_Data!N$2:N$2013)</f>
        <v>4381595000</v>
      </c>
      <c r="J196" s="4" t="str">
        <f>IFERROR(__xludf.DUMMYFUNCTION("""COMPUTED_VALUE"""),"Equifax")</f>
        <v>Equifax</v>
      </c>
      <c r="K196" s="4">
        <f>IFERROR(__xludf.DUMMYFUNCTION("""COMPUTED_VALUE"""),1.0066E9)</f>
        <v>1006600000</v>
      </c>
      <c r="L196" s="4">
        <f>IFERROR(__xludf.DUMMYFUNCTION("""COMPUTED_VALUE"""),4.6345E9)</f>
        <v>4634500000</v>
      </c>
      <c r="O196" s="4" t="s">
        <v>388</v>
      </c>
      <c r="P196" s="4">
        <f>SUMIF(Cleaned_Data!C$2:C$2013,O196,Cleaned_Data!K$2:K$2013)</f>
        <v>1006600000</v>
      </c>
      <c r="Q196" s="4">
        <f>SUMIF(Cleaned_Data!C$2:C$2013,O196,Cleaned_Data!N$2:N$2013)</f>
        <v>4634500000</v>
      </c>
      <c r="R196" s="6">
        <f t="shared" si="5"/>
        <v>0.2171971086</v>
      </c>
    </row>
    <row r="197">
      <c r="D197" s="4" t="s">
        <v>432</v>
      </c>
      <c r="E197" s="4">
        <f>SUMIF(Cleaned_Data!C$2:C$2013,D197,Cleaned_Data!N$2:N$2013)</f>
        <v>10624000000</v>
      </c>
      <c r="J197" s="4" t="str">
        <f>IFERROR(__xludf.DUMMYFUNCTION("""COMPUTED_VALUE"""),"Equinix")</f>
        <v>Equinix</v>
      </c>
      <c r="K197" s="4">
        <f>IFERROR(__xludf.DUMMYFUNCTION("""COMPUTED_VALUE"""),1.143956E9)</f>
        <v>1143956000</v>
      </c>
      <c r="L197" s="4">
        <f>IFERROR(__xludf.DUMMYFUNCTION("""COMPUTED_VALUE"""),6.343181E9)</f>
        <v>6343181000</v>
      </c>
      <c r="O197" s="4" t="s">
        <v>390</v>
      </c>
      <c r="P197" s="4">
        <f>SUMIF(Cleaned_Data!C$2:C$2013,O197,Cleaned_Data!K$2:K$2013)</f>
        <v>1143956000</v>
      </c>
      <c r="Q197" s="4">
        <f>SUMIF(Cleaned_Data!C$2:C$2013,O197,Cleaned_Data!N$2:N$2013)</f>
        <v>6343181000</v>
      </c>
      <c r="R197" s="6">
        <f t="shared" si="5"/>
        <v>0.1803442153</v>
      </c>
    </row>
    <row r="198">
      <c r="D198" s="4" t="s">
        <v>434</v>
      </c>
      <c r="E198" s="4">
        <f>SUMIF(Cleaned_Data!C$2:C$2013,D198,Cleaned_Data!N$2:N$2013)</f>
        <v>15424000000</v>
      </c>
      <c r="J198" s="4" t="str">
        <f>IFERROR(__xludf.DUMMYFUNCTION("""COMPUTED_VALUE"""),"Equity Residential")</f>
        <v>Equity Residential</v>
      </c>
      <c r="K198" s="4">
        <f>IFERROR(__xludf.DUMMYFUNCTION("""COMPUTED_VALUE"""),6.48161E8)</f>
        <v>648161000</v>
      </c>
      <c r="L198" s="4">
        <f>IFERROR(__xludf.DUMMYFUNCTION("""COMPUTED_VALUE"""),2.431529E9)</f>
        <v>2431529000</v>
      </c>
      <c r="O198" s="4" t="s">
        <v>392</v>
      </c>
      <c r="P198" s="4">
        <f>SUMIF(Cleaned_Data!C$2:C$2013,O198,Cleaned_Data!K$2:K$2013)</f>
        <v>648161000</v>
      </c>
      <c r="Q198" s="4">
        <f>SUMIF(Cleaned_Data!C$2:C$2013,O198,Cleaned_Data!N$2:N$2013)</f>
        <v>2431529000</v>
      </c>
      <c r="R198" s="6">
        <f t="shared" si="5"/>
        <v>0.2665651942</v>
      </c>
    </row>
    <row r="199">
      <c r="D199" s="4" t="s">
        <v>436</v>
      </c>
      <c r="E199" s="4">
        <f>SUMIF(Cleaned_Data!C$2:C$2013,D199,Cleaned_Data!N$2:N$2013)</f>
        <v>2478620000</v>
      </c>
      <c r="J199" s="4" t="str">
        <f>IFERROR(__xludf.DUMMYFUNCTION("""COMPUTED_VALUE"""),"Essex Property Trust")</f>
        <v>Essex Property Trust</v>
      </c>
      <c r="K199" s="4">
        <f>IFERROR(__xludf.DUMMYFUNCTION("""COMPUTED_VALUE"""),4.46968E8)</f>
        <v>446968000</v>
      </c>
      <c r="L199" s="4">
        <f>IFERROR(__xludf.DUMMYFUNCTION("""COMPUTED_VALUE"""),1.496866E9)</f>
        <v>1496866000</v>
      </c>
      <c r="O199" s="4" t="s">
        <v>394</v>
      </c>
      <c r="P199" s="4">
        <f>SUMIF(Cleaned_Data!C$2:C$2013,O199,Cleaned_Data!K$2:K$2013)</f>
        <v>446968000</v>
      </c>
      <c r="Q199" s="4">
        <f>SUMIF(Cleaned_Data!C$2:C$2013,O199,Cleaned_Data!N$2:N$2013)</f>
        <v>1496866000</v>
      </c>
      <c r="R199" s="6">
        <f t="shared" si="5"/>
        <v>0.2986025469</v>
      </c>
    </row>
    <row r="200">
      <c r="D200" s="4" t="s">
        <v>438</v>
      </c>
      <c r="E200" s="4">
        <f>SUMIF(Cleaned_Data!C$2:C$2013,D200,Cleaned_Data!N$2:N$2013)</f>
        <v>4674400000</v>
      </c>
      <c r="J200" s="4" t="str">
        <f>IFERROR(__xludf.DUMMYFUNCTION("""COMPUTED_VALUE"""),"Estée Lauder Companies")</f>
        <v>Estée Lauder Companies</v>
      </c>
      <c r="K200" s="4">
        <f>IFERROR(__xludf.DUMMYFUNCTION("""COMPUTED_VALUE"""),3.109E9)</f>
        <v>3109000000</v>
      </c>
      <c r="L200" s="4">
        <f>IFERROR(__xludf.DUMMYFUNCTION("""COMPUTED_VALUE"""),1.6215E10)</f>
        <v>16215000000</v>
      </c>
      <c r="O200" s="4" t="s">
        <v>396</v>
      </c>
      <c r="P200" s="4">
        <f>SUMIF(Cleaned_Data!C$2:C$2013,O200,Cleaned_Data!K$2:K$2013)</f>
        <v>3109000000</v>
      </c>
      <c r="Q200" s="4">
        <f>SUMIF(Cleaned_Data!C$2:C$2013,O200,Cleaned_Data!N$2:N$2013)</f>
        <v>16215000000</v>
      </c>
      <c r="R200" s="6">
        <f t="shared" si="5"/>
        <v>0.1917360469</v>
      </c>
    </row>
    <row r="201">
      <c r="D201" s="4" t="s">
        <v>440</v>
      </c>
      <c r="E201" s="4">
        <f>SUMIF(Cleaned_Data!C$2:C$2013,D201,Cleaned_Data!N$2:N$2013)</f>
        <v>136433000000</v>
      </c>
      <c r="J201" s="4" t="str">
        <f>IFERROR(__xludf.DUMMYFUNCTION("""COMPUTED_VALUE"""),"Etsy")</f>
        <v>Etsy</v>
      </c>
      <c r="K201" s="4">
        <f>IFERROR(__xludf.DUMMYFUNCTION("""COMPUTED_VALUE"""),5.29685E8)</f>
        <v>529685000</v>
      </c>
      <c r="L201" s="4">
        <f>IFERROR(__xludf.DUMMYFUNCTION("""COMPUTED_VALUE"""),2.148379E9)</f>
        <v>2148379000</v>
      </c>
      <c r="O201" s="4" t="s">
        <v>398</v>
      </c>
      <c r="P201" s="4">
        <f>SUMIF(Cleaned_Data!C$2:C$2013,O201,Cleaned_Data!K$2:K$2013)</f>
        <v>529685000</v>
      </c>
      <c r="Q201" s="4">
        <f>SUMIF(Cleaned_Data!C$2:C$2013,O201,Cleaned_Data!N$2:N$2013)</f>
        <v>2148379000</v>
      </c>
      <c r="R201" s="6">
        <f t="shared" si="5"/>
        <v>0.2465510043</v>
      </c>
    </row>
    <row r="202">
      <c r="D202" s="4" t="s">
        <v>442</v>
      </c>
      <c r="E202" s="4">
        <f>SUMIF(Cleaned_Data!C$2:C$2013,D202,Cleaned_Data!N$2:N$2013)</f>
        <v>2910500000</v>
      </c>
      <c r="J202" s="4" t="str">
        <f>IFERROR(__xludf.DUMMYFUNCTION("""COMPUTED_VALUE"""),"Everest Re")</f>
        <v>Everest Re</v>
      </c>
      <c r="K202" s="4">
        <f>IFERROR(__xludf.DUMMYFUNCTION("""COMPUTED_VALUE"""),1.509913E9)</f>
        <v>1509913000</v>
      </c>
      <c r="L202" s="4">
        <f>IFERROR(__xludf.DUMMYFUNCTION("""COMPUTED_VALUE"""),1.1124046E10)</f>
        <v>11124046000</v>
      </c>
      <c r="O202" s="4" t="s">
        <v>400</v>
      </c>
      <c r="P202" s="4">
        <f>SUMIF(Cleaned_Data!C$2:C$2013,O202,Cleaned_Data!K$2:K$2013)</f>
        <v>1509913000</v>
      </c>
      <c r="Q202" s="4">
        <f>SUMIF(Cleaned_Data!C$2:C$2013,O202,Cleaned_Data!N$2:N$2013)</f>
        <v>11124046000</v>
      </c>
      <c r="R202" s="6">
        <f t="shared" si="5"/>
        <v>0.1357341564</v>
      </c>
    </row>
    <row r="203">
      <c r="D203" s="4" t="s">
        <v>444</v>
      </c>
      <c r="E203" s="4">
        <f>SUMIF(Cleaned_Data!C$2:C$2013,D203,Cleaned_Data!N$2:N$2013)</f>
        <v>3928600000</v>
      </c>
      <c r="J203" s="4" t="str">
        <f>IFERROR(__xludf.DUMMYFUNCTION("""COMPUTED_VALUE"""),"Evergy")</f>
        <v>Evergy</v>
      </c>
      <c r="K203" s="4">
        <f>IFERROR(__xludf.DUMMYFUNCTION("""COMPUTED_VALUE"""),1.2911E9)</f>
        <v>1291100000</v>
      </c>
      <c r="L203" s="4">
        <f>IFERROR(__xludf.DUMMYFUNCTION("""COMPUTED_VALUE"""),5.4601E9)</f>
        <v>5460100000</v>
      </c>
      <c r="O203" s="4" t="s">
        <v>402</v>
      </c>
      <c r="P203" s="4">
        <f>SUMIF(Cleaned_Data!C$2:C$2013,O203,Cleaned_Data!K$2:K$2013)</f>
        <v>1291100000</v>
      </c>
      <c r="Q203" s="4">
        <f>SUMIF(Cleaned_Data!C$2:C$2013,O203,Cleaned_Data!N$2:N$2013)</f>
        <v>5460100000</v>
      </c>
      <c r="R203" s="6">
        <f t="shared" si="5"/>
        <v>0.2364608707</v>
      </c>
    </row>
    <row r="204">
      <c r="D204" s="4" t="s">
        <v>446</v>
      </c>
      <c r="E204" s="4">
        <f>SUMIF(Cleaned_Data!C$2:C$2013,D204,Cleaned_Data!N$2:N$2013)</f>
        <v>7018900000</v>
      </c>
      <c r="J204" s="4" t="str">
        <f>IFERROR(__xludf.DUMMYFUNCTION("""COMPUTED_VALUE"""),"Eversource Energy")</f>
        <v>Eversource Energy</v>
      </c>
      <c r="K204" s="4">
        <f>IFERROR(__xludf.DUMMYFUNCTION("""COMPUTED_VALUE"""),2.120831E9)</f>
        <v>2120831000</v>
      </c>
      <c r="L204" s="4">
        <f>IFERROR(__xludf.DUMMYFUNCTION("""COMPUTED_VALUE"""),9.525953E9)</f>
        <v>9525953000</v>
      </c>
      <c r="O204" s="4" t="s">
        <v>404</v>
      </c>
      <c r="P204" s="4">
        <f>SUMIF(Cleaned_Data!C$2:C$2013,O204,Cleaned_Data!K$2:K$2013)</f>
        <v>2120831000</v>
      </c>
      <c r="Q204" s="4">
        <f>SUMIF(Cleaned_Data!C$2:C$2013,O204,Cleaned_Data!N$2:N$2013)</f>
        <v>9525953000</v>
      </c>
      <c r="R204" s="6">
        <f t="shared" si="5"/>
        <v>0.2226371472</v>
      </c>
    </row>
    <row r="205">
      <c r="D205" s="4" t="s">
        <v>448</v>
      </c>
      <c r="E205" s="4">
        <f>SUMIF(Cleaned_Data!C$2:C$2013,D205,Cleaned_Data!N$2:N$2013)</f>
        <v>12909000000</v>
      </c>
      <c r="J205" s="4" t="str">
        <f>IFERROR(__xludf.DUMMYFUNCTION("""COMPUTED_VALUE"""),"Exelon")</f>
        <v>Exelon</v>
      </c>
      <c r="K205" s="4">
        <f>IFERROR(__xludf.DUMMYFUNCTION("""COMPUTED_VALUE"""),3.587E9)</f>
        <v>3587000000</v>
      </c>
      <c r="L205" s="4">
        <f>IFERROR(__xludf.DUMMYFUNCTION("""COMPUTED_VALUE"""),3.4182E10)</f>
        <v>34182000000</v>
      </c>
      <c r="O205" s="4" t="s">
        <v>406</v>
      </c>
      <c r="P205" s="4">
        <f>SUMIF(Cleaned_Data!C$2:C$2013,O205,Cleaned_Data!K$2:K$2013)</f>
        <v>3587000000</v>
      </c>
      <c r="Q205" s="4">
        <f>SUMIF(Cleaned_Data!C$2:C$2013,O205,Cleaned_Data!N$2:N$2013)</f>
        <v>34182000000</v>
      </c>
      <c r="R205" s="6">
        <f t="shared" si="5"/>
        <v>0.1049382716</v>
      </c>
    </row>
    <row r="206">
      <c r="D206" s="4" t="s">
        <v>450</v>
      </c>
      <c r="E206" s="4">
        <f>SUMIF(Cleaned_Data!C$2:C$2013,D206,Cleaned_Data!N$2:N$2013)</f>
        <v>12909000000</v>
      </c>
      <c r="J206" s="4" t="str">
        <f>IFERROR(__xludf.DUMMYFUNCTION("""COMPUTED_VALUE"""),"Expedia Group")</f>
        <v>Expedia Group</v>
      </c>
      <c r="K206" s="4">
        <f>IFERROR(__xludf.DUMMYFUNCTION("""COMPUTED_VALUE"""),-1.502E9)</f>
        <v>-1502000000</v>
      </c>
      <c r="L206" s="4">
        <f>IFERROR(__xludf.DUMMYFUNCTION("""COMPUTED_VALUE"""),4.236E9)</f>
        <v>4236000000</v>
      </c>
      <c r="O206" s="4" t="s">
        <v>408</v>
      </c>
      <c r="P206" s="4">
        <f>SUMIF(Cleaned_Data!C$2:C$2013,O206,Cleaned_Data!K$2:K$2013)</f>
        <v>-1502000000</v>
      </c>
      <c r="Q206" s="4">
        <f>SUMIF(Cleaned_Data!C$2:C$2013,O206,Cleaned_Data!N$2:N$2013)</f>
        <v>4236000000</v>
      </c>
      <c r="R206" s="6">
        <f t="shared" si="5"/>
        <v>-0.3545797923</v>
      </c>
    </row>
    <row r="207">
      <c r="D207" s="4" t="s">
        <v>452</v>
      </c>
      <c r="E207" s="4">
        <f>SUMIF(Cleaned_Data!C$2:C$2013,D207,Cleaned_Data!N$2:N$2013)</f>
        <v>7871900000</v>
      </c>
      <c r="J207" s="4" t="str">
        <f>IFERROR(__xludf.DUMMYFUNCTION("""COMPUTED_VALUE"""),"Expeditors")</f>
        <v>Expeditors</v>
      </c>
      <c r="K207" s="4">
        <f>IFERROR(__xludf.DUMMYFUNCTION("""COMPUTED_VALUE"""),1.166897E9)</f>
        <v>1166897000</v>
      </c>
      <c r="L207" s="4">
        <f>IFERROR(__xludf.DUMMYFUNCTION("""COMPUTED_VALUE"""),1.1572157E10)</f>
        <v>11572157000</v>
      </c>
      <c r="O207" s="4" t="s">
        <v>410</v>
      </c>
      <c r="P207" s="4">
        <f>SUMIF(Cleaned_Data!C$2:C$2013,O207,Cleaned_Data!K$2:K$2013)</f>
        <v>1166897000</v>
      </c>
      <c r="Q207" s="4">
        <f>SUMIF(Cleaned_Data!C$2:C$2013,O207,Cleaned_Data!N$2:N$2013)</f>
        <v>11572157000</v>
      </c>
      <c r="R207" s="6">
        <f t="shared" si="5"/>
        <v>0.1008366029</v>
      </c>
    </row>
    <row r="208">
      <c r="D208" s="4" t="s">
        <v>454</v>
      </c>
      <c r="E208" s="4">
        <f>SUMIF(Cleaned_Data!C$2:C$2013,D208,Cleaned_Data!N$2:N$2013)</f>
        <v>18944000000</v>
      </c>
      <c r="J208" s="4" t="str">
        <f>IFERROR(__xludf.DUMMYFUNCTION("""COMPUTED_VALUE"""),"Extra Space Storage")</f>
        <v>Extra Space Storage</v>
      </c>
      <c r="K208" s="4">
        <f>IFERROR(__xludf.DUMMYFUNCTION("""COMPUTED_VALUE"""),7.48703E8)</f>
        <v>748703000</v>
      </c>
      <c r="L208" s="4">
        <f>IFERROR(__xludf.DUMMYFUNCTION("""COMPUTED_VALUE"""),1.467804E9)</f>
        <v>1467804000</v>
      </c>
      <c r="O208" s="4" t="s">
        <v>412</v>
      </c>
      <c r="P208" s="4">
        <f>SUMIF(Cleaned_Data!C$2:C$2013,O208,Cleaned_Data!K$2:K$2013)</f>
        <v>748703000</v>
      </c>
      <c r="Q208" s="4">
        <f>SUMIF(Cleaned_Data!C$2:C$2013,O208,Cleaned_Data!N$2:N$2013)</f>
        <v>1467804000</v>
      </c>
      <c r="R208" s="6">
        <f t="shared" si="5"/>
        <v>0.5100837714</v>
      </c>
    </row>
    <row r="209">
      <c r="D209" s="4" t="s">
        <v>456</v>
      </c>
      <c r="E209" s="4">
        <f>SUMIF(Cleaned_Data!C$2:C$2013,D209,Cleaned_Data!N$2:N$2013)</f>
        <v>16620000000</v>
      </c>
      <c r="J209" s="4" t="str">
        <f>IFERROR(__xludf.DUMMYFUNCTION("""COMPUTED_VALUE"""),"ExxonMobil")</f>
        <v>ExxonMobil</v>
      </c>
      <c r="K209" s="4">
        <f>IFERROR(__xludf.DUMMYFUNCTION("""COMPUTED_VALUE"""),6.39E9)</f>
        <v>6390000000</v>
      </c>
      <c r="L209" s="4">
        <f>IFERROR(__xludf.DUMMYFUNCTION("""COMPUTED_VALUE"""),2.15879E11)</f>
        <v>215879000000</v>
      </c>
      <c r="O209" s="4" t="s">
        <v>414</v>
      </c>
      <c r="P209" s="4">
        <f>SUMIF(Cleaned_Data!C$2:C$2013,O209,Cleaned_Data!K$2:K$2013)</f>
        <v>6390000000</v>
      </c>
      <c r="Q209" s="4">
        <f>SUMIF(Cleaned_Data!C$2:C$2013,O209,Cleaned_Data!N$2:N$2013)</f>
        <v>215879000000</v>
      </c>
      <c r="R209" s="6">
        <f t="shared" si="5"/>
        <v>0.02959991477</v>
      </c>
    </row>
    <row r="210">
      <c r="D210" s="4" t="s">
        <v>458</v>
      </c>
      <c r="E210" s="4">
        <f>SUMIF(Cleaned_Data!C$2:C$2013,D210,Cleaned_Data!N$2:N$2013)</f>
        <v>4859831000</v>
      </c>
      <c r="J210" s="4" t="str">
        <f>IFERROR(__xludf.DUMMYFUNCTION("""COMPUTED_VALUE"""),"F5 Networks")</f>
        <v>F5 Networks</v>
      </c>
      <c r="K210" s="4">
        <f>IFERROR(__xludf.DUMMYFUNCTION("""COMPUTED_VALUE"""),4.00908E8)</f>
        <v>400908000</v>
      </c>
      <c r="L210" s="4">
        <f>IFERROR(__xludf.DUMMYFUNCTION("""COMPUTED_VALUE"""),2.467972E9)</f>
        <v>2467972000</v>
      </c>
      <c r="O210" s="4" t="s">
        <v>416</v>
      </c>
      <c r="P210" s="4">
        <f>SUMIF(Cleaned_Data!C$2:C$2013,O210,Cleaned_Data!K$2:K$2013)</f>
        <v>400908000</v>
      </c>
      <c r="Q210" s="4">
        <f>SUMIF(Cleaned_Data!C$2:C$2013,O210,Cleaned_Data!N$2:N$2013)</f>
        <v>2467972000</v>
      </c>
      <c r="R210" s="6">
        <f t="shared" si="5"/>
        <v>0.1624443065</v>
      </c>
    </row>
    <row r="211">
      <c r="D211" s="4" t="s">
        <v>460</v>
      </c>
      <c r="E211" s="4">
        <f>SUMIF(Cleaned_Data!C$2:C$2013,D211,Cleaned_Data!N$2:N$2013)</f>
        <v>4378734000</v>
      </c>
      <c r="J211" s="4" t="str">
        <f>IFERROR(__xludf.DUMMYFUNCTION("""COMPUTED_VALUE"""),"FMC Corporation")</f>
        <v>FMC Corporation</v>
      </c>
      <c r="K211" s="4">
        <f>IFERROR(__xludf.DUMMYFUNCTION("""COMPUTED_VALUE"""),1.0333E9)</f>
        <v>1033300000</v>
      </c>
      <c r="L211" s="4">
        <f>IFERROR(__xludf.DUMMYFUNCTION("""COMPUTED_VALUE"""),4.6744E9)</f>
        <v>4674400000</v>
      </c>
      <c r="O211" s="4" t="s">
        <v>418</v>
      </c>
      <c r="P211" s="4">
        <f>SUMIF(Cleaned_Data!C$2:C$2013,O211,Cleaned_Data!K$2:K$2013)</f>
        <v>44560000000</v>
      </c>
      <c r="Q211" s="4">
        <f>SUMIF(Cleaned_Data!C$2:C$2013,O211,Cleaned_Data!N$2:N$2013)</f>
        <v>104790000000</v>
      </c>
      <c r="R211" s="6">
        <f t="shared" si="5"/>
        <v>0.4252314152</v>
      </c>
    </row>
    <row r="212">
      <c r="D212" s="4" t="s">
        <v>462</v>
      </c>
      <c r="E212" s="4">
        <f>SUMIF(Cleaned_Data!C$2:C$2013,D212,Cleaned_Data!N$2:N$2013)</f>
        <v>2816719000</v>
      </c>
      <c r="J212" s="4" t="str">
        <f>IFERROR(__xludf.DUMMYFUNCTION("""COMPUTED_VALUE"""),"Facebook")</f>
        <v>Facebook</v>
      </c>
      <c r="K212" s="4">
        <f>IFERROR(__xludf.DUMMYFUNCTION("""COMPUTED_VALUE"""),4.456E10)</f>
        <v>44560000000</v>
      </c>
      <c r="L212" s="4">
        <f>IFERROR(__xludf.DUMMYFUNCTION("""COMPUTED_VALUE"""),1.0479E11)</f>
        <v>104790000000</v>
      </c>
      <c r="O212" s="4" t="s">
        <v>420</v>
      </c>
      <c r="P212" s="4">
        <f>SUMIF(Cleaned_Data!C$2:C$2013,O212,Cleaned_Data!K$2:K$2013)</f>
        <v>1151300000</v>
      </c>
      <c r="Q212" s="4">
        <f>SUMIF(Cleaned_Data!C$2:C$2013,O212,Cleaned_Data!N$2:N$2013)</f>
        <v>5696000000</v>
      </c>
      <c r="R212" s="6">
        <f t="shared" si="5"/>
        <v>0.2021242978</v>
      </c>
    </row>
    <row r="213">
      <c r="D213" s="4" t="s">
        <v>464</v>
      </c>
      <c r="E213" s="4">
        <f>SUMIF(Cleaned_Data!C$2:C$2013,D213,Cleaned_Data!N$2:N$2013)</f>
        <v>38521000000</v>
      </c>
      <c r="J213" s="4" t="str">
        <f>IFERROR(__xludf.DUMMYFUNCTION("""COMPUTED_VALUE"""),"Fastenal")</f>
        <v>Fastenal</v>
      </c>
      <c r="K213" s="4">
        <f>IFERROR(__xludf.DUMMYFUNCTION("""COMPUTED_VALUE"""),1.1513E9)</f>
        <v>1151300000</v>
      </c>
      <c r="L213" s="4">
        <f>IFERROR(__xludf.DUMMYFUNCTION("""COMPUTED_VALUE"""),5.696E9)</f>
        <v>5696000000</v>
      </c>
      <c r="O213" s="4" t="s">
        <v>422</v>
      </c>
      <c r="P213" s="4">
        <f>SUMIF(Cleaned_Data!C$2:C$2013,O213,Cleaned_Data!K$2:K$2013)</f>
        <v>266263000</v>
      </c>
      <c r="Q213" s="4">
        <f>SUMIF(Cleaned_Data!C$2:C$2013,O213,Cleaned_Data!N$2:N$2013)</f>
        <v>873255000</v>
      </c>
      <c r="R213" s="6">
        <f t="shared" si="5"/>
        <v>0.3049086464</v>
      </c>
    </row>
    <row r="214">
      <c r="D214" s="4" t="s">
        <v>466</v>
      </c>
      <c r="E214" s="4">
        <f>SUMIF(Cleaned_Data!C$2:C$2013,D214,Cleaned_Data!N$2:N$2013)</f>
        <v>76743000000</v>
      </c>
      <c r="J214" s="4" t="str">
        <f>IFERROR(__xludf.DUMMYFUNCTION("""COMPUTED_VALUE"""),"FedEx")</f>
        <v>FedEx</v>
      </c>
      <c r="K214" s="4">
        <f>IFERROR(__xludf.DUMMYFUNCTION("""COMPUTED_VALUE"""),7.956E9)</f>
        <v>7956000000</v>
      </c>
      <c r="L214" s="4">
        <f>IFERROR(__xludf.DUMMYFUNCTION("""COMPUTED_VALUE"""),8.3959E10)</f>
        <v>83959000000</v>
      </c>
      <c r="O214" s="4" t="s">
        <v>424</v>
      </c>
      <c r="P214" s="4">
        <f>SUMIF(Cleaned_Data!C$2:C$2013,O214,Cleaned_Data!K$2:K$2013)</f>
        <v>7956000000</v>
      </c>
      <c r="Q214" s="4">
        <f>SUMIF(Cleaned_Data!C$2:C$2013,O214,Cleaned_Data!N$2:N$2013)</f>
        <v>83959000000</v>
      </c>
      <c r="R214" s="6">
        <f t="shared" si="5"/>
        <v>0.09476053788</v>
      </c>
    </row>
    <row r="215">
      <c r="D215" s="4" t="s">
        <v>468</v>
      </c>
      <c r="E215" s="4">
        <f>SUMIF(Cleaned_Data!C$2:C$2013,D215,Cleaned_Data!N$2:N$2013)</f>
        <v>18127000000</v>
      </c>
      <c r="J215" s="4" t="str">
        <f>IFERROR(__xludf.DUMMYFUNCTION("""COMPUTED_VALUE"""),"Federal Realty Investment Trust")</f>
        <v>Federal Realty Investment Trust</v>
      </c>
      <c r="K215" s="4">
        <f>IFERROR(__xludf.DUMMYFUNCTION("""COMPUTED_VALUE"""),2.66263E8)</f>
        <v>266263000</v>
      </c>
      <c r="L215" s="4">
        <f>IFERROR(__xludf.DUMMYFUNCTION("""COMPUTED_VALUE"""),8.73255E8)</f>
        <v>873255000</v>
      </c>
      <c r="O215" s="4" t="s">
        <v>426</v>
      </c>
      <c r="P215" s="4">
        <f>SUMIF(Cleaned_Data!C$2:C$2013,O215,Cleaned_Data!K$2:K$2013)</f>
        <v>1442000000</v>
      </c>
      <c r="Q215" s="4">
        <f>SUMIF(Cleaned_Data!C$2:C$2013,O215,Cleaned_Data!N$2:N$2013)</f>
        <v>13211000000</v>
      </c>
      <c r="R215" s="6">
        <f t="shared" si="5"/>
        <v>0.1091514647</v>
      </c>
    </row>
    <row r="216">
      <c r="D216" s="4" t="s">
        <v>470</v>
      </c>
      <c r="E216" s="4">
        <f>SUMIF(Cleaned_Data!C$2:C$2013,D216,Cleaned_Data!N$2:N$2013)</f>
        <v>139639000000</v>
      </c>
      <c r="J216" s="4" t="str">
        <f>IFERROR(__xludf.DUMMYFUNCTION("""COMPUTED_VALUE"""),"Fidelity National Information Services")</f>
        <v>Fidelity National Information Services</v>
      </c>
      <c r="K216" s="4">
        <f>IFERROR(__xludf.DUMMYFUNCTION("""COMPUTED_VALUE"""),1.442E9)</f>
        <v>1442000000</v>
      </c>
      <c r="L216" s="4">
        <f>IFERROR(__xludf.DUMMYFUNCTION("""COMPUTED_VALUE"""),1.3211E10)</f>
        <v>13211000000</v>
      </c>
      <c r="O216" s="4" t="s">
        <v>428</v>
      </c>
      <c r="P216" s="4">
        <f>SUMIF(Cleaned_Data!C$2:C$2013,O216,Cleaned_Data!K$2:K$2013)</f>
        <v>3340000000</v>
      </c>
      <c r="Q216" s="4">
        <f>SUMIF(Cleaned_Data!C$2:C$2013,O216,Cleaned_Data!N$2:N$2013)</f>
        <v>8100000000</v>
      </c>
      <c r="R216" s="6">
        <f t="shared" si="5"/>
        <v>0.412345679</v>
      </c>
    </row>
    <row r="217">
      <c r="D217" s="4" t="s">
        <v>472</v>
      </c>
      <c r="E217" s="4">
        <f>SUMIF(Cleaned_Data!C$2:C$2013,D217,Cleaned_Data!N$2:N$2013)</f>
        <v>17870132000</v>
      </c>
      <c r="J217" s="4" t="str">
        <f>IFERROR(__xludf.DUMMYFUNCTION("""COMPUTED_VALUE"""),"Fifth Third Bancorp")</f>
        <v>Fifth Third Bancorp</v>
      </c>
      <c r="K217" s="4">
        <f>IFERROR(__xludf.DUMMYFUNCTION("""COMPUTED_VALUE"""),3.34E9)</f>
        <v>3340000000</v>
      </c>
      <c r="L217" s="4">
        <f>IFERROR(__xludf.DUMMYFUNCTION("""COMPUTED_VALUE"""),8.1E9)</f>
        <v>8100000000</v>
      </c>
      <c r="O217" s="4" t="s">
        <v>430</v>
      </c>
      <c r="P217" s="4">
        <f>SUMIF(Cleaned_Data!C$2:C$2013,O217,Cleaned_Data!K$2:K$2013)</f>
        <v>1708881000</v>
      </c>
      <c r="Q217" s="4">
        <f>SUMIF(Cleaned_Data!C$2:C$2013,O217,Cleaned_Data!N$2:N$2013)</f>
        <v>4381595000</v>
      </c>
      <c r="R217" s="6">
        <f t="shared" si="5"/>
        <v>0.390013454</v>
      </c>
    </row>
    <row r="218">
      <c r="D218" s="4" t="s">
        <v>474</v>
      </c>
      <c r="E218" s="4">
        <f>SUMIF(Cleaned_Data!C$2:C$2013,D218,Cleaned_Data!N$2:N$2013)</f>
        <v>26638000000</v>
      </c>
      <c r="J218" s="4" t="str">
        <f>IFERROR(__xludf.DUMMYFUNCTION("""COMPUTED_VALUE"""),"First Republic Bank")</f>
        <v>First Republic Bank</v>
      </c>
      <c r="K218" s="4">
        <f>IFERROR(__xludf.DUMMYFUNCTION("""COMPUTED_VALUE"""),1.708881E9)</f>
        <v>1708881000</v>
      </c>
      <c r="L218" s="4">
        <f>IFERROR(__xludf.DUMMYFUNCTION("""COMPUTED_VALUE"""),4.381595E9)</f>
        <v>4381595000</v>
      </c>
      <c r="O218" s="4" t="s">
        <v>432</v>
      </c>
      <c r="P218" s="4">
        <f>SUMIF(Cleaned_Data!C$2:C$2013,O218,Cleaned_Data!K$2:K$2013)</f>
        <v>2492000000</v>
      </c>
      <c r="Q218" s="4">
        <f>SUMIF(Cleaned_Data!C$2:C$2013,O218,Cleaned_Data!N$2:N$2013)</f>
        <v>10624000000</v>
      </c>
      <c r="R218" s="6">
        <f t="shared" si="5"/>
        <v>0.234563253</v>
      </c>
    </row>
    <row r="219">
      <c r="D219" s="4" t="s">
        <v>476</v>
      </c>
      <c r="E219" s="4">
        <f>SUMIF(Cleaned_Data!C$2:C$2013,D219,Cleaned_Data!N$2:N$2013)</f>
        <v>7975452000</v>
      </c>
      <c r="J219" s="4" t="str">
        <f>IFERROR(__xludf.DUMMYFUNCTION("""COMPUTED_VALUE"""),"FirstEnergy")</f>
        <v>FirstEnergy</v>
      </c>
      <c r="K219" s="4">
        <f>IFERROR(__xludf.DUMMYFUNCTION("""COMPUTED_VALUE"""),2.492E9)</f>
        <v>2492000000</v>
      </c>
      <c r="L219" s="4">
        <f>IFERROR(__xludf.DUMMYFUNCTION("""COMPUTED_VALUE"""),1.0624E10)</f>
        <v>10624000000</v>
      </c>
      <c r="O219" s="4" t="s">
        <v>434</v>
      </c>
      <c r="P219" s="4">
        <f>SUMIF(Cleaned_Data!C$2:C$2013,O219,Cleaned_Data!K$2:K$2013)</f>
        <v>2269000000</v>
      </c>
      <c r="Q219" s="4">
        <f>SUMIF(Cleaned_Data!C$2:C$2013,O219,Cleaned_Data!N$2:N$2013)</f>
        <v>15424000000</v>
      </c>
      <c r="R219" s="6">
        <f t="shared" si="5"/>
        <v>0.1471084025</v>
      </c>
    </row>
    <row r="220">
      <c r="D220" s="4" t="s">
        <v>478</v>
      </c>
      <c r="E220" s="4">
        <f>SUMIF(Cleaned_Data!C$2:C$2013,D220,Cleaned_Data!N$2:N$2013)</f>
        <v>4961654000</v>
      </c>
      <c r="J220" s="4" t="str">
        <f>IFERROR(__xludf.DUMMYFUNCTION("""COMPUTED_VALUE"""),"Fiserv")</f>
        <v>Fiserv</v>
      </c>
      <c r="K220" s="4">
        <f>IFERROR(__xludf.DUMMYFUNCTION("""COMPUTED_VALUE"""),2.269E9)</f>
        <v>2269000000</v>
      </c>
      <c r="L220" s="4">
        <f>IFERROR(__xludf.DUMMYFUNCTION("""COMPUTED_VALUE"""),1.5424E10)</f>
        <v>15424000000</v>
      </c>
      <c r="O220" s="4" t="s">
        <v>436</v>
      </c>
      <c r="P220" s="4">
        <f>SUMIF(Cleaned_Data!C$2:C$2013,O220,Cleaned_Data!K$2:K$2013)</f>
        <v>1122342000</v>
      </c>
      <c r="Q220" s="4">
        <f>SUMIF(Cleaned_Data!C$2:C$2013,O220,Cleaned_Data!N$2:N$2013)</f>
        <v>2478620000</v>
      </c>
      <c r="R220" s="6">
        <f t="shared" si="5"/>
        <v>0.4528092245</v>
      </c>
    </row>
    <row r="221">
      <c r="D221" s="4" t="s">
        <v>480</v>
      </c>
      <c r="E221" s="4">
        <f>SUMIF(Cleaned_Data!C$2:C$2013,D221,Cleaned_Data!N$2:N$2013)</f>
        <v>55205000000</v>
      </c>
      <c r="J221" s="4" t="str">
        <f>IFERROR(__xludf.DUMMYFUNCTION("""COMPUTED_VALUE"""),"Fleetcor")</f>
        <v>Fleetcor</v>
      </c>
      <c r="K221" s="4">
        <f>IFERROR(__xludf.DUMMYFUNCTION("""COMPUTED_VALUE"""),1.122342E9)</f>
        <v>1122342000</v>
      </c>
      <c r="L221" s="4">
        <f>IFERROR(__xludf.DUMMYFUNCTION("""COMPUTED_VALUE"""),2.47862E9)</f>
        <v>2478620000</v>
      </c>
      <c r="O221" s="4" t="s">
        <v>438</v>
      </c>
      <c r="P221" s="4">
        <f>SUMIF(Cleaned_Data!C$2:C$2013,O221,Cleaned_Data!K$2:K$2013)</f>
        <v>1033300000</v>
      </c>
      <c r="Q221" s="4">
        <f>SUMIF(Cleaned_Data!C$2:C$2013,O221,Cleaned_Data!N$2:N$2013)</f>
        <v>4674400000</v>
      </c>
      <c r="R221" s="6">
        <f t="shared" si="5"/>
        <v>0.2210551087</v>
      </c>
    </row>
    <row r="222">
      <c r="D222" s="4" t="s">
        <v>482</v>
      </c>
      <c r="E222" s="4">
        <f>SUMIF(Cleaned_Data!C$2:C$2013,D222,Cleaned_Data!N$2:N$2013)</f>
        <v>13370000000</v>
      </c>
      <c r="J222" s="4" t="str">
        <f>IFERROR(__xludf.DUMMYFUNCTION("""COMPUTED_VALUE"""),"Ford")</f>
        <v>Ford</v>
      </c>
      <c r="K222" s="4">
        <f>IFERROR(__xludf.DUMMYFUNCTION("""COMPUTED_VALUE"""),4.873E9)</f>
        <v>4873000000</v>
      </c>
      <c r="L222" s="4">
        <f>IFERROR(__xludf.DUMMYFUNCTION("""COMPUTED_VALUE"""),1.36433E11)</f>
        <v>136433000000</v>
      </c>
      <c r="O222" s="4" t="s">
        <v>440</v>
      </c>
      <c r="P222" s="4">
        <f>SUMIF(Cleaned_Data!C$2:C$2013,O222,Cleaned_Data!K$2:K$2013)</f>
        <v>4873000000</v>
      </c>
      <c r="Q222" s="4">
        <f>SUMIF(Cleaned_Data!C$2:C$2013,O222,Cleaned_Data!N$2:N$2013)</f>
        <v>136433000000</v>
      </c>
      <c r="R222" s="6">
        <f t="shared" si="5"/>
        <v>0.0357171652</v>
      </c>
    </row>
    <row r="223">
      <c r="D223" s="4" t="s">
        <v>484</v>
      </c>
      <c r="E223" s="4">
        <f>SUMIF(Cleaned_Data!C$2:C$2013,D223,Cleaned_Data!N$2:N$2013)</f>
        <v>6868449000</v>
      </c>
      <c r="J223" s="4" t="str">
        <f>IFERROR(__xludf.DUMMYFUNCTION("""COMPUTED_VALUE"""),"Fortinet")</f>
        <v>Fortinet</v>
      </c>
      <c r="K223" s="4">
        <f>IFERROR(__xludf.DUMMYFUNCTION("""COMPUTED_VALUE"""),5.608E8)</f>
        <v>560800000</v>
      </c>
      <c r="L223" s="4">
        <f>IFERROR(__xludf.DUMMYFUNCTION("""COMPUTED_VALUE"""),2.9105E9)</f>
        <v>2910500000</v>
      </c>
      <c r="O223" s="4" t="s">
        <v>442</v>
      </c>
      <c r="P223" s="4">
        <f>SUMIF(Cleaned_Data!C$2:C$2013,O223,Cleaned_Data!K$2:K$2013)</f>
        <v>560800000</v>
      </c>
      <c r="Q223" s="4">
        <f>SUMIF(Cleaned_Data!C$2:C$2013,O223,Cleaned_Data!N$2:N$2013)</f>
        <v>2910500000</v>
      </c>
      <c r="R223" s="6">
        <f t="shared" si="5"/>
        <v>0.1926816698</v>
      </c>
    </row>
    <row r="224">
      <c r="D224" s="4" t="s">
        <v>486</v>
      </c>
      <c r="E224" s="4">
        <f>SUMIF(Cleaned_Data!C$2:C$2013,D224,Cleaned_Data!N$2:N$2013)</f>
        <v>5936594000</v>
      </c>
      <c r="J224" s="4" t="str">
        <f>IFERROR(__xludf.DUMMYFUNCTION("""COMPUTED_VALUE"""),"Fortive")</f>
        <v>Fortive</v>
      </c>
      <c r="K224" s="4">
        <f>IFERROR(__xludf.DUMMYFUNCTION("""COMPUTED_VALUE"""),6.469E8)</f>
        <v>646900000</v>
      </c>
      <c r="L224" s="4">
        <f>IFERROR(__xludf.DUMMYFUNCTION("""COMPUTED_VALUE"""),3.9286E9)</f>
        <v>3928600000</v>
      </c>
      <c r="O224" s="4" t="s">
        <v>444</v>
      </c>
      <c r="P224" s="4">
        <f>SUMIF(Cleaned_Data!C$2:C$2013,O224,Cleaned_Data!K$2:K$2013)</f>
        <v>646900000</v>
      </c>
      <c r="Q224" s="4">
        <f>SUMIF(Cleaned_Data!C$2:C$2013,O224,Cleaned_Data!N$2:N$2013)</f>
        <v>3928600000</v>
      </c>
      <c r="R224" s="6">
        <f t="shared" si="5"/>
        <v>0.164664257</v>
      </c>
    </row>
    <row r="225">
      <c r="D225" s="4" t="s">
        <v>488</v>
      </c>
      <c r="E225" s="4">
        <f>SUMIF(Cleaned_Data!C$2:C$2013,D225,Cleaned_Data!N$2:N$2013)</f>
        <v>56016000000</v>
      </c>
      <c r="J225" s="4" t="str">
        <f>IFERROR(__xludf.DUMMYFUNCTION("""COMPUTED_VALUE"""),"Fortune Brands Home &amp; Security")</f>
        <v>Fortune Brands Home &amp; Security</v>
      </c>
      <c r="K225" s="4">
        <f>IFERROR(__xludf.DUMMYFUNCTION("""COMPUTED_VALUE"""),1.0408E9)</f>
        <v>1040800000</v>
      </c>
      <c r="L225" s="4">
        <f>IFERROR(__xludf.DUMMYFUNCTION("""COMPUTED_VALUE"""),7.0189E9)</f>
        <v>7018900000</v>
      </c>
      <c r="O225" s="4" t="s">
        <v>446</v>
      </c>
      <c r="P225" s="4">
        <f>SUMIF(Cleaned_Data!C$2:C$2013,O225,Cleaned_Data!K$2:K$2013)</f>
        <v>1040800000</v>
      </c>
      <c r="Q225" s="4">
        <f>SUMIF(Cleaned_Data!C$2:C$2013,O225,Cleaned_Data!N$2:N$2013)</f>
        <v>7018900000</v>
      </c>
      <c r="R225" s="6">
        <f t="shared" si="5"/>
        <v>0.1482853439</v>
      </c>
    </row>
    <row r="226">
      <c r="D226" s="4" t="s">
        <v>490</v>
      </c>
      <c r="E226" s="4">
        <f>SUMIF(Cleaned_Data!C$2:C$2013,D226,Cleaned_Data!N$2:N$2013)</f>
        <v>1960950000</v>
      </c>
      <c r="J226" s="4" t="str">
        <f>IFERROR(__xludf.DUMMYFUNCTION("""COMPUTED_VALUE"""),"Fox Corporation (Class A)")</f>
        <v>Fox Corporation (Class A)</v>
      </c>
      <c r="K226" s="4">
        <f>IFERROR(__xludf.DUMMYFUNCTION("""COMPUTED_VALUE"""),2.765E9)</f>
        <v>2765000000</v>
      </c>
      <c r="L226" s="4">
        <f>IFERROR(__xludf.DUMMYFUNCTION("""COMPUTED_VALUE"""),1.2909E10)</f>
        <v>12909000000</v>
      </c>
      <c r="O226" s="4" t="s">
        <v>448</v>
      </c>
      <c r="P226" s="4">
        <f>SUMIF(Cleaned_Data!C$2:C$2013,O226,Cleaned_Data!K$2:K$2013)</f>
        <v>2765000000</v>
      </c>
      <c r="Q226" s="4">
        <f>SUMIF(Cleaned_Data!C$2:C$2013,O226,Cleaned_Data!N$2:N$2013)</f>
        <v>12909000000</v>
      </c>
      <c r="R226" s="6">
        <f t="shared" si="5"/>
        <v>0.2141916492</v>
      </c>
    </row>
    <row r="227">
      <c r="D227" s="4" t="s">
        <v>492</v>
      </c>
      <c r="E227" s="4">
        <f>SUMIF(Cleaned_Data!C$2:C$2013,D227,Cleaned_Data!N$2:N$2013)</f>
        <v>10615231000</v>
      </c>
      <c r="J227" s="4" t="str">
        <f>IFERROR(__xludf.DUMMYFUNCTION("""COMPUTED_VALUE"""),"Fox Corporation (Class B)")</f>
        <v>Fox Corporation (Class B)</v>
      </c>
      <c r="K227" s="4">
        <f>IFERROR(__xludf.DUMMYFUNCTION("""COMPUTED_VALUE"""),2.765E9)</f>
        <v>2765000000</v>
      </c>
      <c r="L227" s="4">
        <f>IFERROR(__xludf.DUMMYFUNCTION("""COMPUTED_VALUE"""),1.2909E10)</f>
        <v>12909000000</v>
      </c>
      <c r="O227" s="4" t="s">
        <v>450</v>
      </c>
      <c r="P227" s="4">
        <f>SUMIF(Cleaned_Data!C$2:C$2013,O227,Cleaned_Data!K$2:K$2013)</f>
        <v>2765000000</v>
      </c>
      <c r="Q227" s="4">
        <f>SUMIF(Cleaned_Data!C$2:C$2013,O227,Cleaned_Data!N$2:N$2013)</f>
        <v>12909000000</v>
      </c>
      <c r="R227" s="6">
        <f t="shared" si="5"/>
        <v>0.2141916492</v>
      </c>
    </row>
    <row r="228">
      <c r="D228" s="4" t="s">
        <v>494</v>
      </c>
      <c r="E228" s="4">
        <f>SUMIF(Cleaned_Data!C$2:C$2013,D228,Cleaned_Data!N$2:N$2013)</f>
        <v>5810000000</v>
      </c>
      <c r="J228" s="4" t="str">
        <f>IFERROR(__xludf.DUMMYFUNCTION("""COMPUTED_VALUE"""),"Franklin Resources")</f>
        <v>Franklin Resources</v>
      </c>
      <c r="K228" s="4">
        <f>IFERROR(__xludf.DUMMYFUNCTION("""COMPUTED_VALUE"""),1.9312E9)</f>
        <v>1931200000</v>
      </c>
      <c r="L228" s="4">
        <f>IFERROR(__xludf.DUMMYFUNCTION("""COMPUTED_VALUE"""),7.8719E9)</f>
        <v>7871900000</v>
      </c>
      <c r="O228" s="4" t="s">
        <v>452</v>
      </c>
      <c r="P228" s="4">
        <f>SUMIF(Cleaned_Data!C$2:C$2013,O228,Cleaned_Data!K$2:K$2013)</f>
        <v>1931200000</v>
      </c>
      <c r="Q228" s="4">
        <f>SUMIF(Cleaned_Data!C$2:C$2013,O228,Cleaned_Data!N$2:N$2013)</f>
        <v>7871900000</v>
      </c>
      <c r="R228" s="6">
        <f t="shared" si="5"/>
        <v>0.2453283197</v>
      </c>
    </row>
    <row r="229">
      <c r="D229" s="4" t="s">
        <v>496</v>
      </c>
      <c r="E229" s="4">
        <f>SUMIF(Cleaned_Data!C$2:C$2013,D229,Cleaned_Data!N$2:N$2013)</f>
        <v>27638000000</v>
      </c>
      <c r="J229" s="4" t="str">
        <f>IFERROR(__xludf.DUMMYFUNCTION("""COMPUTED_VALUE"""),"Freeport-McMoRan")</f>
        <v>Freeport-McMoRan</v>
      </c>
      <c r="K229" s="4">
        <f>IFERROR(__xludf.DUMMYFUNCTION("""COMPUTED_VALUE"""),5.916E9)</f>
        <v>5916000000</v>
      </c>
      <c r="L229" s="4">
        <f>IFERROR(__xludf.DUMMYFUNCTION("""COMPUTED_VALUE"""),1.8944E10)</f>
        <v>18944000000</v>
      </c>
      <c r="O229" s="4" t="s">
        <v>454</v>
      </c>
      <c r="P229" s="4">
        <f>SUMIF(Cleaned_Data!C$2:C$2013,O229,Cleaned_Data!K$2:K$2013)</f>
        <v>5916000000</v>
      </c>
      <c r="Q229" s="4">
        <f>SUMIF(Cleaned_Data!C$2:C$2013,O229,Cleaned_Data!N$2:N$2013)</f>
        <v>18944000000</v>
      </c>
      <c r="R229" s="6">
        <f t="shared" si="5"/>
        <v>0.3122888514</v>
      </c>
    </row>
    <row r="230">
      <c r="D230" s="4" t="s">
        <v>498</v>
      </c>
      <c r="E230" s="4">
        <f>SUMIF(Cleaned_Data!C$2:C$2013,D230,Cleaned_Data!N$2:N$2013)</f>
        <v>1298000000</v>
      </c>
      <c r="J230" s="4" t="str">
        <f>IFERROR(__xludf.DUMMYFUNCTION("""COMPUTED_VALUE"""),"Gap")</f>
        <v>Gap</v>
      </c>
      <c r="K230" s="4">
        <f>IFERROR(__xludf.DUMMYFUNCTION("""COMPUTED_VALUE"""),9.81E8)</f>
        <v>981000000</v>
      </c>
      <c r="L230" s="4">
        <f>IFERROR(__xludf.DUMMYFUNCTION("""COMPUTED_VALUE"""),1.662E10)</f>
        <v>16620000000</v>
      </c>
      <c r="O230" s="4" t="s">
        <v>456</v>
      </c>
      <c r="P230" s="4">
        <f>SUMIF(Cleaned_Data!C$2:C$2013,O230,Cleaned_Data!K$2:K$2013)</f>
        <v>981000000</v>
      </c>
      <c r="Q230" s="4">
        <f>SUMIF(Cleaned_Data!C$2:C$2013,O230,Cleaned_Data!N$2:N$2013)</f>
        <v>16620000000</v>
      </c>
      <c r="R230" s="6">
        <f t="shared" si="5"/>
        <v>0.05902527076</v>
      </c>
    </row>
    <row r="231">
      <c r="D231" s="4" t="s">
        <v>500</v>
      </c>
      <c r="E231" s="4">
        <f>SUMIF(Cleaned_Data!C$2:C$2013,D231,Cleaned_Data!N$2:N$2013)</f>
        <v>5662600000</v>
      </c>
      <c r="J231" s="4" t="str">
        <f>IFERROR(__xludf.DUMMYFUNCTION("""COMPUTED_VALUE"""),"Garmin")</f>
        <v>Garmin</v>
      </c>
      <c r="K231" s="4">
        <f>IFERROR(__xludf.DUMMYFUNCTION("""COMPUTED_VALUE"""),1.309199E9)</f>
        <v>1309199000</v>
      </c>
      <c r="L231" s="4">
        <f>IFERROR(__xludf.DUMMYFUNCTION("""COMPUTED_VALUE"""),4.859831E9)</f>
        <v>4859831000</v>
      </c>
      <c r="O231" s="4" t="s">
        <v>458</v>
      </c>
      <c r="P231" s="4">
        <f>SUMIF(Cleaned_Data!C$2:C$2013,O231,Cleaned_Data!K$2:K$2013)</f>
        <v>1309199000</v>
      </c>
      <c r="Q231" s="4">
        <f>SUMIF(Cleaned_Data!C$2:C$2013,O231,Cleaned_Data!N$2:N$2013)</f>
        <v>4859831000</v>
      </c>
      <c r="R231" s="6">
        <f t="shared" si="5"/>
        <v>0.269391878</v>
      </c>
    </row>
    <row r="232">
      <c r="D232" s="4" t="s">
        <v>502</v>
      </c>
      <c r="E232" s="4">
        <f>SUMIF(Cleaned_Data!C$2:C$2013,D232,Cleaned_Data!N$2:N$2013)</f>
        <v>144415000000</v>
      </c>
      <c r="J232" s="4" t="str">
        <f>IFERROR(__xludf.DUMMYFUNCTION("""COMPUTED_VALUE"""),"Gartner")</f>
        <v>Gartner</v>
      </c>
      <c r="K232" s="4">
        <f>IFERROR(__xludf.DUMMYFUNCTION("""COMPUTED_VALUE"""),7.78315E8)</f>
        <v>778315000</v>
      </c>
      <c r="L232" s="4">
        <f>IFERROR(__xludf.DUMMYFUNCTION("""COMPUTED_VALUE"""),4.378734E9)</f>
        <v>4378734000</v>
      </c>
      <c r="O232" s="4" t="s">
        <v>460</v>
      </c>
      <c r="P232" s="4">
        <f>SUMIF(Cleaned_Data!C$2:C$2013,O232,Cleaned_Data!K$2:K$2013)</f>
        <v>778315000</v>
      </c>
      <c r="Q232" s="4">
        <f>SUMIF(Cleaned_Data!C$2:C$2013,O232,Cleaned_Data!N$2:N$2013)</f>
        <v>4378734000</v>
      </c>
      <c r="R232" s="6">
        <f t="shared" si="5"/>
        <v>0.1777488653</v>
      </c>
    </row>
    <row r="233">
      <c r="D233" s="4" t="s">
        <v>504</v>
      </c>
      <c r="E233" s="4">
        <f>SUMIF(Cleaned_Data!C$2:C$2013,D233,Cleaned_Data!N$2:N$2013)</f>
        <v>33959000000</v>
      </c>
      <c r="J233" s="4" t="str">
        <f>IFERROR(__xludf.DUMMYFUNCTION("""COMPUTED_VALUE"""),"Generac Holdings")</f>
        <v>Generac Holdings</v>
      </c>
      <c r="K233" s="4">
        <f>IFERROR(__xludf.DUMMYFUNCTION("""COMPUTED_VALUE"""),6.11386E8)</f>
        <v>611386000</v>
      </c>
      <c r="L233" s="4">
        <f>IFERROR(__xludf.DUMMYFUNCTION("""COMPUTED_VALUE"""),2.816719E9)</f>
        <v>2816719000</v>
      </c>
      <c r="O233" s="4" t="s">
        <v>462</v>
      </c>
      <c r="P233" s="4">
        <f>SUMIF(Cleaned_Data!C$2:C$2013,O233,Cleaned_Data!K$2:K$2013)</f>
        <v>611386000</v>
      </c>
      <c r="Q233" s="4">
        <f>SUMIF(Cleaned_Data!C$2:C$2013,O233,Cleaned_Data!N$2:N$2013)</f>
        <v>2816719000</v>
      </c>
      <c r="R233" s="6">
        <f t="shared" si="5"/>
        <v>0.2170560855</v>
      </c>
    </row>
    <row r="234">
      <c r="D234" s="4" t="s">
        <v>506</v>
      </c>
      <c r="E234" s="4">
        <f>SUMIF(Cleaned_Data!C$2:C$2013,D234,Cleaned_Data!N$2:N$2013)</f>
        <v>10351543000</v>
      </c>
      <c r="J234" s="4" t="str">
        <f>IFERROR(__xludf.DUMMYFUNCTION("""COMPUTED_VALUE"""),"General Dynamics")</f>
        <v>General Dynamics</v>
      </c>
      <c r="K234" s="4">
        <f>IFERROR(__xludf.DUMMYFUNCTION("""COMPUTED_VALUE"""),4.386E9)</f>
        <v>4386000000</v>
      </c>
      <c r="L234" s="4">
        <f>IFERROR(__xludf.DUMMYFUNCTION("""COMPUTED_VALUE"""),3.8521E10)</f>
        <v>38521000000</v>
      </c>
      <c r="O234" s="4" t="s">
        <v>464</v>
      </c>
      <c r="P234" s="4">
        <f>SUMIF(Cleaned_Data!C$2:C$2013,O234,Cleaned_Data!K$2:K$2013)</f>
        <v>4386000000</v>
      </c>
      <c r="Q234" s="4">
        <f>SUMIF(Cleaned_Data!C$2:C$2013,O234,Cleaned_Data!N$2:N$2013)</f>
        <v>38521000000</v>
      </c>
      <c r="R234" s="6">
        <f t="shared" si="5"/>
        <v>0.1138599725</v>
      </c>
    </row>
    <row r="235">
      <c r="D235" s="4" t="s">
        <v>508</v>
      </c>
      <c r="E235" s="4">
        <f>SUMIF(Cleaned_Data!C$2:C$2013,D235,Cleaned_Data!N$2:N$2013)</f>
        <v>942000000</v>
      </c>
      <c r="J235" s="4" t="str">
        <f>IFERROR(__xludf.DUMMYFUNCTION("""COMPUTED_VALUE"""),"General Electric")</f>
        <v>General Electric</v>
      </c>
      <c r="K235" s="4">
        <f>IFERROR(__xludf.DUMMYFUNCTION("""COMPUTED_VALUE"""),1.768E9)</f>
        <v>1768000000</v>
      </c>
      <c r="L235" s="4">
        <f>IFERROR(__xludf.DUMMYFUNCTION("""COMPUTED_VALUE"""),7.6743E10)</f>
        <v>76743000000</v>
      </c>
      <c r="O235" s="4" t="s">
        <v>466</v>
      </c>
      <c r="P235" s="4">
        <f>SUMIF(Cleaned_Data!C$2:C$2013,O235,Cleaned_Data!K$2:K$2013)</f>
        <v>1768000000</v>
      </c>
      <c r="Q235" s="4">
        <f>SUMIF(Cleaned_Data!C$2:C$2013,O235,Cleaned_Data!N$2:N$2013)</f>
        <v>76743000000</v>
      </c>
      <c r="R235" s="6">
        <f t="shared" si="5"/>
        <v>0.0230379318</v>
      </c>
    </row>
    <row r="236">
      <c r="D236" s="4" t="s">
        <v>510</v>
      </c>
      <c r="E236" s="4">
        <f>SUMIF(Cleaned_Data!C$2:C$2013,D236,Cleaned_Data!N$2:N$2013)</f>
        <v>3625000000</v>
      </c>
      <c r="J236" s="4" t="str">
        <f>IFERROR(__xludf.DUMMYFUNCTION("""COMPUTED_VALUE"""),"General Mills")</f>
        <v>General Mills</v>
      </c>
      <c r="K236" s="4">
        <f>IFERROR(__xludf.DUMMYFUNCTION("""COMPUTED_VALUE"""),3.5039E9)</f>
        <v>3503900000</v>
      </c>
      <c r="L236" s="4">
        <f>IFERROR(__xludf.DUMMYFUNCTION("""COMPUTED_VALUE"""),1.8127E10)</f>
        <v>18127000000</v>
      </c>
      <c r="O236" s="4" t="s">
        <v>468</v>
      </c>
      <c r="P236" s="4">
        <f>SUMIF(Cleaned_Data!C$2:C$2013,O236,Cleaned_Data!K$2:K$2013)</f>
        <v>3503900000</v>
      </c>
      <c r="Q236" s="4">
        <f>SUMIF(Cleaned_Data!C$2:C$2013,O236,Cleaned_Data!N$2:N$2013)</f>
        <v>18127000000</v>
      </c>
      <c r="R236" s="6">
        <f t="shared" si="5"/>
        <v>0.1932972913</v>
      </c>
    </row>
    <row r="237">
      <c r="D237" s="4" t="s">
        <v>512</v>
      </c>
      <c r="E237" s="4">
        <f>SUMIF(Cleaned_Data!C$2:C$2013,D237,Cleaned_Data!N$2:N$2013)</f>
        <v>62070000000</v>
      </c>
      <c r="J237" s="4" t="str">
        <f>IFERROR(__xludf.DUMMYFUNCTION("""COMPUTED_VALUE"""),"General Motors")</f>
        <v>General Motors</v>
      </c>
      <c r="K237" s="4">
        <f>IFERROR(__xludf.DUMMYFUNCTION("""COMPUTED_VALUE"""),1.5132E10)</f>
        <v>15132000000</v>
      </c>
      <c r="L237" s="4">
        <f>IFERROR(__xludf.DUMMYFUNCTION("""COMPUTED_VALUE"""),1.39639E11)</f>
        <v>139639000000</v>
      </c>
      <c r="O237" s="4" t="s">
        <v>470</v>
      </c>
      <c r="P237" s="4">
        <f>SUMIF(Cleaned_Data!C$2:C$2013,O237,Cleaned_Data!K$2:K$2013)</f>
        <v>15132000000</v>
      </c>
      <c r="Q237" s="4">
        <f>SUMIF(Cleaned_Data!C$2:C$2013,O237,Cleaned_Data!N$2:N$2013)</f>
        <v>139639000000</v>
      </c>
      <c r="R237" s="6">
        <f t="shared" si="5"/>
        <v>0.1083651415</v>
      </c>
    </row>
    <row r="238">
      <c r="D238" s="4" t="s">
        <v>514</v>
      </c>
      <c r="E238" s="4">
        <f>SUMIF(Cleaned_Data!C$2:C$2013,D238,Cleaned_Data!N$2:N$2013)</f>
        <v>78888000000</v>
      </c>
      <c r="J238" s="4" t="str">
        <f>IFERROR(__xludf.DUMMYFUNCTION("""COMPUTED_VALUE"""),"Genuine Parts")</f>
        <v>Genuine Parts</v>
      </c>
      <c r="K238" s="4">
        <f>IFERROR(__xludf.DUMMYFUNCTION("""COMPUTED_VALUE"""),1.199676E9)</f>
        <v>1199676000</v>
      </c>
      <c r="L238" s="4">
        <f>IFERROR(__xludf.DUMMYFUNCTION("""COMPUTED_VALUE"""),1.7870132E10)</f>
        <v>17870132000</v>
      </c>
      <c r="O238" s="4" t="s">
        <v>472</v>
      </c>
      <c r="P238" s="4">
        <f>SUMIF(Cleaned_Data!C$2:C$2013,O238,Cleaned_Data!K$2:K$2013)</f>
        <v>1199676000</v>
      </c>
      <c r="Q238" s="4">
        <f>SUMIF(Cleaned_Data!C$2:C$2013,O238,Cleaned_Data!N$2:N$2013)</f>
        <v>17870132000</v>
      </c>
      <c r="R238" s="6">
        <f t="shared" si="5"/>
        <v>0.06713302398</v>
      </c>
    </row>
    <row r="239">
      <c r="D239" s="4" t="s">
        <v>516</v>
      </c>
      <c r="E239" s="4">
        <f>SUMIF(Cleaned_Data!C$2:C$2013,D239,Cleaned_Data!N$2:N$2013)</f>
        <v>4693000000</v>
      </c>
      <c r="J239" s="4" t="str">
        <f>IFERROR(__xludf.DUMMYFUNCTION("""COMPUTED_VALUE"""),"Gilead Sciences")</f>
        <v>Gilead Sciences</v>
      </c>
      <c r="K239" s="4">
        <f>IFERROR(__xludf.DUMMYFUNCTION("""COMPUTED_VALUE"""),1.2393E10)</f>
        <v>12393000000</v>
      </c>
      <c r="L239" s="4">
        <f>IFERROR(__xludf.DUMMYFUNCTION("""COMPUTED_VALUE"""),2.6638E10)</f>
        <v>26638000000</v>
      </c>
      <c r="O239" s="4" t="s">
        <v>474</v>
      </c>
      <c r="P239" s="4">
        <f>SUMIF(Cleaned_Data!C$2:C$2013,O239,Cleaned_Data!K$2:K$2013)</f>
        <v>12393000000</v>
      </c>
      <c r="Q239" s="4">
        <f>SUMIF(Cleaned_Data!C$2:C$2013,O239,Cleaned_Data!N$2:N$2013)</f>
        <v>26638000000</v>
      </c>
      <c r="R239" s="6">
        <f t="shared" si="5"/>
        <v>0.4652376305</v>
      </c>
    </row>
    <row r="240">
      <c r="D240" s="4" t="s">
        <v>518</v>
      </c>
      <c r="E240" s="4">
        <f>SUMIF(Cleaned_Data!C$2:C$2013,D240,Cleaned_Data!N$2:N$2013)</f>
        <v>9580000000</v>
      </c>
      <c r="J240" s="4" t="str">
        <f>IFERROR(__xludf.DUMMYFUNCTION("""COMPUTED_VALUE"""),"Global Payments")</f>
        <v>Global Payments</v>
      </c>
      <c r="K240" s="4">
        <f>IFERROR(__xludf.DUMMYFUNCTION("""COMPUTED_VALUE"""),1.472118E9)</f>
        <v>1472118000</v>
      </c>
      <c r="L240" s="4">
        <f>IFERROR(__xludf.DUMMYFUNCTION("""COMPUTED_VALUE"""),7.975452E9)</f>
        <v>7975452000</v>
      </c>
      <c r="O240" s="4" t="s">
        <v>476</v>
      </c>
      <c r="P240" s="4">
        <f>SUMIF(Cleaned_Data!C$2:C$2013,O240,Cleaned_Data!K$2:K$2013)</f>
        <v>1472118000</v>
      </c>
      <c r="Q240" s="4">
        <f>SUMIF(Cleaned_Data!C$2:C$2013,O240,Cleaned_Data!N$2:N$2013)</f>
        <v>7975452000</v>
      </c>
      <c r="R240" s="6">
        <f t="shared" si="5"/>
        <v>0.1845811372</v>
      </c>
    </row>
    <row r="241">
      <c r="D241" s="4" t="s">
        <v>520</v>
      </c>
      <c r="E241" s="4">
        <f>SUMIF(Cleaned_Data!C$2:C$2013,D241,Cleaned_Data!N$2:N$2013)</f>
        <v>74403000000</v>
      </c>
      <c r="J241" s="4" t="str">
        <f>IFERROR(__xludf.DUMMYFUNCTION("""COMPUTED_VALUE"""),"Globe Life")</f>
        <v>Globe Life</v>
      </c>
      <c r="K241" s="4">
        <f>IFERROR(__xludf.DUMMYFUNCTION("""COMPUTED_VALUE"""),1.036417E9)</f>
        <v>1036417000</v>
      </c>
      <c r="L241" s="4">
        <f>IFERROR(__xludf.DUMMYFUNCTION("""COMPUTED_VALUE"""),4.961654E9)</f>
        <v>4961654000</v>
      </c>
      <c r="O241" s="4" t="s">
        <v>478</v>
      </c>
      <c r="P241" s="4">
        <f>SUMIF(Cleaned_Data!C$2:C$2013,O241,Cleaned_Data!K$2:K$2013)</f>
        <v>1036417000</v>
      </c>
      <c r="Q241" s="4">
        <f>SUMIF(Cleaned_Data!C$2:C$2013,O241,Cleaned_Data!N$2:N$2013)</f>
        <v>4961654000</v>
      </c>
      <c r="R241" s="6">
        <f t="shared" si="5"/>
        <v>0.2088853838</v>
      </c>
    </row>
    <row r="242">
      <c r="D242" s="4" t="s">
        <v>521</v>
      </c>
      <c r="E242" s="4">
        <f>SUMIF(Cleaned_Data!C$2:C$2013,D242,Cleaned_Data!N$2:N$2013)</f>
        <v>2533918000</v>
      </c>
      <c r="J242" s="4" t="str">
        <f>IFERROR(__xludf.DUMMYFUNCTION("""COMPUTED_VALUE"""),"Goldman Sachs")</f>
        <v>Goldman Sachs</v>
      </c>
      <c r="K242" s="4">
        <f>IFERROR(__xludf.DUMMYFUNCTION("""COMPUTED_VALUE"""),2.5593E10)</f>
        <v>25593000000</v>
      </c>
      <c r="L242" s="4">
        <f>IFERROR(__xludf.DUMMYFUNCTION("""COMPUTED_VALUE"""),5.5205E10)</f>
        <v>55205000000</v>
      </c>
      <c r="O242" s="4" t="s">
        <v>480</v>
      </c>
      <c r="P242" s="4">
        <f>SUMIF(Cleaned_Data!C$2:C$2013,O242,Cleaned_Data!K$2:K$2013)</f>
        <v>25593000000</v>
      </c>
      <c r="Q242" s="4">
        <f>SUMIF(Cleaned_Data!C$2:C$2013,O242,Cleaned_Data!N$2:N$2013)</f>
        <v>55205000000</v>
      </c>
      <c r="R242" s="6">
        <f t="shared" si="5"/>
        <v>0.4635993117</v>
      </c>
    </row>
    <row r="243">
      <c r="D243" s="4" t="s">
        <v>523</v>
      </c>
      <c r="E243" s="4">
        <f>SUMIF(Cleaned_Data!C$2:C$2013,D243,Cleaned_Data!N$2:N$2013)</f>
        <v>3046576000</v>
      </c>
      <c r="J243" s="4" t="str">
        <f>IFERROR(__xludf.DUMMYFUNCTION("""COMPUTED_VALUE"""),"HCA Healthcare")</f>
        <v>HCA Healthcare</v>
      </c>
      <c r="K243" s="4">
        <f>IFERROR(__xludf.DUMMYFUNCTION("""COMPUTED_VALUE"""),9.35E9)</f>
        <v>9350000000</v>
      </c>
      <c r="L243" s="4">
        <f>IFERROR(__xludf.DUMMYFUNCTION("""COMPUTED_VALUE"""),5.6016E10)</f>
        <v>56016000000</v>
      </c>
      <c r="O243" s="4" t="s">
        <v>482</v>
      </c>
      <c r="P243" s="4">
        <f>SUMIF(Cleaned_Data!C$2:C$2013,O243,Cleaned_Data!K$2:K$2013)</f>
        <v>1322000000</v>
      </c>
      <c r="Q243" s="4">
        <f>SUMIF(Cleaned_Data!C$2:C$2013,O243,Cleaned_Data!N$2:N$2013)</f>
        <v>13370000000</v>
      </c>
      <c r="R243" s="6">
        <f t="shared" si="5"/>
        <v>0.09887808527</v>
      </c>
    </row>
    <row r="244">
      <c r="D244" s="4" t="s">
        <v>525</v>
      </c>
      <c r="E244" s="4">
        <f>SUMIF(Cleaned_Data!C$2:C$2013,D244,Cleaned_Data!N$2:N$2013)</f>
        <v>4481700000</v>
      </c>
      <c r="J244" s="4" t="str">
        <f>IFERROR(__xludf.DUMMYFUNCTION("""COMPUTED_VALUE"""),"HP")</f>
        <v>HP</v>
      </c>
      <c r="K244" s="4">
        <f>IFERROR(__xludf.DUMMYFUNCTION("""COMPUTED_VALUE"""),5.408E9)</f>
        <v>5408000000</v>
      </c>
      <c r="L244" s="4">
        <f>IFERROR(__xludf.DUMMYFUNCTION("""COMPUTED_VALUE"""),6.207E10)</f>
        <v>62070000000</v>
      </c>
      <c r="O244" s="4" t="s">
        <v>484</v>
      </c>
      <c r="P244" s="4">
        <f>SUMIF(Cleaned_Data!C$2:C$2013,O244,Cleaned_Data!K$2:K$2013)</f>
        <v>851027000</v>
      </c>
      <c r="Q244" s="4">
        <f>SUMIF(Cleaned_Data!C$2:C$2013,O244,Cleaned_Data!N$2:N$2013)</f>
        <v>6868449000</v>
      </c>
      <c r="R244" s="6">
        <f t="shared" si="5"/>
        <v>0.12390381</v>
      </c>
    </row>
    <row r="245">
      <c r="D245" s="4" t="s">
        <v>527</v>
      </c>
      <c r="E245" s="4">
        <f>SUMIF(Cleaned_Data!C$2:C$2013,D245,Cleaned_Data!N$2:N$2013)</f>
        <v>12890000000</v>
      </c>
      <c r="J245" s="4" t="str">
        <f>IFERROR(__xludf.DUMMYFUNCTION("""COMPUTED_VALUE"""),"Halliburton")</f>
        <v>Halliburton</v>
      </c>
      <c r="K245" s="4">
        <f>IFERROR(__xludf.DUMMYFUNCTION("""COMPUTED_VALUE"""),1.322E9)</f>
        <v>1322000000</v>
      </c>
      <c r="L245" s="4">
        <f>IFERROR(__xludf.DUMMYFUNCTION("""COMPUTED_VALUE"""),1.337E10)</f>
        <v>13370000000</v>
      </c>
      <c r="O245" s="4" t="s">
        <v>486</v>
      </c>
      <c r="P245" s="4">
        <f>SUMIF(Cleaned_Data!C$2:C$2013,O245,Cleaned_Data!K$2:K$2013)</f>
        <v>902890000</v>
      </c>
      <c r="Q245" s="4">
        <f>SUMIF(Cleaned_Data!C$2:C$2013,O245,Cleaned_Data!N$2:N$2013)</f>
        <v>5936594000</v>
      </c>
      <c r="R245" s="6">
        <f t="shared" si="5"/>
        <v>0.1520888914</v>
      </c>
    </row>
    <row r="246">
      <c r="D246" s="4" t="s">
        <v>529</v>
      </c>
      <c r="E246" s="4">
        <f>SUMIF(Cleaned_Data!C$2:C$2013,D246,Cleaned_Data!N$2:N$2013)</f>
        <v>3473000000</v>
      </c>
      <c r="J246" s="4" t="str">
        <f>IFERROR(__xludf.DUMMYFUNCTION("""COMPUTED_VALUE"""),"Hanesbrands")</f>
        <v>Hanesbrands</v>
      </c>
      <c r="K246" s="4">
        <f>IFERROR(__xludf.DUMMYFUNCTION("""COMPUTED_VALUE"""),8.51027E8)</f>
        <v>851027000</v>
      </c>
      <c r="L246" s="4">
        <f>IFERROR(__xludf.DUMMYFUNCTION("""COMPUTED_VALUE"""),6.868449E9)</f>
        <v>6868449000</v>
      </c>
      <c r="O246" s="4" t="s">
        <v>488</v>
      </c>
      <c r="P246" s="4">
        <f>SUMIF(Cleaned_Data!C$2:C$2013,O246,Cleaned_Data!K$2:K$2013)</f>
        <v>9350000000</v>
      </c>
      <c r="Q246" s="4">
        <f>SUMIF(Cleaned_Data!C$2:C$2013,O246,Cleaned_Data!N$2:N$2013)</f>
        <v>56016000000</v>
      </c>
      <c r="R246" s="6">
        <f t="shared" si="5"/>
        <v>0.1669165953</v>
      </c>
    </row>
    <row r="247">
      <c r="D247" s="4" t="s">
        <v>531</v>
      </c>
      <c r="E247" s="4">
        <f>SUMIF(Cleaned_Data!C$2:C$2013,D247,Cleaned_Data!N$2:N$2013)</f>
        <v>2720579000</v>
      </c>
      <c r="J247" s="4" t="str">
        <f>IFERROR(__xludf.DUMMYFUNCTION("""COMPUTED_VALUE"""),"Hasbro")</f>
        <v>Hasbro</v>
      </c>
      <c r="K247" s="4">
        <f>IFERROR(__xludf.DUMMYFUNCTION("""COMPUTED_VALUE"""),9.0289E8)</f>
        <v>902890000</v>
      </c>
      <c r="L247" s="4">
        <f>IFERROR(__xludf.DUMMYFUNCTION("""COMPUTED_VALUE"""),5.936594E9)</f>
        <v>5936594000</v>
      </c>
      <c r="O247" s="4" t="s">
        <v>490</v>
      </c>
      <c r="P247" s="4">
        <f>SUMIF(Cleaned_Data!C$2:C$2013,O247,Cleaned_Data!K$2:K$2013)</f>
        <v>333774000</v>
      </c>
      <c r="Q247" s="4">
        <f>SUMIF(Cleaned_Data!C$2:C$2013,O247,Cleaned_Data!N$2:N$2013)</f>
        <v>1960950000</v>
      </c>
      <c r="R247" s="6">
        <f t="shared" si="5"/>
        <v>0.1702103572</v>
      </c>
    </row>
    <row r="248">
      <c r="D248" s="4" t="s">
        <v>533</v>
      </c>
      <c r="E248" s="4">
        <f>SUMIF(Cleaned_Data!C$2:C$2013,D248,Cleaned_Data!N$2:N$2013)</f>
        <v>5254500000</v>
      </c>
      <c r="J248" s="4" t="str">
        <f>IFERROR(__xludf.DUMMYFUNCTION("""COMPUTED_VALUE"""),"Healthpeak Properties")</f>
        <v>Healthpeak Properties</v>
      </c>
      <c r="K248" s="4">
        <f>IFERROR(__xludf.DUMMYFUNCTION("""COMPUTED_VALUE"""),3.33774E8)</f>
        <v>333774000</v>
      </c>
      <c r="L248" s="4">
        <f>IFERROR(__xludf.DUMMYFUNCTION("""COMPUTED_VALUE"""),1.96095E9)</f>
        <v>1960950000</v>
      </c>
      <c r="O248" s="4" t="s">
        <v>492</v>
      </c>
      <c r="P248" s="4">
        <f>SUMIF(Cleaned_Data!C$2:C$2013,O248,Cleaned_Data!K$2:K$2013)</f>
        <v>600403000</v>
      </c>
      <c r="Q248" s="4">
        <f>SUMIF(Cleaned_Data!C$2:C$2013,O248,Cleaned_Data!N$2:N$2013)</f>
        <v>10615231000</v>
      </c>
      <c r="R248" s="6">
        <f t="shared" si="5"/>
        <v>0.05656052139</v>
      </c>
    </row>
    <row r="249">
      <c r="D249" s="4" t="s">
        <v>535</v>
      </c>
      <c r="E249" s="4">
        <f>SUMIF(Cleaned_Data!C$2:C$2013,D249,Cleaned_Data!N$2:N$2013)</f>
        <v>77615000000</v>
      </c>
      <c r="J249" s="4" t="str">
        <f>IFERROR(__xludf.DUMMYFUNCTION("""COMPUTED_VALUE"""),"Henry Schein")</f>
        <v>Henry Schein</v>
      </c>
      <c r="K249" s="4">
        <f>IFERROR(__xludf.DUMMYFUNCTION("""COMPUTED_VALUE"""),6.00403E8)</f>
        <v>600403000</v>
      </c>
      <c r="L249" s="4">
        <f>IFERROR(__xludf.DUMMYFUNCTION("""COMPUTED_VALUE"""),1.0615231E10)</f>
        <v>10615231000</v>
      </c>
      <c r="O249" s="4" t="s">
        <v>494</v>
      </c>
      <c r="P249" s="4">
        <f>SUMIF(Cleaned_Data!C$2:C$2013,O249,Cleaned_Data!K$2:K$2013)</f>
        <v>937000000</v>
      </c>
      <c r="Q249" s="4">
        <f>SUMIF(Cleaned_Data!C$2:C$2013,O249,Cleaned_Data!N$2:N$2013)</f>
        <v>5810000000</v>
      </c>
      <c r="R249" s="6">
        <f t="shared" si="5"/>
        <v>0.1612736661</v>
      </c>
    </row>
    <row r="250">
      <c r="D250" s="4" t="s">
        <v>537</v>
      </c>
      <c r="E250" s="4">
        <f>SUMIF(Cleaned_Data!C$2:C$2013,D250,Cleaned_Data!N$2:N$2013)</f>
        <v>6586000000</v>
      </c>
      <c r="J250" s="4" t="str">
        <f>IFERROR(__xludf.DUMMYFUNCTION("""COMPUTED_VALUE"""),"Hess Corporation")</f>
        <v>Hess Corporation</v>
      </c>
      <c r="K250" s="4">
        <f>IFERROR(__xludf.DUMMYFUNCTION("""COMPUTED_VALUE"""),9.37E8)</f>
        <v>937000000</v>
      </c>
      <c r="L250" s="4">
        <f>IFERROR(__xludf.DUMMYFUNCTION("""COMPUTED_VALUE"""),5.81E9)</f>
        <v>5810000000</v>
      </c>
      <c r="O250" s="4" t="s">
        <v>496</v>
      </c>
      <c r="P250" s="4">
        <f>SUMIF(Cleaned_Data!C$2:C$2013,O250,Cleaned_Data!K$2:K$2013)</f>
        <v>2166000000</v>
      </c>
      <c r="Q250" s="4">
        <f>SUMIF(Cleaned_Data!C$2:C$2013,O250,Cleaned_Data!N$2:N$2013)</f>
        <v>27638000000</v>
      </c>
      <c r="R250" s="6">
        <f t="shared" si="5"/>
        <v>0.07837035965</v>
      </c>
    </row>
    <row r="251">
      <c r="D251" s="4" t="s">
        <v>539</v>
      </c>
      <c r="E251" s="4">
        <f>SUMIF(Cleaned_Data!C$2:C$2013,D251,Cleaned_Data!N$2:N$2013)</f>
        <v>8092149000</v>
      </c>
      <c r="J251" s="4" t="str">
        <f>IFERROR(__xludf.DUMMYFUNCTION("""COMPUTED_VALUE"""),"Hewlett Packard Enterprise")</f>
        <v>Hewlett Packard Enterprise</v>
      </c>
      <c r="K251" s="4">
        <f>IFERROR(__xludf.DUMMYFUNCTION("""COMPUTED_VALUE"""),2.166E9)</f>
        <v>2166000000</v>
      </c>
      <c r="L251" s="4">
        <f>IFERROR(__xludf.DUMMYFUNCTION("""COMPUTED_VALUE"""),2.7638E10)</f>
        <v>27638000000</v>
      </c>
      <c r="O251" s="4" t="s">
        <v>498</v>
      </c>
      <c r="P251" s="4">
        <f>SUMIF(Cleaned_Data!C$2:C$2013,O251,Cleaned_Data!K$2:K$2013)</f>
        <v>-113000000</v>
      </c>
      <c r="Q251" s="4">
        <f>SUMIF(Cleaned_Data!C$2:C$2013,O251,Cleaned_Data!N$2:N$2013)</f>
        <v>1298000000</v>
      </c>
      <c r="R251" s="6">
        <f t="shared" si="5"/>
        <v>-0.08705701079</v>
      </c>
    </row>
    <row r="252">
      <c r="D252" s="4" t="s">
        <v>541</v>
      </c>
      <c r="E252" s="4">
        <f>SUMIF(Cleaned_Data!C$2:C$2013,D252,Cleaned_Data!N$2:N$2013)</f>
        <v>21341000000</v>
      </c>
      <c r="J252" s="4" t="str">
        <f>IFERROR(__xludf.DUMMYFUNCTION("""COMPUTED_VALUE"""),"Hilton Worldwide")</f>
        <v>Hilton Worldwide</v>
      </c>
      <c r="K252" s="4">
        <f>IFERROR(__xludf.DUMMYFUNCTION("""COMPUTED_VALUE"""),-1.13E8)</f>
        <v>-113000000</v>
      </c>
      <c r="L252" s="4">
        <f>IFERROR(__xludf.DUMMYFUNCTION("""COMPUTED_VALUE"""),1.298E9)</f>
        <v>1298000000</v>
      </c>
      <c r="O252" s="4" t="s">
        <v>500</v>
      </c>
      <c r="P252" s="4">
        <f>SUMIF(Cleaned_Data!C$2:C$2013,O252,Cleaned_Data!K$2:K$2013)</f>
        <v>2690800000</v>
      </c>
      <c r="Q252" s="4">
        <f>SUMIF(Cleaned_Data!C$2:C$2013,O252,Cleaned_Data!N$2:N$2013)</f>
        <v>5662600000</v>
      </c>
      <c r="R252" s="6">
        <f t="shared" si="5"/>
        <v>0.4751880761</v>
      </c>
    </row>
    <row r="253">
      <c r="D253" s="4" t="s">
        <v>543</v>
      </c>
      <c r="E253" s="4">
        <f>SUMIF(Cleaned_Data!C$2:C$2013,D253,Cleaned_Data!N$2:N$2013)</f>
        <v>8536300000</v>
      </c>
      <c r="J253" s="4" t="str">
        <f>IFERROR(__xludf.DUMMYFUNCTION("""COMPUTED_VALUE"""),"Hologic")</f>
        <v>Hologic</v>
      </c>
      <c r="K253" s="4">
        <f>IFERROR(__xludf.DUMMYFUNCTION("""COMPUTED_VALUE"""),2.6908E9)</f>
        <v>2690800000</v>
      </c>
      <c r="L253" s="4">
        <f>IFERROR(__xludf.DUMMYFUNCTION("""COMPUTED_VALUE"""),5.6626E9)</f>
        <v>5662600000</v>
      </c>
      <c r="O253" s="4" t="s">
        <v>502</v>
      </c>
      <c r="P253" s="4">
        <f>SUMIF(Cleaned_Data!C$2:C$2013,O253,Cleaned_Data!K$2:K$2013)</f>
        <v>22335000000</v>
      </c>
      <c r="Q253" s="4">
        <f>SUMIF(Cleaned_Data!C$2:C$2013,O253,Cleaned_Data!N$2:N$2013)</f>
        <v>144415000000</v>
      </c>
      <c r="R253" s="6">
        <f t="shared" si="5"/>
        <v>0.1546584496</v>
      </c>
    </row>
    <row r="254">
      <c r="D254" s="4" t="s">
        <v>545</v>
      </c>
      <c r="E254" s="4">
        <f>SUMIF(Cleaned_Data!C$2:C$2013,D254,Cleaned_Data!N$2:N$2013)</f>
        <v>8888000000</v>
      </c>
      <c r="J254" s="4" t="str">
        <f>IFERROR(__xludf.DUMMYFUNCTION("""COMPUTED_VALUE"""),"Home Depot")</f>
        <v>Home Depot</v>
      </c>
      <c r="K254" s="4">
        <f>IFERROR(__xludf.DUMMYFUNCTION("""COMPUTED_VALUE"""),2.2335E10)</f>
        <v>22335000000</v>
      </c>
      <c r="L254" s="4">
        <f>IFERROR(__xludf.DUMMYFUNCTION("""COMPUTED_VALUE"""),1.44415E11)</f>
        <v>144415000000</v>
      </c>
      <c r="O254" s="4" t="s">
        <v>504</v>
      </c>
      <c r="P254" s="4">
        <f>SUMIF(Cleaned_Data!C$2:C$2013,O254,Cleaned_Data!K$2:K$2013)</f>
        <v>7206000000</v>
      </c>
      <c r="Q254" s="4">
        <f>SUMIF(Cleaned_Data!C$2:C$2013,O254,Cleaned_Data!N$2:N$2013)</f>
        <v>33959000000</v>
      </c>
      <c r="R254" s="6">
        <f t="shared" si="5"/>
        <v>0.2121970612</v>
      </c>
    </row>
    <row r="255">
      <c r="D255" s="4" t="s">
        <v>547</v>
      </c>
      <c r="E255" s="4">
        <f>SUMIF(Cleaned_Data!C$2:C$2013,D255,Cleaned_Data!N$2:N$2013)</f>
        <v>4551000000</v>
      </c>
      <c r="J255" s="4" t="str">
        <f>IFERROR(__xludf.DUMMYFUNCTION("""COMPUTED_VALUE"""),"Honeywell")</f>
        <v>Honeywell</v>
      </c>
      <c r="K255" s="4">
        <f>IFERROR(__xludf.DUMMYFUNCTION("""COMPUTED_VALUE"""),7.206E9)</f>
        <v>7206000000</v>
      </c>
      <c r="L255" s="4">
        <f>IFERROR(__xludf.DUMMYFUNCTION("""COMPUTED_VALUE"""),3.3959E10)</f>
        <v>33959000000</v>
      </c>
      <c r="O255" s="4" t="s">
        <v>506</v>
      </c>
      <c r="P255" s="4">
        <f>SUMIF(Cleaned_Data!C$2:C$2013,O255,Cleaned_Data!K$2:K$2013)</f>
        <v>1137525000</v>
      </c>
      <c r="Q255" s="4">
        <f>SUMIF(Cleaned_Data!C$2:C$2013,O255,Cleaned_Data!N$2:N$2013)</f>
        <v>10351543000</v>
      </c>
      <c r="R255" s="6">
        <f t="shared" si="5"/>
        <v>0.1098894146</v>
      </c>
    </row>
    <row r="256">
      <c r="D256" s="4" t="s">
        <v>549</v>
      </c>
      <c r="E256" s="4">
        <f>SUMIF(Cleaned_Data!C$2:C$2013,D256,Cleaned_Data!N$2:N$2013)</f>
        <v>6508800000</v>
      </c>
      <c r="J256" s="4" t="str">
        <f>IFERROR(__xludf.DUMMYFUNCTION("""COMPUTED_VALUE"""),"Hormel")</f>
        <v>Hormel</v>
      </c>
      <c r="K256" s="4">
        <f>IFERROR(__xludf.DUMMYFUNCTION("""COMPUTED_VALUE"""),1.137525E9)</f>
        <v>1137525000</v>
      </c>
      <c r="L256" s="4">
        <f>IFERROR(__xludf.DUMMYFUNCTION("""COMPUTED_VALUE"""),1.0351543E10)</f>
        <v>10351543000</v>
      </c>
      <c r="O256" s="4" t="s">
        <v>508</v>
      </c>
      <c r="P256" s="4">
        <f>SUMIF(Cleaned_Data!C$2:C$2013,O256,Cleaned_Data!K$2:K$2013)</f>
        <v>-1071000000</v>
      </c>
      <c r="Q256" s="4">
        <f>SUMIF(Cleaned_Data!C$2:C$2013,O256,Cleaned_Data!N$2:N$2013)</f>
        <v>942000000</v>
      </c>
      <c r="R256" s="6">
        <f t="shared" si="5"/>
        <v>-1.136942675</v>
      </c>
    </row>
    <row r="257">
      <c r="D257" s="4" t="s">
        <v>551</v>
      </c>
      <c r="E257" s="4">
        <f>SUMIF(Cleaned_Data!C$2:C$2013,D257,Cleaned_Data!N$2:N$2013)</f>
        <v>1200724000</v>
      </c>
      <c r="J257" s="4" t="str">
        <f>IFERROR(__xludf.DUMMYFUNCTION("""COMPUTED_VALUE"""),"Host Hotels &amp; Resorts")</f>
        <v>Host Hotels &amp; Resorts</v>
      </c>
      <c r="K257" s="4">
        <f>IFERROR(__xludf.DUMMYFUNCTION("""COMPUTED_VALUE"""),-1.071E9)</f>
        <v>-1071000000</v>
      </c>
      <c r="L257" s="4">
        <f>IFERROR(__xludf.DUMMYFUNCTION("""COMPUTED_VALUE"""),9.42E8)</f>
        <v>942000000</v>
      </c>
      <c r="O257" s="4" t="s">
        <v>510</v>
      </c>
      <c r="P257" s="4">
        <f>SUMIF(Cleaned_Data!C$2:C$2013,O257,Cleaned_Data!K$2:K$2013)</f>
        <v>550000000</v>
      </c>
      <c r="Q257" s="4">
        <f>SUMIF(Cleaned_Data!C$2:C$2013,O257,Cleaned_Data!N$2:N$2013)</f>
        <v>3625000000</v>
      </c>
      <c r="R257" s="6">
        <f t="shared" si="5"/>
        <v>0.1517241379</v>
      </c>
    </row>
    <row r="258">
      <c r="D258" s="4" t="s">
        <v>553</v>
      </c>
      <c r="E258" s="4">
        <f>SUMIF(Cleaned_Data!C$2:C$2013,D258,Cleaned_Data!N$2:N$2013)</f>
        <v>12931000000</v>
      </c>
      <c r="J258" s="4" t="str">
        <f>IFERROR(__xludf.DUMMYFUNCTION("""COMPUTED_VALUE"""),"Howmet Aerospace")</f>
        <v>Howmet Aerospace</v>
      </c>
      <c r="K258" s="4">
        <f>IFERROR(__xludf.DUMMYFUNCTION("""COMPUTED_VALUE"""),5.5E8)</f>
        <v>550000000</v>
      </c>
      <c r="L258" s="4">
        <f>IFERROR(__xludf.DUMMYFUNCTION("""COMPUTED_VALUE"""),3.625E9)</f>
        <v>3625000000</v>
      </c>
      <c r="O258" s="4" t="s">
        <v>512</v>
      </c>
      <c r="P258" s="4">
        <f>SUMIF(Cleaned_Data!C$2:C$2013,O258,Cleaned_Data!K$2:K$2013)</f>
        <v>5408000000</v>
      </c>
      <c r="Q258" s="4">
        <f>SUMIF(Cleaned_Data!C$2:C$2013,O258,Cleaned_Data!N$2:N$2013)</f>
        <v>62070000000</v>
      </c>
      <c r="R258" s="6">
        <f t="shared" si="5"/>
        <v>0.08712743676</v>
      </c>
    </row>
    <row r="259">
      <c r="D259" s="4" t="s">
        <v>555</v>
      </c>
      <c r="E259" s="4">
        <f>SUMIF(Cleaned_Data!C$2:C$2013,D259,Cleaned_Data!N$2:N$2013)</f>
        <v>4160579000</v>
      </c>
      <c r="J259" s="4" t="str">
        <f>IFERROR(__xludf.DUMMYFUNCTION("""COMPUTED_VALUE"""),"Humana")</f>
        <v>Humana</v>
      </c>
      <c r="K259" s="4">
        <f>IFERROR(__xludf.DUMMYFUNCTION("""COMPUTED_VALUE"""),5.135E9)</f>
        <v>5135000000</v>
      </c>
      <c r="L259" s="4">
        <f>IFERROR(__xludf.DUMMYFUNCTION("""COMPUTED_VALUE"""),7.8888E10)</f>
        <v>78888000000</v>
      </c>
      <c r="O259" s="4" t="s">
        <v>514</v>
      </c>
      <c r="P259" s="4">
        <f>SUMIF(Cleaned_Data!C$2:C$2013,O259,Cleaned_Data!K$2:K$2013)</f>
        <v>5135000000</v>
      </c>
      <c r="Q259" s="4">
        <f>SUMIF(Cleaned_Data!C$2:C$2013,O259,Cleaned_Data!N$2:N$2013)</f>
        <v>78888000000</v>
      </c>
      <c r="R259" s="6">
        <f t="shared" si="5"/>
        <v>0.06509228273</v>
      </c>
    </row>
    <row r="260">
      <c r="D260" s="4" t="s">
        <v>557</v>
      </c>
      <c r="E260" s="4">
        <f>SUMIF(Cleaned_Data!C$2:C$2013,D260,Cleaned_Data!N$2:N$2013)</f>
        <v>10736694000</v>
      </c>
      <c r="J260" s="4" t="str">
        <f>IFERROR(__xludf.DUMMYFUNCTION("""COMPUTED_VALUE"""),"Huntington Bancshares")</f>
        <v>Huntington Bancshares</v>
      </c>
      <c r="K260" s="4">
        <f>IFERROR(__xludf.DUMMYFUNCTION("""COMPUTED_VALUE"""),1.72E9)</f>
        <v>1720000000</v>
      </c>
      <c r="L260" s="4">
        <f>IFERROR(__xludf.DUMMYFUNCTION("""COMPUTED_VALUE"""),4.693E9)</f>
        <v>4693000000</v>
      </c>
      <c r="O260" s="4" t="s">
        <v>516</v>
      </c>
      <c r="P260" s="4">
        <f>SUMIF(Cleaned_Data!C$2:C$2013,O260,Cleaned_Data!K$2:K$2013)</f>
        <v>1720000000</v>
      </c>
      <c r="Q260" s="4">
        <f>SUMIF(Cleaned_Data!C$2:C$2013,O260,Cleaned_Data!N$2:N$2013)</f>
        <v>4693000000</v>
      </c>
      <c r="R260" s="6">
        <f t="shared" si="5"/>
        <v>0.3665033028</v>
      </c>
    </row>
    <row r="261">
      <c r="D261" s="4" t="s">
        <v>559</v>
      </c>
      <c r="E261" s="4">
        <f>SUMIF(Cleaned_Data!C$2:C$2013,D261,Cleaned_Data!N$2:N$2013)</f>
        <v>1758224000</v>
      </c>
      <c r="J261" s="4" t="str">
        <f>IFERROR(__xludf.DUMMYFUNCTION("""COMPUTED_VALUE"""),"Huntington Ingalls Industries")</f>
        <v>Huntington Ingalls Industries</v>
      </c>
      <c r="K261" s="4">
        <f>IFERROR(__xludf.DUMMYFUNCTION("""COMPUTED_VALUE"""),9.11E8)</f>
        <v>911000000</v>
      </c>
      <c r="L261" s="4">
        <f>IFERROR(__xludf.DUMMYFUNCTION("""COMPUTED_VALUE"""),9.58E9)</f>
        <v>9580000000</v>
      </c>
      <c r="O261" s="4" t="s">
        <v>518</v>
      </c>
      <c r="P261" s="4">
        <f>SUMIF(Cleaned_Data!C$2:C$2013,O261,Cleaned_Data!K$2:K$2013)</f>
        <v>911000000</v>
      </c>
      <c r="Q261" s="4">
        <f>SUMIF(Cleaned_Data!C$2:C$2013,O261,Cleaned_Data!N$2:N$2013)</f>
        <v>9580000000</v>
      </c>
      <c r="R261" s="6">
        <f t="shared" si="5"/>
        <v>0.09509394572</v>
      </c>
    </row>
    <row r="262">
      <c r="D262" s="4" t="s">
        <v>561</v>
      </c>
      <c r="E262" s="4">
        <f>SUMIF(Cleaned_Data!C$2:C$2013,D262,Cleaned_Data!N$2:N$2013)</f>
        <v>14025834000</v>
      </c>
      <c r="J262" s="4" t="str">
        <f>IFERROR(__xludf.DUMMYFUNCTION("""COMPUTED_VALUE"""),"IBM")</f>
        <v>IBM</v>
      </c>
      <c r="K262" s="4">
        <f>IFERROR(__xludf.DUMMYFUNCTION("""COMPUTED_VALUE"""),9.256E9)</f>
        <v>9256000000</v>
      </c>
      <c r="L262" s="4">
        <f>IFERROR(__xludf.DUMMYFUNCTION("""COMPUTED_VALUE"""),7.4403E10)</f>
        <v>74403000000</v>
      </c>
      <c r="O262" s="4" t="s">
        <v>520</v>
      </c>
      <c r="P262" s="4">
        <f>SUMIF(Cleaned_Data!C$2:C$2013,O262,Cleaned_Data!K$2:K$2013)</f>
        <v>9256000000</v>
      </c>
      <c r="Q262" s="4">
        <f>SUMIF(Cleaned_Data!C$2:C$2013,O262,Cleaned_Data!N$2:N$2013)</f>
        <v>74403000000</v>
      </c>
      <c r="R262" s="6">
        <f t="shared" si="5"/>
        <v>0.1244035859</v>
      </c>
    </row>
    <row r="263">
      <c r="D263" s="4" t="s">
        <v>563</v>
      </c>
      <c r="E263" s="4">
        <f>SUMIF(Cleaned_Data!C$2:C$2013,D263,Cleaned_Data!N$2:N$2013)</f>
        <v>7888900000</v>
      </c>
      <c r="J263" s="4" t="str">
        <f>IFERROR(__xludf.DUMMYFUNCTION("""COMPUTED_VALUE"""),"IDEX Corporation")</f>
        <v>IDEX Corporation</v>
      </c>
      <c r="K263" s="4">
        <f>IFERROR(__xludf.DUMMYFUNCTION("""COMPUTED_VALUE"""),6.00758E8)</f>
        <v>600758000</v>
      </c>
      <c r="L263" s="4">
        <f>IFERROR(__xludf.DUMMYFUNCTION("""COMPUTED_VALUE"""),2.533918E9)</f>
        <v>2533918000</v>
      </c>
      <c r="O263" s="4" t="s">
        <v>521</v>
      </c>
      <c r="P263" s="4">
        <f>SUMIF(Cleaned_Data!C$2:C$2013,O263,Cleaned_Data!K$2:K$2013)</f>
        <v>600758000</v>
      </c>
      <c r="Q263" s="4">
        <f>SUMIF(Cleaned_Data!C$2:C$2013,O263,Cleaned_Data!N$2:N$2013)</f>
        <v>2533918000</v>
      </c>
      <c r="R263" s="6">
        <f t="shared" si="5"/>
        <v>0.2370865987</v>
      </c>
    </row>
    <row r="264">
      <c r="D264" s="4" t="s">
        <v>565</v>
      </c>
      <c r="E264" s="4">
        <f>SUMIF(Cleaned_Data!C$2:C$2013,D264,Cleaned_Data!N$2:N$2013)</f>
        <v>89190000000</v>
      </c>
      <c r="J264" s="4" t="str">
        <f>IFERROR(__xludf.DUMMYFUNCTION("""COMPUTED_VALUE"""),"IHS Markit")</f>
        <v>IHS Markit</v>
      </c>
      <c r="K264" s="4">
        <f>IFERROR(__xludf.DUMMYFUNCTION("""COMPUTED_VALUE"""),1.1065E9)</f>
        <v>1106500000</v>
      </c>
      <c r="L264" s="4">
        <f>IFERROR(__xludf.DUMMYFUNCTION("""COMPUTED_VALUE"""),4.4817E9)</f>
        <v>4481700000</v>
      </c>
      <c r="O264" s="4" t="s">
        <v>523</v>
      </c>
      <c r="P264" s="4">
        <f>SUMIF(Cleaned_Data!C$2:C$2013,O264,Cleaned_Data!K$2:K$2013)</f>
        <v>863826000</v>
      </c>
      <c r="Q264" s="4">
        <f>SUMIF(Cleaned_Data!C$2:C$2013,O264,Cleaned_Data!N$2:N$2013)</f>
        <v>3046576000</v>
      </c>
      <c r="R264" s="6">
        <f t="shared" si="5"/>
        <v>0.2835399478</v>
      </c>
    </row>
    <row r="265">
      <c r="D265" s="4" t="s">
        <v>567</v>
      </c>
      <c r="E265" s="4">
        <f>SUMIF(Cleaned_Data!C$2:C$2013,D265,Cleaned_Data!N$2:N$2013)</f>
        <v>23230000000</v>
      </c>
      <c r="J265" s="4" t="str">
        <f>IFERROR(__xludf.DUMMYFUNCTION("""COMPUTED_VALUE"""),"IPG Photonics")</f>
        <v>IPG Photonics</v>
      </c>
      <c r="K265" s="4">
        <f>IFERROR(__xludf.DUMMYFUNCTION("""COMPUTED_VALUE"""),2.3151E8)</f>
        <v>231510000</v>
      </c>
      <c r="L265" s="4">
        <f>IFERROR(__xludf.DUMMYFUNCTION("""COMPUTED_VALUE"""),1.200724E9)</f>
        <v>1200724000</v>
      </c>
      <c r="O265" s="4" t="s">
        <v>525</v>
      </c>
      <c r="P265" s="4">
        <f>SUMIF(Cleaned_Data!C$2:C$2013,O265,Cleaned_Data!K$2:K$2013)</f>
        <v>1106500000</v>
      </c>
      <c r="Q265" s="4">
        <f>SUMIF(Cleaned_Data!C$2:C$2013,O265,Cleaned_Data!N$2:N$2013)</f>
        <v>4481700000</v>
      </c>
      <c r="R265" s="6">
        <f t="shared" si="5"/>
        <v>0.2468929201</v>
      </c>
    </row>
    <row r="266">
      <c r="D266" s="4" t="s">
        <v>569</v>
      </c>
      <c r="E266" s="4">
        <f>SUMIF(Cleaned_Data!C$2:C$2013,D266,Cleaned_Data!N$2:N$2013)</f>
        <v>128835000000</v>
      </c>
      <c r="J266" s="4" t="str">
        <f>IFERROR(__xludf.DUMMYFUNCTION("""COMPUTED_VALUE"""),"IQVIA")</f>
        <v>IQVIA</v>
      </c>
      <c r="K266" s="4">
        <f>IFERROR(__xludf.DUMMYFUNCTION("""COMPUTED_VALUE"""),1.166E9)</f>
        <v>1166000000</v>
      </c>
      <c r="L266" s="4">
        <f>IFERROR(__xludf.DUMMYFUNCTION("""COMPUTED_VALUE"""),1.2931E10)</f>
        <v>12931000000</v>
      </c>
      <c r="O266" s="4" t="s">
        <v>527</v>
      </c>
      <c r="P266" s="4">
        <f>SUMIF(Cleaned_Data!C$2:C$2013,O266,Cleaned_Data!K$2:K$2013)</f>
        <v>3042000000</v>
      </c>
      <c r="Q266" s="4">
        <f>SUMIF(Cleaned_Data!C$2:C$2013,O266,Cleaned_Data!N$2:N$2013)</f>
        <v>12890000000</v>
      </c>
      <c r="R266" s="6">
        <f t="shared" si="5"/>
        <v>0.2359968968</v>
      </c>
    </row>
    <row r="267">
      <c r="D267" s="4" t="s">
        <v>571</v>
      </c>
      <c r="E267" s="4">
        <f>SUMIF(Cleaned_Data!C$2:C$2013,D267,Cleaned_Data!N$2:N$2013)</f>
        <v>4607500000</v>
      </c>
      <c r="J267" s="4" t="str">
        <f>IFERROR(__xludf.DUMMYFUNCTION("""COMPUTED_VALUE"""),"Idexx Laboratories")</f>
        <v>Idexx Laboratories</v>
      </c>
      <c r="K267" s="4">
        <f>IFERROR(__xludf.DUMMYFUNCTION("""COMPUTED_VALUE"""),8.63826E8)</f>
        <v>863826000</v>
      </c>
      <c r="L267" s="4">
        <f>IFERROR(__xludf.DUMMYFUNCTION("""COMPUTED_VALUE"""),3.046576E9)</f>
        <v>3046576000</v>
      </c>
      <c r="O267" s="4" t="s">
        <v>529</v>
      </c>
      <c r="P267" s="4">
        <f>SUMIF(Cleaned_Data!C$2:C$2013,O267,Cleaned_Data!K$2:K$2013)</f>
        <v>557000000</v>
      </c>
      <c r="Q267" s="4">
        <f>SUMIF(Cleaned_Data!C$2:C$2013,O267,Cleaned_Data!N$2:N$2013)</f>
        <v>3473000000</v>
      </c>
      <c r="R267" s="6">
        <f t="shared" si="5"/>
        <v>0.1603800749</v>
      </c>
    </row>
    <row r="268">
      <c r="D268" s="4" t="s">
        <v>573</v>
      </c>
      <c r="E268" s="4">
        <f>SUMIF(Cleaned_Data!C$2:C$2013,D268,Cleaned_Data!N$2:N$2013)</f>
        <v>2808500000</v>
      </c>
      <c r="J268" s="4" t="str">
        <f>IFERROR(__xludf.DUMMYFUNCTION("""COMPUTED_VALUE"""),"Illinois Tool Works")</f>
        <v>Illinois Tool Works</v>
      </c>
      <c r="K268" s="4">
        <f>IFERROR(__xludf.DUMMYFUNCTION("""COMPUTED_VALUE"""),3.042E9)</f>
        <v>3042000000</v>
      </c>
      <c r="L268" s="4">
        <f>IFERROR(__xludf.DUMMYFUNCTION("""COMPUTED_VALUE"""),1.289E10)</f>
        <v>12890000000</v>
      </c>
      <c r="O268" s="4" t="s">
        <v>531</v>
      </c>
      <c r="P268" s="4">
        <f>SUMIF(Cleaned_Data!C$2:C$2013,O268,Cleaned_Data!K$2:K$2013)</f>
        <v>429224000</v>
      </c>
      <c r="Q268" s="4">
        <f>SUMIF(Cleaned_Data!C$2:C$2013,O268,Cleaned_Data!N$2:N$2013)</f>
        <v>2720579000</v>
      </c>
      <c r="R268" s="6">
        <f t="shared" si="5"/>
        <v>0.1577693572</v>
      </c>
    </row>
    <row r="269">
      <c r="D269" s="4" t="s">
        <v>575</v>
      </c>
      <c r="E269" s="4">
        <f>SUMIF(Cleaned_Data!C$2:C$2013,D269,Cleaned_Data!N$2:N$2013)</f>
        <v>13942000000</v>
      </c>
      <c r="J269" s="4" t="str">
        <f>IFERROR(__xludf.DUMMYFUNCTION("""COMPUTED_VALUE"""),"Illumina")</f>
        <v>Illumina</v>
      </c>
      <c r="K269" s="4">
        <f>IFERROR(__xludf.DUMMYFUNCTION("""COMPUTED_VALUE"""),5.57E8)</f>
        <v>557000000</v>
      </c>
      <c r="L269" s="4">
        <f>IFERROR(__xludf.DUMMYFUNCTION("""COMPUTED_VALUE"""),3.473E9)</f>
        <v>3473000000</v>
      </c>
      <c r="O269" s="4" t="s">
        <v>533</v>
      </c>
      <c r="P269" s="4">
        <f>SUMIF(Cleaned_Data!C$2:C$2013,O269,Cleaned_Data!K$2:K$2013)</f>
        <v>571200000</v>
      </c>
      <c r="Q269" s="4">
        <f>SUMIF(Cleaned_Data!C$2:C$2013,O269,Cleaned_Data!N$2:N$2013)</f>
        <v>5254500000</v>
      </c>
      <c r="R269" s="6">
        <f t="shared" si="5"/>
        <v>0.1087068227</v>
      </c>
    </row>
    <row r="270">
      <c r="D270" s="4" t="s">
        <v>577</v>
      </c>
      <c r="E270" s="4">
        <f>SUMIF(Cleaned_Data!C$2:C$2013,D270,Cleaned_Data!N$2:N$2013)</f>
        <v>7163000000</v>
      </c>
      <c r="J270" s="4" t="str">
        <f>IFERROR(__xludf.DUMMYFUNCTION("""COMPUTED_VALUE"""),"Incyte")</f>
        <v>Incyte</v>
      </c>
      <c r="K270" s="4">
        <f>IFERROR(__xludf.DUMMYFUNCTION("""COMPUTED_VALUE"""),4.29224E8)</f>
        <v>429224000</v>
      </c>
      <c r="L270" s="4">
        <f>IFERROR(__xludf.DUMMYFUNCTION("""COMPUTED_VALUE"""),2.720579E9)</f>
        <v>2720579000</v>
      </c>
      <c r="O270" s="4" t="s">
        <v>535</v>
      </c>
      <c r="P270" s="4">
        <f>SUMIF(Cleaned_Data!C$2:C$2013,O270,Cleaned_Data!K$2:K$2013)</f>
        <v>22765000000</v>
      </c>
      <c r="Q270" s="4">
        <f>SUMIF(Cleaned_Data!C$2:C$2013,O270,Cleaned_Data!N$2:N$2013)</f>
        <v>77615000000</v>
      </c>
      <c r="R270" s="6">
        <f t="shared" si="5"/>
        <v>0.2933067062</v>
      </c>
    </row>
    <row r="271">
      <c r="D271" s="4" t="s">
        <v>579</v>
      </c>
      <c r="E271" s="4">
        <f>SUMIF(Cleaned_Data!C$2:C$2013,D271,Cleaned_Data!N$2:N$2013)</f>
        <v>4632000000</v>
      </c>
      <c r="J271" s="4" t="str">
        <f>IFERROR(__xludf.DUMMYFUNCTION("""COMPUTED_VALUE"""),"Ingersoll Rand")</f>
        <v>Ingersoll Rand</v>
      </c>
      <c r="K271" s="4">
        <f>IFERROR(__xludf.DUMMYFUNCTION("""COMPUTED_VALUE"""),5.712E8)</f>
        <v>571200000</v>
      </c>
      <c r="L271" s="4">
        <f>IFERROR(__xludf.DUMMYFUNCTION("""COMPUTED_VALUE"""),5.2545E9)</f>
        <v>5254500000</v>
      </c>
      <c r="O271" s="4" t="s">
        <v>537</v>
      </c>
      <c r="P271" s="4">
        <f>SUMIF(Cleaned_Data!C$2:C$2013,O271,Cleaned_Data!K$2:K$2013)</f>
        <v>3222000000</v>
      </c>
      <c r="Q271" s="4">
        <f>SUMIF(Cleaned_Data!C$2:C$2013,O271,Cleaned_Data!N$2:N$2013)</f>
        <v>6586000000</v>
      </c>
      <c r="R271" s="6">
        <f t="shared" si="5"/>
        <v>0.4892195566</v>
      </c>
    </row>
    <row r="272">
      <c r="D272" s="4" t="s">
        <v>581</v>
      </c>
      <c r="E272" s="4">
        <f>SUMIF(Cleaned_Data!C$2:C$2013,D272,Cleaned_Data!N$2:N$2013)</f>
        <v>18874000000</v>
      </c>
      <c r="J272" s="4" t="str">
        <f>IFERROR(__xludf.DUMMYFUNCTION("""COMPUTED_VALUE"""),"Intel")</f>
        <v>Intel</v>
      </c>
      <c r="K272" s="4">
        <f>IFERROR(__xludf.DUMMYFUNCTION("""COMPUTED_VALUE"""),2.2765E10)</f>
        <v>22765000000</v>
      </c>
      <c r="L272" s="4">
        <f>IFERROR(__xludf.DUMMYFUNCTION("""COMPUTED_VALUE"""),7.7615E10)</f>
        <v>77615000000</v>
      </c>
      <c r="O272" s="4" t="s">
        <v>539</v>
      </c>
      <c r="P272" s="4">
        <f>SUMIF(Cleaned_Data!C$2:C$2013,O272,Cleaned_Data!K$2:K$2013)</f>
        <v>1035757000</v>
      </c>
      <c r="Q272" s="4">
        <f>SUMIF(Cleaned_Data!C$2:C$2013,O272,Cleaned_Data!N$2:N$2013)</f>
        <v>8092149000</v>
      </c>
      <c r="R272" s="6">
        <f t="shared" si="5"/>
        <v>0.1279952952</v>
      </c>
    </row>
    <row r="273">
      <c r="D273" s="4" t="s">
        <v>583</v>
      </c>
      <c r="E273" s="4">
        <f>SUMIF(Cleaned_Data!C$2:C$2013,D273,Cleaned_Data!N$2:N$2013)</f>
        <v>1100557000</v>
      </c>
      <c r="J273" s="4" t="str">
        <f>IFERROR(__xludf.DUMMYFUNCTION("""COMPUTED_VALUE"""),"Intercontinental Exchange")</f>
        <v>Intercontinental Exchange</v>
      </c>
      <c r="K273" s="4">
        <f>IFERROR(__xludf.DUMMYFUNCTION("""COMPUTED_VALUE"""),3.222E9)</f>
        <v>3222000000</v>
      </c>
      <c r="L273" s="4">
        <f>IFERROR(__xludf.DUMMYFUNCTION("""COMPUTED_VALUE"""),6.586E9)</f>
        <v>6586000000</v>
      </c>
      <c r="O273" s="4" t="s">
        <v>541</v>
      </c>
      <c r="P273" s="4">
        <f>SUMIF(Cleaned_Data!C$2:C$2013,O273,Cleaned_Data!K$2:K$2013)</f>
        <v>1869000000</v>
      </c>
      <c r="Q273" s="4">
        <f>SUMIF(Cleaned_Data!C$2:C$2013,O273,Cleaned_Data!N$2:N$2013)</f>
        <v>21341000000</v>
      </c>
      <c r="R273" s="6">
        <f t="shared" si="5"/>
        <v>0.08757790169</v>
      </c>
    </row>
    <row r="274">
      <c r="D274" s="4" t="s">
        <v>585</v>
      </c>
      <c r="E274" s="4">
        <f>SUMIF(Cleaned_Data!C$2:C$2013,D274,Cleaned_Data!N$2:N$2013)</f>
        <v>13805000000</v>
      </c>
      <c r="J274" s="4" t="str">
        <f>IFERROR(__xludf.DUMMYFUNCTION("""COMPUTED_VALUE"""),"International Flavors &amp; Fragrances")</f>
        <v>International Flavors &amp; Fragrances</v>
      </c>
      <c r="K274" s="4">
        <f>IFERROR(__xludf.DUMMYFUNCTION("""COMPUTED_VALUE"""),1.035757E9)</f>
        <v>1035757000</v>
      </c>
      <c r="L274" s="4">
        <f>IFERROR(__xludf.DUMMYFUNCTION("""COMPUTED_VALUE"""),8.092149E9)</f>
        <v>8092149000</v>
      </c>
      <c r="O274" s="4" t="s">
        <v>543</v>
      </c>
      <c r="P274" s="4">
        <f>SUMIF(Cleaned_Data!C$2:C$2013,O274,Cleaned_Data!K$2:K$2013)</f>
        <v>1406200000</v>
      </c>
      <c r="Q274" s="4">
        <f>SUMIF(Cleaned_Data!C$2:C$2013,O274,Cleaned_Data!N$2:N$2013)</f>
        <v>8536300000</v>
      </c>
      <c r="R274" s="6">
        <f t="shared" si="5"/>
        <v>0.1647317925</v>
      </c>
    </row>
    <row r="275">
      <c r="D275" s="4" t="s">
        <v>587</v>
      </c>
      <c r="E275" s="4">
        <f>SUMIF(Cleaned_Data!C$2:C$2013,D275,Cleaned_Data!N$2:N$2013)</f>
        <v>6918734000</v>
      </c>
      <c r="J275" s="4" t="str">
        <f>IFERROR(__xludf.DUMMYFUNCTION("""COMPUTED_VALUE"""),"International Paper")</f>
        <v>International Paper</v>
      </c>
      <c r="K275" s="4">
        <f>IFERROR(__xludf.DUMMYFUNCTION("""COMPUTED_VALUE"""),1.869E9)</f>
        <v>1869000000</v>
      </c>
      <c r="L275" s="4">
        <f>IFERROR(__xludf.DUMMYFUNCTION("""COMPUTED_VALUE"""),2.1341E10)</f>
        <v>21341000000</v>
      </c>
      <c r="O275" s="4" t="s">
        <v>545</v>
      </c>
      <c r="P275" s="4">
        <f>SUMIF(Cleaned_Data!C$2:C$2013,O275,Cleaned_Data!K$2:K$2013)</f>
        <v>2607000000</v>
      </c>
      <c r="Q275" s="4">
        <f>SUMIF(Cleaned_Data!C$2:C$2013,O275,Cleaned_Data!N$2:N$2013)</f>
        <v>8888000000</v>
      </c>
      <c r="R275" s="6">
        <f t="shared" si="5"/>
        <v>0.2933168317</v>
      </c>
    </row>
    <row r="276">
      <c r="D276" s="4" t="s">
        <v>589</v>
      </c>
      <c r="E276" s="4">
        <f>SUMIF(Cleaned_Data!C$2:C$2013,D276,Cleaned_Data!N$2:N$2013)</f>
        <v>26389000000</v>
      </c>
      <c r="J276" s="4" t="str">
        <f>IFERROR(__xludf.DUMMYFUNCTION("""COMPUTED_VALUE"""),"Interpublic Group")</f>
        <v>Interpublic Group</v>
      </c>
      <c r="K276" s="4">
        <f>IFERROR(__xludf.DUMMYFUNCTION("""COMPUTED_VALUE"""),1.4062E9)</f>
        <v>1406200000</v>
      </c>
      <c r="L276" s="4">
        <f>IFERROR(__xludf.DUMMYFUNCTION("""COMPUTED_VALUE"""),8.5363E9)</f>
        <v>8536300000</v>
      </c>
      <c r="O276" s="4" t="s">
        <v>547</v>
      </c>
      <c r="P276" s="4">
        <f>SUMIF(Cleaned_Data!C$2:C$2013,O276,Cleaned_Data!K$2:K$2013)</f>
        <v>1182400000</v>
      </c>
      <c r="Q276" s="4">
        <f>SUMIF(Cleaned_Data!C$2:C$2013,O276,Cleaned_Data!N$2:N$2013)</f>
        <v>4551000000</v>
      </c>
      <c r="R276" s="6">
        <f t="shared" si="5"/>
        <v>0.2598110305</v>
      </c>
    </row>
    <row r="277">
      <c r="D277" s="4" t="s">
        <v>591</v>
      </c>
      <c r="E277" s="4">
        <f>SUMIF(Cleaned_Data!C$2:C$2013,D277,Cleaned_Data!N$2:N$2013)</f>
        <v>132247000000</v>
      </c>
      <c r="J277" s="4" t="str">
        <f>IFERROR(__xludf.DUMMYFUNCTION("""COMPUTED_VALUE"""),"Intuit")</f>
        <v>Intuit</v>
      </c>
      <c r="K277" s="4">
        <f>IFERROR(__xludf.DUMMYFUNCTION("""COMPUTED_VALUE"""),2.607E9)</f>
        <v>2607000000</v>
      </c>
      <c r="L277" s="4">
        <f>IFERROR(__xludf.DUMMYFUNCTION("""COMPUTED_VALUE"""),8.888E9)</f>
        <v>8888000000</v>
      </c>
      <c r="O277" s="4" t="s">
        <v>549</v>
      </c>
      <c r="P277" s="4">
        <f>SUMIF(Cleaned_Data!C$2:C$2013,O277,Cleaned_Data!K$2:K$2013)</f>
        <v>1544500000</v>
      </c>
      <c r="Q277" s="4">
        <f>SUMIF(Cleaned_Data!C$2:C$2013,O277,Cleaned_Data!N$2:N$2013)</f>
        <v>6508800000</v>
      </c>
      <c r="R277" s="6">
        <f t="shared" si="5"/>
        <v>0.2372941249</v>
      </c>
    </row>
    <row r="278">
      <c r="D278" s="4" t="s">
        <v>593</v>
      </c>
      <c r="E278" s="4">
        <f>SUMIF(Cleaned_Data!C$2:C$2013,D278,Cleaned_Data!N$2:N$2013)</f>
        <v>18358000000</v>
      </c>
      <c r="J278" s="4" t="str">
        <f>IFERROR(__xludf.DUMMYFUNCTION("""COMPUTED_VALUE"""),"Intuitive Surgical")</f>
        <v>Intuitive Surgical</v>
      </c>
      <c r="K278" s="4">
        <f>IFERROR(__xludf.DUMMYFUNCTION("""COMPUTED_VALUE"""),1.1824E9)</f>
        <v>1182400000</v>
      </c>
      <c r="L278" s="4">
        <f>IFERROR(__xludf.DUMMYFUNCTION("""COMPUTED_VALUE"""),4.551E9)</f>
        <v>4551000000</v>
      </c>
      <c r="O278" s="4" t="s">
        <v>551</v>
      </c>
      <c r="P278" s="4">
        <f>SUMIF(Cleaned_Data!C$2:C$2013,O278,Cleaned_Data!K$2:K$2013)</f>
        <v>231510000</v>
      </c>
      <c r="Q278" s="4">
        <f>SUMIF(Cleaned_Data!C$2:C$2013,O278,Cleaned_Data!N$2:N$2013)</f>
        <v>1200724000</v>
      </c>
      <c r="R278" s="6">
        <f t="shared" si="5"/>
        <v>0.1928086721</v>
      </c>
    </row>
    <row r="279">
      <c r="D279" s="4" t="s">
        <v>595</v>
      </c>
      <c r="E279" s="4">
        <f>SUMIF(Cleaned_Data!C$2:C$2013,D279,Cleaned_Data!N$2:N$2013)</f>
        <v>15316200000</v>
      </c>
      <c r="J279" s="4" t="str">
        <f>IFERROR(__xludf.DUMMYFUNCTION("""COMPUTED_VALUE"""),"Invesco")</f>
        <v>Invesco</v>
      </c>
      <c r="K279" s="4">
        <f>IFERROR(__xludf.DUMMYFUNCTION("""COMPUTED_VALUE"""),1.5445E9)</f>
        <v>1544500000</v>
      </c>
      <c r="L279" s="4">
        <f>IFERROR(__xludf.DUMMYFUNCTION("""COMPUTED_VALUE"""),6.5088E9)</f>
        <v>6508800000</v>
      </c>
      <c r="O279" s="4" t="s">
        <v>553</v>
      </c>
      <c r="P279" s="4">
        <f>SUMIF(Cleaned_Data!C$2:C$2013,O279,Cleaned_Data!K$2:K$2013)</f>
        <v>1166000000</v>
      </c>
      <c r="Q279" s="4">
        <f>SUMIF(Cleaned_Data!C$2:C$2013,O279,Cleaned_Data!N$2:N$2013)</f>
        <v>12931000000</v>
      </c>
      <c r="R279" s="6">
        <f t="shared" si="5"/>
        <v>0.09017090712</v>
      </c>
    </row>
    <row r="280">
      <c r="D280" s="4" t="s">
        <v>597</v>
      </c>
      <c r="E280" s="4">
        <f>SUMIF(Cleaned_Data!C$2:C$2013,D280,Cleaned_Data!N$2:N$2013)</f>
        <v>14626150000</v>
      </c>
      <c r="J280" s="4" t="str">
        <f>IFERROR(__xludf.DUMMYFUNCTION("""COMPUTED_VALUE"""),"Iron Mountain")</f>
        <v>Iron Mountain</v>
      </c>
      <c r="K280" s="4">
        <f>IFERROR(__xludf.DUMMYFUNCTION("""COMPUTED_VALUE"""),8.03202E8)</f>
        <v>803202000</v>
      </c>
      <c r="L280" s="4">
        <f>IFERROR(__xludf.DUMMYFUNCTION("""COMPUTED_VALUE"""),4.160579E9)</f>
        <v>4160579000</v>
      </c>
      <c r="O280" s="4" t="s">
        <v>555</v>
      </c>
      <c r="P280" s="4">
        <f>SUMIF(Cleaned_Data!C$2:C$2013,O280,Cleaned_Data!K$2:K$2013)</f>
        <v>803202000</v>
      </c>
      <c r="Q280" s="4">
        <f>SUMIF(Cleaned_Data!C$2:C$2013,O280,Cleaned_Data!N$2:N$2013)</f>
        <v>4160579000</v>
      </c>
      <c r="R280" s="6">
        <f t="shared" si="5"/>
        <v>0.1930505346</v>
      </c>
    </row>
    <row r="281">
      <c r="D281" s="4" t="s">
        <v>599</v>
      </c>
      <c r="E281" s="4">
        <f>SUMIF(Cleaned_Data!C$2:C$2013,D281,Cleaned_Data!N$2:N$2013)</f>
        <v>3670900000</v>
      </c>
      <c r="J281" s="4" t="str">
        <f>IFERROR(__xludf.DUMMYFUNCTION("""COMPUTED_VALUE"""),"J. B. Hunt")</f>
        <v>J. B. Hunt</v>
      </c>
      <c r="K281" s="4">
        <f>IFERROR(__xludf.DUMMYFUNCTION("""COMPUTED_VALUE"""),8.24193E8)</f>
        <v>824193000</v>
      </c>
      <c r="L281" s="4">
        <f>IFERROR(__xludf.DUMMYFUNCTION("""COMPUTED_VALUE"""),1.0736694E10)</f>
        <v>10736694000</v>
      </c>
      <c r="O281" s="4" t="s">
        <v>557</v>
      </c>
      <c r="P281" s="4">
        <f>SUMIF(Cleaned_Data!C$2:C$2013,O281,Cleaned_Data!K$2:K$2013)</f>
        <v>824193000</v>
      </c>
      <c r="Q281" s="4">
        <f>SUMIF(Cleaned_Data!C$2:C$2013,O281,Cleaned_Data!N$2:N$2013)</f>
        <v>10736694000</v>
      </c>
      <c r="R281" s="6">
        <f t="shared" si="5"/>
        <v>0.07676413242</v>
      </c>
    </row>
    <row r="282">
      <c r="D282" s="4" t="s">
        <v>601</v>
      </c>
      <c r="E282" s="4">
        <f>SUMIF(Cleaned_Data!C$2:C$2013,D282,Cleaned_Data!N$2:N$2013)</f>
        <v>3026000000</v>
      </c>
      <c r="J282" s="4" t="str">
        <f>IFERROR(__xludf.DUMMYFUNCTION("""COMPUTED_VALUE"""),"JM Smucker")</f>
        <v>JM Smucker</v>
      </c>
      <c r="K282" s="4">
        <f>IFERROR(__xludf.DUMMYFUNCTION("""COMPUTED_VALUE"""),1.2753E9)</f>
        <v>1275300000</v>
      </c>
      <c r="L282" s="4">
        <f>IFERROR(__xludf.DUMMYFUNCTION("""COMPUTED_VALUE"""),7.8889E9)</f>
        <v>7888900000</v>
      </c>
      <c r="O282" s="4" t="s">
        <v>559</v>
      </c>
      <c r="P282" s="4">
        <f>SUMIF(Cleaned_Data!C$2:C$2013,O282,Cleaned_Data!K$2:K$2013)</f>
        <v>398719000</v>
      </c>
      <c r="Q282" s="4">
        <f>SUMIF(Cleaned_Data!C$2:C$2013,O282,Cleaned_Data!N$2:N$2013)</f>
        <v>1758224000</v>
      </c>
      <c r="R282" s="6">
        <f t="shared" si="5"/>
        <v>0.2267737217</v>
      </c>
    </row>
    <row r="283">
      <c r="D283" s="4" t="s">
        <v>603</v>
      </c>
      <c r="E283" s="4">
        <f>SUMIF(Cleaned_Data!C$2:C$2013,D283,Cleaned_Data!N$2:N$2013)</f>
        <v>4385600000</v>
      </c>
      <c r="J283" s="4" t="str">
        <f>IFERROR(__xludf.DUMMYFUNCTION("""COMPUTED_VALUE"""),"JPMorgan Chase")</f>
        <v>JPMorgan Chase</v>
      </c>
      <c r="K283" s="4">
        <f>IFERROR(__xludf.DUMMYFUNCTION("""COMPUTED_VALUE"""),6.0533E10)</f>
        <v>60533000000</v>
      </c>
      <c r="L283" s="4">
        <f>IFERROR(__xludf.DUMMYFUNCTION("""COMPUTED_VALUE"""),1.28835E11)</f>
        <v>128835000000</v>
      </c>
      <c r="O283" s="4" t="s">
        <v>561</v>
      </c>
      <c r="P283" s="4">
        <f>SUMIF(Cleaned_Data!C$2:C$2013,O283,Cleaned_Data!K$2:K$2013)</f>
        <v>1068201000</v>
      </c>
      <c r="Q283" s="4">
        <f>SUMIF(Cleaned_Data!C$2:C$2013,O283,Cleaned_Data!N$2:N$2013)</f>
        <v>14025834000</v>
      </c>
      <c r="R283" s="6">
        <f t="shared" si="5"/>
        <v>0.07615953533</v>
      </c>
    </row>
    <row r="284">
      <c r="D284" s="4" t="s">
        <v>605</v>
      </c>
      <c r="E284" s="4">
        <f>SUMIF(Cleaned_Data!C$2:C$2013,D284,Cleaned_Data!N$2:N$2013)</f>
        <v>13257000000</v>
      </c>
      <c r="J284" s="4" t="str">
        <f>IFERROR(__xludf.DUMMYFUNCTION("""COMPUTED_VALUE"""),"Jack Henry &amp; Associates")</f>
        <v>Jack Henry &amp; Associates</v>
      </c>
      <c r="K284" s="4">
        <f>IFERROR(__xludf.DUMMYFUNCTION("""COMPUTED_VALUE"""),3.98719E8)</f>
        <v>398719000</v>
      </c>
      <c r="L284" s="4">
        <f>IFERROR(__xludf.DUMMYFUNCTION("""COMPUTED_VALUE"""),1.758224E9)</f>
        <v>1758224000</v>
      </c>
      <c r="O284" s="4" t="s">
        <v>563</v>
      </c>
      <c r="P284" s="4">
        <f>SUMIF(Cleaned_Data!C$2:C$2013,O284,Cleaned_Data!K$2:K$2013)</f>
        <v>1275300000</v>
      </c>
      <c r="Q284" s="4">
        <f>SUMIF(Cleaned_Data!C$2:C$2013,O284,Cleaned_Data!N$2:N$2013)</f>
        <v>7888900000</v>
      </c>
      <c r="R284" s="6">
        <f t="shared" si="5"/>
        <v>0.1616575188</v>
      </c>
    </row>
    <row r="285">
      <c r="D285" s="4" t="s">
        <v>607</v>
      </c>
      <c r="E285" s="4">
        <f>SUMIF(Cleaned_Data!C$2:C$2013,D285,Cleaned_Data!N$2:N$2013)</f>
        <v>24451857000</v>
      </c>
      <c r="J285" s="4" t="str">
        <f>IFERROR(__xludf.DUMMYFUNCTION("""COMPUTED_VALUE"""),"Jacobs Engineering Group")</f>
        <v>Jacobs Engineering Group</v>
      </c>
      <c r="K285" s="4">
        <f>IFERROR(__xludf.DUMMYFUNCTION("""COMPUTED_VALUE"""),1.068201E9)</f>
        <v>1068201000</v>
      </c>
      <c r="L285" s="4">
        <f>IFERROR(__xludf.DUMMYFUNCTION("""COMPUTED_VALUE"""),1.4025834E10)</f>
        <v>14025834000</v>
      </c>
      <c r="O285" s="4" t="s">
        <v>565</v>
      </c>
      <c r="P285" s="4">
        <f>SUMIF(Cleaned_Data!C$2:C$2013,O285,Cleaned_Data!K$2:K$2013)</f>
        <v>23168000000</v>
      </c>
      <c r="Q285" s="4">
        <f>SUMIF(Cleaned_Data!C$2:C$2013,O285,Cleaned_Data!N$2:N$2013)</f>
        <v>89190000000</v>
      </c>
      <c r="R285" s="6">
        <f t="shared" si="5"/>
        <v>0.2597600628</v>
      </c>
    </row>
    <row r="286">
      <c r="D286" s="4" t="s">
        <v>609</v>
      </c>
      <c r="E286" s="4">
        <f>SUMIF(Cleaned_Data!C$2:C$2013,D286,Cleaned_Data!N$2:N$2013)</f>
        <v>18882000000</v>
      </c>
      <c r="J286" s="4" t="str">
        <f>IFERROR(__xludf.DUMMYFUNCTION("""COMPUTED_VALUE"""),"Johnson &amp; Johnson")</f>
        <v>Johnson &amp; Johnson</v>
      </c>
      <c r="K286" s="4">
        <f>IFERROR(__xludf.DUMMYFUNCTION("""COMPUTED_VALUE"""),2.3168E10)</f>
        <v>23168000000</v>
      </c>
      <c r="L286" s="4">
        <f>IFERROR(__xludf.DUMMYFUNCTION("""COMPUTED_VALUE"""),8.919E10)</f>
        <v>89190000000</v>
      </c>
      <c r="O286" s="4" t="s">
        <v>567</v>
      </c>
      <c r="P286" s="4">
        <f>SUMIF(Cleaned_Data!C$2:C$2013,O286,Cleaned_Data!K$2:K$2013)</f>
        <v>3026000000</v>
      </c>
      <c r="Q286" s="4">
        <f>SUMIF(Cleaned_Data!C$2:C$2013,O286,Cleaned_Data!N$2:N$2013)</f>
        <v>23230000000</v>
      </c>
      <c r="R286" s="6">
        <f t="shared" si="5"/>
        <v>0.1302625915</v>
      </c>
    </row>
    <row r="287">
      <c r="D287" s="4" t="s">
        <v>611</v>
      </c>
      <c r="E287" s="4">
        <f>SUMIF(Cleaned_Data!C$2:C$2013,D287,Cleaned_Data!N$2:N$2013)</f>
        <v>28954000000</v>
      </c>
      <c r="J287" s="4" t="str">
        <f>IFERROR(__xludf.DUMMYFUNCTION("""COMPUTED_VALUE"""),"Johnson Controls")</f>
        <v>Johnson Controls</v>
      </c>
      <c r="K287" s="4">
        <f>IFERROR(__xludf.DUMMYFUNCTION("""COMPUTED_VALUE"""),3.026E9)</f>
        <v>3026000000</v>
      </c>
      <c r="L287" s="4">
        <f>IFERROR(__xludf.DUMMYFUNCTION("""COMPUTED_VALUE"""),2.323E10)</f>
        <v>23230000000</v>
      </c>
      <c r="O287" s="4" t="s">
        <v>569</v>
      </c>
      <c r="P287" s="4">
        <f>SUMIF(Cleaned_Data!C$2:C$2013,O287,Cleaned_Data!K$2:K$2013)</f>
        <v>60533000000</v>
      </c>
      <c r="Q287" s="4">
        <f>SUMIF(Cleaned_Data!C$2:C$2013,O287,Cleaned_Data!N$2:N$2013)</f>
        <v>128835000000</v>
      </c>
      <c r="R287" s="6">
        <f t="shared" si="5"/>
        <v>0.4698490317</v>
      </c>
    </row>
    <row r="288">
      <c r="D288" s="4" t="s">
        <v>613</v>
      </c>
      <c r="E288" s="4">
        <f>SUMIF(Cleaned_Data!C$2:C$2013,D288,Cleaned_Data!N$2:N$2013)</f>
        <v>1287956000</v>
      </c>
      <c r="J288" s="4" t="str">
        <f>IFERROR(__xludf.DUMMYFUNCTION("""COMPUTED_VALUE"""),"Juniper Networks")</f>
        <v>Juniper Networks</v>
      </c>
      <c r="K288" s="4">
        <f>IFERROR(__xludf.DUMMYFUNCTION("""COMPUTED_VALUE"""),4.565E8)</f>
        <v>456500000</v>
      </c>
      <c r="L288" s="4">
        <f>IFERROR(__xludf.DUMMYFUNCTION("""COMPUTED_VALUE"""),4.6075E9)</f>
        <v>4607500000</v>
      </c>
      <c r="O288" s="4" t="s">
        <v>571</v>
      </c>
      <c r="P288" s="4">
        <f>SUMIF(Cleaned_Data!C$2:C$2013,O288,Cleaned_Data!K$2:K$2013)</f>
        <v>456500000</v>
      </c>
      <c r="Q288" s="4">
        <f>SUMIF(Cleaned_Data!C$2:C$2013,O288,Cleaned_Data!N$2:N$2013)</f>
        <v>4607500000</v>
      </c>
      <c r="R288" s="6">
        <f t="shared" si="5"/>
        <v>0.09907759088</v>
      </c>
    </row>
    <row r="289">
      <c r="D289" s="4" t="s">
        <v>615</v>
      </c>
      <c r="E289" s="4">
        <f>SUMIF(Cleaned_Data!C$2:C$2013,D289,Cleaned_Data!N$2:N$2013)</f>
        <v>11798681000</v>
      </c>
      <c r="J289" s="4" t="str">
        <f>IFERROR(__xludf.DUMMYFUNCTION("""COMPUTED_VALUE"""),"KLA Corporation")</f>
        <v>KLA Corporation</v>
      </c>
      <c r="K289" s="4">
        <f>IFERROR(__xludf.DUMMYFUNCTION("""COMPUTED_VALUE"""),2.486641E9)</f>
        <v>2486641000</v>
      </c>
      <c r="L289" s="4">
        <f>IFERROR(__xludf.DUMMYFUNCTION("""COMPUTED_VALUE"""),6.918734E9)</f>
        <v>6918734000</v>
      </c>
      <c r="O289" s="4" t="s">
        <v>573</v>
      </c>
      <c r="P289" s="4">
        <f>SUMIF(Cleaned_Data!C$2:C$2013,O289,Cleaned_Data!K$2:K$2013)</f>
        <v>1112300000</v>
      </c>
      <c r="Q289" s="4">
        <f>SUMIF(Cleaned_Data!C$2:C$2013,O289,Cleaned_Data!N$2:N$2013)</f>
        <v>2808500000</v>
      </c>
      <c r="R289" s="6">
        <f t="shared" si="5"/>
        <v>0.3960477123</v>
      </c>
    </row>
    <row r="290">
      <c r="D290" s="4" t="s">
        <v>617</v>
      </c>
      <c r="E290" s="4">
        <f>SUMIF(Cleaned_Data!C$2:C$2013,D290,Cleaned_Data!N$2:N$2013)</f>
        <v>66814000000</v>
      </c>
      <c r="J290" s="4" t="str">
        <f>IFERROR(__xludf.DUMMYFUNCTION("""COMPUTED_VALUE"""),"Kansas City Southern")</f>
        <v>Kansas City Southern</v>
      </c>
      <c r="K290" s="4">
        <f>IFERROR(__xludf.DUMMYFUNCTION("""COMPUTED_VALUE"""),1.1123E9)</f>
        <v>1112300000</v>
      </c>
      <c r="L290" s="4">
        <f>IFERROR(__xludf.DUMMYFUNCTION("""COMPUTED_VALUE"""),2.8085E9)</f>
        <v>2808500000</v>
      </c>
      <c r="O290" s="4" t="s">
        <v>575</v>
      </c>
      <c r="P290" s="4">
        <f>SUMIF(Cleaned_Data!C$2:C$2013,O290,Cleaned_Data!K$2:K$2013)</f>
        <v>1948000000</v>
      </c>
      <c r="Q290" s="4">
        <f>SUMIF(Cleaned_Data!C$2:C$2013,O290,Cleaned_Data!N$2:N$2013)</f>
        <v>13942000000</v>
      </c>
      <c r="R290" s="6">
        <f t="shared" si="5"/>
        <v>0.1397217042</v>
      </c>
    </row>
    <row r="291">
      <c r="D291" s="4" t="s">
        <v>619</v>
      </c>
      <c r="E291" s="4">
        <f>SUMIF(Cleaned_Data!C$2:C$2013,D291,Cleaned_Data!N$2:N$2013)</f>
        <v>14765000000</v>
      </c>
      <c r="J291" s="4" t="str">
        <f>IFERROR(__xludf.DUMMYFUNCTION("""COMPUTED_VALUE"""),"Kellogg's")</f>
        <v>Kellogg's</v>
      </c>
      <c r="K291" s="4">
        <f>IFERROR(__xludf.DUMMYFUNCTION("""COMPUTED_VALUE"""),1.948E9)</f>
        <v>1948000000</v>
      </c>
      <c r="L291" s="4">
        <f>IFERROR(__xludf.DUMMYFUNCTION("""COMPUTED_VALUE"""),1.3942E10)</f>
        <v>13942000000</v>
      </c>
      <c r="O291" s="4" t="s">
        <v>577</v>
      </c>
      <c r="P291" s="4">
        <f>SUMIF(Cleaned_Data!C$2:C$2013,O291,Cleaned_Data!K$2:K$2013)</f>
        <v>2954000000</v>
      </c>
      <c r="Q291" s="4">
        <f>SUMIF(Cleaned_Data!C$2:C$2013,O291,Cleaned_Data!N$2:N$2013)</f>
        <v>7163000000</v>
      </c>
      <c r="R291" s="6">
        <f t="shared" si="5"/>
        <v>0.4123970403</v>
      </c>
    </row>
    <row r="292">
      <c r="D292" s="4" t="s">
        <v>621</v>
      </c>
      <c r="E292" s="4">
        <f>SUMIF(Cleaned_Data!C$2:C$2013,D292,Cleaned_Data!N$2:N$2013)</f>
        <v>94612000000</v>
      </c>
      <c r="J292" s="4" t="str">
        <f>IFERROR(__xludf.DUMMYFUNCTION("""COMPUTED_VALUE"""),"KeyCorp")</f>
        <v>KeyCorp</v>
      </c>
      <c r="K292" s="4">
        <f>IFERROR(__xludf.DUMMYFUNCTION("""COMPUTED_VALUE"""),2.954E9)</f>
        <v>2954000000</v>
      </c>
      <c r="L292" s="4">
        <f>IFERROR(__xludf.DUMMYFUNCTION("""COMPUTED_VALUE"""),7.163E9)</f>
        <v>7163000000</v>
      </c>
      <c r="O292" s="4" t="s">
        <v>579</v>
      </c>
      <c r="P292" s="4">
        <f>SUMIF(Cleaned_Data!C$2:C$2013,O292,Cleaned_Data!K$2:K$2013)</f>
        <v>921000000</v>
      </c>
      <c r="Q292" s="4">
        <f>SUMIF(Cleaned_Data!C$2:C$2013,O292,Cleaned_Data!N$2:N$2013)</f>
        <v>4632000000</v>
      </c>
      <c r="R292" s="6">
        <f t="shared" si="5"/>
        <v>0.1988341969</v>
      </c>
    </row>
    <row r="293">
      <c r="D293" s="4" t="s">
        <v>623</v>
      </c>
      <c r="E293" s="4">
        <f>SUMIF(Cleaned_Data!C$2:C$2013,D293,Cleaned_Data!N$2:N$2013)</f>
        <v>20245000000</v>
      </c>
      <c r="J293" s="4" t="str">
        <f>IFERROR(__xludf.DUMMYFUNCTION("""COMPUTED_VALUE"""),"Keysight Technologies")</f>
        <v>Keysight Technologies</v>
      </c>
      <c r="K293" s="4">
        <f>IFERROR(__xludf.DUMMYFUNCTION("""COMPUTED_VALUE"""),9.21E8)</f>
        <v>921000000</v>
      </c>
      <c r="L293" s="4">
        <f>IFERROR(__xludf.DUMMYFUNCTION("""COMPUTED_VALUE"""),4.632E9)</f>
        <v>4632000000</v>
      </c>
      <c r="O293" s="4" t="s">
        <v>581</v>
      </c>
      <c r="P293" s="4">
        <f>SUMIF(Cleaned_Data!C$2:C$2013,O293,Cleaned_Data!K$2:K$2013)</f>
        <v>3411000000</v>
      </c>
      <c r="Q293" s="4">
        <f>SUMIF(Cleaned_Data!C$2:C$2013,O293,Cleaned_Data!N$2:N$2013)</f>
        <v>18874000000</v>
      </c>
      <c r="R293" s="6">
        <f t="shared" si="5"/>
        <v>0.1807248066</v>
      </c>
    </row>
    <row r="294">
      <c r="D294" s="4" t="s">
        <v>625</v>
      </c>
      <c r="E294" s="4">
        <f>SUMIF(Cleaned_Data!C$2:C$2013,D294,Cleaned_Data!N$2:N$2013)</f>
        <v>41280000000</v>
      </c>
      <c r="J294" s="4" t="str">
        <f>IFERROR(__xludf.DUMMYFUNCTION("""COMPUTED_VALUE"""),"Kimberly-Clark")</f>
        <v>Kimberly-Clark</v>
      </c>
      <c r="K294" s="4">
        <f>IFERROR(__xludf.DUMMYFUNCTION("""COMPUTED_VALUE"""),3.411E9)</f>
        <v>3411000000</v>
      </c>
      <c r="L294" s="4">
        <f>IFERROR(__xludf.DUMMYFUNCTION("""COMPUTED_VALUE"""),1.8874E10)</f>
        <v>18874000000</v>
      </c>
      <c r="O294" s="4" t="s">
        <v>583</v>
      </c>
      <c r="P294" s="4">
        <f>SUMIF(Cleaned_Data!C$2:C$2013,O294,Cleaned_Data!K$2:K$2013)</f>
        <v>361277000</v>
      </c>
      <c r="Q294" s="4">
        <f>SUMIF(Cleaned_Data!C$2:C$2013,O294,Cleaned_Data!N$2:N$2013)</f>
        <v>1100557000</v>
      </c>
      <c r="R294" s="6">
        <f t="shared" si="5"/>
        <v>0.3282674137</v>
      </c>
    </row>
    <row r="295">
      <c r="D295" s="4" t="s">
        <v>627</v>
      </c>
      <c r="E295" s="4">
        <f>SUMIF(Cleaned_Data!C$2:C$2013,D295,Cleaned_Data!N$2:N$2013)</f>
        <v>5762152000</v>
      </c>
      <c r="J295" s="4" t="str">
        <f>IFERROR(__xludf.DUMMYFUNCTION("""COMPUTED_VALUE"""),"Kimco Realty")</f>
        <v>Kimco Realty</v>
      </c>
      <c r="K295" s="4">
        <f>IFERROR(__xludf.DUMMYFUNCTION("""COMPUTED_VALUE"""),3.61277E8)</f>
        <v>361277000</v>
      </c>
      <c r="L295" s="4">
        <f>IFERROR(__xludf.DUMMYFUNCTION("""COMPUTED_VALUE"""),1.100557E9)</f>
        <v>1100557000</v>
      </c>
      <c r="O295" s="4" t="s">
        <v>585</v>
      </c>
      <c r="P295" s="4">
        <f>SUMIF(Cleaned_Data!C$2:C$2013,O295,Cleaned_Data!K$2:K$2013)</f>
        <v>4360000000</v>
      </c>
      <c r="Q295" s="4">
        <f>SUMIF(Cleaned_Data!C$2:C$2013,O295,Cleaned_Data!N$2:N$2013)</f>
        <v>13805000000</v>
      </c>
      <c r="R295" s="6">
        <f t="shared" si="5"/>
        <v>0.3158275987</v>
      </c>
    </row>
    <row r="296">
      <c r="D296" s="4" t="s">
        <v>629</v>
      </c>
      <c r="E296" s="4">
        <f>SUMIF(Cleaned_Data!C$2:C$2013,D296,Cleaned_Data!N$2:N$2013)</f>
        <v>4034000000</v>
      </c>
      <c r="J296" s="4" t="str">
        <f>IFERROR(__xludf.DUMMYFUNCTION("""COMPUTED_VALUE"""),"Kinder Morgan")</f>
        <v>Kinder Morgan</v>
      </c>
      <c r="K296" s="4">
        <f>IFERROR(__xludf.DUMMYFUNCTION("""COMPUTED_VALUE"""),4.36E9)</f>
        <v>4360000000</v>
      </c>
      <c r="L296" s="4">
        <f>IFERROR(__xludf.DUMMYFUNCTION("""COMPUTED_VALUE"""),1.3805E10)</f>
        <v>13805000000</v>
      </c>
      <c r="O296" s="4" t="s">
        <v>587</v>
      </c>
      <c r="P296" s="4">
        <f>SUMIF(Cleaned_Data!C$2:C$2013,O296,Cleaned_Data!K$2:K$2013)</f>
        <v>2486641000</v>
      </c>
      <c r="Q296" s="4">
        <f>SUMIF(Cleaned_Data!C$2:C$2013,O296,Cleaned_Data!N$2:N$2013)</f>
        <v>6918734000</v>
      </c>
      <c r="R296" s="6">
        <f t="shared" si="5"/>
        <v>0.3594069377</v>
      </c>
    </row>
    <row r="297">
      <c r="D297" s="4" t="s">
        <v>631</v>
      </c>
      <c r="E297" s="4">
        <f>SUMIF(Cleaned_Data!C$2:C$2013,D297,Cleaned_Data!N$2:N$2013)</f>
        <v>87972000000</v>
      </c>
      <c r="J297" s="4" t="str">
        <f>IFERROR(__xludf.DUMMYFUNCTION("""COMPUTED_VALUE"""),"Kraft Heinz")</f>
        <v>Kraft Heinz</v>
      </c>
      <c r="K297" s="4">
        <f>IFERROR(__xludf.DUMMYFUNCTION("""COMPUTED_VALUE"""),6.097E9)</f>
        <v>6097000000</v>
      </c>
      <c r="L297" s="4">
        <f>IFERROR(__xludf.DUMMYFUNCTION("""COMPUTED_VALUE"""),2.6389E10)</f>
        <v>26389000000</v>
      </c>
      <c r="O297" s="4" t="s">
        <v>589</v>
      </c>
      <c r="P297" s="4">
        <f>SUMIF(Cleaned_Data!C$2:C$2013,O297,Cleaned_Data!K$2:K$2013)</f>
        <v>6097000000</v>
      </c>
      <c r="Q297" s="4">
        <f>SUMIF(Cleaned_Data!C$2:C$2013,O297,Cleaned_Data!N$2:N$2013)</f>
        <v>26389000000</v>
      </c>
      <c r="R297" s="6">
        <f t="shared" si="5"/>
        <v>0.2310432377</v>
      </c>
    </row>
    <row r="298">
      <c r="D298" s="4" t="s">
        <v>633</v>
      </c>
      <c r="E298" s="4">
        <f>SUMIF(Cleaned_Data!C$2:C$2013,D298,Cleaned_Data!N$2:N$2013)</f>
        <v>707150000</v>
      </c>
      <c r="J298" s="4" t="str">
        <f>IFERROR(__xludf.DUMMYFUNCTION("""COMPUTED_VALUE"""),"Kroger")</f>
        <v>Kroger</v>
      </c>
      <c r="K298" s="4">
        <f>IFERROR(__xludf.DUMMYFUNCTION("""COMPUTED_VALUE"""),2.654E9)</f>
        <v>2654000000</v>
      </c>
      <c r="L298" s="4">
        <f>IFERROR(__xludf.DUMMYFUNCTION("""COMPUTED_VALUE"""),1.32247E11)</f>
        <v>132247000000</v>
      </c>
      <c r="O298" s="4" t="s">
        <v>591</v>
      </c>
      <c r="P298" s="4">
        <f>SUMIF(Cleaned_Data!C$2:C$2013,O298,Cleaned_Data!K$2:K$2013)</f>
        <v>2654000000</v>
      </c>
      <c r="Q298" s="4">
        <f>SUMIF(Cleaned_Data!C$2:C$2013,O298,Cleaned_Data!N$2:N$2013)</f>
        <v>132247000000</v>
      </c>
      <c r="R298" s="6">
        <f t="shared" si="5"/>
        <v>0.02006850817</v>
      </c>
    </row>
    <row r="299">
      <c r="D299" s="4" t="s">
        <v>635</v>
      </c>
      <c r="E299" s="4">
        <f>SUMIF(Cleaned_Data!C$2:C$2013,D299,Cleaned_Data!N$2:N$2013)</f>
        <v>1771000000</v>
      </c>
      <c r="J299" s="4" t="str">
        <f>IFERROR(__xludf.DUMMYFUNCTION("""COMPUTED_VALUE"""),"L3Harris Technologies")</f>
        <v>L3Harris Technologies</v>
      </c>
      <c r="K299" s="4">
        <f>IFERROR(__xludf.DUMMYFUNCTION("""COMPUTED_VALUE"""),2.651E9)</f>
        <v>2651000000</v>
      </c>
      <c r="L299" s="4">
        <f>IFERROR(__xludf.DUMMYFUNCTION("""COMPUTED_VALUE"""),1.8358E10)</f>
        <v>18358000000</v>
      </c>
      <c r="O299" s="4" t="s">
        <v>593</v>
      </c>
      <c r="P299" s="4">
        <f>SUMIF(Cleaned_Data!C$2:C$2013,O299,Cleaned_Data!K$2:K$2013)</f>
        <v>2651000000</v>
      </c>
      <c r="Q299" s="4">
        <f>SUMIF(Cleaned_Data!C$2:C$2013,O299,Cleaned_Data!N$2:N$2013)</f>
        <v>18358000000</v>
      </c>
      <c r="R299" s="6">
        <f t="shared" si="5"/>
        <v>0.1444057087</v>
      </c>
    </row>
    <row r="300">
      <c r="D300" s="4" t="s">
        <v>637</v>
      </c>
      <c r="E300" s="4">
        <f>SUMIF(Cleaned_Data!C$2:C$2013,D300,Cleaned_Data!N$2:N$2013)</f>
        <v>17656000000</v>
      </c>
      <c r="J300" s="4" t="str">
        <f>IFERROR(__xludf.DUMMYFUNCTION("""COMPUTED_VALUE"""),"LKQ Corporation")</f>
        <v>LKQ Corporation</v>
      </c>
      <c r="K300" s="4">
        <f>IFERROR(__xludf.DUMMYFUNCTION("""COMPUTED_VALUE"""),1.176135E9)</f>
        <v>1176135000</v>
      </c>
      <c r="L300" s="4">
        <f>IFERROR(__xludf.DUMMYFUNCTION("""COMPUTED_VALUE"""),1.1798681E10)</f>
        <v>11798681000</v>
      </c>
      <c r="O300" s="4" t="s">
        <v>595</v>
      </c>
      <c r="P300" s="4">
        <f>SUMIF(Cleaned_Data!C$2:C$2013,O300,Cleaned_Data!K$2:K$2013)</f>
        <v>3921100000</v>
      </c>
      <c r="Q300" s="4">
        <f>SUMIF(Cleaned_Data!C$2:C$2013,O300,Cleaned_Data!N$2:N$2013)</f>
        <v>15316200000</v>
      </c>
      <c r="R300" s="6">
        <f t="shared" si="5"/>
        <v>0.2560099764</v>
      </c>
    </row>
    <row r="301">
      <c r="D301" s="4" t="s">
        <v>639</v>
      </c>
      <c r="E301" s="4">
        <f>SUMIF(Cleaned_Data!C$2:C$2013,D301,Cleaned_Data!N$2:N$2013)</f>
        <v>4568800000</v>
      </c>
      <c r="J301" s="4" t="str">
        <f>IFERROR(__xludf.DUMMYFUNCTION("""COMPUTED_VALUE"""),"LabCorp")</f>
        <v>LabCorp</v>
      </c>
      <c r="K301" s="4">
        <f>IFERROR(__xludf.DUMMYFUNCTION("""COMPUTED_VALUE"""),3.9211E9)</f>
        <v>3921100000</v>
      </c>
      <c r="L301" s="4">
        <f>IFERROR(__xludf.DUMMYFUNCTION("""COMPUTED_VALUE"""),1.53162E10)</f>
        <v>15316200000</v>
      </c>
      <c r="O301" s="4" t="s">
        <v>597</v>
      </c>
      <c r="P301" s="4">
        <f>SUMIF(Cleaned_Data!C$2:C$2013,O301,Cleaned_Data!K$2:K$2013)</f>
        <v>4482023000</v>
      </c>
      <c r="Q301" s="4">
        <f>SUMIF(Cleaned_Data!C$2:C$2013,O301,Cleaned_Data!N$2:N$2013)</f>
        <v>14626150000</v>
      </c>
      <c r="R301" s="6">
        <f t="shared" si="5"/>
        <v>0.3064390151</v>
      </c>
    </row>
    <row r="302">
      <c r="D302" s="4" t="s">
        <v>641</v>
      </c>
      <c r="E302" s="4">
        <f>SUMIF(Cleaned_Data!C$2:C$2013,D302,Cleaned_Data!N$2:N$2013)</f>
        <v>7577000000</v>
      </c>
      <c r="J302" s="4" t="str">
        <f>IFERROR(__xludf.DUMMYFUNCTION("""COMPUTED_VALUE"""),"Lam Research")</f>
        <v>Lam Research</v>
      </c>
      <c r="K302" s="4">
        <f>IFERROR(__xludf.DUMMYFUNCTION("""COMPUTED_VALUE"""),4.482023E9)</f>
        <v>4482023000</v>
      </c>
      <c r="L302" s="4">
        <f>IFERROR(__xludf.DUMMYFUNCTION("""COMPUTED_VALUE"""),1.462615E10)</f>
        <v>14626150000</v>
      </c>
      <c r="O302" s="4" t="s">
        <v>599</v>
      </c>
      <c r="P302" s="4">
        <f>SUMIF(Cleaned_Data!C$2:C$2013,O302,Cleaned_Data!K$2:K$2013)</f>
        <v>501500000</v>
      </c>
      <c r="Q302" s="4">
        <f>SUMIF(Cleaned_Data!C$2:C$2013,O302,Cleaned_Data!N$2:N$2013)</f>
        <v>3670900000</v>
      </c>
      <c r="R302" s="6">
        <f t="shared" si="5"/>
        <v>0.136614999</v>
      </c>
    </row>
    <row r="303">
      <c r="D303" s="4" t="s">
        <v>643</v>
      </c>
      <c r="E303" s="4">
        <f>SUMIF(Cleaned_Data!C$2:C$2013,D303,Cleaned_Data!N$2:N$2013)</f>
        <v>16640000000</v>
      </c>
      <c r="J303" s="4" t="str">
        <f>IFERROR(__xludf.DUMMYFUNCTION("""COMPUTED_VALUE"""),"Lamb Weston")</f>
        <v>Lamb Weston</v>
      </c>
      <c r="K303" s="4">
        <f>IFERROR(__xludf.DUMMYFUNCTION("""COMPUTED_VALUE"""),5.015E8)</f>
        <v>501500000</v>
      </c>
      <c r="L303" s="4">
        <f>IFERROR(__xludf.DUMMYFUNCTION("""COMPUTED_VALUE"""),3.6709E9)</f>
        <v>3670900000</v>
      </c>
      <c r="O303" s="4" t="s">
        <v>601</v>
      </c>
      <c r="P303" s="4">
        <f>SUMIF(Cleaned_Data!C$2:C$2013,O303,Cleaned_Data!K$2:K$2013)</f>
        <v>-1761000000</v>
      </c>
      <c r="Q303" s="4">
        <f>SUMIF(Cleaned_Data!C$2:C$2013,O303,Cleaned_Data!N$2:N$2013)</f>
        <v>3026000000</v>
      </c>
      <c r="R303" s="6">
        <f t="shared" si="5"/>
        <v>-0.5819563781</v>
      </c>
    </row>
    <row r="304">
      <c r="D304" s="4" t="s">
        <v>645</v>
      </c>
      <c r="E304" s="4">
        <f>SUMIF(Cleaned_Data!C$2:C$2013,D304,Cleaned_Data!N$2:N$2013)</f>
        <v>2666549000</v>
      </c>
      <c r="J304" s="4" t="str">
        <f>IFERROR(__xludf.DUMMYFUNCTION("""COMPUTED_VALUE"""),"Las Vegas Sands")</f>
        <v>Las Vegas Sands</v>
      </c>
      <c r="K304" s="4">
        <f>IFERROR(__xludf.DUMMYFUNCTION("""COMPUTED_VALUE"""),-1.761E9)</f>
        <v>-1761000000</v>
      </c>
      <c r="L304" s="4">
        <f>IFERROR(__xludf.DUMMYFUNCTION("""COMPUTED_VALUE"""),3.026E9)</f>
        <v>3026000000</v>
      </c>
      <c r="O304" s="4" t="s">
        <v>603</v>
      </c>
      <c r="P304" s="4">
        <f>SUMIF(Cleaned_Data!C$2:C$2013,O304,Cleaned_Data!K$2:K$2013)</f>
        <v>443100000</v>
      </c>
      <c r="Q304" s="4">
        <f>SUMIF(Cleaned_Data!C$2:C$2013,O304,Cleaned_Data!N$2:N$2013)</f>
        <v>4385600000</v>
      </c>
      <c r="R304" s="6">
        <f t="shared" si="5"/>
        <v>0.1010352061</v>
      </c>
    </row>
    <row r="305">
      <c r="D305" s="4" t="s">
        <v>647</v>
      </c>
      <c r="E305" s="4">
        <f>SUMIF(Cleaned_Data!C$2:C$2013,D305,Cleaned_Data!N$2:N$2013)</f>
        <v>6145500000</v>
      </c>
      <c r="J305" s="4" t="str">
        <f>IFERROR(__xludf.DUMMYFUNCTION("""COMPUTED_VALUE"""),"Leggett &amp; Platt")</f>
        <v>Leggett &amp; Platt</v>
      </c>
      <c r="K305" s="4">
        <f>IFERROR(__xludf.DUMMYFUNCTION("""COMPUTED_VALUE"""),4.431E8)</f>
        <v>443100000</v>
      </c>
      <c r="L305" s="4">
        <f>IFERROR(__xludf.DUMMYFUNCTION("""COMPUTED_VALUE"""),4.3856E9)</f>
        <v>4385600000</v>
      </c>
      <c r="O305" s="4" t="s">
        <v>605</v>
      </c>
      <c r="P305" s="4">
        <f>SUMIF(Cleaned_Data!C$2:C$2013,O305,Cleaned_Data!K$2:K$2013)</f>
        <v>1151000000</v>
      </c>
      <c r="Q305" s="4">
        <f>SUMIF(Cleaned_Data!C$2:C$2013,O305,Cleaned_Data!N$2:N$2013)</f>
        <v>13257000000</v>
      </c>
      <c r="R305" s="6">
        <f t="shared" si="5"/>
        <v>0.08682205627</v>
      </c>
    </row>
    <row r="306">
      <c r="D306" s="4" t="s">
        <v>649</v>
      </c>
      <c r="E306" s="4">
        <f>SUMIF(Cleaned_Data!C$2:C$2013,D306,Cleaned_Data!N$2:N$2013)</f>
        <v>21744400000</v>
      </c>
      <c r="J306" s="4" t="str">
        <f>IFERROR(__xludf.DUMMYFUNCTION("""COMPUTED_VALUE"""),"Leidos")</f>
        <v>Leidos</v>
      </c>
      <c r="K306" s="4">
        <f>IFERROR(__xludf.DUMMYFUNCTION("""COMPUTED_VALUE"""),1.151E9)</f>
        <v>1151000000</v>
      </c>
      <c r="L306" s="4">
        <f>IFERROR(__xludf.DUMMYFUNCTION("""COMPUTED_VALUE"""),1.3257E10)</f>
        <v>13257000000</v>
      </c>
      <c r="O306" s="4" t="s">
        <v>607</v>
      </c>
      <c r="P306" s="4">
        <f>SUMIF(Cleaned_Data!C$2:C$2013,O306,Cleaned_Data!K$2:K$2013)</f>
        <v>3938518000</v>
      </c>
      <c r="Q306" s="4">
        <f>SUMIF(Cleaned_Data!C$2:C$2013,O306,Cleaned_Data!N$2:N$2013)</f>
        <v>24451857000</v>
      </c>
      <c r="R306" s="6">
        <f t="shared" si="5"/>
        <v>0.1610723472</v>
      </c>
    </row>
    <row r="307">
      <c r="D307" s="4" t="s">
        <v>651</v>
      </c>
      <c r="E307" s="4">
        <f>SUMIF(Cleaned_Data!C$2:C$2013,D307,Cleaned_Data!N$2:N$2013)</f>
        <v>238228000000</v>
      </c>
      <c r="J307" s="4" t="str">
        <f>IFERROR(__xludf.DUMMYFUNCTION("""COMPUTED_VALUE"""),"Lennar")</f>
        <v>Lennar</v>
      </c>
      <c r="K307" s="4">
        <f>IFERROR(__xludf.DUMMYFUNCTION("""COMPUTED_VALUE"""),3.938518E9)</f>
        <v>3938518000</v>
      </c>
      <c r="L307" s="4">
        <f>IFERROR(__xludf.DUMMYFUNCTION("""COMPUTED_VALUE"""),2.4451857E10)</f>
        <v>24451857000</v>
      </c>
      <c r="O307" s="4" t="s">
        <v>609</v>
      </c>
      <c r="P307" s="4">
        <f>SUMIF(Cleaned_Data!C$2:C$2013,O307,Cleaned_Data!K$2:K$2013)</f>
        <v>1942000000</v>
      </c>
      <c r="Q307" s="4">
        <f>SUMIF(Cleaned_Data!C$2:C$2013,O307,Cleaned_Data!N$2:N$2013)</f>
        <v>18882000000</v>
      </c>
      <c r="R307" s="6">
        <f t="shared" si="5"/>
        <v>0.1028492744</v>
      </c>
    </row>
    <row r="308">
      <c r="D308" s="4" t="s">
        <v>653</v>
      </c>
      <c r="E308" s="4">
        <f>SUMIF(Cleaned_Data!C$2:C$2013,D308,Cleaned_Data!N$2:N$2013)</f>
        <v>31597000000</v>
      </c>
      <c r="J308" s="4" t="str">
        <f>IFERROR(__xludf.DUMMYFUNCTION("""COMPUTED_VALUE"""),"Lincoln National")</f>
        <v>Lincoln National</v>
      </c>
      <c r="K308" s="4">
        <f>IFERROR(__xludf.DUMMYFUNCTION("""COMPUTED_VALUE"""),1.942E9)</f>
        <v>1942000000</v>
      </c>
      <c r="L308" s="4">
        <f>IFERROR(__xludf.DUMMYFUNCTION("""COMPUTED_VALUE"""),1.8882E10)</f>
        <v>18882000000</v>
      </c>
      <c r="O308" s="4" t="s">
        <v>611</v>
      </c>
      <c r="P308" s="4">
        <f>SUMIF(Cleaned_Data!C$2:C$2013,O308,Cleaned_Data!K$2:K$2013)</f>
        <v>4903000000</v>
      </c>
      <c r="Q308" s="4">
        <f>SUMIF(Cleaned_Data!C$2:C$2013,O308,Cleaned_Data!N$2:N$2013)</f>
        <v>28954000000</v>
      </c>
      <c r="R308" s="6">
        <f t="shared" si="5"/>
        <v>0.1693375699</v>
      </c>
    </row>
    <row r="309">
      <c r="D309" s="4" t="s">
        <v>655</v>
      </c>
      <c r="E309" s="4">
        <f>SUMIF(Cleaned_Data!C$2:C$2013,D309,Cleaned_Data!N$2:N$2013)</f>
        <v>48548000000</v>
      </c>
      <c r="J309" s="4" t="str">
        <f>IFERROR(__xludf.DUMMYFUNCTION("""COMPUTED_VALUE"""),"Linde")</f>
        <v>Linde</v>
      </c>
      <c r="K309" s="4">
        <f>IFERROR(__xludf.DUMMYFUNCTION("""COMPUTED_VALUE"""),4.903E9)</f>
        <v>4903000000</v>
      </c>
      <c r="L309" s="4">
        <f>IFERROR(__xludf.DUMMYFUNCTION("""COMPUTED_VALUE"""),2.8954E10)</f>
        <v>28954000000</v>
      </c>
      <c r="O309" s="4" t="s">
        <v>613</v>
      </c>
      <c r="P309" s="4">
        <f>SUMIF(Cleaned_Data!C$2:C$2013,O309,Cleaned_Data!K$2:K$2013)</f>
        <v>-1339070000</v>
      </c>
      <c r="Q309" s="4">
        <f>SUMIF(Cleaned_Data!C$2:C$2013,O309,Cleaned_Data!N$2:N$2013)</f>
        <v>1287956000</v>
      </c>
      <c r="R309" s="6">
        <f t="shared" si="5"/>
        <v>-1.039686138</v>
      </c>
    </row>
    <row r="310">
      <c r="D310" s="4" t="s">
        <v>657</v>
      </c>
      <c r="E310" s="4">
        <f>SUMIF(Cleaned_Data!C$2:C$2013,D310,Cleaned_Data!N$2:N$2013)</f>
        <v>69519000000</v>
      </c>
      <c r="J310" s="4" t="str">
        <f>IFERROR(__xludf.DUMMYFUNCTION("""COMPUTED_VALUE"""),"Live Nation Entertainment")</f>
        <v>Live Nation Entertainment</v>
      </c>
      <c r="K310" s="4">
        <f>IFERROR(__xludf.DUMMYFUNCTION("""COMPUTED_VALUE"""),-1.33907E9)</f>
        <v>-1339070000</v>
      </c>
      <c r="L310" s="4">
        <f>IFERROR(__xludf.DUMMYFUNCTION("""COMPUTED_VALUE"""),1.287956E9)</f>
        <v>1287956000</v>
      </c>
      <c r="O310" s="4" t="s">
        <v>615</v>
      </c>
      <c r="P310" s="4">
        <f>SUMIF(Cleaned_Data!C$2:C$2013,O310,Cleaned_Data!K$2:K$2013)</f>
        <v>1176135000</v>
      </c>
      <c r="Q310" s="4">
        <f>SUMIF(Cleaned_Data!C$2:C$2013,O310,Cleaned_Data!N$2:N$2013)</f>
        <v>11798681000</v>
      </c>
      <c r="R310" s="6">
        <f t="shared" si="5"/>
        <v>0.09968360023</v>
      </c>
    </row>
    <row r="311">
      <c r="D311" s="4" t="s">
        <v>659</v>
      </c>
      <c r="E311" s="4">
        <f>SUMIF(Cleaned_Data!C$2:C$2013,D311,Cleaned_Data!N$2:N$2013)</f>
        <v>3240405000</v>
      </c>
      <c r="J311" s="4" t="str">
        <f>IFERROR(__xludf.DUMMYFUNCTION("""COMPUTED_VALUE"""),"Lockheed Martin")</f>
        <v>Lockheed Martin</v>
      </c>
      <c r="K311" s="4">
        <f>IFERROR(__xludf.DUMMYFUNCTION("""COMPUTED_VALUE"""),9.042E9)</f>
        <v>9042000000</v>
      </c>
      <c r="L311" s="4">
        <f>IFERROR(__xludf.DUMMYFUNCTION("""COMPUTED_VALUE"""),6.6814E10)</f>
        <v>66814000000</v>
      </c>
      <c r="O311" s="4" t="s">
        <v>617</v>
      </c>
      <c r="P311" s="4">
        <f>SUMIF(Cleaned_Data!C$2:C$2013,O311,Cleaned_Data!K$2:K$2013)</f>
        <v>9042000000</v>
      </c>
      <c r="Q311" s="4">
        <f>SUMIF(Cleaned_Data!C$2:C$2013,O311,Cleaned_Data!N$2:N$2013)</f>
        <v>66814000000</v>
      </c>
      <c r="R311" s="6">
        <f t="shared" si="5"/>
        <v>0.1353309187</v>
      </c>
    </row>
    <row r="312">
      <c r="D312" s="4" t="s">
        <v>661</v>
      </c>
      <c r="E312" s="4">
        <f>SUMIF(Cleaned_Data!C$2:C$2013,D312,Cleaned_Data!N$2:N$2013)</f>
        <v>6271405000</v>
      </c>
      <c r="J312" s="4" t="str">
        <f>IFERROR(__xludf.DUMMYFUNCTION("""COMPUTED_VALUE"""),"Loews Corporation")</f>
        <v>Loews Corporation</v>
      </c>
      <c r="K312" s="4">
        <f>IFERROR(__xludf.DUMMYFUNCTION("""COMPUTED_VALUE"""),2.605E9)</f>
        <v>2605000000</v>
      </c>
      <c r="L312" s="4">
        <f>IFERROR(__xludf.DUMMYFUNCTION("""COMPUTED_VALUE"""),1.4765E10)</f>
        <v>14765000000</v>
      </c>
      <c r="O312" s="4" t="s">
        <v>619</v>
      </c>
      <c r="P312" s="4">
        <f>SUMIF(Cleaned_Data!C$2:C$2013,O312,Cleaned_Data!K$2:K$2013)</f>
        <v>2605000000</v>
      </c>
      <c r="Q312" s="4">
        <f>SUMIF(Cleaned_Data!C$2:C$2013,O312,Cleaned_Data!N$2:N$2013)</f>
        <v>14765000000</v>
      </c>
      <c r="R312" s="6">
        <f t="shared" si="5"/>
        <v>0.1764307484</v>
      </c>
    </row>
    <row r="313">
      <c r="D313" s="4" t="s">
        <v>663</v>
      </c>
      <c r="E313" s="4">
        <f>SUMIF(Cleaned_Data!C$2:C$2013,D313,Cleaned_Data!N$2:N$2013)</f>
        <v>5698100000</v>
      </c>
      <c r="J313" s="4" t="str">
        <f>IFERROR(__xludf.DUMMYFUNCTION("""COMPUTED_VALUE"""),"Lowe's")</f>
        <v>Lowe's</v>
      </c>
      <c r="K313" s="4">
        <f>IFERROR(__xludf.DUMMYFUNCTION("""COMPUTED_VALUE"""),1.2426E10)</f>
        <v>12426000000</v>
      </c>
      <c r="L313" s="4">
        <f>IFERROR(__xludf.DUMMYFUNCTION("""COMPUTED_VALUE"""),9.4612E10)</f>
        <v>94612000000</v>
      </c>
      <c r="O313" s="4" t="s">
        <v>621</v>
      </c>
      <c r="P313" s="4">
        <f>SUMIF(Cleaned_Data!C$2:C$2013,O313,Cleaned_Data!K$2:K$2013)</f>
        <v>12426000000</v>
      </c>
      <c r="Q313" s="4">
        <f>SUMIF(Cleaned_Data!C$2:C$2013,O313,Cleaned_Data!N$2:N$2013)</f>
        <v>94612000000</v>
      </c>
      <c r="R313" s="6">
        <f t="shared" si="5"/>
        <v>0.1313364055</v>
      </c>
    </row>
    <row r="314">
      <c r="D314" s="4" t="s">
        <v>665</v>
      </c>
      <c r="E314" s="4">
        <f>SUMIF(Cleaned_Data!C$2:C$2013,D314,Cleaned_Data!N$2:N$2013)</f>
        <v>23503000000</v>
      </c>
      <c r="J314" s="4" t="str">
        <f>IFERROR(__xludf.DUMMYFUNCTION("""COMPUTED_VALUE"""),"Lumen Technologies")</f>
        <v>Lumen Technologies</v>
      </c>
      <c r="K314" s="4">
        <f>IFERROR(__xludf.DUMMYFUNCTION("""COMPUTED_VALUE"""),3.926E9)</f>
        <v>3926000000</v>
      </c>
      <c r="L314" s="4">
        <f>IFERROR(__xludf.DUMMYFUNCTION("""COMPUTED_VALUE"""),2.0245E10)</f>
        <v>20245000000</v>
      </c>
      <c r="O314" s="4" t="s">
        <v>623</v>
      </c>
      <c r="P314" s="4">
        <f>SUMIF(Cleaned_Data!C$2:C$2013,O314,Cleaned_Data!K$2:K$2013)</f>
        <v>3926000000</v>
      </c>
      <c r="Q314" s="4">
        <f>SUMIF(Cleaned_Data!C$2:C$2013,O314,Cleaned_Data!N$2:N$2013)</f>
        <v>20245000000</v>
      </c>
      <c r="R314" s="6">
        <f t="shared" si="5"/>
        <v>0.1939244258</v>
      </c>
    </row>
    <row r="315">
      <c r="D315" s="4" t="s">
        <v>667</v>
      </c>
      <c r="E315" s="4">
        <f>SUMIF(Cleaned_Data!C$2:C$2013,D315,Cleaned_Data!N$2:N$2013)</f>
        <v>168088000000</v>
      </c>
      <c r="J315" s="4" t="str">
        <f>IFERROR(__xludf.DUMMYFUNCTION("""COMPUTED_VALUE"""),"LyondellBasell")</f>
        <v>LyondellBasell</v>
      </c>
      <c r="K315" s="4">
        <f>IFERROR(__xludf.DUMMYFUNCTION("""COMPUTED_VALUE"""),6.713E9)</f>
        <v>6713000000</v>
      </c>
      <c r="L315" s="4">
        <f>IFERROR(__xludf.DUMMYFUNCTION("""COMPUTED_VALUE"""),4.128E10)</f>
        <v>41280000000</v>
      </c>
      <c r="O315" s="4" t="s">
        <v>625</v>
      </c>
      <c r="P315" s="4">
        <f>SUMIF(Cleaned_Data!C$2:C$2013,O315,Cleaned_Data!K$2:K$2013)</f>
        <v>6713000000</v>
      </c>
      <c r="Q315" s="4">
        <f>SUMIF(Cleaned_Data!C$2:C$2013,O315,Cleaned_Data!N$2:N$2013)</f>
        <v>41280000000</v>
      </c>
      <c r="R315" s="6">
        <f t="shared" si="5"/>
        <v>0.162621124</v>
      </c>
    </row>
    <row r="316">
      <c r="D316" s="4" t="s">
        <v>669</v>
      </c>
      <c r="E316" s="4">
        <f>SUMIF(Cleaned_Data!C$2:C$2013,D316,Cleaned_Data!N$2:N$2013)</f>
        <v>1708792000</v>
      </c>
      <c r="J316" s="4" t="str">
        <f>IFERROR(__xludf.DUMMYFUNCTION("""COMPUTED_VALUE"""),"M&amp;T Bank")</f>
        <v>M&amp;T Bank</v>
      </c>
      <c r="K316" s="4">
        <f>IFERROR(__xludf.DUMMYFUNCTION("""COMPUTED_VALUE"""),2.381381E9)</f>
        <v>2381381000</v>
      </c>
      <c r="L316" s="4">
        <f>IFERROR(__xludf.DUMMYFUNCTION("""COMPUTED_VALUE"""),5.762152E9)</f>
        <v>5762152000</v>
      </c>
      <c r="O316" s="4" t="s">
        <v>627</v>
      </c>
      <c r="P316" s="4">
        <f>SUMIF(Cleaned_Data!C$2:C$2013,O316,Cleaned_Data!K$2:K$2013)</f>
        <v>2381381000</v>
      </c>
      <c r="Q316" s="4">
        <f>SUMIF(Cleaned_Data!C$2:C$2013,O316,Cleaned_Data!N$2:N$2013)</f>
        <v>5762152000</v>
      </c>
      <c r="R316" s="6">
        <f t="shared" si="5"/>
        <v>0.4132797955</v>
      </c>
    </row>
    <row r="317">
      <c r="D317" s="4" t="s">
        <v>671</v>
      </c>
      <c r="E317" s="4">
        <f>SUMIF(Cleaned_Data!C$2:C$2013,D317,Cleaned_Data!N$2:N$2013)</f>
        <v>7019655000</v>
      </c>
      <c r="J317" s="4" t="str">
        <f>IFERROR(__xludf.DUMMYFUNCTION("""COMPUTED_VALUE"""),"MGM Resorts International")</f>
        <v>MGM Resorts International</v>
      </c>
      <c r="K317" s="4">
        <f>IFERROR(__xludf.DUMMYFUNCTION("""COMPUTED_VALUE"""),-8.89574E8)</f>
        <v>-889574000</v>
      </c>
      <c r="L317" s="4">
        <f>IFERROR(__xludf.DUMMYFUNCTION("""COMPUTED_VALUE"""),6.271405E9)</f>
        <v>6271405000</v>
      </c>
      <c r="O317" s="4" t="s">
        <v>629</v>
      </c>
      <c r="P317" s="4">
        <f>SUMIF(Cleaned_Data!C$2:C$2013,O317,Cleaned_Data!K$2:K$2013)</f>
        <v>-313000000</v>
      </c>
      <c r="Q317" s="4">
        <f>SUMIF(Cleaned_Data!C$2:C$2013,O317,Cleaned_Data!N$2:N$2013)</f>
        <v>4034000000</v>
      </c>
      <c r="R317" s="6">
        <f t="shared" si="5"/>
        <v>-0.07759048091</v>
      </c>
    </row>
    <row r="318">
      <c r="D318" s="4" t="s">
        <v>673</v>
      </c>
      <c r="E318" s="4">
        <f>SUMIF(Cleaned_Data!C$2:C$2013,D318,Cleaned_Data!N$2:N$2013)</f>
        <v>10839493000</v>
      </c>
      <c r="J318" s="4" t="str">
        <f>IFERROR(__xludf.DUMMYFUNCTION("""COMPUTED_VALUE"""),"MSCI")</f>
        <v>MSCI</v>
      </c>
      <c r="K318" s="4">
        <f>IFERROR(__xludf.DUMMYFUNCTION("""COMPUTED_VALUE"""),9.88212E8)</f>
        <v>988212000</v>
      </c>
      <c r="L318" s="4">
        <f>IFERROR(__xludf.DUMMYFUNCTION("""COMPUTED_VALUE"""),1.845597E9)</f>
        <v>1845597000</v>
      </c>
      <c r="O318" s="4" t="s">
        <v>631</v>
      </c>
      <c r="P318" s="4">
        <f>SUMIF(Cleaned_Data!C$2:C$2013,O318,Cleaned_Data!K$2:K$2013)</f>
        <v>919000000</v>
      </c>
      <c r="Q318" s="4">
        <f>SUMIF(Cleaned_Data!C$2:C$2013,O318,Cleaned_Data!N$2:N$2013)</f>
        <v>87972000000</v>
      </c>
      <c r="R318" s="6">
        <f t="shared" si="5"/>
        <v>0.01044650571</v>
      </c>
    </row>
    <row r="319">
      <c r="D319" s="4" t="s">
        <v>675</v>
      </c>
      <c r="E319" s="4">
        <f>SUMIF(Cleaned_Data!C$2:C$2013,D319,Cleaned_Data!N$2:N$2013)</f>
        <v>9885600000</v>
      </c>
      <c r="J319" s="4" t="str">
        <f>IFERROR(__xludf.DUMMYFUNCTION("""COMPUTED_VALUE"""),"Marathon Oil")</f>
        <v>Marathon Oil</v>
      </c>
      <c r="K319" s="4">
        <f>IFERROR(__xludf.DUMMYFUNCTION("""COMPUTED_VALUE"""),-3.13E8)</f>
        <v>-313000000</v>
      </c>
      <c r="L319" s="4">
        <f>IFERROR(__xludf.DUMMYFUNCTION("""COMPUTED_VALUE"""),4.034E9)</f>
        <v>4034000000</v>
      </c>
      <c r="O319" s="4" t="s">
        <v>633</v>
      </c>
      <c r="P319" s="4">
        <f>SUMIF(Cleaned_Data!C$2:C$2013,O319,Cleaned_Data!K$2:K$2013)</f>
        <v>371276000</v>
      </c>
      <c r="Q319" s="4">
        <f>SUMIF(Cleaned_Data!C$2:C$2013,O319,Cleaned_Data!N$2:N$2013)</f>
        <v>707150000</v>
      </c>
      <c r="R319" s="6">
        <f t="shared" si="5"/>
        <v>0.5250314643</v>
      </c>
    </row>
    <row r="320">
      <c r="D320" s="4" t="s">
        <v>677</v>
      </c>
      <c r="E320" s="4">
        <f>SUMIF(Cleaned_Data!C$2:C$2013,D320,Cleaned_Data!N$2:N$2013)</f>
        <v>27843000000</v>
      </c>
      <c r="J320" s="4" t="str">
        <f>IFERROR(__xludf.DUMMYFUNCTION("""COMPUTED_VALUE"""),"Marathon Petroleum")</f>
        <v>Marathon Petroleum</v>
      </c>
      <c r="K320" s="4">
        <f>IFERROR(__xludf.DUMMYFUNCTION("""COMPUTED_VALUE"""),9.19E8)</f>
        <v>919000000</v>
      </c>
      <c r="L320" s="4">
        <f>IFERROR(__xludf.DUMMYFUNCTION("""COMPUTED_VALUE"""),8.7972E10)</f>
        <v>87972000000</v>
      </c>
      <c r="O320" s="4" t="s">
        <v>635</v>
      </c>
      <c r="P320" s="4">
        <f>SUMIF(Cleaned_Data!C$2:C$2013,O320,Cleaned_Data!K$2:K$2013)</f>
        <v>350000000</v>
      </c>
      <c r="Q320" s="4">
        <f>SUMIF(Cleaned_Data!C$2:C$2013,O320,Cleaned_Data!N$2:N$2013)</f>
        <v>1771000000</v>
      </c>
      <c r="R320" s="6">
        <f t="shared" si="5"/>
        <v>0.1976284585</v>
      </c>
    </row>
    <row r="321">
      <c r="D321" s="4" t="s">
        <v>679</v>
      </c>
      <c r="E321" s="4">
        <f>SUMIF(Cleaned_Data!C$2:C$2013,D321,Cleaned_Data!N$2:N$2013)</f>
        <v>1040237000</v>
      </c>
      <c r="J321" s="4" t="str">
        <f>IFERROR(__xludf.DUMMYFUNCTION("""COMPUTED_VALUE"""),"MarketAxess")</f>
        <v>MarketAxess</v>
      </c>
      <c r="K321" s="4">
        <f>IFERROR(__xludf.DUMMYFUNCTION("""COMPUTED_VALUE"""),3.71276E8)</f>
        <v>371276000</v>
      </c>
      <c r="L321" s="4">
        <f>IFERROR(__xludf.DUMMYFUNCTION("""COMPUTED_VALUE"""),7.0715E8)</f>
        <v>707150000</v>
      </c>
      <c r="O321" s="4" t="s">
        <v>637</v>
      </c>
      <c r="P321" s="4">
        <f>SUMIF(Cleaned_Data!C$2:C$2013,O321,Cleaned_Data!K$2:K$2013)</f>
        <v>3760000000</v>
      </c>
      <c r="Q321" s="4">
        <f>SUMIF(Cleaned_Data!C$2:C$2013,O321,Cleaned_Data!N$2:N$2013)</f>
        <v>17656000000</v>
      </c>
      <c r="R321" s="6">
        <f t="shared" si="5"/>
        <v>0.2129587676</v>
      </c>
    </row>
    <row r="322">
      <c r="D322" s="4" t="s">
        <v>681</v>
      </c>
      <c r="E322" s="4">
        <f>SUMIF(Cleaned_Data!C$2:C$2013,D322,Cleaned_Data!N$2:N$2013)</f>
        <v>5148395000</v>
      </c>
      <c r="J322" s="4" t="str">
        <f>IFERROR(__xludf.DUMMYFUNCTION("""COMPUTED_VALUE"""),"Marriott International")</f>
        <v>Marriott International</v>
      </c>
      <c r="K322" s="4">
        <f>IFERROR(__xludf.DUMMYFUNCTION("""COMPUTED_VALUE"""),3.5E8)</f>
        <v>350000000</v>
      </c>
      <c r="L322" s="4">
        <f>IFERROR(__xludf.DUMMYFUNCTION("""COMPUTED_VALUE"""),1.771E9)</f>
        <v>1771000000</v>
      </c>
      <c r="O322" s="4" t="s">
        <v>639</v>
      </c>
      <c r="P322" s="4">
        <f>SUMIF(Cleaned_Data!C$2:C$2013,O322,Cleaned_Data!K$2:K$2013)</f>
        <v>990200000</v>
      </c>
      <c r="Q322" s="4">
        <f>SUMIF(Cleaned_Data!C$2:C$2013,O322,Cleaned_Data!N$2:N$2013)</f>
        <v>4568800000</v>
      </c>
      <c r="R322" s="6">
        <f t="shared" si="5"/>
        <v>0.2167308703</v>
      </c>
    </row>
    <row r="323">
      <c r="D323" s="4" t="s">
        <v>683</v>
      </c>
      <c r="E323" s="4">
        <f>SUMIF(Cleaned_Data!C$2:C$2013,D323,Cleaned_Data!N$2:N$2013)</f>
        <v>5799000000</v>
      </c>
      <c r="J323" s="4" t="str">
        <f>IFERROR(__xludf.DUMMYFUNCTION("""COMPUTED_VALUE"""),"Marsh &amp; McLennan")</f>
        <v>Marsh &amp; McLennan</v>
      </c>
      <c r="K323" s="4">
        <f>IFERROR(__xludf.DUMMYFUNCTION("""COMPUTED_VALUE"""),3.76E9)</f>
        <v>3760000000</v>
      </c>
      <c r="L323" s="4">
        <f>IFERROR(__xludf.DUMMYFUNCTION("""COMPUTED_VALUE"""),1.7656E10)</f>
        <v>17656000000</v>
      </c>
      <c r="O323" s="4" t="s">
        <v>641</v>
      </c>
      <c r="P323" s="4">
        <f>SUMIF(Cleaned_Data!C$2:C$2013,O323,Cleaned_Data!K$2:K$2013)</f>
        <v>1409000000</v>
      </c>
      <c r="Q323" s="4">
        <f>SUMIF(Cleaned_Data!C$2:C$2013,O323,Cleaned_Data!N$2:N$2013)</f>
        <v>7577000000</v>
      </c>
      <c r="R323" s="6">
        <f t="shared" si="5"/>
        <v>0.185957503</v>
      </c>
    </row>
    <row r="324">
      <c r="D324" s="4" t="s">
        <v>685</v>
      </c>
      <c r="E324" s="4">
        <f>SUMIF(Cleaned_Data!C$2:C$2013,D324,Cleaned_Data!N$2:N$2013)</f>
        <v>58871000000</v>
      </c>
      <c r="J324" s="4" t="str">
        <f>IFERROR(__xludf.DUMMYFUNCTION("""COMPUTED_VALUE"""),"Martin Marietta Materials")</f>
        <v>Martin Marietta Materials</v>
      </c>
      <c r="K324" s="4">
        <f>IFERROR(__xludf.DUMMYFUNCTION("""COMPUTED_VALUE"""),9.902E8)</f>
        <v>990200000</v>
      </c>
      <c r="L324" s="4">
        <f>IFERROR(__xludf.DUMMYFUNCTION("""COMPUTED_VALUE"""),4.5688E9)</f>
        <v>4568800000</v>
      </c>
      <c r="O324" s="4" t="s">
        <v>643</v>
      </c>
      <c r="P324" s="4">
        <f>SUMIF(Cleaned_Data!C$2:C$2013,O324,Cleaned_Data!K$2:K$2013)</f>
        <v>8821000000</v>
      </c>
      <c r="Q324" s="4">
        <f>SUMIF(Cleaned_Data!C$2:C$2013,O324,Cleaned_Data!N$2:N$2013)</f>
        <v>16640000000</v>
      </c>
      <c r="R324" s="6">
        <f t="shared" si="5"/>
        <v>0.5301081731</v>
      </c>
    </row>
    <row r="325">
      <c r="D325" s="4" t="s">
        <v>687</v>
      </c>
      <c r="E325" s="4">
        <f>SUMIF(Cleaned_Data!C$2:C$2013,D325,Cleaned_Data!N$2:N$2013)</f>
        <v>7885000000</v>
      </c>
      <c r="J325" s="4" t="str">
        <f>IFERROR(__xludf.DUMMYFUNCTION("""COMPUTED_VALUE"""),"Masco")</f>
        <v>Masco</v>
      </c>
      <c r="K325" s="4">
        <f>IFERROR(__xludf.DUMMYFUNCTION("""COMPUTED_VALUE"""),1.409E9)</f>
        <v>1409000000</v>
      </c>
      <c r="L325" s="4">
        <f>IFERROR(__xludf.DUMMYFUNCTION("""COMPUTED_VALUE"""),7.577E9)</f>
        <v>7577000000</v>
      </c>
      <c r="O325" s="4" t="s">
        <v>645</v>
      </c>
      <c r="P325" s="4">
        <f>SUMIF(Cleaned_Data!C$2:C$2013,O325,Cleaned_Data!K$2:K$2013)</f>
        <v>819421000</v>
      </c>
      <c r="Q325" s="4">
        <f>SUMIF(Cleaned_Data!C$2:C$2013,O325,Cleaned_Data!N$2:N$2013)</f>
        <v>2666549000</v>
      </c>
      <c r="R325" s="6">
        <f t="shared" si="5"/>
        <v>0.3072964345</v>
      </c>
    </row>
    <row r="326">
      <c r="D326" s="4" t="s">
        <v>689</v>
      </c>
      <c r="E326" s="4">
        <f>SUMIF(Cleaned_Data!C$2:C$2013,D326,Cleaned_Data!N$2:N$2013)</f>
        <v>1845597000</v>
      </c>
      <c r="J326" s="4" t="str">
        <f>IFERROR(__xludf.DUMMYFUNCTION("""COMPUTED_VALUE"""),"Mastercard")</f>
        <v>Mastercard</v>
      </c>
      <c r="K326" s="4">
        <f>IFERROR(__xludf.DUMMYFUNCTION("""COMPUTED_VALUE"""),8.821E9)</f>
        <v>8821000000</v>
      </c>
      <c r="L326" s="4">
        <f>IFERROR(__xludf.DUMMYFUNCTION("""COMPUTED_VALUE"""),1.664E10)</f>
        <v>16640000000</v>
      </c>
      <c r="O326" s="4" t="s">
        <v>647</v>
      </c>
      <c r="P326" s="4">
        <f>SUMIF(Cleaned_Data!C$2:C$2013,O326,Cleaned_Data!K$2:K$2013)</f>
        <v>1090600000</v>
      </c>
      <c r="Q326" s="4">
        <f>SUMIF(Cleaned_Data!C$2:C$2013,O326,Cleaned_Data!N$2:N$2013)</f>
        <v>6145500000</v>
      </c>
      <c r="R326" s="6">
        <f t="shared" si="5"/>
        <v>0.1774631844</v>
      </c>
    </row>
    <row r="327">
      <c r="D327" s="4" t="s">
        <v>690</v>
      </c>
      <c r="E327" s="4">
        <f>SUMIF(Cleaned_Data!C$2:C$2013,D327,Cleaned_Data!N$2:N$2013)</f>
        <v>5940000000</v>
      </c>
      <c r="J327" s="4" t="str">
        <f>IFERROR(__xludf.DUMMYFUNCTION("""COMPUTED_VALUE"""),"Match Group")</f>
        <v>Match Group</v>
      </c>
      <c r="K327" s="4">
        <f>IFERROR(__xludf.DUMMYFUNCTION("""COMPUTED_VALUE"""),8.19421E8)</f>
        <v>819421000</v>
      </c>
      <c r="L327" s="4">
        <f>IFERROR(__xludf.DUMMYFUNCTION("""COMPUTED_VALUE"""),2.666549E9)</f>
        <v>2666549000</v>
      </c>
      <c r="O327" s="4" t="s">
        <v>649</v>
      </c>
      <c r="P327" s="4">
        <f>SUMIF(Cleaned_Data!C$2:C$2013,O327,Cleaned_Data!K$2:K$2013)</f>
        <v>9089700000</v>
      </c>
      <c r="Q327" s="4">
        <f>SUMIF(Cleaned_Data!C$2:C$2013,O327,Cleaned_Data!N$2:N$2013)</f>
        <v>21744400000</v>
      </c>
      <c r="R327" s="6">
        <f t="shared" si="5"/>
        <v>0.4180248708</v>
      </c>
    </row>
    <row r="328">
      <c r="D328" s="4" t="s">
        <v>692</v>
      </c>
      <c r="E328" s="4">
        <f>SUMIF(Cleaned_Data!C$2:C$2013,D328,Cleaned_Data!N$2:N$2013)</f>
        <v>5744000000</v>
      </c>
      <c r="J328" s="4" t="str">
        <f>IFERROR(__xludf.DUMMYFUNCTION("""COMPUTED_VALUE"""),"McCormick &amp; Company")</f>
        <v>McCormick &amp; Company</v>
      </c>
      <c r="K328" s="4">
        <f>IFERROR(__xludf.DUMMYFUNCTION("""COMPUTED_VALUE"""),1.0906E9)</f>
        <v>1090600000</v>
      </c>
      <c r="L328" s="4">
        <f>IFERROR(__xludf.DUMMYFUNCTION("""COMPUTED_VALUE"""),6.1455E9)</f>
        <v>6145500000</v>
      </c>
      <c r="O328" s="4" t="s">
        <v>651</v>
      </c>
      <c r="P328" s="4">
        <f>SUMIF(Cleaned_Data!C$2:C$2013,O328,Cleaned_Data!K$2:K$2013)</f>
        <v>3118000000</v>
      </c>
      <c r="Q328" s="4">
        <f>SUMIF(Cleaned_Data!C$2:C$2013,O328,Cleaned_Data!N$2:N$2013)</f>
        <v>238228000000</v>
      </c>
      <c r="R328" s="6">
        <f t="shared" si="5"/>
        <v>0.01308830196</v>
      </c>
    </row>
    <row r="329">
      <c r="D329" s="4" t="s">
        <v>694</v>
      </c>
      <c r="E329" s="4">
        <f>SUMIF(Cleaned_Data!C$2:C$2013,D329,Cleaned_Data!N$2:N$2013)</f>
        <v>26391647000</v>
      </c>
      <c r="J329" s="4" t="str">
        <f>IFERROR(__xludf.DUMMYFUNCTION("""COMPUTED_VALUE"""),"McDonald's")</f>
        <v>McDonald's</v>
      </c>
      <c r="K329" s="4">
        <f>IFERROR(__xludf.DUMMYFUNCTION("""COMPUTED_VALUE"""),9.0897E9)</f>
        <v>9089700000</v>
      </c>
      <c r="L329" s="4">
        <f>IFERROR(__xludf.DUMMYFUNCTION("""COMPUTED_VALUE"""),2.17444E10)</f>
        <v>21744400000</v>
      </c>
      <c r="O329" s="4" t="s">
        <v>653</v>
      </c>
      <c r="P329" s="4">
        <f>SUMIF(Cleaned_Data!C$2:C$2013,O329,Cleaned_Data!K$2:K$2013)</f>
        <v>6431000000</v>
      </c>
      <c r="Q329" s="4">
        <f>SUMIF(Cleaned_Data!C$2:C$2013,O329,Cleaned_Data!N$2:N$2013)</f>
        <v>31597000000</v>
      </c>
      <c r="R329" s="6">
        <f t="shared" si="5"/>
        <v>0.2035319809</v>
      </c>
    </row>
    <row r="330">
      <c r="D330" s="4" t="s">
        <v>696</v>
      </c>
      <c r="E330" s="4">
        <f>SUMIF(Cleaned_Data!C$2:C$2013,D330,Cleaned_Data!N$2:N$2013)</f>
        <v>10385000000</v>
      </c>
      <c r="J330" s="4" t="str">
        <f>IFERROR(__xludf.DUMMYFUNCTION("""COMPUTED_VALUE"""),"McKesson Corporation")</f>
        <v>McKesson Corporation</v>
      </c>
      <c r="K330" s="4">
        <f>IFERROR(__xludf.DUMMYFUNCTION("""COMPUTED_VALUE"""),3.118E9)</f>
        <v>3118000000</v>
      </c>
      <c r="L330" s="4">
        <f>IFERROR(__xludf.DUMMYFUNCTION("""COMPUTED_VALUE"""),2.38228E11)</f>
        <v>238228000000</v>
      </c>
      <c r="O330" s="4" t="s">
        <v>655</v>
      </c>
      <c r="P330" s="4">
        <f>SUMIF(Cleaned_Data!C$2:C$2013,O330,Cleaned_Data!K$2:K$2013)</f>
        <v>15216000000</v>
      </c>
      <c r="Q330" s="4">
        <f>SUMIF(Cleaned_Data!C$2:C$2013,O330,Cleaned_Data!N$2:N$2013)</f>
        <v>48548000000</v>
      </c>
      <c r="R330" s="6">
        <f t="shared" si="5"/>
        <v>0.3134217681</v>
      </c>
    </row>
    <row r="331">
      <c r="D331" s="4" t="s">
        <v>698</v>
      </c>
      <c r="E331" s="4">
        <f>SUMIF(Cleaned_Data!C$2:C$2013,D331,Cleaned_Data!N$2:N$2013)</f>
        <v>12488000000</v>
      </c>
      <c r="J331" s="4" t="str">
        <f>IFERROR(__xludf.DUMMYFUNCTION("""COMPUTED_VALUE"""),"Medtronic")</f>
        <v>Medtronic</v>
      </c>
      <c r="K331" s="4">
        <f>IFERROR(__xludf.DUMMYFUNCTION("""COMPUTED_VALUE"""),6.431E9)</f>
        <v>6431000000</v>
      </c>
      <c r="L331" s="4">
        <f>IFERROR(__xludf.DUMMYFUNCTION("""COMPUTED_VALUE"""),3.1597E10)</f>
        <v>31597000000</v>
      </c>
      <c r="O331" s="4" t="s">
        <v>657</v>
      </c>
      <c r="P331" s="4">
        <f>SUMIF(Cleaned_Data!C$2:C$2013,O331,Cleaned_Data!K$2:K$2013)</f>
        <v>6778000000</v>
      </c>
      <c r="Q331" s="4">
        <f>SUMIF(Cleaned_Data!C$2:C$2013,O331,Cleaned_Data!N$2:N$2013)</f>
        <v>69519000000</v>
      </c>
      <c r="R331" s="6">
        <f t="shared" si="5"/>
        <v>0.09749852558</v>
      </c>
    </row>
    <row r="332">
      <c r="D332" s="4" t="s">
        <v>700</v>
      </c>
      <c r="E332" s="4">
        <f>SUMIF(Cleaned_Data!C$2:C$2013,D332,Cleaned_Data!N$2:N$2013)</f>
        <v>9358000000</v>
      </c>
      <c r="J332" s="4" t="str">
        <f>IFERROR(__xludf.DUMMYFUNCTION("""COMPUTED_VALUE"""),"Merck &amp; Co.")</f>
        <v>Merck &amp; Co.</v>
      </c>
      <c r="K332" s="4">
        <f>IFERROR(__xludf.DUMMYFUNCTION("""COMPUTED_VALUE"""),1.5216E10)</f>
        <v>15216000000</v>
      </c>
      <c r="L332" s="4">
        <f>IFERROR(__xludf.DUMMYFUNCTION("""COMPUTED_VALUE"""),4.8548E10)</f>
        <v>48548000000</v>
      </c>
      <c r="O332" s="4" t="s">
        <v>659</v>
      </c>
      <c r="P332" s="4">
        <f>SUMIF(Cleaned_Data!C$2:C$2013,O332,Cleaned_Data!K$2:K$2013)</f>
        <v>865302000</v>
      </c>
      <c r="Q332" s="4">
        <f>SUMIF(Cleaned_Data!C$2:C$2013,O332,Cleaned_Data!N$2:N$2013)</f>
        <v>3240405000</v>
      </c>
      <c r="R332" s="6">
        <f t="shared" si="5"/>
        <v>0.2670351391</v>
      </c>
    </row>
    <row r="333">
      <c r="D333" s="4" t="s">
        <v>702</v>
      </c>
      <c r="E333" s="4">
        <f>SUMIF(Cleaned_Data!C$2:C$2013,D333,Cleaned_Data!N$2:N$2013)</f>
        <v>9358000000</v>
      </c>
      <c r="J333" s="4" t="str">
        <f>IFERROR(__xludf.DUMMYFUNCTION("""COMPUTED_VALUE"""),"MetLife")</f>
        <v>MetLife</v>
      </c>
      <c r="K333" s="4">
        <f>IFERROR(__xludf.DUMMYFUNCTION("""COMPUTED_VALUE"""),6.778E9)</f>
        <v>6778000000</v>
      </c>
      <c r="L333" s="4">
        <f>IFERROR(__xludf.DUMMYFUNCTION("""COMPUTED_VALUE"""),6.9519E10)</f>
        <v>69519000000</v>
      </c>
      <c r="O333" s="4" t="s">
        <v>661</v>
      </c>
      <c r="P333" s="4">
        <f>SUMIF(Cleaned_Data!C$2:C$2013,O333,Cleaned_Data!K$2:K$2013)</f>
        <v>-889574000</v>
      </c>
      <c r="Q333" s="4">
        <f>SUMIF(Cleaned_Data!C$2:C$2013,O333,Cleaned_Data!N$2:N$2013)</f>
        <v>6271405000</v>
      </c>
      <c r="R333" s="6">
        <f t="shared" si="5"/>
        <v>-0.1418460457</v>
      </c>
    </row>
    <row r="334">
      <c r="D334" s="4" t="s">
        <v>704</v>
      </c>
      <c r="E334" s="4">
        <f>SUMIF(Cleaned_Data!C$2:C$2013,D334,Cleaned_Data!N$2:N$2013)</f>
        <v>16833000000</v>
      </c>
      <c r="J334" s="4" t="str">
        <f>IFERROR(__xludf.DUMMYFUNCTION("""COMPUTED_VALUE"""),"Mettler Toledo")</f>
        <v>Mettler Toledo</v>
      </c>
      <c r="K334" s="4">
        <f>IFERROR(__xludf.DUMMYFUNCTION("""COMPUTED_VALUE"""),8.65302E8)</f>
        <v>865302000</v>
      </c>
      <c r="L334" s="4">
        <f>IFERROR(__xludf.DUMMYFUNCTION("""COMPUTED_VALUE"""),3.240405E9)</f>
        <v>3240405000</v>
      </c>
      <c r="O334" s="4" t="s">
        <v>663</v>
      </c>
      <c r="P334" s="4">
        <f>SUMIF(Cleaned_Data!C$2:C$2013,O334,Cleaned_Data!K$2:K$2013)</f>
        <v>1161400000</v>
      </c>
      <c r="Q334" s="4">
        <f>SUMIF(Cleaned_Data!C$2:C$2013,O334,Cleaned_Data!N$2:N$2013)</f>
        <v>5698100000</v>
      </c>
      <c r="R334" s="6">
        <f t="shared" si="5"/>
        <v>0.2038223267</v>
      </c>
    </row>
    <row r="335">
      <c r="D335" s="4" t="s">
        <v>706</v>
      </c>
      <c r="E335" s="4">
        <f>SUMIF(Cleaned_Data!C$2:C$2013,D335,Cleaned_Data!N$2:N$2013)</f>
        <v>4959000000</v>
      </c>
      <c r="J335" s="4" t="str">
        <f>IFERROR(__xludf.DUMMYFUNCTION("""COMPUTED_VALUE"""),"Microchip Technology")</f>
        <v>Microchip Technology</v>
      </c>
      <c r="K335" s="4">
        <f>IFERROR(__xludf.DUMMYFUNCTION("""COMPUTED_VALUE"""),1.1614E9)</f>
        <v>1161400000</v>
      </c>
      <c r="L335" s="4">
        <f>IFERROR(__xludf.DUMMYFUNCTION("""COMPUTED_VALUE"""),5.6981E9)</f>
        <v>5698100000</v>
      </c>
      <c r="O335" s="4" t="s">
        <v>665</v>
      </c>
      <c r="P335" s="4">
        <f>SUMIF(Cleaned_Data!C$2:C$2013,O335,Cleaned_Data!K$2:K$2013)</f>
        <v>3625000000</v>
      </c>
      <c r="Q335" s="4">
        <f>SUMIF(Cleaned_Data!C$2:C$2013,O335,Cleaned_Data!N$2:N$2013)</f>
        <v>23503000000</v>
      </c>
      <c r="R335" s="6">
        <f t="shared" si="5"/>
        <v>0.1542356295</v>
      </c>
    </row>
    <row r="336">
      <c r="D336" s="4" t="s">
        <v>708</v>
      </c>
      <c r="E336" s="4">
        <f>SUMIF(Cleaned_Data!C$2:C$2013,D336,Cleaned_Data!N$2:N$2013)</f>
        <v>38507000000</v>
      </c>
      <c r="J336" s="4" t="str">
        <f>IFERROR(__xludf.DUMMYFUNCTION("""COMPUTED_VALUE"""),"Micron Technology")</f>
        <v>Micron Technology</v>
      </c>
      <c r="K336" s="4">
        <f>IFERROR(__xludf.DUMMYFUNCTION("""COMPUTED_VALUE"""),3.625E9)</f>
        <v>3625000000</v>
      </c>
      <c r="L336" s="4">
        <f>IFERROR(__xludf.DUMMYFUNCTION("""COMPUTED_VALUE"""),2.3503E10)</f>
        <v>23503000000</v>
      </c>
      <c r="O336" s="4" t="s">
        <v>667</v>
      </c>
      <c r="P336" s="4">
        <f>SUMIF(Cleaned_Data!C$2:C$2013,O336,Cleaned_Data!K$2:K$2013)</f>
        <v>69916000000</v>
      </c>
      <c r="Q336" s="4">
        <f>SUMIF(Cleaned_Data!C$2:C$2013,O336,Cleaned_Data!N$2:N$2013)</f>
        <v>168088000000</v>
      </c>
      <c r="R336" s="6">
        <f t="shared" si="5"/>
        <v>0.4159487887</v>
      </c>
    </row>
    <row r="337">
      <c r="D337" s="4" t="s">
        <v>710</v>
      </c>
      <c r="E337" s="4">
        <f>SUMIF(Cleaned_Data!C$2:C$2013,D337,Cleaned_Data!N$2:N$2013)</f>
        <v>4645100000</v>
      </c>
      <c r="J337" s="4" t="str">
        <f>IFERROR(__xludf.DUMMYFUNCTION("""COMPUTED_VALUE"""),"Microsoft")</f>
        <v>Microsoft</v>
      </c>
      <c r="K337" s="4">
        <f>IFERROR(__xludf.DUMMYFUNCTION("""COMPUTED_VALUE"""),6.9916E10)</f>
        <v>69916000000</v>
      </c>
      <c r="L337" s="4">
        <f>IFERROR(__xludf.DUMMYFUNCTION("""COMPUTED_VALUE"""),1.68088E11)</f>
        <v>168088000000</v>
      </c>
      <c r="O337" s="4" t="s">
        <v>669</v>
      </c>
      <c r="P337" s="4">
        <f>SUMIF(Cleaned_Data!C$2:C$2013,O337,Cleaned_Data!K$2:K$2013)</f>
        <v>425396000</v>
      </c>
      <c r="Q337" s="4">
        <f>SUMIF(Cleaned_Data!C$2:C$2013,O337,Cleaned_Data!N$2:N$2013)</f>
        <v>1708792000</v>
      </c>
      <c r="R337" s="6">
        <f t="shared" si="5"/>
        <v>0.2489454539</v>
      </c>
    </row>
    <row r="338">
      <c r="D338" s="4" t="s">
        <v>712</v>
      </c>
      <c r="E338" s="4">
        <f>SUMIF(Cleaned_Data!C$2:C$2013,D338,Cleaned_Data!N$2:N$2013)</f>
        <v>9803000000</v>
      </c>
      <c r="J338" s="4" t="str">
        <f>IFERROR(__xludf.DUMMYFUNCTION("""COMPUTED_VALUE"""),"Mid-America Apartments")</f>
        <v>Mid-America Apartments</v>
      </c>
      <c r="K338" s="4">
        <f>IFERROR(__xludf.DUMMYFUNCTION("""COMPUTED_VALUE"""),4.25396E8)</f>
        <v>425396000</v>
      </c>
      <c r="L338" s="4">
        <f>IFERROR(__xludf.DUMMYFUNCTION("""COMPUTED_VALUE"""),1.708792E9)</f>
        <v>1708792000</v>
      </c>
      <c r="O338" s="4" t="s">
        <v>671</v>
      </c>
      <c r="P338" s="4">
        <f>SUMIF(Cleaned_Data!C$2:C$2013,O338,Cleaned_Data!K$2:K$2013)</f>
        <v>3817845000</v>
      </c>
      <c r="Q338" s="4">
        <f>SUMIF(Cleaned_Data!C$2:C$2013,O338,Cleaned_Data!N$2:N$2013)</f>
        <v>7019655000</v>
      </c>
      <c r="R338" s="6">
        <f t="shared" si="5"/>
        <v>0.5438792932</v>
      </c>
    </row>
    <row r="339">
      <c r="D339" s="4" t="s">
        <v>714</v>
      </c>
      <c r="E339" s="4">
        <f>SUMIF(Cleaned_Data!C$2:C$2013,D339,Cleaned_Data!N$2:N$2013)</f>
        <v>6229700000</v>
      </c>
      <c r="J339" s="4" t="str">
        <f>IFERROR(__xludf.DUMMYFUNCTION("""COMPUTED_VALUE"""),"Moderna")</f>
        <v>Moderna</v>
      </c>
      <c r="K339" s="4">
        <f>IFERROR(__xludf.DUMMYFUNCTION("""COMPUTED_VALUE"""),3.817845E9)</f>
        <v>3817845000</v>
      </c>
      <c r="L339" s="4">
        <f>IFERROR(__xludf.DUMMYFUNCTION("""COMPUTED_VALUE"""),7.019655E9)</f>
        <v>7019655000</v>
      </c>
      <c r="O339" s="4" t="s">
        <v>673</v>
      </c>
      <c r="P339" s="4">
        <f>SUMIF(Cleaned_Data!C$2:C$2013,O339,Cleaned_Data!K$2:K$2013)</f>
        <v>1337973000</v>
      </c>
      <c r="Q339" s="4">
        <f>SUMIF(Cleaned_Data!C$2:C$2013,O339,Cleaned_Data!N$2:N$2013)</f>
        <v>10839493000</v>
      </c>
      <c r="R339" s="6">
        <f t="shared" si="5"/>
        <v>0.1234350167</v>
      </c>
    </row>
    <row r="340">
      <c r="D340" s="4" t="s">
        <v>716</v>
      </c>
      <c r="E340" s="4">
        <f>SUMIF(Cleaned_Data!C$2:C$2013,D340,Cleaned_Data!N$2:N$2013)</f>
        <v>37603000000</v>
      </c>
      <c r="J340" s="4" t="str">
        <f>IFERROR(__xludf.DUMMYFUNCTION("""COMPUTED_VALUE"""),"Mohawk Industries")</f>
        <v>Mohawk Industries</v>
      </c>
      <c r="K340" s="4">
        <f>IFERROR(__xludf.DUMMYFUNCTION("""COMPUTED_VALUE"""),1.337973E9)</f>
        <v>1337973000</v>
      </c>
      <c r="L340" s="4">
        <f>IFERROR(__xludf.DUMMYFUNCTION("""COMPUTED_VALUE"""),1.0839493E10)</f>
        <v>10839493000</v>
      </c>
      <c r="O340" s="4" t="s">
        <v>675</v>
      </c>
      <c r="P340" s="4">
        <f>SUMIF(Cleaned_Data!C$2:C$2013,O340,Cleaned_Data!K$2:K$2013)</f>
        <v>1634000000</v>
      </c>
      <c r="Q340" s="4">
        <f>SUMIF(Cleaned_Data!C$2:C$2013,O340,Cleaned_Data!N$2:N$2013)</f>
        <v>9885600000</v>
      </c>
      <c r="R340" s="6">
        <f t="shared" si="5"/>
        <v>0.1652909282</v>
      </c>
    </row>
    <row r="341">
      <c r="D341" s="4" t="s">
        <v>718</v>
      </c>
      <c r="E341" s="4">
        <f>SUMIF(Cleaned_Data!C$2:C$2013,D341,Cleaned_Data!N$2:N$2013)</f>
        <v>2623000000</v>
      </c>
      <c r="J341" s="4" t="str">
        <f>IFERROR(__xludf.DUMMYFUNCTION("""COMPUTED_VALUE"""),"Molson Coors Beverage Company")</f>
        <v>Molson Coors Beverage Company</v>
      </c>
      <c r="K341" s="4">
        <f>IFERROR(__xludf.DUMMYFUNCTION("""COMPUTED_VALUE"""),1.634E9)</f>
        <v>1634000000</v>
      </c>
      <c r="L341" s="4">
        <f>IFERROR(__xludf.DUMMYFUNCTION("""COMPUTED_VALUE"""),9.8856E9)</f>
        <v>9885600000</v>
      </c>
      <c r="O341" s="4" t="s">
        <v>677</v>
      </c>
      <c r="P341" s="4">
        <f>SUMIF(Cleaned_Data!C$2:C$2013,O341,Cleaned_Data!K$2:K$2013)</f>
        <v>5005000000</v>
      </c>
      <c r="Q341" s="4">
        <f>SUMIF(Cleaned_Data!C$2:C$2013,O341,Cleaned_Data!N$2:N$2013)</f>
        <v>27843000000</v>
      </c>
      <c r="R341" s="6">
        <f t="shared" si="5"/>
        <v>0.1797579284</v>
      </c>
    </row>
    <row r="342">
      <c r="D342" s="4" t="s">
        <v>720</v>
      </c>
      <c r="E342" s="4">
        <f>SUMIF(Cleaned_Data!C$2:C$2013,D342,Cleaned_Data!N$2:N$2013)</f>
        <v>36126000</v>
      </c>
      <c r="J342" s="4" t="str">
        <f>IFERROR(__xludf.DUMMYFUNCTION("""COMPUTED_VALUE"""),"Mondelez International")</f>
        <v>Mondelez International</v>
      </c>
      <c r="K342" s="4">
        <f>IFERROR(__xludf.DUMMYFUNCTION("""COMPUTED_VALUE"""),5.005E9)</f>
        <v>5005000000</v>
      </c>
      <c r="L342" s="4">
        <f>IFERROR(__xludf.DUMMYFUNCTION("""COMPUTED_VALUE"""),2.7843E10)</f>
        <v>27843000000</v>
      </c>
      <c r="O342" s="4" t="s">
        <v>679</v>
      </c>
      <c r="P342" s="4">
        <f>SUMIF(Cleaned_Data!C$2:C$2013,O342,Cleaned_Data!K$2:K$2013)</f>
        <v>213260000</v>
      </c>
      <c r="Q342" s="4">
        <f>SUMIF(Cleaned_Data!C$2:C$2013,O342,Cleaned_Data!N$2:N$2013)</f>
        <v>1040237000</v>
      </c>
      <c r="R342" s="6">
        <f t="shared" si="5"/>
        <v>0.2050109735</v>
      </c>
    </row>
    <row r="343">
      <c r="D343" s="4" t="s">
        <v>722</v>
      </c>
      <c r="E343" s="4">
        <f>SUMIF(Cleaned_Data!C$2:C$2013,D343,Cleaned_Data!N$2:N$2013)</f>
        <v>15165000000</v>
      </c>
      <c r="J343" s="4" t="str">
        <f>IFERROR(__xludf.DUMMYFUNCTION("""COMPUTED_VALUE"""),"Monolithic Power Systems")</f>
        <v>Monolithic Power Systems</v>
      </c>
      <c r="K343" s="4">
        <f>IFERROR(__xludf.DUMMYFUNCTION("""COMPUTED_VALUE"""),2.1326E8)</f>
        <v>213260000</v>
      </c>
      <c r="L343" s="4">
        <f>IFERROR(__xludf.DUMMYFUNCTION("""COMPUTED_VALUE"""),1.040237E9)</f>
        <v>1040237000</v>
      </c>
      <c r="O343" s="4" t="s">
        <v>681</v>
      </c>
      <c r="P343" s="4">
        <f>SUMIF(Cleaned_Data!C$2:C$2013,O343,Cleaned_Data!K$2:K$2013)</f>
        <v>1801023000</v>
      </c>
      <c r="Q343" s="4">
        <f>SUMIF(Cleaned_Data!C$2:C$2013,O343,Cleaned_Data!N$2:N$2013)</f>
        <v>5148395000</v>
      </c>
      <c r="R343" s="6">
        <f t="shared" si="5"/>
        <v>0.3498222262</v>
      </c>
    </row>
    <row r="344">
      <c r="D344" s="4" t="s">
        <v>724</v>
      </c>
      <c r="E344" s="4">
        <f>SUMIF(Cleaned_Data!C$2:C$2013,D344,Cleaned_Data!N$2:N$2013)</f>
        <v>25994319000</v>
      </c>
      <c r="J344" s="4" t="str">
        <f>IFERROR(__xludf.DUMMYFUNCTION("""COMPUTED_VALUE"""),"Monster Beverage")</f>
        <v>Monster Beverage</v>
      </c>
      <c r="K344" s="4">
        <f>IFERROR(__xludf.DUMMYFUNCTION("""COMPUTED_VALUE"""),1.801023E9)</f>
        <v>1801023000</v>
      </c>
      <c r="L344" s="4">
        <f>IFERROR(__xludf.DUMMYFUNCTION("""COMPUTED_VALUE"""),5.148395E9)</f>
        <v>5148395000</v>
      </c>
      <c r="O344" s="4" t="s">
        <v>683</v>
      </c>
      <c r="P344" s="4">
        <f>SUMIF(Cleaned_Data!C$2:C$2013,O344,Cleaned_Data!K$2:K$2013)</f>
        <v>2816000000</v>
      </c>
      <c r="Q344" s="4">
        <f>SUMIF(Cleaned_Data!C$2:C$2013,O344,Cleaned_Data!N$2:N$2013)</f>
        <v>5799000000</v>
      </c>
      <c r="R344" s="6">
        <f t="shared" si="5"/>
        <v>0.4856009657</v>
      </c>
    </row>
    <row r="345">
      <c r="D345" s="4" t="s">
        <v>726</v>
      </c>
      <c r="E345" s="4">
        <f>SUMIF(Cleaned_Data!C$2:C$2013,D345,Cleaned_Data!N$2:N$2013)</f>
        <v>21897000000</v>
      </c>
      <c r="J345" s="4" t="str">
        <f>IFERROR(__xludf.DUMMYFUNCTION("""COMPUTED_VALUE"""),"Moody's Corporation")</f>
        <v>Moody's Corporation</v>
      </c>
      <c r="K345" s="4">
        <f>IFERROR(__xludf.DUMMYFUNCTION("""COMPUTED_VALUE"""),2.816E9)</f>
        <v>2816000000</v>
      </c>
      <c r="L345" s="4">
        <f>IFERROR(__xludf.DUMMYFUNCTION("""COMPUTED_VALUE"""),5.799E9)</f>
        <v>5799000000</v>
      </c>
      <c r="O345" s="4" t="s">
        <v>685</v>
      </c>
      <c r="P345" s="4">
        <f>SUMIF(Cleaned_Data!C$2:C$2013,O345,Cleaned_Data!K$2:K$2013)</f>
        <v>23136000000</v>
      </c>
      <c r="Q345" s="4">
        <f>SUMIF(Cleaned_Data!C$2:C$2013,O345,Cleaned_Data!N$2:N$2013)</f>
        <v>58871000000</v>
      </c>
      <c r="R345" s="6">
        <f t="shared" si="5"/>
        <v>0.3929948532</v>
      </c>
    </row>
    <row r="346">
      <c r="D346" s="4" t="s">
        <v>728</v>
      </c>
      <c r="E346" s="4">
        <f>SUMIF(Cleaned_Data!C$2:C$2013,D346,Cleaned_Data!N$2:N$2013)</f>
        <v>8680331000</v>
      </c>
      <c r="J346" s="4" t="str">
        <f>IFERROR(__xludf.DUMMYFUNCTION("""COMPUTED_VALUE"""),"Morgan Stanley")</f>
        <v>Morgan Stanley</v>
      </c>
      <c r="K346" s="4">
        <f>IFERROR(__xludf.DUMMYFUNCTION("""COMPUTED_VALUE"""),2.3136E10)</f>
        <v>23136000000</v>
      </c>
      <c r="L346" s="4">
        <f>IFERROR(__xludf.DUMMYFUNCTION("""COMPUTED_VALUE"""),5.8871E10)</f>
        <v>58871000000</v>
      </c>
      <c r="O346" s="4" t="s">
        <v>687</v>
      </c>
      <c r="P346" s="4">
        <f>SUMIF(Cleaned_Data!C$2:C$2013,O346,Cleaned_Data!K$2:K$2013)</f>
        <v>1807000000</v>
      </c>
      <c r="Q346" s="4">
        <f>SUMIF(Cleaned_Data!C$2:C$2013,O346,Cleaned_Data!N$2:N$2013)</f>
        <v>7885000000</v>
      </c>
      <c r="R346" s="6">
        <f t="shared" si="5"/>
        <v>0.2291693088</v>
      </c>
    </row>
    <row r="347">
      <c r="D347" s="4" t="s">
        <v>729</v>
      </c>
      <c r="E347" s="4">
        <f>SUMIF(Cleaned_Data!C$2:C$2013,D347,Cleaned_Data!N$2:N$2013)</f>
        <v>9937000000</v>
      </c>
      <c r="J347" s="4" t="str">
        <f>IFERROR(__xludf.DUMMYFUNCTION("""COMPUTED_VALUE"""),"Motorola Solutions")</f>
        <v>Motorola Solutions</v>
      </c>
      <c r="K347" s="4">
        <f>IFERROR(__xludf.DUMMYFUNCTION("""COMPUTED_VALUE"""),1.807E9)</f>
        <v>1807000000</v>
      </c>
      <c r="L347" s="4">
        <f>IFERROR(__xludf.DUMMYFUNCTION("""COMPUTED_VALUE"""),7.885E9)</f>
        <v>7885000000</v>
      </c>
      <c r="O347" s="4" t="s">
        <v>689</v>
      </c>
      <c r="P347" s="4">
        <f>SUMIF(Cleaned_Data!C$2:C$2013,O347,Cleaned_Data!K$2:K$2013)</f>
        <v>988212000</v>
      </c>
      <c r="Q347" s="4">
        <f>SUMIF(Cleaned_Data!C$2:C$2013,O347,Cleaned_Data!N$2:N$2013)</f>
        <v>1845597000</v>
      </c>
      <c r="R347" s="6">
        <f t="shared" si="5"/>
        <v>0.535443003</v>
      </c>
    </row>
    <row r="348">
      <c r="D348" s="4" t="s">
        <v>731</v>
      </c>
      <c r="E348" s="4">
        <f>SUMIF(Cleaned_Data!C$2:C$2013,D348,Cleaned_Data!N$2:N$2013)</f>
        <v>12218905000</v>
      </c>
      <c r="J348" s="4" t="str">
        <f>IFERROR(__xludf.DUMMYFUNCTION("""COMPUTED_VALUE"""),"NRG Energy")</f>
        <v>NRG Energy</v>
      </c>
      <c r="K348" s="4">
        <f>IFERROR(__xludf.DUMMYFUNCTION("""COMPUTED_VALUE"""),9.22E8)</f>
        <v>922000000</v>
      </c>
      <c r="L348" s="4">
        <f>IFERROR(__xludf.DUMMYFUNCTION("""COMPUTED_VALUE"""),1.5165E10)</f>
        <v>15165000000</v>
      </c>
      <c r="O348" s="4" t="s">
        <v>690</v>
      </c>
      <c r="P348" s="4">
        <f>SUMIF(Cleaned_Data!C$2:C$2013,O348,Cleaned_Data!K$2:K$2013)</f>
        <v>1548000000</v>
      </c>
      <c r="Q348" s="4">
        <f>SUMIF(Cleaned_Data!C$2:C$2013,O348,Cleaned_Data!N$2:N$2013)</f>
        <v>5940000000</v>
      </c>
      <c r="R348" s="6">
        <f t="shared" si="5"/>
        <v>0.2606060606</v>
      </c>
    </row>
    <row r="349">
      <c r="D349" s="4" t="s">
        <v>733</v>
      </c>
      <c r="E349" s="4">
        <f>SUMIF(Cleaned_Data!C$2:C$2013,D349,Cleaned_Data!N$2:N$2013)</f>
        <v>19519000000</v>
      </c>
      <c r="J349" s="4" t="str">
        <f>IFERROR(__xludf.DUMMYFUNCTION("""COMPUTED_VALUE"""),"NVR")</f>
        <v>NVR</v>
      </c>
      <c r="K349" s="4">
        <f>IFERROR(__xludf.DUMMYFUNCTION("""COMPUTED_VALUE"""),1.467332E9)</f>
        <v>1467332000</v>
      </c>
      <c r="L349" s="4">
        <f>IFERROR(__xludf.DUMMYFUNCTION("""COMPUTED_VALUE"""),8.680331E9)</f>
        <v>8680331000</v>
      </c>
      <c r="O349" s="4" t="s">
        <v>692</v>
      </c>
      <c r="P349" s="4">
        <f>SUMIF(Cleaned_Data!C$2:C$2013,O349,Cleaned_Data!K$2:K$2013)</f>
        <v>938000000</v>
      </c>
      <c r="Q349" s="4">
        <f>SUMIF(Cleaned_Data!C$2:C$2013,O349,Cleaned_Data!N$2:N$2013)</f>
        <v>5744000000</v>
      </c>
      <c r="R349" s="6">
        <f t="shared" si="5"/>
        <v>0.1633008357</v>
      </c>
    </row>
    <row r="350">
      <c r="D350" s="4" t="s">
        <v>735</v>
      </c>
      <c r="E350" s="4">
        <f>SUMIF(Cleaned_Data!C$2:C$2013,D350,Cleaned_Data!N$2:N$2013)</f>
        <v>4919359000</v>
      </c>
      <c r="J350" s="4" t="str">
        <f>IFERROR(__xludf.DUMMYFUNCTION("""COMPUTED_VALUE"""),"NXP")</f>
        <v>NXP</v>
      </c>
      <c r="K350" s="4">
        <f>IFERROR(__xludf.DUMMYFUNCTION("""COMPUTED_VALUE"""),1.646E9)</f>
        <v>1646000000</v>
      </c>
      <c r="L350" s="4">
        <f>IFERROR(__xludf.DUMMYFUNCTION("""COMPUTED_VALUE"""),9.937E9)</f>
        <v>9937000000</v>
      </c>
      <c r="O350" s="4" t="s">
        <v>694</v>
      </c>
      <c r="P350" s="4">
        <f>SUMIF(Cleaned_Data!C$2:C$2013,O350,Cleaned_Data!K$2:K$2013)</f>
        <v>5586889000</v>
      </c>
      <c r="Q350" s="4">
        <f>SUMIF(Cleaned_Data!C$2:C$2013,O350,Cleaned_Data!N$2:N$2013)</f>
        <v>26391647000</v>
      </c>
      <c r="R350" s="6">
        <f t="shared" si="5"/>
        <v>0.2116915629</v>
      </c>
    </row>
    <row r="351">
      <c r="D351" s="4" t="s">
        <v>737</v>
      </c>
      <c r="E351" s="4">
        <f>SUMIF(Cleaned_Data!C$2:C$2013,D351,Cleaned_Data!N$2:N$2013)</f>
        <v>14190500000</v>
      </c>
      <c r="J351" s="4" t="str">
        <f>IFERROR(__xludf.DUMMYFUNCTION("""COMPUTED_VALUE"""),"Nasdaq")</f>
        <v>Nasdaq</v>
      </c>
      <c r="K351" s="4">
        <f>IFERROR(__xludf.DUMMYFUNCTION("""COMPUTED_VALUE"""),1.548E9)</f>
        <v>1548000000</v>
      </c>
      <c r="L351" s="4">
        <f>IFERROR(__xludf.DUMMYFUNCTION("""COMPUTED_VALUE"""),5.94E9)</f>
        <v>5940000000</v>
      </c>
      <c r="O351" s="4" t="s">
        <v>696</v>
      </c>
      <c r="P351" s="4">
        <f>SUMIF(Cleaned_Data!C$2:C$2013,O351,Cleaned_Data!K$2:K$2013)</f>
        <v>1127000000</v>
      </c>
      <c r="Q351" s="4">
        <f>SUMIF(Cleaned_Data!C$2:C$2013,O351,Cleaned_Data!N$2:N$2013)</f>
        <v>10385000000</v>
      </c>
      <c r="R351" s="6">
        <f t="shared" si="5"/>
        <v>0.1085219066</v>
      </c>
    </row>
    <row r="352">
      <c r="D352" s="4" t="s">
        <v>739</v>
      </c>
      <c r="E352" s="4">
        <f>SUMIF(Cleaned_Data!C$2:C$2013,D352,Cleaned_Data!N$2:N$2013)</f>
        <v>13690395000</v>
      </c>
      <c r="J352" s="4" t="str">
        <f>IFERROR(__xludf.DUMMYFUNCTION("""COMPUTED_VALUE"""),"NetApp")</f>
        <v>NetApp</v>
      </c>
      <c r="K352" s="4">
        <f>IFERROR(__xludf.DUMMYFUNCTION("""COMPUTED_VALUE"""),9.38E8)</f>
        <v>938000000</v>
      </c>
      <c r="L352" s="4">
        <f>IFERROR(__xludf.DUMMYFUNCTION("""COMPUTED_VALUE"""),5.744E9)</f>
        <v>5744000000</v>
      </c>
      <c r="O352" s="4" t="s">
        <v>698</v>
      </c>
      <c r="P352" s="4">
        <f>SUMIF(Cleaned_Data!C$2:C$2013,O352,Cleaned_Data!K$2:K$2013)</f>
        <v>4040000000</v>
      </c>
      <c r="Q352" s="4">
        <f>SUMIF(Cleaned_Data!C$2:C$2013,O352,Cleaned_Data!N$2:N$2013)</f>
        <v>12488000000</v>
      </c>
      <c r="R352" s="6">
        <f t="shared" si="5"/>
        <v>0.3235105701</v>
      </c>
    </row>
    <row r="353">
      <c r="D353" s="4" t="s">
        <v>741</v>
      </c>
      <c r="E353" s="4">
        <f>SUMIF(Cleaned_Data!C$2:C$2013,D353,Cleaned_Data!N$2:N$2013)</f>
        <v>40840000000</v>
      </c>
      <c r="J353" s="4" t="str">
        <f>IFERROR(__xludf.DUMMYFUNCTION("""COMPUTED_VALUE"""),"Netflix")</f>
        <v>Netflix</v>
      </c>
      <c r="K353" s="4">
        <f>IFERROR(__xludf.DUMMYFUNCTION("""COMPUTED_VALUE"""),5.586889E9)</f>
        <v>5586889000</v>
      </c>
      <c r="L353" s="4">
        <f>IFERROR(__xludf.DUMMYFUNCTION("""COMPUTED_VALUE"""),2.6391647E10)</f>
        <v>26391647000</v>
      </c>
      <c r="O353" s="4" t="s">
        <v>700</v>
      </c>
      <c r="P353" s="4">
        <f>SUMIF(Cleaned_Data!C$2:C$2013,O353,Cleaned_Data!K$2:K$2013)</f>
        <v>606000000</v>
      </c>
      <c r="Q353" s="4">
        <f>SUMIF(Cleaned_Data!C$2:C$2013,O353,Cleaned_Data!N$2:N$2013)</f>
        <v>9358000000</v>
      </c>
      <c r="R353" s="6">
        <f t="shared" si="5"/>
        <v>0.0647574268</v>
      </c>
    </row>
    <row r="354">
      <c r="D354" s="4" t="s">
        <v>743</v>
      </c>
      <c r="E354" s="4">
        <f>SUMIF(Cleaned_Data!C$2:C$2013,D354,Cleaned_Data!N$2:N$2013)</f>
        <v>6407000000</v>
      </c>
      <c r="J354" s="4" t="str">
        <f>IFERROR(__xludf.DUMMYFUNCTION("""COMPUTED_VALUE"""),"Newell Brands")</f>
        <v>Newell Brands</v>
      </c>
      <c r="K354" s="4">
        <f>IFERROR(__xludf.DUMMYFUNCTION("""COMPUTED_VALUE"""),1.127E9)</f>
        <v>1127000000</v>
      </c>
      <c r="L354" s="4">
        <f>IFERROR(__xludf.DUMMYFUNCTION("""COMPUTED_VALUE"""),1.0385E10)</f>
        <v>10385000000</v>
      </c>
      <c r="O354" s="4" t="s">
        <v>702</v>
      </c>
      <c r="P354" s="4">
        <f>SUMIF(Cleaned_Data!C$2:C$2013,O354,Cleaned_Data!K$2:K$2013)</f>
        <v>606000000</v>
      </c>
      <c r="Q354" s="4">
        <f>SUMIF(Cleaned_Data!C$2:C$2013,O354,Cleaned_Data!N$2:N$2013)</f>
        <v>9358000000</v>
      </c>
      <c r="R354" s="6">
        <f t="shared" si="5"/>
        <v>0.0647574268</v>
      </c>
    </row>
    <row r="355">
      <c r="D355" s="4" t="s">
        <v>745</v>
      </c>
      <c r="E355" s="4">
        <f>SUMIF(Cleaned_Data!C$2:C$2013,D355,Cleaned_Data!N$2:N$2013)</f>
        <v>14222000000</v>
      </c>
      <c r="J355" s="4" t="str">
        <f>IFERROR(__xludf.DUMMYFUNCTION("""COMPUTED_VALUE"""),"Newmont")</f>
        <v>Newmont</v>
      </c>
      <c r="K355" s="4">
        <f>IFERROR(__xludf.DUMMYFUNCTION("""COMPUTED_VALUE"""),4.04E9)</f>
        <v>4040000000</v>
      </c>
      <c r="L355" s="4">
        <f>IFERROR(__xludf.DUMMYFUNCTION("""COMPUTED_VALUE"""),1.2488E10)</f>
        <v>12488000000</v>
      </c>
      <c r="O355" s="4" t="s">
        <v>704</v>
      </c>
      <c r="P355" s="4">
        <f>SUMIF(Cleaned_Data!C$2:C$2013,O355,Cleaned_Data!K$2:K$2013)</f>
        <v>3469000000</v>
      </c>
      <c r="Q355" s="4">
        <f>SUMIF(Cleaned_Data!C$2:C$2013,O355,Cleaned_Data!N$2:N$2013)</f>
        <v>16833000000</v>
      </c>
      <c r="R355" s="6">
        <f t="shared" si="5"/>
        <v>0.2060832888</v>
      </c>
    </row>
    <row r="356">
      <c r="D356" s="4" t="s">
        <v>747</v>
      </c>
      <c r="E356" s="4">
        <f>SUMIF(Cleaned_Data!C$2:C$2013,D356,Cleaned_Data!N$2:N$2013)</f>
        <v>22404800000</v>
      </c>
      <c r="J356" s="4" t="str">
        <f>IFERROR(__xludf.DUMMYFUNCTION("""COMPUTED_VALUE"""),"News Corp (Class A)")</f>
        <v>News Corp (Class A)</v>
      </c>
      <c r="K356" s="4">
        <f>IFERROR(__xludf.DUMMYFUNCTION("""COMPUTED_VALUE"""),6.06E8)</f>
        <v>606000000</v>
      </c>
      <c r="L356" s="4">
        <f>IFERROR(__xludf.DUMMYFUNCTION("""COMPUTED_VALUE"""),9.358E9)</f>
        <v>9358000000</v>
      </c>
      <c r="O356" s="4" t="s">
        <v>706</v>
      </c>
      <c r="P356" s="4">
        <f>SUMIF(Cleaned_Data!C$2:C$2013,O356,Cleaned_Data!K$2:K$2013)</f>
        <v>1001000000</v>
      </c>
      <c r="Q356" s="4">
        <f>SUMIF(Cleaned_Data!C$2:C$2013,O356,Cleaned_Data!N$2:N$2013)</f>
        <v>4959000000</v>
      </c>
      <c r="R356" s="6">
        <f t="shared" si="5"/>
        <v>0.2018552127</v>
      </c>
    </row>
    <row r="357">
      <c r="D357" s="4" t="s">
        <v>749</v>
      </c>
      <c r="E357" s="4">
        <f>SUMIF(Cleaned_Data!C$2:C$2013,D357,Cleaned_Data!N$2:N$2013)</f>
        <v>7401400000</v>
      </c>
      <c r="J357" s="4" t="str">
        <f>IFERROR(__xludf.DUMMYFUNCTION("""COMPUTED_VALUE"""),"News Corp (Class B)")</f>
        <v>News Corp (Class B)</v>
      </c>
      <c r="K357" s="4">
        <f>IFERROR(__xludf.DUMMYFUNCTION("""COMPUTED_VALUE"""),6.06E8)</f>
        <v>606000000</v>
      </c>
      <c r="L357" s="4">
        <f>IFERROR(__xludf.DUMMYFUNCTION("""COMPUTED_VALUE"""),9.358E9)</f>
        <v>9358000000</v>
      </c>
      <c r="O357" s="4" t="s">
        <v>708</v>
      </c>
      <c r="P357" s="4">
        <f>SUMIF(Cleaned_Data!C$2:C$2013,O357,Cleaned_Data!K$2:K$2013)</f>
        <v>4492000000</v>
      </c>
      <c r="Q357" s="4">
        <f>SUMIF(Cleaned_Data!C$2:C$2013,O357,Cleaned_Data!N$2:N$2013)</f>
        <v>38507000000</v>
      </c>
      <c r="R357" s="6">
        <f t="shared" si="5"/>
        <v>0.1166541148</v>
      </c>
    </row>
    <row r="358">
      <c r="D358" s="4" t="s">
        <v>751</v>
      </c>
      <c r="E358" s="4">
        <f>SUMIF(Cleaned_Data!C$2:C$2013,D358,Cleaned_Data!N$2:N$2013)</f>
        <v>14879909000</v>
      </c>
      <c r="J358" s="4" t="str">
        <f>IFERROR(__xludf.DUMMYFUNCTION("""COMPUTED_VALUE"""),"NextEra Energy")</f>
        <v>NextEra Energy</v>
      </c>
      <c r="K358" s="4">
        <f>IFERROR(__xludf.DUMMYFUNCTION("""COMPUTED_VALUE"""),3.469E9)</f>
        <v>3469000000</v>
      </c>
      <c r="L358" s="4">
        <f>IFERROR(__xludf.DUMMYFUNCTION("""COMPUTED_VALUE"""),1.6833E10)</f>
        <v>16833000000</v>
      </c>
      <c r="O358" s="4" t="s">
        <v>710</v>
      </c>
      <c r="P358" s="4">
        <f>SUMIF(Cleaned_Data!C$2:C$2013,O358,Cleaned_Data!K$2:K$2013)</f>
        <v>999700000</v>
      </c>
      <c r="Q358" s="4">
        <f>SUMIF(Cleaned_Data!C$2:C$2013,O358,Cleaned_Data!N$2:N$2013)</f>
        <v>4645100000</v>
      </c>
      <c r="R358" s="6">
        <f t="shared" si="5"/>
        <v>0.2152160341</v>
      </c>
    </row>
    <row r="359">
      <c r="D359" s="4" t="s">
        <v>753</v>
      </c>
      <c r="E359" s="4">
        <f>SUMIF(Cleaned_Data!C$2:C$2013,D359,Cleaned_Data!N$2:N$2013)</f>
        <v>4207500000</v>
      </c>
      <c r="J359" s="4" t="str">
        <f>IFERROR(__xludf.DUMMYFUNCTION("""COMPUTED_VALUE"""),"NiSource")</f>
        <v>NiSource</v>
      </c>
      <c r="K359" s="4">
        <f>IFERROR(__xludf.DUMMYFUNCTION("""COMPUTED_VALUE"""),9.997E8)</f>
        <v>999700000</v>
      </c>
      <c r="L359" s="4">
        <f>IFERROR(__xludf.DUMMYFUNCTION("""COMPUTED_VALUE"""),4.6451E9)</f>
        <v>4645100000</v>
      </c>
      <c r="O359" s="4" t="s">
        <v>712</v>
      </c>
      <c r="P359" s="4">
        <f>SUMIF(Cleaned_Data!C$2:C$2013,O359,Cleaned_Data!K$2:K$2013)</f>
        <v>3543000000</v>
      </c>
      <c r="Q359" s="4">
        <f>SUMIF(Cleaned_Data!C$2:C$2013,O359,Cleaned_Data!N$2:N$2013)</f>
        <v>9803000000</v>
      </c>
      <c r="R359" s="6">
        <f t="shared" si="5"/>
        <v>0.3614199735</v>
      </c>
    </row>
    <row r="360">
      <c r="D360" s="4" t="s">
        <v>755</v>
      </c>
      <c r="E360" s="4">
        <f>SUMIF(Cleaned_Data!C$2:C$2013,D360,Cleaned_Data!N$2:N$2013)</f>
        <v>991485000</v>
      </c>
      <c r="J360" s="4" t="str">
        <f>IFERROR(__xludf.DUMMYFUNCTION("""COMPUTED_VALUE"""),"Nielsen Holdings")</f>
        <v>Nielsen Holdings</v>
      </c>
      <c r="K360" s="4">
        <f>IFERROR(__xludf.DUMMYFUNCTION("""COMPUTED_VALUE"""),1.001E9)</f>
        <v>1001000000</v>
      </c>
      <c r="L360" s="4">
        <f>IFERROR(__xludf.DUMMYFUNCTION("""COMPUTED_VALUE"""),4.959E9)</f>
        <v>4959000000</v>
      </c>
      <c r="O360" s="4" t="s">
        <v>714</v>
      </c>
      <c r="P360" s="4">
        <f>SUMIF(Cleaned_Data!C$2:C$2013,O360,Cleaned_Data!K$2:K$2013)</f>
        <v>1798200000</v>
      </c>
      <c r="Q360" s="4">
        <f>SUMIF(Cleaned_Data!C$2:C$2013,O360,Cleaned_Data!N$2:N$2013)</f>
        <v>6229700000</v>
      </c>
      <c r="R360" s="6">
        <f t="shared" si="5"/>
        <v>0.2886495337</v>
      </c>
    </row>
    <row r="361">
      <c r="D361" s="4" t="s">
        <v>757</v>
      </c>
      <c r="E361" s="4">
        <f>SUMIF(Cleaned_Data!C$2:C$2013,D361,Cleaned_Data!N$2:N$2013)</f>
        <v>24569000000</v>
      </c>
      <c r="J361" s="4" t="str">
        <f>IFERROR(__xludf.DUMMYFUNCTION("""COMPUTED_VALUE"""),"Nike")</f>
        <v>Nike</v>
      </c>
      <c r="K361" s="4">
        <f>IFERROR(__xludf.DUMMYFUNCTION("""COMPUTED_VALUE"""),4.492E9)</f>
        <v>4492000000</v>
      </c>
      <c r="L361" s="4">
        <f>IFERROR(__xludf.DUMMYFUNCTION("""COMPUTED_VALUE"""),3.8507E10)</f>
        <v>38507000000</v>
      </c>
      <c r="O361" s="4" t="s">
        <v>716</v>
      </c>
      <c r="P361" s="4">
        <f>SUMIF(Cleaned_Data!C$2:C$2013,O361,Cleaned_Data!K$2:K$2013)</f>
        <v>4316000000</v>
      </c>
      <c r="Q361" s="4">
        <f>SUMIF(Cleaned_Data!C$2:C$2013,O361,Cleaned_Data!N$2:N$2013)</f>
        <v>37603000000</v>
      </c>
      <c r="R361" s="6">
        <f t="shared" si="5"/>
        <v>0.1147780762</v>
      </c>
    </row>
    <row r="362">
      <c r="D362" s="4" t="s">
        <v>759</v>
      </c>
      <c r="E362" s="4">
        <f>SUMIF(Cleaned_Data!C$2:C$2013,D362,Cleaned_Data!N$2:N$2013)</f>
        <v>5359900000</v>
      </c>
      <c r="J362" s="4" t="str">
        <f>IFERROR(__xludf.DUMMYFUNCTION("""COMPUTED_VALUE"""),"Norfolk Southern")</f>
        <v>Norfolk Southern</v>
      </c>
      <c r="K362" s="4">
        <f>IFERROR(__xludf.DUMMYFUNCTION("""COMPUTED_VALUE"""),3.543E9)</f>
        <v>3543000000</v>
      </c>
      <c r="L362" s="4">
        <f>IFERROR(__xludf.DUMMYFUNCTION("""COMPUTED_VALUE"""),9.803E9)</f>
        <v>9803000000</v>
      </c>
      <c r="O362" s="4" t="s">
        <v>718</v>
      </c>
      <c r="P362" s="4">
        <f>SUMIF(Cleaned_Data!C$2:C$2013,O362,Cleaned_Data!K$2:K$2013)</f>
        <v>1129000000</v>
      </c>
      <c r="Q362" s="4">
        <f>SUMIF(Cleaned_Data!C$2:C$2013,O362,Cleaned_Data!N$2:N$2013)</f>
        <v>2623000000</v>
      </c>
      <c r="R362" s="6">
        <f t="shared" si="5"/>
        <v>0.4304231796</v>
      </c>
    </row>
    <row r="363">
      <c r="D363" s="4" t="s">
        <v>761</v>
      </c>
      <c r="E363" s="4">
        <f>SUMIF(Cleaned_Data!C$2:C$2013,D363,Cleaned_Data!N$2:N$2013)</f>
        <v>3572200000</v>
      </c>
      <c r="J363" s="4" t="str">
        <f>IFERROR(__xludf.DUMMYFUNCTION("""COMPUTED_VALUE"""),"Northern Trust")</f>
        <v>Northern Trust</v>
      </c>
      <c r="K363" s="4">
        <f>IFERROR(__xludf.DUMMYFUNCTION("""COMPUTED_VALUE"""),1.7982E9)</f>
        <v>1798200000</v>
      </c>
      <c r="L363" s="4">
        <f>IFERROR(__xludf.DUMMYFUNCTION("""COMPUTED_VALUE"""),6.2297E9)</f>
        <v>6229700000</v>
      </c>
      <c r="O363" s="4" t="s">
        <v>720</v>
      </c>
      <c r="P363" s="4">
        <f>SUMIF(Cleaned_Data!C$2:C$2013,O363,Cleaned_Data!K$2:K$2013)</f>
        <v>-2231540000</v>
      </c>
      <c r="Q363" s="4">
        <f>SUMIF(Cleaned_Data!C$2:C$2013,O363,Cleaned_Data!N$2:N$2013)</f>
        <v>36126000</v>
      </c>
      <c r="R363" s="6">
        <f t="shared" si="5"/>
        <v>-61.77102364</v>
      </c>
    </row>
    <row r="364">
      <c r="D364" s="4" t="s">
        <v>763</v>
      </c>
      <c r="E364" s="4">
        <f>SUMIF(Cleaned_Data!C$2:C$2013,D364,Cleaned_Data!N$2:N$2013)</f>
        <v>2018600000</v>
      </c>
      <c r="J364" s="4" t="str">
        <f>IFERROR(__xludf.DUMMYFUNCTION("""COMPUTED_VALUE"""),"Northrop Grumman")</f>
        <v>Northrop Grumman</v>
      </c>
      <c r="K364" s="4">
        <f>IFERROR(__xludf.DUMMYFUNCTION("""COMPUTED_VALUE"""),4.316E9)</f>
        <v>4316000000</v>
      </c>
      <c r="L364" s="4">
        <f>IFERROR(__xludf.DUMMYFUNCTION("""COMPUTED_VALUE"""),3.7603E10)</f>
        <v>37603000000</v>
      </c>
      <c r="O364" s="4" t="s">
        <v>722</v>
      </c>
      <c r="P364" s="4">
        <f>SUMIF(Cleaned_Data!C$2:C$2013,O364,Cleaned_Data!K$2:K$2013)</f>
        <v>922000000</v>
      </c>
      <c r="Q364" s="4">
        <f>SUMIF(Cleaned_Data!C$2:C$2013,O364,Cleaned_Data!N$2:N$2013)</f>
        <v>15165000000</v>
      </c>
      <c r="R364" s="6">
        <f t="shared" si="5"/>
        <v>0.06079788988</v>
      </c>
    </row>
    <row r="365">
      <c r="D365" s="4" t="s">
        <v>765</v>
      </c>
      <c r="E365" s="4">
        <f>SUMIF(Cleaned_Data!C$2:C$2013,D365,Cleaned_Data!N$2:N$2013)</f>
        <v>76681000000</v>
      </c>
      <c r="J365" s="4" t="str">
        <f>IFERROR(__xludf.DUMMYFUNCTION("""COMPUTED_VALUE"""),"NortonLifeLock")</f>
        <v>NortonLifeLock</v>
      </c>
      <c r="K365" s="4">
        <f>IFERROR(__xludf.DUMMYFUNCTION("""COMPUTED_VALUE"""),1.129E9)</f>
        <v>1129000000</v>
      </c>
      <c r="L365" s="4">
        <f>IFERROR(__xludf.DUMMYFUNCTION("""COMPUTED_VALUE"""),2.623E9)</f>
        <v>2623000000</v>
      </c>
      <c r="O365" s="4" t="s">
        <v>724</v>
      </c>
      <c r="P365" s="4">
        <f>SUMIF(Cleaned_Data!C$2:C$2013,O365,Cleaned_Data!K$2:K$2013)</f>
        <v>4308237000</v>
      </c>
      <c r="Q365" s="4">
        <f>SUMIF(Cleaned_Data!C$2:C$2013,O365,Cleaned_Data!N$2:N$2013)</f>
        <v>25994319000</v>
      </c>
      <c r="R365" s="6">
        <f t="shared" si="5"/>
        <v>0.1657376368</v>
      </c>
    </row>
    <row r="366">
      <c r="D366" s="4" t="s">
        <v>767</v>
      </c>
      <c r="E366" s="4">
        <f>SUMIF(Cleaned_Data!C$2:C$2013,D366,Cleaned_Data!N$2:N$2013)</f>
        <v>5057450000</v>
      </c>
      <c r="J366" s="4" t="str">
        <f>IFERROR(__xludf.DUMMYFUNCTION("""COMPUTED_VALUE"""),"Norwegian Cruise Line Holdings")</f>
        <v>Norwegian Cruise Line Holdings</v>
      </c>
      <c r="K366" s="4">
        <f>IFERROR(__xludf.DUMMYFUNCTION("""COMPUTED_VALUE"""),-2.23154E9)</f>
        <v>-2231540000</v>
      </c>
      <c r="L366" s="4">
        <f>IFERROR(__xludf.DUMMYFUNCTION("""COMPUTED_VALUE"""),3.6126E7)</f>
        <v>36126000</v>
      </c>
      <c r="O366" s="4" t="s">
        <v>726</v>
      </c>
      <c r="P366" s="4">
        <f>SUMIF(Cleaned_Data!C$2:C$2013,O366,Cleaned_Data!K$2:K$2013)</f>
        <v>7306000000</v>
      </c>
      <c r="Q366" s="4">
        <f>SUMIF(Cleaned_Data!C$2:C$2013,O366,Cleaned_Data!N$2:N$2013)</f>
        <v>21897000000</v>
      </c>
      <c r="R366" s="6">
        <f t="shared" si="5"/>
        <v>0.3336530118</v>
      </c>
    </row>
    <row r="367">
      <c r="D367" s="4" t="s">
        <v>769</v>
      </c>
      <c r="E367" s="4">
        <f>SUMIF(Cleaned_Data!C$2:C$2013,D367,Cleaned_Data!N$2:N$2013)</f>
        <v>69337000000</v>
      </c>
      <c r="J367" s="4" t="str">
        <f>IFERROR(__xludf.DUMMYFUNCTION("""COMPUTED_VALUE"""),"Nucor")</f>
        <v>Nucor</v>
      </c>
      <c r="K367" s="4">
        <f>IFERROR(__xludf.DUMMYFUNCTION("""COMPUTED_VALUE"""),4.308237E9)</f>
        <v>4308237000</v>
      </c>
      <c r="L367" s="4">
        <f>IFERROR(__xludf.DUMMYFUNCTION("""COMPUTED_VALUE"""),2.5994319E10)</f>
        <v>25994319000</v>
      </c>
      <c r="O367" s="4" t="s">
        <v>728</v>
      </c>
      <c r="P367" s="4">
        <f>SUMIF(Cleaned_Data!C$2:C$2013,O367,Cleaned_Data!K$2:K$2013)</f>
        <v>1467332000</v>
      </c>
      <c r="Q367" s="4">
        <f>SUMIF(Cleaned_Data!C$2:C$2013,O367,Cleaned_Data!N$2:N$2013)</f>
        <v>8680331000</v>
      </c>
      <c r="R367" s="6">
        <f t="shared" si="5"/>
        <v>0.1690410193</v>
      </c>
    </row>
    <row r="368">
      <c r="D368" s="4" t="s">
        <v>771</v>
      </c>
      <c r="E368" s="4">
        <f>SUMIF(Cleaned_Data!C$2:C$2013,D368,Cleaned_Data!N$2:N$2013)</f>
        <v>30745000000</v>
      </c>
      <c r="J368" s="4" t="str">
        <f>IFERROR(__xludf.DUMMYFUNCTION("""COMPUTED_VALUE"""),"Nvidia")</f>
        <v>Nvidia</v>
      </c>
      <c r="K368" s="4">
        <f>IFERROR(__xludf.DUMMYFUNCTION("""COMPUTED_VALUE"""),7.306E9)</f>
        <v>7306000000</v>
      </c>
      <c r="L368" s="4">
        <f>IFERROR(__xludf.DUMMYFUNCTION("""COMPUTED_VALUE"""),2.1897E10)</f>
        <v>21897000000</v>
      </c>
      <c r="O368" s="4" t="s">
        <v>729</v>
      </c>
      <c r="P368" s="4">
        <f>SUMIF(Cleaned_Data!C$2:C$2013,O368,Cleaned_Data!K$2:K$2013)</f>
        <v>1646000000</v>
      </c>
      <c r="Q368" s="4">
        <f>SUMIF(Cleaned_Data!C$2:C$2013,O368,Cleaned_Data!N$2:N$2013)</f>
        <v>9937000000</v>
      </c>
      <c r="R368" s="6">
        <f t="shared" si="5"/>
        <v>0.1656435544</v>
      </c>
    </row>
    <row r="369">
      <c r="D369" s="4" t="s">
        <v>773</v>
      </c>
      <c r="E369" s="4">
        <f>SUMIF(Cleaned_Data!C$2:C$2013,D369,Cleaned_Data!N$2:N$2013)</f>
        <v>95335000000</v>
      </c>
      <c r="J369" s="4" t="str">
        <f>IFERROR(__xludf.DUMMYFUNCTION("""COMPUTED_VALUE"""),"O'Reilly Automotive")</f>
        <v>O'Reilly Automotive</v>
      </c>
      <c r="K369" s="4">
        <f>IFERROR(__xludf.DUMMYFUNCTION("""COMPUTED_VALUE"""),2.69028E9)</f>
        <v>2690280000</v>
      </c>
      <c r="L369" s="4">
        <f>IFERROR(__xludf.DUMMYFUNCTION("""COMPUTED_VALUE"""),1.2218905E10)</f>
        <v>12218905000</v>
      </c>
      <c r="O369" s="4" t="s">
        <v>731</v>
      </c>
      <c r="P369" s="4">
        <f>SUMIF(Cleaned_Data!C$2:C$2013,O369,Cleaned_Data!K$2:K$2013)</f>
        <v>2690280000</v>
      </c>
      <c r="Q369" s="4">
        <f>SUMIF(Cleaned_Data!C$2:C$2013,O369,Cleaned_Data!N$2:N$2013)</f>
        <v>12218905000</v>
      </c>
      <c r="R369" s="6">
        <f t="shared" si="5"/>
        <v>0.2201735753</v>
      </c>
    </row>
    <row r="370">
      <c r="D370" s="4" t="s">
        <v>775</v>
      </c>
      <c r="E370" s="4">
        <f>SUMIF(Cleaned_Data!C$2:C$2013,D370,Cleaned_Data!N$2:N$2013)</f>
        <v>3745939000</v>
      </c>
      <c r="J370" s="4" t="str">
        <f>IFERROR(__xludf.DUMMYFUNCTION("""COMPUTED_VALUE"""),"Occidental Petroleum")</f>
        <v>Occidental Petroleum</v>
      </c>
      <c r="K370" s="4">
        <f>IFERROR(__xludf.DUMMYFUNCTION("""COMPUTED_VALUE"""),-1.19E8)</f>
        <v>-119000000</v>
      </c>
      <c r="L370" s="4">
        <f>IFERROR(__xludf.DUMMYFUNCTION("""COMPUTED_VALUE"""),1.9519E10)</f>
        <v>19519000000</v>
      </c>
      <c r="O370" s="4" t="s">
        <v>733</v>
      </c>
      <c r="P370" s="4">
        <f>SUMIF(Cleaned_Data!C$2:C$2013,O370,Cleaned_Data!K$2:K$2013)</f>
        <v>-119000000</v>
      </c>
      <c r="Q370" s="4">
        <f>SUMIF(Cleaned_Data!C$2:C$2013,O370,Cleaned_Data!N$2:N$2013)</f>
        <v>19519000000</v>
      </c>
      <c r="R370" s="6">
        <f t="shared" si="5"/>
        <v>-0.006096623802</v>
      </c>
    </row>
    <row r="371">
      <c r="D371" s="4" t="s">
        <v>777</v>
      </c>
      <c r="E371" s="4">
        <f>SUMIF(Cleaned_Data!C$2:C$2013,D371,Cleaned_Data!N$2:N$2013)</f>
        <v>14310000000</v>
      </c>
      <c r="J371" s="4" t="str">
        <f>IFERROR(__xludf.DUMMYFUNCTION("""COMPUTED_VALUE"""),"Old Dominion Freight Line")</f>
        <v>Old Dominion Freight Line</v>
      </c>
      <c r="K371" s="4">
        <f>IFERROR(__xludf.DUMMYFUNCTION("""COMPUTED_VALUE"""),1.273413E9)</f>
        <v>1273413000</v>
      </c>
      <c r="L371" s="4">
        <f>IFERROR(__xludf.DUMMYFUNCTION("""COMPUTED_VALUE"""),4.919359E9)</f>
        <v>4919359000</v>
      </c>
      <c r="O371" s="4" t="s">
        <v>735</v>
      </c>
      <c r="P371" s="4">
        <f>SUMIF(Cleaned_Data!C$2:C$2013,O371,Cleaned_Data!K$2:K$2013)</f>
        <v>1273413000</v>
      </c>
      <c r="Q371" s="4">
        <f>SUMIF(Cleaned_Data!C$2:C$2013,O371,Cleaned_Data!N$2:N$2013)</f>
        <v>4919359000</v>
      </c>
      <c r="R371" s="6">
        <f t="shared" si="5"/>
        <v>0.2588575056</v>
      </c>
    </row>
    <row r="372">
      <c r="D372" s="4" t="s">
        <v>779</v>
      </c>
      <c r="E372" s="4">
        <f>SUMIF(Cleaned_Data!C$2:C$2013,D372,Cleaned_Data!N$2:N$2013)</f>
        <v>18998000000</v>
      </c>
      <c r="J372" s="4" t="str">
        <f>IFERROR(__xludf.DUMMYFUNCTION("""COMPUTED_VALUE"""),"Omnicom Group")</f>
        <v>Omnicom Group</v>
      </c>
      <c r="K372" s="4">
        <f>IFERROR(__xludf.DUMMYFUNCTION("""COMPUTED_VALUE"""),1.9967E9)</f>
        <v>1996700000</v>
      </c>
      <c r="L372" s="4">
        <f>IFERROR(__xludf.DUMMYFUNCTION("""COMPUTED_VALUE"""),1.41905E10)</f>
        <v>14190500000</v>
      </c>
      <c r="O372" s="4" t="s">
        <v>737</v>
      </c>
      <c r="P372" s="4">
        <f>SUMIF(Cleaned_Data!C$2:C$2013,O372,Cleaned_Data!K$2:K$2013)</f>
        <v>1996700000</v>
      </c>
      <c r="Q372" s="4">
        <f>SUMIF(Cleaned_Data!C$2:C$2013,O372,Cleaned_Data!N$2:N$2013)</f>
        <v>14190500000</v>
      </c>
      <c r="R372" s="6">
        <f t="shared" si="5"/>
        <v>0.1407068109</v>
      </c>
    </row>
    <row r="373">
      <c r="D373" s="4" t="s">
        <v>781</v>
      </c>
      <c r="E373" s="4">
        <f>SUMIF(Cleaned_Data!C$2:C$2013,D373,Cleaned_Data!N$2:N$2013)</f>
        <v>5099287000</v>
      </c>
      <c r="J373" s="4" t="str">
        <f>IFERROR(__xludf.DUMMYFUNCTION("""COMPUTED_VALUE"""),"Oneok")</f>
        <v>Oneok</v>
      </c>
      <c r="K373" s="4">
        <f>IFERROR(__xludf.DUMMYFUNCTION("""COMPUTED_VALUE"""),2.461507E9)</f>
        <v>2461507000</v>
      </c>
      <c r="L373" s="4">
        <f>IFERROR(__xludf.DUMMYFUNCTION("""COMPUTED_VALUE"""),1.3690395E10)</f>
        <v>13690395000</v>
      </c>
      <c r="O373" s="4" t="s">
        <v>739</v>
      </c>
      <c r="P373" s="4">
        <f>SUMIF(Cleaned_Data!C$2:C$2013,O373,Cleaned_Data!K$2:K$2013)</f>
        <v>2461507000</v>
      </c>
      <c r="Q373" s="4">
        <f>SUMIF(Cleaned_Data!C$2:C$2013,O373,Cleaned_Data!N$2:N$2013)</f>
        <v>13690395000</v>
      </c>
      <c r="R373" s="6">
        <f t="shared" si="5"/>
        <v>0.1797980993</v>
      </c>
    </row>
    <row r="374">
      <c r="D374" s="4" t="s">
        <v>783</v>
      </c>
      <c r="E374" s="4">
        <f>SUMIF(Cleaned_Data!C$2:C$2013,D374,Cleaned_Data!N$2:N$2013)</f>
        <v>16369000000</v>
      </c>
      <c r="J374" s="4" t="str">
        <f>IFERROR(__xludf.DUMMYFUNCTION("""COMPUTED_VALUE"""),"Oracle")</f>
        <v>Oracle</v>
      </c>
      <c r="K374" s="4">
        <f>IFERROR(__xludf.DUMMYFUNCTION("""COMPUTED_VALUE"""),1.5734E10)</f>
        <v>15734000000</v>
      </c>
      <c r="L374" s="4">
        <f>IFERROR(__xludf.DUMMYFUNCTION("""COMPUTED_VALUE"""),4.084E10)</f>
        <v>40840000000</v>
      </c>
      <c r="O374" s="4" t="s">
        <v>741</v>
      </c>
      <c r="P374" s="4">
        <f>SUMIF(Cleaned_Data!C$2:C$2013,O374,Cleaned_Data!K$2:K$2013)</f>
        <v>15734000000</v>
      </c>
      <c r="Q374" s="4">
        <f>SUMIF(Cleaned_Data!C$2:C$2013,O374,Cleaned_Data!N$2:N$2013)</f>
        <v>40840000000</v>
      </c>
      <c r="R374" s="6">
        <f t="shared" si="5"/>
        <v>0.3852595495</v>
      </c>
    </row>
    <row r="375">
      <c r="D375" s="4" t="s">
        <v>785</v>
      </c>
      <c r="E375" s="4">
        <f>SUMIF(Cleaned_Data!C$2:C$2013,D375,Cleaned_Data!N$2:N$2013)</f>
        <v>6227000000</v>
      </c>
      <c r="J375" s="4" t="str">
        <f>IFERROR(__xludf.DUMMYFUNCTION("""COMPUTED_VALUE"""),"Organon &amp; Co.")</f>
        <v>Organon &amp; Co.</v>
      </c>
      <c r="K375" s="4">
        <f>IFERROR(__xludf.DUMMYFUNCTION("""COMPUTED_VALUE"""),2.597E9)</f>
        <v>2597000000</v>
      </c>
      <c r="L375" s="4">
        <f>IFERROR(__xludf.DUMMYFUNCTION("""COMPUTED_VALUE"""),6.407E9)</f>
        <v>6407000000</v>
      </c>
      <c r="O375" s="4" t="s">
        <v>743</v>
      </c>
      <c r="P375" s="4">
        <f>SUMIF(Cleaned_Data!C$2:C$2013,O375,Cleaned_Data!K$2:K$2013)</f>
        <v>2597000000</v>
      </c>
      <c r="Q375" s="4">
        <f>SUMIF(Cleaned_Data!C$2:C$2013,O375,Cleaned_Data!N$2:N$2013)</f>
        <v>6407000000</v>
      </c>
      <c r="R375" s="6">
        <f t="shared" si="5"/>
        <v>0.4053379117</v>
      </c>
    </row>
    <row r="376">
      <c r="D376" s="4" t="s">
        <v>786</v>
      </c>
      <c r="E376" s="4">
        <f>SUMIF(Cleaned_Data!C$2:C$2013,D376,Cleaned_Data!N$2:N$2013)</f>
        <v>13936700000</v>
      </c>
      <c r="J376" s="4" t="str">
        <f>IFERROR(__xludf.DUMMYFUNCTION("""COMPUTED_VALUE"""),"Otis Worldwide")</f>
        <v>Otis Worldwide</v>
      </c>
      <c r="K376" s="4">
        <f>IFERROR(__xludf.DUMMYFUNCTION("""COMPUTED_VALUE"""),2.122E9)</f>
        <v>2122000000</v>
      </c>
      <c r="L376" s="4">
        <f>IFERROR(__xludf.DUMMYFUNCTION("""COMPUTED_VALUE"""),1.4222E10)</f>
        <v>14222000000</v>
      </c>
      <c r="O376" s="4" t="s">
        <v>745</v>
      </c>
      <c r="P376" s="4">
        <f>SUMIF(Cleaned_Data!C$2:C$2013,O376,Cleaned_Data!K$2:K$2013)</f>
        <v>2122000000</v>
      </c>
      <c r="Q376" s="4">
        <f>SUMIF(Cleaned_Data!C$2:C$2013,O376,Cleaned_Data!N$2:N$2013)</f>
        <v>14222000000</v>
      </c>
      <c r="R376" s="6">
        <f t="shared" si="5"/>
        <v>0.1492054563</v>
      </c>
    </row>
    <row r="377">
      <c r="D377" s="4" t="s">
        <v>788</v>
      </c>
      <c r="E377" s="4">
        <f>SUMIF(Cleaned_Data!C$2:C$2013,D377,Cleaned_Data!N$2:N$2013)</f>
        <v>77138000000</v>
      </c>
      <c r="J377" s="4" t="str">
        <f>IFERROR(__xludf.DUMMYFUNCTION("""COMPUTED_VALUE"""),"PNC Financial Services")</f>
        <v>PNC Financial Services</v>
      </c>
      <c r="K377" s="4">
        <f>IFERROR(__xludf.DUMMYFUNCTION("""COMPUTED_VALUE"""),7.079E9)</f>
        <v>7079000000</v>
      </c>
      <c r="L377" s="4">
        <f>IFERROR(__xludf.DUMMYFUNCTION("""COMPUTED_VALUE"""),1.8998E10)</f>
        <v>18998000000</v>
      </c>
      <c r="O377" s="4" t="s">
        <v>747</v>
      </c>
      <c r="P377" s="4">
        <f>SUMIF(Cleaned_Data!C$2:C$2013,O377,Cleaned_Data!K$2:K$2013)</f>
        <v>2253500000</v>
      </c>
      <c r="Q377" s="4">
        <f>SUMIF(Cleaned_Data!C$2:C$2013,O377,Cleaned_Data!N$2:N$2013)</f>
        <v>22404800000</v>
      </c>
      <c r="R377" s="6">
        <f t="shared" si="5"/>
        <v>0.1005811255</v>
      </c>
    </row>
    <row r="378">
      <c r="D378" s="4" t="s">
        <v>790</v>
      </c>
      <c r="E378" s="4">
        <f>SUMIF(Cleaned_Data!C$2:C$2013,D378,Cleaned_Data!N$2:N$2013)</f>
        <v>46601700000</v>
      </c>
      <c r="J378" s="4" t="str">
        <f>IFERROR(__xludf.DUMMYFUNCTION("""COMPUTED_VALUE"""),"PPG Industries")</f>
        <v>PPG Industries</v>
      </c>
      <c r="K378" s="4">
        <f>IFERROR(__xludf.DUMMYFUNCTION("""COMPUTED_VALUE"""),1.919E9)</f>
        <v>1919000000</v>
      </c>
      <c r="L378" s="4">
        <f>IFERROR(__xludf.DUMMYFUNCTION("""COMPUTED_VALUE"""),1.6369E10)</f>
        <v>16369000000</v>
      </c>
      <c r="O378" s="4" t="s">
        <v>749</v>
      </c>
      <c r="P378" s="4">
        <f>SUMIF(Cleaned_Data!C$2:C$2013,O378,Cleaned_Data!K$2:K$2013)</f>
        <v>1142800000</v>
      </c>
      <c r="Q378" s="4">
        <f>SUMIF(Cleaned_Data!C$2:C$2013,O378,Cleaned_Data!N$2:N$2013)</f>
        <v>7401400000</v>
      </c>
      <c r="R378" s="6">
        <f t="shared" si="5"/>
        <v>0.154403221</v>
      </c>
    </row>
    <row r="379">
      <c r="D379" s="4" t="s">
        <v>792</v>
      </c>
      <c r="E379" s="4">
        <f>SUMIF(Cleaned_Data!C$2:C$2013,D379,Cleaned_Data!N$2:N$2013)</f>
        <v>4905616000</v>
      </c>
      <c r="J379" s="4" t="str">
        <f>IFERROR(__xludf.DUMMYFUNCTION("""COMPUTED_VALUE"""),"PPL")</f>
        <v>PPL</v>
      </c>
      <c r="K379" s="4">
        <f>IFERROR(__xludf.DUMMYFUNCTION("""COMPUTED_VALUE"""),1.894E9)</f>
        <v>1894000000</v>
      </c>
      <c r="L379" s="4">
        <f>IFERROR(__xludf.DUMMYFUNCTION("""COMPUTED_VALUE"""),6.227E9)</f>
        <v>6227000000</v>
      </c>
      <c r="O379" s="4" t="s">
        <v>751</v>
      </c>
      <c r="P379" s="4">
        <f>SUMIF(Cleaned_Data!C$2:C$2013,O379,Cleaned_Data!K$2:K$2013)</f>
        <v>2556211000</v>
      </c>
      <c r="Q379" s="4">
        <f>SUMIF(Cleaned_Data!C$2:C$2013,O379,Cleaned_Data!N$2:N$2013)</f>
        <v>14879909000</v>
      </c>
      <c r="R379" s="6">
        <f t="shared" si="5"/>
        <v>0.1717894242</v>
      </c>
    </row>
    <row r="380">
      <c r="D380" s="4" t="s">
        <v>794</v>
      </c>
      <c r="E380" s="4">
        <f>SUMIF(Cleaned_Data!C$2:C$2013,D380,Cleaned_Data!N$2:N$2013)</f>
        <v>70495000000</v>
      </c>
      <c r="J380" s="4" t="str">
        <f>IFERROR(__xludf.DUMMYFUNCTION("""COMPUTED_VALUE"""),"PTC")</f>
        <v>PTC</v>
      </c>
      <c r="K380" s="4">
        <f>IFERROR(__xludf.DUMMYFUNCTION("""COMPUTED_VALUE"""),3.97952E8)</f>
        <v>397952000</v>
      </c>
      <c r="L380" s="4">
        <f>IFERROR(__xludf.DUMMYFUNCTION("""COMPUTED_VALUE"""),1.807159E9)</f>
        <v>1807159000</v>
      </c>
      <c r="O380" s="4" t="s">
        <v>753</v>
      </c>
      <c r="P380" s="4">
        <f>SUMIF(Cleaned_Data!C$2:C$2013,O380,Cleaned_Data!K$2:K$2013)</f>
        <v>1619600000</v>
      </c>
      <c r="Q380" s="4">
        <f>SUMIF(Cleaned_Data!C$2:C$2013,O380,Cleaned_Data!N$2:N$2013)</f>
        <v>4207500000</v>
      </c>
      <c r="R380" s="6">
        <f t="shared" si="5"/>
        <v>0.3849316696</v>
      </c>
    </row>
    <row r="381">
      <c r="D381" s="4" t="s">
        <v>796</v>
      </c>
      <c r="E381" s="4">
        <f>SUMIF(Cleaned_Data!C$2:C$2013,D381,Cleaned_Data!N$2:N$2013)</f>
        <v>1807159000</v>
      </c>
      <c r="J381" s="4" t="str">
        <f>IFERROR(__xludf.DUMMYFUNCTION("""COMPUTED_VALUE"""),"PVH")</f>
        <v>PVH</v>
      </c>
      <c r="K381" s="4">
        <f>IFERROR(__xludf.DUMMYFUNCTION("""COMPUTED_VALUE"""),5.961E8)</f>
        <v>596100000</v>
      </c>
      <c r="L381" s="4">
        <f>IFERROR(__xludf.DUMMYFUNCTION("""COMPUTED_VALUE"""),8.6004E9)</f>
        <v>8600400000</v>
      </c>
      <c r="O381" s="4" t="s">
        <v>755</v>
      </c>
      <c r="P381" s="4">
        <f>SUMIF(Cleaned_Data!C$2:C$2013,O381,Cleaned_Data!K$2:K$2013)</f>
        <v>221188000</v>
      </c>
      <c r="Q381" s="4">
        <f>SUMIF(Cleaned_Data!C$2:C$2013,O381,Cleaned_Data!N$2:N$2013)</f>
        <v>991485000</v>
      </c>
      <c r="R381" s="6">
        <f t="shared" si="5"/>
        <v>0.2230875908</v>
      </c>
    </row>
    <row r="382">
      <c r="D382" s="4" t="s">
        <v>797</v>
      </c>
      <c r="E382" s="4">
        <f>SUMIF(Cleaned_Data!C$2:C$2013,D382,Cleaned_Data!N$2:N$2013)</f>
        <v>9068000000</v>
      </c>
      <c r="J382" s="4" t="str">
        <f>IFERROR(__xludf.DUMMYFUNCTION("""COMPUTED_VALUE"""),"Paccar")</f>
        <v>Paccar</v>
      </c>
      <c r="K382" s="4">
        <f>IFERROR(__xludf.DUMMYFUNCTION("""COMPUTED_VALUE"""),2.2535E9)</f>
        <v>2253500000</v>
      </c>
      <c r="L382" s="4">
        <f>IFERROR(__xludf.DUMMYFUNCTION("""COMPUTED_VALUE"""),2.24048E10)</f>
        <v>22404800000</v>
      </c>
      <c r="O382" s="4" t="s">
        <v>757</v>
      </c>
      <c r="P382" s="4">
        <f>SUMIF(Cleaned_Data!C$2:C$2013,O382,Cleaned_Data!K$2:K$2013)</f>
        <v>4278000000</v>
      </c>
      <c r="Q382" s="4">
        <f>SUMIF(Cleaned_Data!C$2:C$2013,O382,Cleaned_Data!N$2:N$2013)</f>
        <v>24569000000</v>
      </c>
      <c r="R382" s="6">
        <f t="shared" si="5"/>
        <v>0.1741218609</v>
      </c>
    </row>
    <row r="383">
      <c r="D383" s="4" t="s">
        <v>799</v>
      </c>
      <c r="E383" s="4">
        <f>SUMIF(Cleaned_Data!C$2:C$2013,D383,Cleaned_Data!N$2:N$2013)</f>
        <v>3338268000</v>
      </c>
      <c r="J383" s="4" t="str">
        <f>IFERROR(__xludf.DUMMYFUNCTION("""COMPUTED_VALUE"""),"Packaging Corporation of America")</f>
        <v>Packaging Corporation of America</v>
      </c>
      <c r="K383" s="4">
        <f>IFERROR(__xludf.DUMMYFUNCTION("""COMPUTED_VALUE"""),1.1428E9)</f>
        <v>1142800000</v>
      </c>
      <c r="L383" s="4">
        <f>IFERROR(__xludf.DUMMYFUNCTION("""COMPUTED_VALUE"""),7.4014E9)</f>
        <v>7401400000</v>
      </c>
      <c r="O383" s="4" t="s">
        <v>759</v>
      </c>
      <c r="P383" s="4">
        <f>SUMIF(Cleaned_Data!C$2:C$2013,O383,Cleaned_Data!K$2:K$2013)</f>
        <v>979100000</v>
      </c>
      <c r="Q383" s="4">
        <f>SUMIF(Cleaned_Data!C$2:C$2013,O383,Cleaned_Data!N$2:N$2013)</f>
        <v>5359900000</v>
      </c>
      <c r="R383" s="6">
        <f t="shared" si="5"/>
        <v>0.1826713185</v>
      </c>
    </row>
    <row r="384">
      <c r="D384" s="4" t="s">
        <v>801</v>
      </c>
      <c r="E384" s="4">
        <f>SUMIF(Cleaned_Data!C$2:C$2013,D384,Cleaned_Data!N$2:N$2013)</f>
        <v>12760689000</v>
      </c>
      <c r="J384" s="4" t="str">
        <f>IFERROR(__xludf.DUMMYFUNCTION("""COMPUTED_VALUE"""),"Parker-Hannifin")</f>
        <v>Parker-Hannifin</v>
      </c>
      <c r="K384" s="4">
        <f>IFERROR(__xludf.DUMMYFUNCTION("""COMPUTED_VALUE"""),2.556211E9)</f>
        <v>2556211000</v>
      </c>
      <c r="L384" s="4">
        <f>IFERROR(__xludf.DUMMYFUNCTION("""COMPUTED_VALUE"""),1.4879909E10)</f>
        <v>14879909000</v>
      </c>
      <c r="O384" s="4" t="s">
        <v>761</v>
      </c>
      <c r="P384" s="4">
        <f>SUMIF(Cleaned_Data!C$2:C$2013,O384,Cleaned_Data!K$2:K$2013)</f>
        <v>620500000</v>
      </c>
      <c r="Q384" s="4">
        <f>SUMIF(Cleaned_Data!C$2:C$2013,O384,Cleaned_Data!N$2:N$2013)</f>
        <v>3572200000</v>
      </c>
      <c r="R384" s="6">
        <f t="shared" si="5"/>
        <v>0.1737024803</v>
      </c>
    </row>
    <row r="385">
      <c r="D385" s="4" t="s">
        <v>803</v>
      </c>
      <c r="E385" s="4">
        <f>SUMIF(Cleaned_Data!C$2:C$2013,D385,Cleaned_Data!N$2:N$2013)</f>
        <v>8600400000</v>
      </c>
      <c r="J385" s="4" t="str">
        <f>IFERROR(__xludf.DUMMYFUNCTION("""COMPUTED_VALUE"""),"PayPal")</f>
        <v>PayPal</v>
      </c>
      <c r="K385" s="4">
        <f>IFERROR(__xludf.DUMMYFUNCTION("""COMPUTED_VALUE"""),4.278E9)</f>
        <v>4278000000</v>
      </c>
      <c r="L385" s="4">
        <f>IFERROR(__xludf.DUMMYFUNCTION("""COMPUTED_VALUE"""),2.4569E10)</f>
        <v>24569000000</v>
      </c>
      <c r="O385" s="4" t="s">
        <v>763</v>
      </c>
      <c r="P385" s="4">
        <f>SUMIF(Cleaned_Data!C$2:C$2013,O385,Cleaned_Data!K$2:K$2013)</f>
        <v>959600000</v>
      </c>
      <c r="Q385" s="4">
        <f>SUMIF(Cleaned_Data!C$2:C$2013,O385,Cleaned_Data!N$2:N$2013)</f>
        <v>2018600000</v>
      </c>
      <c r="R385" s="6">
        <f t="shared" si="5"/>
        <v>0.4753789755</v>
      </c>
    </row>
    <row r="386">
      <c r="D386" s="4" t="s">
        <v>804</v>
      </c>
      <c r="E386" s="4">
        <f>SUMIF(Cleaned_Data!C$2:C$2013,D386,Cleaned_Data!N$2:N$2013)</f>
        <v>4533163000</v>
      </c>
      <c r="J386" s="4" t="str">
        <f>IFERROR(__xludf.DUMMYFUNCTION("""COMPUTED_VALUE"""),"Paychex")</f>
        <v>Paychex</v>
      </c>
      <c r="K386" s="4">
        <f>IFERROR(__xludf.DUMMYFUNCTION("""COMPUTED_VALUE"""),1.6196E9)</f>
        <v>1619600000</v>
      </c>
      <c r="L386" s="4">
        <f>IFERROR(__xludf.DUMMYFUNCTION("""COMPUTED_VALUE"""),4.2075E9)</f>
        <v>4207500000</v>
      </c>
      <c r="O386" s="4" t="s">
        <v>765</v>
      </c>
      <c r="P386" s="4">
        <f>SUMIF(Cleaned_Data!C$2:C$2013,O386,Cleaned_Data!K$2:K$2013)</f>
        <v>11788000000</v>
      </c>
      <c r="Q386" s="4">
        <f>SUMIF(Cleaned_Data!C$2:C$2013,O386,Cleaned_Data!N$2:N$2013)</f>
        <v>76681000000</v>
      </c>
      <c r="R386" s="6">
        <f t="shared" si="5"/>
        <v>0.1537277813</v>
      </c>
    </row>
    <row r="387">
      <c r="D387" s="4" t="s">
        <v>806</v>
      </c>
      <c r="E387" s="4">
        <f>SUMIF(Cleaned_Data!C$2:C$2013,D387,Cleaned_Data!N$2:N$2013)</f>
        <v>33566000000</v>
      </c>
      <c r="J387" s="4" t="str">
        <f>IFERROR(__xludf.DUMMYFUNCTION("""COMPUTED_VALUE"""),"Paycom")</f>
        <v>Paycom</v>
      </c>
      <c r="K387" s="4">
        <f>IFERROR(__xludf.DUMMYFUNCTION("""COMPUTED_VALUE"""),2.21188E8)</f>
        <v>221188000</v>
      </c>
      <c r="L387" s="4">
        <f>IFERROR(__xludf.DUMMYFUNCTION("""COMPUTED_VALUE"""),9.91485E8)</f>
        <v>991485000</v>
      </c>
      <c r="O387" s="4" t="s">
        <v>767</v>
      </c>
      <c r="P387" s="4">
        <f>SUMIF(Cleaned_Data!C$2:C$2013,O387,Cleaned_Data!K$2:K$2013)</f>
        <v>1628430000</v>
      </c>
      <c r="Q387" s="4">
        <f>SUMIF(Cleaned_Data!C$2:C$2013,O387,Cleaned_Data!N$2:N$2013)</f>
        <v>5057450000</v>
      </c>
      <c r="R387" s="6">
        <f t="shared" si="5"/>
        <v>0.3219863765</v>
      </c>
    </row>
    <row r="388">
      <c r="D388" s="4" t="s">
        <v>808</v>
      </c>
      <c r="E388" s="4">
        <f>SUMIF(Cleaned_Data!C$2:C$2013,D388,Cleaned_Data!N$2:N$2013)</f>
        <v>11968860000</v>
      </c>
      <c r="J388" s="4" t="str">
        <f>IFERROR(__xludf.DUMMYFUNCTION("""COMPUTED_VALUE"""),"Penn National Gaming")</f>
        <v>Penn National Gaming</v>
      </c>
      <c r="K388" s="4">
        <f>IFERROR(__xludf.DUMMYFUNCTION("""COMPUTED_VALUE"""),9.791E8)</f>
        <v>979100000</v>
      </c>
      <c r="L388" s="4">
        <f>IFERROR(__xludf.DUMMYFUNCTION("""COMPUTED_VALUE"""),5.3599E9)</f>
        <v>5359900000</v>
      </c>
      <c r="O388" s="4" t="s">
        <v>769</v>
      </c>
      <c r="P388" s="4">
        <f>SUMIF(Cleaned_Data!C$2:C$2013,O388,Cleaned_Data!K$2:K$2013)</f>
        <v>21848000000</v>
      </c>
      <c r="Q388" s="4">
        <f>SUMIF(Cleaned_Data!C$2:C$2013,O388,Cleaned_Data!N$2:N$2013)</f>
        <v>69337000000</v>
      </c>
      <c r="R388" s="6">
        <f t="shared" si="5"/>
        <v>0.3150987207</v>
      </c>
    </row>
    <row r="389">
      <c r="D389" s="4" t="s">
        <v>810</v>
      </c>
      <c r="E389" s="4">
        <f>SUMIF(Cleaned_Data!C$2:C$2013,D389,Cleaned_Data!N$2:N$2013)</f>
        <v>11046000000</v>
      </c>
      <c r="J389" s="4" t="str">
        <f>IFERROR(__xludf.DUMMYFUNCTION("""COMPUTED_VALUE"""),"Pentair")</f>
        <v>Pentair</v>
      </c>
      <c r="K389" s="4">
        <f>IFERROR(__xludf.DUMMYFUNCTION("""COMPUTED_VALUE"""),6.205E8)</f>
        <v>620500000</v>
      </c>
      <c r="L389" s="4">
        <f>IFERROR(__xludf.DUMMYFUNCTION("""COMPUTED_VALUE"""),3.5722E9)</f>
        <v>3572200000</v>
      </c>
      <c r="O389" s="4" t="s">
        <v>771</v>
      </c>
      <c r="P389" s="4">
        <f>SUMIF(Cleaned_Data!C$2:C$2013,O389,Cleaned_Data!K$2:K$2013)</f>
        <v>13070000000</v>
      </c>
      <c r="Q389" s="4">
        <f>SUMIF(Cleaned_Data!C$2:C$2013,O389,Cleaned_Data!N$2:N$2013)</f>
        <v>30745000000</v>
      </c>
      <c r="R389" s="6">
        <f t="shared" si="5"/>
        <v>0.4251097739</v>
      </c>
    </row>
    <row r="390">
      <c r="D390" s="4" t="s">
        <v>812</v>
      </c>
      <c r="E390" s="4">
        <f>SUMIF(Cleaned_Data!C$2:C$2013,D390,Cleaned_Data!N$2:N$2013)</f>
        <v>5600200000</v>
      </c>
      <c r="J390" s="4" t="str">
        <f>IFERROR(__xludf.DUMMYFUNCTION("""COMPUTED_VALUE"""),"People's United Financial")</f>
        <v>People's United Financial</v>
      </c>
      <c r="K390" s="4">
        <f>IFERROR(__xludf.DUMMYFUNCTION("""COMPUTED_VALUE"""),9.596E8)</f>
        <v>959600000</v>
      </c>
      <c r="L390" s="4">
        <f>IFERROR(__xludf.DUMMYFUNCTION("""COMPUTED_VALUE"""),2.0186E9)</f>
        <v>2018600000</v>
      </c>
      <c r="O390" s="4" t="s">
        <v>773</v>
      </c>
      <c r="P390" s="4">
        <f>SUMIF(Cleaned_Data!C$2:C$2013,O390,Cleaned_Data!K$2:K$2013)</f>
        <v>-1087000000</v>
      </c>
      <c r="Q390" s="4">
        <f>SUMIF(Cleaned_Data!C$2:C$2013,O390,Cleaned_Data!N$2:N$2013)</f>
        <v>95335000000</v>
      </c>
      <c r="R390" s="6">
        <f t="shared" si="5"/>
        <v>-0.01140189857</v>
      </c>
    </row>
    <row r="391">
      <c r="D391" s="4" t="s">
        <v>814</v>
      </c>
      <c r="E391" s="4">
        <f>SUMIF(Cleaned_Data!C$2:C$2013,D391,Cleaned_Data!N$2:N$2013)</f>
        <v>9831000000</v>
      </c>
      <c r="J391" s="4" t="str">
        <f>IFERROR(__xludf.DUMMYFUNCTION("""COMPUTED_VALUE"""),"PepsiCo")</f>
        <v>PepsiCo</v>
      </c>
      <c r="K391" s="4">
        <f>IFERROR(__xludf.DUMMYFUNCTION("""COMPUTED_VALUE"""),1.1788E10)</f>
        <v>11788000000</v>
      </c>
      <c r="L391" s="4">
        <f>IFERROR(__xludf.DUMMYFUNCTION("""COMPUTED_VALUE"""),7.6681E10)</f>
        <v>76681000000</v>
      </c>
      <c r="O391" s="4" t="s">
        <v>775</v>
      </c>
      <c r="P391" s="4">
        <f>SUMIF(Cleaned_Data!C$2:C$2013,O391,Cleaned_Data!K$2:K$2013)</f>
        <v>884412000</v>
      </c>
      <c r="Q391" s="4">
        <f>SUMIF(Cleaned_Data!C$2:C$2013,O391,Cleaned_Data!N$2:N$2013)</f>
        <v>3745939000</v>
      </c>
      <c r="R391" s="6">
        <f t="shared" si="5"/>
        <v>0.2360988793</v>
      </c>
    </row>
    <row r="392">
      <c r="D392" s="4" t="s">
        <v>816</v>
      </c>
      <c r="E392" s="4">
        <f>SUMIF(Cleaned_Data!C$2:C$2013,D392,Cleaned_Data!N$2:N$2013)</f>
        <v>63763000000</v>
      </c>
      <c r="J392" s="4" t="str">
        <f>IFERROR(__xludf.DUMMYFUNCTION("""COMPUTED_VALUE"""),"PerkinElmer")</f>
        <v>PerkinElmer</v>
      </c>
      <c r="K392" s="4">
        <f>IFERROR(__xludf.DUMMYFUNCTION("""COMPUTED_VALUE"""),1.62843E9)</f>
        <v>1628430000</v>
      </c>
      <c r="L392" s="4">
        <f>IFERROR(__xludf.DUMMYFUNCTION("""COMPUTED_VALUE"""),5.05745E9)</f>
        <v>5057450000</v>
      </c>
      <c r="O392" s="4" t="s">
        <v>777</v>
      </c>
      <c r="P392" s="4">
        <f>SUMIF(Cleaned_Data!C$2:C$2013,O392,Cleaned_Data!K$2:K$2013)</f>
        <v>2045000000</v>
      </c>
      <c r="Q392" s="4">
        <f>SUMIF(Cleaned_Data!C$2:C$2013,O392,Cleaned_Data!N$2:N$2013)</f>
        <v>14310000000</v>
      </c>
      <c r="R392" s="6">
        <f t="shared" si="5"/>
        <v>0.142907058</v>
      </c>
    </row>
    <row r="393">
      <c r="D393" s="4" t="s">
        <v>818</v>
      </c>
      <c r="E393" s="4">
        <f>SUMIF(Cleaned_Data!C$2:C$2013,D393,Cleaned_Data!N$2:N$2013)</f>
        <v>1817037000</v>
      </c>
      <c r="J393" s="4" t="str">
        <f>IFERROR(__xludf.DUMMYFUNCTION("""COMPUTED_VALUE"""),"Pfizer")</f>
        <v>Pfizer</v>
      </c>
      <c r="K393" s="4">
        <f>IFERROR(__xludf.DUMMYFUNCTION("""COMPUTED_VALUE"""),2.1848E10)</f>
        <v>21848000000</v>
      </c>
      <c r="L393" s="4">
        <f>IFERROR(__xludf.DUMMYFUNCTION("""COMPUTED_VALUE"""),6.9337E10)</f>
        <v>69337000000</v>
      </c>
      <c r="O393" s="4" t="s">
        <v>779</v>
      </c>
      <c r="P393" s="4">
        <f>SUMIF(Cleaned_Data!C$2:C$2013,O393,Cleaned_Data!K$2:K$2013)</f>
        <v>7079000000</v>
      </c>
      <c r="Q393" s="4">
        <f>SUMIF(Cleaned_Data!C$2:C$2013,O393,Cleaned_Data!N$2:N$2013)</f>
        <v>18998000000</v>
      </c>
      <c r="R393" s="6">
        <f t="shared" si="5"/>
        <v>0.3726181703</v>
      </c>
    </row>
    <row r="394">
      <c r="D394" s="4" t="s">
        <v>820</v>
      </c>
      <c r="E394" s="4">
        <f>SUMIF(Cleaned_Data!C$2:C$2013,D394,Cleaned_Data!N$2:N$2013)</f>
        <v>1163439000</v>
      </c>
      <c r="J394" s="4" t="str">
        <f>IFERROR(__xludf.DUMMYFUNCTION("""COMPUTED_VALUE"""),"Philip Morris International")</f>
        <v>Philip Morris International</v>
      </c>
      <c r="K394" s="4">
        <f>IFERROR(__xludf.DUMMYFUNCTION("""COMPUTED_VALUE"""),1.307E10)</f>
        <v>13070000000</v>
      </c>
      <c r="L394" s="4">
        <f>IFERROR(__xludf.DUMMYFUNCTION("""COMPUTED_VALUE"""),3.0745E10)</f>
        <v>30745000000</v>
      </c>
      <c r="O394" s="4" t="s">
        <v>781</v>
      </c>
      <c r="P394" s="4">
        <f>SUMIF(Cleaned_Data!C$2:C$2013,O394,Cleaned_Data!K$2:K$2013)</f>
        <v>777843000</v>
      </c>
      <c r="Q394" s="4">
        <f>SUMIF(Cleaned_Data!C$2:C$2013,O394,Cleaned_Data!N$2:N$2013)</f>
        <v>5099287000</v>
      </c>
      <c r="R394" s="6">
        <f t="shared" si="5"/>
        <v>0.1525395609</v>
      </c>
    </row>
    <row r="395">
      <c r="D395" s="4" t="s">
        <v>822</v>
      </c>
      <c r="E395" s="4">
        <f>SUMIF(Cleaned_Data!C$2:C$2013,D395,Cleaned_Data!N$2:N$2013)</f>
        <v>13356200000</v>
      </c>
      <c r="J395" s="4" t="str">
        <f>IFERROR(__xludf.DUMMYFUNCTION("""COMPUTED_VALUE"""),"Phillips 66")</f>
        <v>Phillips 66</v>
      </c>
      <c r="K395" s="4">
        <f>IFERROR(__xludf.DUMMYFUNCTION("""COMPUTED_VALUE"""),-1.087E9)</f>
        <v>-1087000000</v>
      </c>
      <c r="L395" s="4">
        <f>IFERROR(__xludf.DUMMYFUNCTION("""COMPUTED_VALUE"""),9.5335E10)</f>
        <v>95335000000</v>
      </c>
      <c r="O395" s="4" t="s">
        <v>783</v>
      </c>
      <c r="P395" s="4">
        <f>SUMIF(Cleaned_Data!C$2:C$2013,O395,Cleaned_Data!K$2:K$2013)</f>
        <v>1919000000</v>
      </c>
      <c r="Q395" s="4">
        <f>SUMIF(Cleaned_Data!C$2:C$2013,O395,Cleaned_Data!N$2:N$2013)</f>
        <v>16369000000</v>
      </c>
      <c r="R395" s="6">
        <f t="shared" si="5"/>
        <v>0.1172337956</v>
      </c>
    </row>
    <row r="396">
      <c r="D396" s="4" t="s">
        <v>824</v>
      </c>
      <c r="E396" s="4">
        <f>SUMIF(Cleaned_Data!C$2:C$2013,D396,Cleaned_Data!N$2:N$2013)</f>
        <v>7158000000</v>
      </c>
      <c r="J396" s="4" t="str">
        <f>IFERROR(__xludf.DUMMYFUNCTION("""COMPUTED_VALUE"""),"Pinnacle West Capital")</f>
        <v>Pinnacle West Capital</v>
      </c>
      <c r="K396" s="4">
        <f>IFERROR(__xludf.DUMMYFUNCTION("""COMPUTED_VALUE"""),8.84412E8)</f>
        <v>884412000</v>
      </c>
      <c r="L396" s="4">
        <f>IFERROR(__xludf.DUMMYFUNCTION("""COMPUTED_VALUE"""),3.745939E9)</f>
        <v>3745939000</v>
      </c>
      <c r="O396" s="4" t="s">
        <v>785</v>
      </c>
      <c r="P396" s="4">
        <f>SUMIF(Cleaned_Data!C$2:C$2013,O396,Cleaned_Data!K$2:K$2013)</f>
        <v>1894000000</v>
      </c>
      <c r="Q396" s="4">
        <f>SUMIF(Cleaned_Data!C$2:C$2013,O396,Cleaned_Data!N$2:N$2013)</f>
        <v>6227000000</v>
      </c>
      <c r="R396" s="6">
        <f t="shared" si="5"/>
        <v>0.3041593062</v>
      </c>
    </row>
    <row r="397">
      <c r="D397" s="4" t="s">
        <v>826</v>
      </c>
      <c r="E397" s="4">
        <f>SUMIF(Cleaned_Data!C$2:C$2013,D397,Cleaned_Data!N$2:N$2013)</f>
        <v>10916300000</v>
      </c>
      <c r="J397" s="4" t="str">
        <f>IFERROR(__xludf.DUMMYFUNCTION("""COMPUTED_VALUE"""),"Pioneer Natural Resources")</f>
        <v>Pioneer Natural Resources</v>
      </c>
      <c r="K397" s="4">
        <f>IFERROR(__xludf.DUMMYFUNCTION("""COMPUTED_VALUE"""),2.045E9)</f>
        <v>2045000000</v>
      </c>
      <c r="L397" s="4">
        <f>IFERROR(__xludf.DUMMYFUNCTION("""COMPUTED_VALUE"""),1.431E10)</f>
        <v>14310000000</v>
      </c>
      <c r="O397" s="4" t="s">
        <v>786</v>
      </c>
      <c r="P397" s="4">
        <f>SUMIF(Cleaned_Data!C$2:C$2013,O397,Cleaned_Data!K$2:K$2013)</f>
        <v>2066200000</v>
      </c>
      <c r="Q397" s="4">
        <f>SUMIF(Cleaned_Data!C$2:C$2013,O397,Cleaned_Data!N$2:N$2013)</f>
        <v>13936700000</v>
      </c>
      <c r="R397" s="6">
        <f t="shared" si="5"/>
        <v>0.1482560434</v>
      </c>
    </row>
    <row r="398">
      <c r="D398" s="4" t="s">
        <v>828</v>
      </c>
      <c r="E398" s="4">
        <f>SUMIF(Cleaned_Data!C$2:C$2013,D398,Cleaned_Data!N$2:N$2013)</f>
        <v>3348896000</v>
      </c>
      <c r="J398" s="4" t="str">
        <f>IFERROR(__xludf.DUMMYFUNCTION("""COMPUTED_VALUE"""),"Pool Corporation")</f>
        <v>Pool Corporation</v>
      </c>
      <c r="K398" s="4">
        <f>IFERROR(__xludf.DUMMYFUNCTION("""COMPUTED_VALUE"""),7.77843E8)</f>
        <v>777843000</v>
      </c>
      <c r="L398" s="4">
        <f>IFERROR(__xludf.DUMMYFUNCTION("""COMPUTED_VALUE"""),5.099287E9)</f>
        <v>5099287000</v>
      </c>
      <c r="O398" s="4" t="s">
        <v>788</v>
      </c>
      <c r="P398" s="4">
        <f>SUMIF(Cleaned_Data!C$2:C$2013,O398,Cleaned_Data!K$2:K$2013)</f>
        <v>18799000000</v>
      </c>
      <c r="Q398" s="4">
        <f>SUMIF(Cleaned_Data!C$2:C$2013,O398,Cleaned_Data!N$2:N$2013)</f>
        <v>77138000000</v>
      </c>
      <c r="R398" s="6">
        <f t="shared" si="5"/>
        <v>0.2437060852</v>
      </c>
    </row>
    <row r="399">
      <c r="D399" s="4" t="s">
        <v>830</v>
      </c>
      <c r="E399" s="4">
        <f>SUMIF(Cleaned_Data!C$2:C$2013,D399,Cleaned_Data!N$2:N$2013)</f>
        <v>5995613000</v>
      </c>
      <c r="J399" s="4" t="str">
        <f>IFERROR(__xludf.DUMMYFUNCTION("""COMPUTED_VALUE"""),"Principal Financial Group")</f>
        <v>Principal Financial Group</v>
      </c>
      <c r="K399" s="4">
        <f>IFERROR(__xludf.DUMMYFUNCTION("""COMPUTED_VALUE"""),2.0662E9)</f>
        <v>2066200000</v>
      </c>
      <c r="L399" s="4">
        <f>IFERROR(__xludf.DUMMYFUNCTION("""COMPUTED_VALUE"""),1.39367E10)</f>
        <v>13936700000</v>
      </c>
      <c r="O399" s="4" t="s">
        <v>790</v>
      </c>
      <c r="P399" s="4">
        <f>SUMIF(Cleaned_Data!C$2:C$2013,O399,Cleaned_Data!K$2:K$2013)</f>
        <v>5335500000</v>
      </c>
      <c r="Q399" s="4">
        <f>SUMIF(Cleaned_Data!C$2:C$2013,O399,Cleaned_Data!N$2:N$2013)</f>
        <v>46601700000</v>
      </c>
      <c r="R399" s="6">
        <f t="shared" si="5"/>
        <v>0.1144915314</v>
      </c>
    </row>
    <row r="400">
      <c r="D400" s="4" t="s">
        <v>832</v>
      </c>
      <c r="E400" s="4">
        <f>SUMIF(Cleaned_Data!C$2:C$2013,D400,Cleaned_Data!N$2:N$2013)</f>
        <v>6997400000</v>
      </c>
      <c r="J400" s="4" t="str">
        <f>IFERROR(__xludf.DUMMYFUNCTION("""COMPUTED_VALUE"""),"Procter &amp; Gamble")</f>
        <v>Procter &amp; Gamble</v>
      </c>
      <c r="K400" s="4">
        <f>IFERROR(__xludf.DUMMYFUNCTION("""COMPUTED_VALUE"""),1.8799E10)</f>
        <v>18799000000</v>
      </c>
      <c r="L400" s="4">
        <f>IFERROR(__xludf.DUMMYFUNCTION("""COMPUTED_VALUE"""),7.7138E10)</f>
        <v>77138000000</v>
      </c>
      <c r="O400" s="4" t="s">
        <v>792</v>
      </c>
      <c r="P400" s="4">
        <f>SUMIF(Cleaned_Data!C$2:C$2013,O400,Cleaned_Data!K$2:K$2013)</f>
        <v>1784918000</v>
      </c>
      <c r="Q400" s="4">
        <f>SUMIF(Cleaned_Data!C$2:C$2013,O400,Cleaned_Data!N$2:N$2013)</f>
        <v>4905616000</v>
      </c>
      <c r="R400" s="6">
        <f t="shared" si="5"/>
        <v>0.3638519607</v>
      </c>
    </row>
    <row r="401">
      <c r="D401" s="4" t="s">
        <v>834</v>
      </c>
      <c r="E401" s="4">
        <f>SUMIF(Cleaned_Data!C$2:C$2013,D401,Cleaned_Data!N$2:N$2013)</f>
        <v>2360249000</v>
      </c>
      <c r="J401" s="4" t="str">
        <f>IFERROR(__xludf.DUMMYFUNCTION("""COMPUTED_VALUE"""),"Progressive Corporation")</f>
        <v>Progressive Corporation</v>
      </c>
      <c r="K401" s="4">
        <f>IFERROR(__xludf.DUMMYFUNCTION("""COMPUTED_VALUE"""),5.3355E9)</f>
        <v>5335500000</v>
      </c>
      <c r="L401" s="4">
        <f>IFERROR(__xludf.DUMMYFUNCTION("""COMPUTED_VALUE"""),4.66017E10)</f>
        <v>46601700000</v>
      </c>
      <c r="O401" s="4" t="s">
        <v>794</v>
      </c>
      <c r="P401" s="4">
        <f>SUMIF(Cleaned_Data!C$2:C$2013,O401,Cleaned_Data!K$2:K$2013)</f>
        <v>8850000000</v>
      </c>
      <c r="Q401" s="4">
        <f>SUMIF(Cleaned_Data!C$2:C$2013,O401,Cleaned_Data!N$2:N$2013)</f>
        <v>70495000000</v>
      </c>
      <c r="R401" s="6">
        <f t="shared" si="5"/>
        <v>0.1255408185</v>
      </c>
    </row>
    <row r="402">
      <c r="D402" s="4" t="s">
        <v>836</v>
      </c>
      <c r="E402" s="4">
        <f>SUMIF(Cleaned_Data!C$2:C$2013,D402,Cleaned_Data!N$2:N$2013)</f>
        <v>4496700000</v>
      </c>
      <c r="J402" s="4" t="str">
        <f>IFERROR(__xludf.DUMMYFUNCTION("""COMPUTED_VALUE"""),"Prologis")</f>
        <v>Prologis</v>
      </c>
      <c r="K402" s="4">
        <f>IFERROR(__xludf.DUMMYFUNCTION("""COMPUTED_VALUE"""),1.784918E9)</f>
        <v>1784918000</v>
      </c>
      <c r="L402" s="4">
        <f>IFERROR(__xludf.DUMMYFUNCTION("""COMPUTED_VALUE"""),4.905616E9)</f>
        <v>4905616000</v>
      </c>
      <c r="O402" s="4" t="s">
        <v>796</v>
      </c>
      <c r="P402" s="4">
        <f>SUMIF(Cleaned_Data!C$2:C$2013,O402,Cleaned_Data!K$2:K$2013)</f>
        <v>397952000</v>
      </c>
      <c r="Q402" s="4">
        <f>SUMIF(Cleaned_Data!C$2:C$2013,O402,Cleaned_Data!N$2:N$2013)</f>
        <v>1807159000</v>
      </c>
      <c r="R402" s="6">
        <f t="shared" si="5"/>
        <v>0.2202086258</v>
      </c>
    </row>
    <row r="403">
      <c r="D403" s="4" t="s">
        <v>838</v>
      </c>
      <c r="E403" s="4">
        <f>SUMIF(Cleaned_Data!C$2:C$2013,D403,Cleaned_Data!N$2:N$2013)</f>
        <v>17325234000</v>
      </c>
      <c r="J403" s="4" t="str">
        <f>IFERROR(__xludf.DUMMYFUNCTION("""COMPUTED_VALUE"""),"Prudential Financial")</f>
        <v>Prudential Financial</v>
      </c>
      <c r="K403" s="4">
        <f>IFERROR(__xludf.DUMMYFUNCTION("""COMPUTED_VALUE"""),8.85E9)</f>
        <v>8850000000</v>
      </c>
      <c r="L403" s="4">
        <f>IFERROR(__xludf.DUMMYFUNCTION("""COMPUTED_VALUE"""),7.0495E10)</f>
        <v>70495000000</v>
      </c>
      <c r="O403" s="4" t="s">
        <v>797</v>
      </c>
      <c r="P403" s="4">
        <f>SUMIF(Cleaned_Data!C$2:C$2013,O403,Cleaned_Data!K$2:K$2013)</f>
        <v>1611000000</v>
      </c>
      <c r="Q403" s="4">
        <f>SUMIF(Cleaned_Data!C$2:C$2013,O403,Cleaned_Data!N$2:N$2013)</f>
        <v>9068000000</v>
      </c>
      <c r="R403" s="6">
        <f t="shared" si="5"/>
        <v>0.1776576974</v>
      </c>
    </row>
    <row r="404">
      <c r="D404" s="4" t="s">
        <v>840</v>
      </c>
      <c r="E404" s="4">
        <f>SUMIF(Cleaned_Data!C$2:C$2013,D404,Cleaned_Data!N$2:N$2013)</f>
        <v>584024000</v>
      </c>
      <c r="J404" s="4" t="str">
        <f>IFERROR(__xludf.DUMMYFUNCTION("""COMPUTED_VALUE"""),"Public Service Enterprise Group")</f>
        <v>Public Service Enterprise Group</v>
      </c>
      <c r="K404" s="4">
        <f>IFERROR(__xludf.DUMMYFUNCTION("""COMPUTED_VALUE"""),1.611E9)</f>
        <v>1611000000</v>
      </c>
      <c r="L404" s="4">
        <f>IFERROR(__xludf.DUMMYFUNCTION("""COMPUTED_VALUE"""),9.068E9)</f>
        <v>9068000000</v>
      </c>
      <c r="O404" s="4" t="s">
        <v>799</v>
      </c>
      <c r="P404" s="4">
        <f>SUMIF(Cleaned_Data!C$2:C$2013,O404,Cleaned_Data!K$2:K$2013)</f>
        <v>1699907000</v>
      </c>
      <c r="Q404" s="4">
        <f>SUMIF(Cleaned_Data!C$2:C$2013,O404,Cleaned_Data!N$2:N$2013)</f>
        <v>3338268000</v>
      </c>
      <c r="R404" s="6">
        <f t="shared" si="5"/>
        <v>0.5092182533</v>
      </c>
    </row>
    <row r="405">
      <c r="D405" s="4" t="s">
        <v>842</v>
      </c>
      <c r="E405" s="4">
        <f>SUMIF(Cleaned_Data!C$2:C$2013,D405,Cleaned_Data!N$2:N$2013)</f>
        <v>8076000000</v>
      </c>
      <c r="J405" s="4" t="str">
        <f>IFERROR(__xludf.DUMMYFUNCTION("""COMPUTED_VALUE"""),"Public Storage")</f>
        <v>Public Storage</v>
      </c>
      <c r="K405" s="4">
        <f>IFERROR(__xludf.DUMMYFUNCTION("""COMPUTED_VALUE"""),1.699907E9)</f>
        <v>1699907000</v>
      </c>
      <c r="L405" s="4">
        <f>IFERROR(__xludf.DUMMYFUNCTION("""COMPUTED_VALUE"""),3.338268E9)</f>
        <v>3338268000</v>
      </c>
      <c r="O405" s="4" t="s">
        <v>801</v>
      </c>
      <c r="P405" s="4">
        <f>SUMIF(Cleaned_Data!C$2:C$2013,O405,Cleaned_Data!K$2:K$2013)</f>
        <v>2244239000</v>
      </c>
      <c r="Q405" s="4">
        <f>SUMIF(Cleaned_Data!C$2:C$2013,O405,Cleaned_Data!N$2:N$2013)</f>
        <v>12760689000</v>
      </c>
      <c r="R405" s="6">
        <f t="shared" si="5"/>
        <v>0.1758713029</v>
      </c>
    </row>
    <row r="406">
      <c r="D406" s="4" t="s">
        <v>844</v>
      </c>
      <c r="E406" s="4">
        <f>SUMIF(Cleaned_Data!C$2:C$2013,D406,Cleaned_Data!N$2:N$2013)</f>
        <v>23539000000</v>
      </c>
      <c r="J406" s="4" t="str">
        <f>IFERROR(__xludf.DUMMYFUNCTION("""COMPUTED_VALUE"""),"PulteGroup")</f>
        <v>PulteGroup</v>
      </c>
      <c r="K406" s="4">
        <f>IFERROR(__xludf.DUMMYFUNCTION("""COMPUTED_VALUE"""),2.244239E9)</f>
        <v>2244239000</v>
      </c>
      <c r="L406" s="4">
        <f>IFERROR(__xludf.DUMMYFUNCTION("""COMPUTED_VALUE"""),1.2760689E10)</f>
        <v>12760689000</v>
      </c>
      <c r="O406" s="4" t="s">
        <v>803</v>
      </c>
      <c r="P406" s="4">
        <f>SUMIF(Cleaned_Data!C$2:C$2013,O406,Cleaned_Data!K$2:K$2013)</f>
        <v>596100000</v>
      </c>
      <c r="Q406" s="4">
        <f>SUMIF(Cleaned_Data!C$2:C$2013,O406,Cleaned_Data!N$2:N$2013)</f>
        <v>8600400000</v>
      </c>
      <c r="R406" s="6">
        <f t="shared" si="5"/>
        <v>0.06931072973</v>
      </c>
    </row>
    <row r="407">
      <c r="D407" s="4" t="s">
        <v>846</v>
      </c>
      <c r="E407" s="4">
        <f>SUMIF(Cleaned_Data!C$2:C$2013,D407,Cleaned_Data!N$2:N$2013)</f>
        <v>2249479000</v>
      </c>
      <c r="J407" s="4" t="str">
        <f>IFERROR(__xludf.DUMMYFUNCTION("""COMPUTED_VALUE"""),"Qorvo")</f>
        <v>Qorvo</v>
      </c>
      <c r="K407" s="4">
        <f>IFERROR(__xludf.DUMMYFUNCTION("""COMPUTED_VALUE"""),1.283618E9)</f>
        <v>1283618000</v>
      </c>
      <c r="L407" s="4">
        <f>IFERROR(__xludf.DUMMYFUNCTION("""COMPUTED_VALUE"""),4.533163E9)</f>
        <v>4533163000</v>
      </c>
      <c r="O407" s="4" t="s">
        <v>804</v>
      </c>
      <c r="P407" s="4">
        <f>SUMIF(Cleaned_Data!C$2:C$2013,O407,Cleaned_Data!K$2:K$2013)</f>
        <v>1283618000</v>
      </c>
      <c r="Q407" s="4">
        <f>SUMIF(Cleaned_Data!C$2:C$2013,O407,Cleaned_Data!N$2:N$2013)</f>
        <v>4533163000</v>
      </c>
      <c r="R407" s="6">
        <f t="shared" si="5"/>
        <v>0.2831616688</v>
      </c>
    </row>
    <row r="408">
      <c r="D408" s="4" t="s">
        <v>848</v>
      </c>
      <c r="E408" s="4">
        <f>SUMIF(Cleaned_Data!C$2:C$2013,D408,Cleaned_Data!N$2:N$2013)</f>
        <v>22236000000</v>
      </c>
      <c r="J408" s="4" t="str">
        <f>IFERROR(__xludf.DUMMYFUNCTION("""COMPUTED_VALUE"""),"Qualcomm")</f>
        <v>Qualcomm</v>
      </c>
      <c r="K408" s="4">
        <f>IFERROR(__xludf.DUMMYFUNCTION("""COMPUTED_VALUE"""),9.789E9)</f>
        <v>9789000000</v>
      </c>
      <c r="L408" s="4">
        <f>IFERROR(__xludf.DUMMYFUNCTION("""COMPUTED_VALUE"""),3.3566E10)</f>
        <v>33566000000</v>
      </c>
      <c r="O408" s="4" t="s">
        <v>806</v>
      </c>
      <c r="P408" s="4">
        <f>SUMIF(Cleaned_Data!C$2:C$2013,O408,Cleaned_Data!K$2:K$2013)</f>
        <v>9789000000</v>
      </c>
      <c r="Q408" s="4">
        <f>SUMIF(Cleaned_Data!C$2:C$2013,O408,Cleaned_Data!N$2:N$2013)</f>
        <v>33566000000</v>
      </c>
      <c r="R408" s="6">
        <f t="shared" si="5"/>
        <v>0.2916343919</v>
      </c>
    </row>
    <row r="409">
      <c r="D409" s="4" t="s">
        <v>850</v>
      </c>
      <c r="E409" s="4">
        <f>SUMIF(Cleaned_Data!C$2:C$2013,D409,Cleaned_Data!N$2:N$2013)</f>
        <v>11482000000</v>
      </c>
      <c r="J409" s="4" t="str">
        <f>IFERROR(__xludf.DUMMYFUNCTION("""COMPUTED_VALUE"""),"Quanta Services")</f>
        <v>Quanta Services</v>
      </c>
      <c r="K409" s="4">
        <f>IFERROR(__xludf.DUMMYFUNCTION("""COMPUTED_VALUE"""),6.80319E8)</f>
        <v>680319000</v>
      </c>
      <c r="L409" s="4">
        <f>IFERROR(__xludf.DUMMYFUNCTION("""COMPUTED_VALUE"""),1.196886E10)</f>
        <v>11968860000</v>
      </c>
      <c r="O409" s="4" t="s">
        <v>808</v>
      </c>
      <c r="P409" s="4">
        <f>SUMIF(Cleaned_Data!C$2:C$2013,O409,Cleaned_Data!K$2:K$2013)</f>
        <v>680319000</v>
      </c>
      <c r="Q409" s="4">
        <f>SUMIF(Cleaned_Data!C$2:C$2013,O409,Cleaned_Data!N$2:N$2013)</f>
        <v>11968860000</v>
      </c>
      <c r="R409" s="6">
        <f t="shared" si="5"/>
        <v>0.05684075175</v>
      </c>
    </row>
    <row r="410">
      <c r="D410" s="4" t="s">
        <v>852</v>
      </c>
      <c r="E410" s="4">
        <f>SUMIF(Cleaned_Data!C$2:C$2013,D410,Cleaned_Data!N$2:N$2013)</f>
        <v>5343200000</v>
      </c>
      <c r="J410" s="4" t="str">
        <f>IFERROR(__xludf.DUMMYFUNCTION("""COMPUTED_VALUE"""),"Quest Diagnostics")</f>
        <v>Quest Diagnostics</v>
      </c>
      <c r="K410" s="4">
        <f>IFERROR(__xludf.DUMMYFUNCTION("""COMPUTED_VALUE"""),2.735E9)</f>
        <v>2735000000</v>
      </c>
      <c r="L410" s="4">
        <f>IFERROR(__xludf.DUMMYFUNCTION("""COMPUTED_VALUE"""),1.1046E10)</f>
        <v>11046000000</v>
      </c>
      <c r="O410" s="4" t="s">
        <v>810</v>
      </c>
      <c r="P410" s="4">
        <f>SUMIF(Cleaned_Data!C$2:C$2013,O410,Cleaned_Data!K$2:K$2013)</f>
        <v>2735000000</v>
      </c>
      <c r="Q410" s="4">
        <f>SUMIF(Cleaned_Data!C$2:C$2013,O410,Cleaned_Data!N$2:N$2013)</f>
        <v>11046000000</v>
      </c>
      <c r="R410" s="6">
        <f t="shared" si="5"/>
        <v>0.2476009415</v>
      </c>
    </row>
    <row r="411">
      <c r="D411" s="4" t="s">
        <v>854</v>
      </c>
      <c r="E411" s="4">
        <f>SUMIF(Cleaned_Data!C$2:C$2013,D411,Cleaned_Data!N$2:N$2013)</f>
        <v>12184000000</v>
      </c>
      <c r="J411" s="4" t="str">
        <f>IFERROR(__xludf.DUMMYFUNCTION("""COMPUTED_VALUE"""),"Ralph Lauren Corporation")</f>
        <v>Ralph Lauren Corporation</v>
      </c>
      <c r="K411" s="4">
        <f>IFERROR(__xludf.DUMMYFUNCTION("""COMPUTED_VALUE"""),7.116E8)</f>
        <v>711600000</v>
      </c>
      <c r="L411" s="4">
        <f>IFERROR(__xludf.DUMMYFUNCTION("""COMPUTED_VALUE"""),5.6002E9)</f>
        <v>5600200000</v>
      </c>
      <c r="O411" s="4" t="s">
        <v>812</v>
      </c>
      <c r="P411" s="4">
        <f>SUMIF(Cleaned_Data!C$2:C$2013,O411,Cleaned_Data!K$2:K$2013)</f>
        <v>711600000</v>
      </c>
      <c r="Q411" s="4">
        <f>SUMIF(Cleaned_Data!C$2:C$2013,O411,Cleaned_Data!N$2:N$2013)</f>
        <v>5600200000</v>
      </c>
      <c r="R411" s="6">
        <f t="shared" si="5"/>
        <v>0.1270668905</v>
      </c>
    </row>
    <row r="412">
      <c r="D412" s="4" t="s">
        <v>856</v>
      </c>
      <c r="E412" s="4">
        <f>SUMIF(Cleaned_Data!C$2:C$2013,D412,Cleaned_Data!N$2:N$2013)</f>
        <v>5531330000</v>
      </c>
      <c r="J412" s="4" t="str">
        <f>IFERROR(__xludf.DUMMYFUNCTION("""COMPUTED_VALUE"""),"Raymond James Financial")</f>
        <v>Raymond James Financial</v>
      </c>
      <c r="K412" s="4">
        <f>IFERROR(__xludf.DUMMYFUNCTION("""COMPUTED_VALUE"""),1.942E9)</f>
        <v>1942000000</v>
      </c>
      <c r="L412" s="4">
        <f>IFERROR(__xludf.DUMMYFUNCTION("""COMPUTED_VALUE"""),9.831E9)</f>
        <v>9831000000</v>
      </c>
      <c r="O412" s="4" t="s">
        <v>814</v>
      </c>
      <c r="P412" s="4">
        <f>SUMIF(Cleaned_Data!C$2:C$2013,O412,Cleaned_Data!K$2:K$2013)</f>
        <v>1942000000</v>
      </c>
      <c r="Q412" s="4">
        <f>SUMIF(Cleaned_Data!C$2:C$2013,O412,Cleaned_Data!N$2:N$2013)</f>
        <v>9831000000</v>
      </c>
      <c r="R412" s="6">
        <f t="shared" si="5"/>
        <v>0.1975383989</v>
      </c>
    </row>
    <row r="413">
      <c r="D413" s="4" t="s">
        <v>858</v>
      </c>
      <c r="E413" s="4">
        <f>SUMIF(Cleaned_Data!C$2:C$2013,D413,Cleaned_Data!N$2:N$2013)</f>
        <v>19671300000</v>
      </c>
      <c r="J413" s="4" t="str">
        <f>IFERROR(__xludf.DUMMYFUNCTION("""COMPUTED_VALUE"""),"Raytheon Technologies")</f>
        <v>Raytheon Technologies</v>
      </c>
      <c r="K413" s="4">
        <f>IFERROR(__xludf.DUMMYFUNCTION("""COMPUTED_VALUE"""),5.782E9)</f>
        <v>5782000000</v>
      </c>
      <c r="L413" s="4">
        <f>IFERROR(__xludf.DUMMYFUNCTION("""COMPUTED_VALUE"""),6.3763E10)</f>
        <v>63763000000</v>
      </c>
      <c r="O413" s="4" t="s">
        <v>816</v>
      </c>
      <c r="P413" s="4">
        <f>SUMIF(Cleaned_Data!C$2:C$2013,O413,Cleaned_Data!K$2:K$2013)</f>
        <v>5782000000</v>
      </c>
      <c r="Q413" s="4">
        <f>SUMIF(Cleaned_Data!C$2:C$2013,O413,Cleaned_Data!N$2:N$2013)</f>
        <v>63763000000</v>
      </c>
      <c r="R413" s="6">
        <f t="shared" si="5"/>
        <v>0.0906795477</v>
      </c>
    </row>
    <row r="414">
      <c r="D414" s="4" t="s">
        <v>860</v>
      </c>
      <c r="E414" s="4">
        <f>SUMIF(Cleaned_Data!C$2:C$2013,D414,Cleaned_Data!N$2:N$2013)</f>
        <v>4923219000</v>
      </c>
      <c r="J414" s="4" t="str">
        <f>IFERROR(__xludf.DUMMYFUNCTION("""COMPUTED_VALUE"""),"Realty Income Corporation")</f>
        <v>Realty Income Corporation</v>
      </c>
      <c r="K414" s="4">
        <f>IFERROR(__xludf.DUMMYFUNCTION("""COMPUTED_VALUE"""),8.77228E8)</f>
        <v>877228000</v>
      </c>
      <c r="L414" s="4">
        <f>IFERROR(__xludf.DUMMYFUNCTION("""COMPUTED_VALUE"""),1.817037E9)</f>
        <v>1817037000</v>
      </c>
      <c r="O414" s="4" t="s">
        <v>818</v>
      </c>
      <c r="P414" s="4">
        <f>SUMIF(Cleaned_Data!C$2:C$2013,O414,Cleaned_Data!K$2:K$2013)</f>
        <v>877228000</v>
      </c>
      <c r="Q414" s="4">
        <f>SUMIF(Cleaned_Data!C$2:C$2013,O414,Cleaned_Data!N$2:N$2013)</f>
        <v>1817037000</v>
      </c>
      <c r="R414" s="6">
        <f t="shared" si="5"/>
        <v>0.482779382</v>
      </c>
    </row>
    <row r="415">
      <c r="D415" s="4" t="s">
        <v>862</v>
      </c>
      <c r="E415" s="4">
        <f>SUMIF(Cleaned_Data!C$2:C$2013,D415,Cleaned_Data!N$2:N$2013)</f>
        <v>5109100000</v>
      </c>
      <c r="J415" s="4" t="str">
        <f>IFERROR(__xludf.DUMMYFUNCTION("""COMPUTED_VALUE"""),"Regency Centers")</f>
        <v>Regency Centers</v>
      </c>
      <c r="K415" s="4">
        <f>IFERROR(__xludf.DUMMYFUNCTION("""COMPUTED_VALUE"""),4.3661E8)</f>
        <v>436610000</v>
      </c>
      <c r="L415" s="4">
        <f>IFERROR(__xludf.DUMMYFUNCTION("""COMPUTED_VALUE"""),1.163439E9)</f>
        <v>1163439000</v>
      </c>
      <c r="O415" s="4" t="s">
        <v>820</v>
      </c>
      <c r="P415" s="4">
        <f>SUMIF(Cleaned_Data!C$2:C$2013,O415,Cleaned_Data!K$2:K$2013)</f>
        <v>436610000</v>
      </c>
      <c r="Q415" s="4">
        <f>SUMIF(Cleaned_Data!C$2:C$2013,O415,Cleaned_Data!N$2:N$2013)</f>
        <v>1163439000</v>
      </c>
      <c r="R415" s="6">
        <f t="shared" si="5"/>
        <v>0.375275369</v>
      </c>
    </row>
    <row r="416">
      <c r="D416" s="4" t="s">
        <v>864</v>
      </c>
      <c r="E416" s="4">
        <f>SUMIF(Cleaned_Data!C$2:C$2013,D416,Cleaned_Data!N$2:N$2013)</f>
        <v>4574300000</v>
      </c>
      <c r="J416" s="4" t="str">
        <f>IFERROR(__xludf.DUMMYFUNCTION("""COMPUTED_VALUE"""),"Regeneron Pharmaceuticals")</f>
        <v>Regeneron Pharmaceuticals</v>
      </c>
      <c r="K416" s="4">
        <f>IFERROR(__xludf.DUMMYFUNCTION("""COMPUTED_VALUE"""),7.1924E9)</f>
        <v>7192400000</v>
      </c>
      <c r="L416" s="4">
        <f>IFERROR(__xludf.DUMMYFUNCTION("""COMPUTED_VALUE"""),1.33562E10)</f>
        <v>13356200000</v>
      </c>
      <c r="O416" s="4" t="s">
        <v>822</v>
      </c>
      <c r="P416" s="4">
        <f>SUMIF(Cleaned_Data!C$2:C$2013,O416,Cleaned_Data!K$2:K$2013)</f>
        <v>7192400000</v>
      </c>
      <c r="Q416" s="4">
        <f>SUMIF(Cleaned_Data!C$2:C$2013,O416,Cleaned_Data!N$2:N$2013)</f>
        <v>13356200000</v>
      </c>
      <c r="R416" s="6">
        <f t="shared" si="5"/>
        <v>0.5385064614</v>
      </c>
    </row>
    <row r="417">
      <c r="D417" s="4" t="s">
        <v>866</v>
      </c>
      <c r="E417" s="4">
        <f>SUMIF(Cleaned_Data!C$2:C$2013,D417,Cleaned_Data!N$2:N$2013)</f>
        <v>22463000000</v>
      </c>
      <c r="J417" s="4" t="str">
        <f>IFERROR(__xludf.DUMMYFUNCTION("""COMPUTED_VALUE"""),"Regions Financial Corporation")</f>
        <v>Regions Financial Corporation</v>
      </c>
      <c r="K417" s="4">
        <f>IFERROR(__xludf.DUMMYFUNCTION("""COMPUTED_VALUE"""),3.484E9)</f>
        <v>3484000000</v>
      </c>
      <c r="L417" s="4">
        <f>IFERROR(__xludf.DUMMYFUNCTION("""COMPUTED_VALUE"""),7.158E9)</f>
        <v>7158000000</v>
      </c>
      <c r="O417" s="4" t="s">
        <v>824</v>
      </c>
      <c r="P417" s="4">
        <f>SUMIF(Cleaned_Data!C$2:C$2013,O417,Cleaned_Data!K$2:K$2013)</f>
        <v>3484000000</v>
      </c>
      <c r="Q417" s="4">
        <f>SUMIF(Cleaned_Data!C$2:C$2013,O417,Cleaned_Data!N$2:N$2013)</f>
        <v>7158000000</v>
      </c>
      <c r="R417" s="6">
        <f t="shared" si="5"/>
        <v>0.4867281364</v>
      </c>
    </row>
    <row r="418">
      <c r="D418" s="4" t="s">
        <v>868</v>
      </c>
      <c r="E418" s="4">
        <f>SUMIF(Cleaned_Data!C$2:C$2013,D418,Cleaned_Data!N$2:N$2013)</f>
        <v>12752000000</v>
      </c>
      <c r="J418" s="4" t="str">
        <f>IFERROR(__xludf.DUMMYFUNCTION("""COMPUTED_VALUE"""),"Republic Services")</f>
        <v>Republic Services</v>
      </c>
      <c r="K418" s="4">
        <f>IFERROR(__xludf.DUMMYFUNCTION("""COMPUTED_VALUE"""),2.0821E9)</f>
        <v>2082100000</v>
      </c>
      <c r="L418" s="4">
        <f>IFERROR(__xludf.DUMMYFUNCTION("""COMPUTED_VALUE"""),1.09163E10)</f>
        <v>10916300000</v>
      </c>
      <c r="O418" s="4" t="s">
        <v>826</v>
      </c>
      <c r="P418" s="4">
        <f>SUMIF(Cleaned_Data!C$2:C$2013,O418,Cleaned_Data!K$2:K$2013)</f>
        <v>2082100000</v>
      </c>
      <c r="Q418" s="4">
        <f>SUMIF(Cleaned_Data!C$2:C$2013,O418,Cleaned_Data!N$2:N$2013)</f>
        <v>10916300000</v>
      </c>
      <c r="R418" s="6">
        <f t="shared" si="5"/>
        <v>0.1907331239</v>
      </c>
    </row>
    <row r="419">
      <c r="D419" s="4" t="s">
        <v>870</v>
      </c>
      <c r="E419" s="4">
        <f>SUMIF(Cleaned_Data!C$2:C$2013,D419,Cleaned_Data!N$2:N$2013)</f>
        <v>16755800000</v>
      </c>
      <c r="J419" s="4" t="str">
        <f>IFERROR(__xludf.DUMMYFUNCTION("""COMPUTED_VALUE"""),"ResMed")</f>
        <v>ResMed</v>
      </c>
      <c r="K419" s="4">
        <f>IFERROR(__xludf.DUMMYFUNCTION("""COMPUTED_VALUE"""),9.62598E8)</f>
        <v>962598000</v>
      </c>
      <c r="L419" s="4">
        <f>IFERROR(__xludf.DUMMYFUNCTION("""COMPUTED_VALUE"""),3.348896E9)</f>
        <v>3348896000</v>
      </c>
      <c r="O419" s="4" t="s">
        <v>828</v>
      </c>
      <c r="P419" s="4">
        <f>SUMIF(Cleaned_Data!C$2:C$2013,O419,Cleaned_Data!K$2:K$2013)</f>
        <v>962598000</v>
      </c>
      <c r="Q419" s="4">
        <f>SUMIF(Cleaned_Data!C$2:C$2013,O419,Cleaned_Data!N$2:N$2013)</f>
        <v>3348896000</v>
      </c>
      <c r="R419" s="6">
        <f t="shared" si="5"/>
        <v>0.2874374122</v>
      </c>
    </row>
    <row r="420">
      <c r="D420" s="4" t="s">
        <v>872</v>
      </c>
      <c r="E420" s="4">
        <f>SUMIF(Cleaned_Data!C$2:C$2013,D420,Cleaned_Data!N$2:N$2013)</f>
        <v>27117000000</v>
      </c>
      <c r="J420" s="4" t="str">
        <f>IFERROR(__xludf.DUMMYFUNCTION("""COMPUTED_VALUE"""),"Robert Half International")</f>
        <v>Robert Half International</v>
      </c>
      <c r="K420" s="4">
        <f>IFERROR(__xludf.DUMMYFUNCTION("""COMPUTED_VALUE"""),6.32403E8)</f>
        <v>632403000</v>
      </c>
      <c r="L420" s="4">
        <f>IFERROR(__xludf.DUMMYFUNCTION("""COMPUTED_VALUE"""),5.995613E9)</f>
        <v>5995613000</v>
      </c>
      <c r="O420" s="4" t="s">
        <v>830</v>
      </c>
      <c r="P420" s="4">
        <f>SUMIF(Cleaned_Data!C$2:C$2013,O420,Cleaned_Data!K$2:K$2013)</f>
        <v>632403000</v>
      </c>
      <c r="Q420" s="4">
        <f>SUMIF(Cleaned_Data!C$2:C$2013,O420,Cleaned_Data!N$2:N$2013)</f>
        <v>5995613000</v>
      </c>
      <c r="R420" s="6">
        <f t="shared" si="5"/>
        <v>0.1054776217</v>
      </c>
    </row>
    <row r="421">
      <c r="D421" s="4" t="s">
        <v>874</v>
      </c>
      <c r="E421" s="4">
        <f>SUMIF(Cleaned_Data!C$2:C$2013,D421,Cleaned_Data!N$2:N$2013)</f>
        <v>11709000000</v>
      </c>
      <c r="J421" s="4" t="str">
        <f>IFERROR(__xludf.DUMMYFUNCTION("""COMPUTED_VALUE"""),"Rockwell Automation")</f>
        <v>Rockwell Automation</v>
      </c>
      <c r="K421" s="4">
        <f>IFERROR(__xludf.DUMMYFUNCTION("""COMPUTED_VALUE"""),1.1526E9)</f>
        <v>1152600000</v>
      </c>
      <c r="L421" s="4">
        <f>IFERROR(__xludf.DUMMYFUNCTION("""COMPUTED_VALUE"""),6.9974E9)</f>
        <v>6997400000</v>
      </c>
      <c r="O421" s="4" t="s">
        <v>832</v>
      </c>
      <c r="P421" s="4">
        <f>SUMIF(Cleaned_Data!C$2:C$2013,O421,Cleaned_Data!K$2:K$2013)</f>
        <v>1152600000</v>
      </c>
      <c r="Q421" s="4">
        <f>SUMIF(Cleaned_Data!C$2:C$2013,O421,Cleaned_Data!N$2:N$2013)</f>
        <v>6997400000</v>
      </c>
      <c r="R421" s="6">
        <f t="shared" si="5"/>
        <v>0.1647183239</v>
      </c>
    </row>
    <row r="422">
      <c r="D422" s="4" t="s">
        <v>876</v>
      </c>
      <c r="E422" s="4">
        <f>SUMIF(Cleaned_Data!C$2:C$2013,D422,Cleaned_Data!N$2:N$2013)</f>
        <v>3407009000</v>
      </c>
      <c r="J422" s="4" t="str">
        <f>IFERROR(__xludf.DUMMYFUNCTION("""COMPUTED_VALUE"""),"Rollins")</f>
        <v>Rollins</v>
      </c>
      <c r="K422" s="4">
        <f>IFERROR(__xludf.DUMMYFUNCTION("""COMPUTED_VALUE"""),4.37058E8)</f>
        <v>437058000</v>
      </c>
      <c r="L422" s="4">
        <f>IFERROR(__xludf.DUMMYFUNCTION("""COMPUTED_VALUE"""),2.360249E9)</f>
        <v>2360249000</v>
      </c>
      <c r="O422" s="4" t="s">
        <v>834</v>
      </c>
      <c r="P422" s="4">
        <f>SUMIF(Cleaned_Data!C$2:C$2013,O422,Cleaned_Data!K$2:K$2013)</f>
        <v>437058000</v>
      </c>
      <c r="Q422" s="4">
        <f>SUMIF(Cleaned_Data!C$2:C$2013,O422,Cleaned_Data!N$2:N$2013)</f>
        <v>2360249000</v>
      </c>
      <c r="R422" s="6">
        <f t="shared" si="5"/>
        <v>0.1851745303</v>
      </c>
    </row>
    <row r="423">
      <c r="D423" s="4" t="s">
        <v>878</v>
      </c>
      <c r="E423" s="4">
        <f>SUMIF(Cleaned_Data!C$2:C$2013,D423,Cleaned_Data!N$2:N$2013)</f>
        <v>16246000000</v>
      </c>
      <c r="J423" s="4" t="str">
        <f>IFERROR(__xludf.DUMMYFUNCTION("""COMPUTED_VALUE"""),"Roper Technologies")</f>
        <v>Roper Technologies</v>
      </c>
      <c r="K423" s="4">
        <f>IFERROR(__xludf.DUMMYFUNCTION("""COMPUTED_VALUE"""),1.5746E9)</f>
        <v>1574600000</v>
      </c>
      <c r="L423" s="4">
        <f>IFERROR(__xludf.DUMMYFUNCTION("""COMPUTED_VALUE"""),4.4967E9)</f>
        <v>4496700000</v>
      </c>
      <c r="O423" s="4" t="s">
        <v>836</v>
      </c>
      <c r="P423" s="4">
        <f>SUMIF(Cleaned_Data!C$2:C$2013,O423,Cleaned_Data!K$2:K$2013)</f>
        <v>1574600000</v>
      </c>
      <c r="Q423" s="4">
        <f>SUMIF(Cleaned_Data!C$2:C$2013,O423,Cleaned_Data!N$2:N$2013)</f>
        <v>4496700000</v>
      </c>
      <c r="R423" s="6">
        <f t="shared" si="5"/>
        <v>0.3501679009</v>
      </c>
    </row>
    <row r="424">
      <c r="D424" s="4" t="s">
        <v>880</v>
      </c>
      <c r="E424" s="4">
        <f>SUMIF(Cleaned_Data!C$2:C$2013,D424,Cleaned_Data!N$2:N$2013)</f>
        <v>4549393000</v>
      </c>
      <c r="J424" s="4" t="str">
        <f>IFERROR(__xludf.DUMMYFUNCTION("""COMPUTED_VALUE"""),"Ross Stores")</f>
        <v>Ross Stores</v>
      </c>
      <c r="K424" s="4">
        <f>IFERROR(__xludf.DUMMYFUNCTION("""COMPUTED_VALUE"""),2.126182E9)</f>
        <v>2126182000</v>
      </c>
      <c r="L424" s="4">
        <f>IFERROR(__xludf.DUMMYFUNCTION("""COMPUTED_VALUE"""),1.7325234E10)</f>
        <v>17325234000</v>
      </c>
      <c r="O424" s="4" t="s">
        <v>838</v>
      </c>
      <c r="P424" s="4">
        <f>SUMIF(Cleaned_Data!C$2:C$2013,O424,Cleaned_Data!K$2:K$2013)</f>
        <v>2126182000</v>
      </c>
      <c r="Q424" s="4">
        <f>SUMIF(Cleaned_Data!C$2:C$2013,O424,Cleaned_Data!N$2:N$2013)</f>
        <v>17325234000</v>
      </c>
      <c r="R424" s="6">
        <f t="shared" si="5"/>
        <v>0.1227216902</v>
      </c>
    </row>
    <row r="425">
      <c r="D425" s="4" t="s">
        <v>882</v>
      </c>
      <c r="E425" s="4">
        <f>SUMIF(Cleaned_Data!C$2:C$2013,D425,Cleaned_Data!N$2:N$2013)</f>
        <v>8259000000</v>
      </c>
      <c r="J425" s="4" t="str">
        <f>IFERROR(__xludf.DUMMYFUNCTION("""COMPUTED_VALUE"""),"Royal Caribbean Group")</f>
        <v>Royal Caribbean Group</v>
      </c>
      <c r="K425" s="4">
        <f>IFERROR(__xludf.DUMMYFUNCTION("""COMPUTED_VALUE"""),-3.603338E9)</f>
        <v>-3603338000</v>
      </c>
      <c r="L425" s="4">
        <f>IFERROR(__xludf.DUMMYFUNCTION("""COMPUTED_VALUE"""),5.84024E8)</f>
        <v>584024000</v>
      </c>
      <c r="O425" s="4" t="s">
        <v>840</v>
      </c>
      <c r="P425" s="4">
        <f>SUMIF(Cleaned_Data!C$2:C$2013,O425,Cleaned_Data!K$2:K$2013)</f>
        <v>-3603338000</v>
      </c>
      <c r="Q425" s="4">
        <f>SUMIF(Cleaned_Data!C$2:C$2013,O425,Cleaned_Data!N$2:N$2013)</f>
        <v>584024000</v>
      </c>
      <c r="R425" s="6">
        <f t="shared" si="5"/>
        <v>-6.16984576</v>
      </c>
    </row>
    <row r="426">
      <c r="D426" s="4" t="s">
        <v>884</v>
      </c>
      <c r="E426" s="4">
        <f>SUMIF(Cleaned_Data!C$2:C$2013,D426,Cleaned_Data!N$2:N$2013)</f>
        <v>4077213000</v>
      </c>
      <c r="J426" s="4" t="str">
        <f>IFERROR(__xludf.DUMMYFUNCTION("""COMPUTED_VALUE"""),"S&amp;P Global")</f>
        <v>S&amp;P Global</v>
      </c>
      <c r="K426" s="4">
        <f>IFERROR(__xludf.DUMMYFUNCTION("""COMPUTED_VALUE"""),4.376E9)</f>
        <v>4376000000</v>
      </c>
      <c r="L426" s="4">
        <f>IFERROR(__xludf.DUMMYFUNCTION("""COMPUTED_VALUE"""),8.076E9)</f>
        <v>8076000000</v>
      </c>
      <c r="O426" s="4" t="s">
        <v>842</v>
      </c>
      <c r="P426" s="4">
        <f>SUMIF(Cleaned_Data!C$2:C$2013,O426,Cleaned_Data!K$2:K$2013)</f>
        <v>4376000000</v>
      </c>
      <c r="Q426" s="4">
        <f>SUMIF(Cleaned_Data!C$2:C$2013,O426,Cleaned_Data!N$2:N$2013)</f>
        <v>8076000000</v>
      </c>
      <c r="R426" s="6">
        <f t="shared" si="5"/>
        <v>0.5418524022</v>
      </c>
    </row>
    <row r="427">
      <c r="D427" s="4" t="s">
        <v>886</v>
      </c>
      <c r="E427" s="4">
        <f>SUMIF(Cleaned_Data!C$2:C$2013,D427,Cleaned_Data!N$2:N$2013)</f>
        <v>44027514000</v>
      </c>
      <c r="J427" s="4" t="str">
        <f>IFERROR(__xludf.DUMMYFUNCTION("""COMPUTED_VALUE"""),"SBA Communications")</f>
        <v>SBA Communications</v>
      </c>
      <c r="K427" s="4">
        <f>IFERROR(__xludf.DUMMYFUNCTION("""COMPUTED_VALUE"""),7.7845E8)</f>
        <v>778450000</v>
      </c>
      <c r="L427" s="4">
        <f>IFERROR(__xludf.DUMMYFUNCTION("""COMPUTED_VALUE"""),2.249479E9)</f>
        <v>2249479000</v>
      </c>
      <c r="O427" s="4" t="s">
        <v>844</v>
      </c>
      <c r="P427" s="4">
        <f>SUMIF(Cleaned_Data!C$2:C$2013,O427,Cleaned_Data!K$2:K$2013)</f>
        <v>1157000000</v>
      </c>
      <c r="Q427" s="4">
        <f>SUMIF(Cleaned_Data!C$2:C$2013,O427,Cleaned_Data!N$2:N$2013)</f>
        <v>23539000000</v>
      </c>
      <c r="R427" s="6">
        <f t="shared" si="5"/>
        <v>0.04915247037</v>
      </c>
    </row>
    <row r="428">
      <c r="D428" s="4" t="s">
        <v>888</v>
      </c>
      <c r="E428" s="4">
        <f>SUMIF(Cleaned_Data!C$2:C$2013,D428,Cleaned_Data!N$2:N$2013)</f>
        <v>79322000000</v>
      </c>
      <c r="J428" s="4" t="str">
        <f>IFERROR(__xludf.DUMMYFUNCTION("""COMPUTED_VALUE"""),"SVB Financial")</f>
        <v>SVB Financial</v>
      </c>
      <c r="K428" s="4">
        <f>IFERROR(__xludf.DUMMYFUNCTION("""COMPUTED_VALUE"""),2.339652E9)</f>
        <v>2339652000</v>
      </c>
      <c r="L428" s="4">
        <f>IFERROR(__xludf.DUMMYFUNCTION("""COMPUTED_VALUE"""),4.549393E9)</f>
        <v>4549393000</v>
      </c>
      <c r="O428" s="4" t="s">
        <v>846</v>
      </c>
      <c r="P428" s="4">
        <f>SUMIF(Cleaned_Data!C$2:C$2013,O428,Cleaned_Data!K$2:K$2013)</f>
        <v>778450000</v>
      </c>
      <c r="Q428" s="4">
        <f>SUMIF(Cleaned_Data!C$2:C$2013,O428,Cleaned_Data!N$2:N$2013)</f>
        <v>2249479000</v>
      </c>
      <c r="R428" s="6">
        <f t="shared" si="5"/>
        <v>0.3460579094</v>
      </c>
    </row>
    <row r="429">
      <c r="D429" s="4" t="s">
        <v>890</v>
      </c>
      <c r="E429" s="4">
        <f>SUMIF(Cleaned_Data!C$2:C$2013,D429,Cleaned_Data!N$2:N$2013)</f>
        <v>7084800000</v>
      </c>
      <c r="J429" s="4" t="str">
        <f>IFERROR(__xludf.DUMMYFUNCTION("""COMPUTED_VALUE"""),"Salesforce")</f>
        <v>Salesforce</v>
      </c>
      <c r="K429" s="4">
        <f>IFERROR(__xludf.DUMMYFUNCTION("""COMPUTED_VALUE"""),1.157E9)</f>
        <v>1157000000</v>
      </c>
      <c r="L429" s="4">
        <f>IFERROR(__xludf.DUMMYFUNCTION("""COMPUTED_VALUE"""),2.3539E10)</f>
        <v>23539000000</v>
      </c>
      <c r="O429" s="4" t="s">
        <v>848</v>
      </c>
      <c r="P429" s="4">
        <f>SUMIF(Cleaned_Data!C$2:C$2013,O429,Cleaned_Data!K$2:K$2013)</f>
        <v>2434000000</v>
      </c>
      <c r="Q429" s="4">
        <f>SUMIF(Cleaned_Data!C$2:C$2013,O429,Cleaned_Data!N$2:N$2013)</f>
        <v>22236000000</v>
      </c>
      <c r="R429" s="6">
        <f t="shared" si="5"/>
        <v>0.1094621335</v>
      </c>
    </row>
    <row r="430">
      <c r="D430" s="4" t="s">
        <v>892</v>
      </c>
      <c r="E430" s="4">
        <f>SUMIF(Cleaned_Data!C$2:C$2013,D430,Cleaned_Data!N$2:N$2013)</f>
        <v>3371864000</v>
      </c>
      <c r="J430" s="4" t="str">
        <f>IFERROR(__xludf.DUMMYFUNCTION("""COMPUTED_VALUE"""),"Schlumberger")</f>
        <v>Schlumberger</v>
      </c>
      <c r="K430" s="4">
        <f>IFERROR(__xludf.DUMMYFUNCTION("""COMPUTED_VALUE"""),2.434E9)</f>
        <v>2434000000</v>
      </c>
      <c r="L430" s="4">
        <f>IFERROR(__xludf.DUMMYFUNCTION("""COMPUTED_VALUE"""),2.2236E10)</f>
        <v>22236000000</v>
      </c>
      <c r="O430" s="4" t="s">
        <v>850</v>
      </c>
      <c r="P430" s="4">
        <f>SUMIF(Cleaned_Data!C$2:C$2013,O430,Cleaned_Data!K$2:K$2013)</f>
        <v>1835000000</v>
      </c>
      <c r="Q430" s="4">
        <f>SUMIF(Cleaned_Data!C$2:C$2013,O430,Cleaned_Data!N$2:N$2013)</f>
        <v>11482000000</v>
      </c>
      <c r="R430" s="6">
        <f t="shared" si="5"/>
        <v>0.1598153632</v>
      </c>
    </row>
    <row r="431">
      <c r="D431" s="4" t="s">
        <v>894</v>
      </c>
      <c r="E431" s="4">
        <f>SUMIF(Cleaned_Data!C$2:C$2013,D431,Cleaned_Data!N$2:N$2013)</f>
        <v>5746300000</v>
      </c>
      <c r="J431" s="4" t="str">
        <f>IFERROR(__xludf.DUMMYFUNCTION("""COMPUTED_VALUE"""),"Seagate Technology")</f>
        <v>Seagate Technology</v>
      </c>
      <c r="K431" s="4">
        <f>IFERROR(__xludf.DUMMYFUNCTION("""COMPUTED_VALUE"""),1.835E9)</f>
        <v>1835000000</v>
      </c>
      <c r="L431" s="4">
        <f>IFERROR(__xludf.DUMMYFUNCTION("""COMPUTED_VALUE"""),1.1482E10)</f>
        <v>11482000000</v>
      </c>
      <c r="O431" s="4" t="s">
        <v>852</v>
      </c>
      <c r="P431" s="4">
        <f>SUMIF(Cleaned_Data!C$2:C$2013,O431,Cleaned_Data!K$2:K$2013)</f>
        <v>828400000</v>
      </c>
      <c r="Q431" s="4">
        <f>SUMIF(Cleaned_Data!C$2:C$2013,O431,Cleaned_Data!N$2:N$2013)</f>
        <v>5343200000</v>
      </c>
      <c r="R431" s="6">
        <f t="shared" si="5"/>
        <v>0.1550381794</v>
      </c>
    </row>
    <row r="432">
      <c r="D432" s="4" t="s">
        <v>896</v>
      </c>
      <c r="E432" s="4">
        <f>SUMIF(Cleaned_Data!C$2:C$2013,D432,Cleaned_Data!N$2:N$2013)</f>
        <v>100328000000</v>
      </c>
      <c r="J432" s="4" t="str">
        <f>IFERROR(__xludf.DUMMYFUNCTION("""COMPUTED_VALUE"""),"Sealed Air")</f>
        <v>Sealed Air</v>
      </c>
      <c r="K432" s="4">
        <f>IFERROR(__xludf.DUMMYFUNCTION("""COMPUTED_VALUE"""),8.284E8)</f>
        <v>828400000</v>
      </c>
      <c r="L432" s="4">
        <f>IFERROR(__xludf.DUMMYFUNCTION("""COMPUTED_VALUE"""),5.3432E9)</f>
        <v>5343200000</v>
      </c>
      <c r="O432" s="4" t="s">
        <v>854</v>
      </c>
      <c r="P432" s="4">
        <f>SUMIF(Cleaned_Data!C$2:C$2013,O432,Cleaned_Data!K$2:K$2013)</f>
        <v>2559000000</v>
      </c>
      <c r="Q432" s="4">
        <f>SUMIF(Cleaned_Data!C$2:C$2013,O432,Cleaned_Data!N$2:N$2013)</f>
        <v>12184000000</v>
      </c>
      <c r="R432" s="6">
        <f t="shared" si="5"/>
        <v>0.2100295469</v>
      </c>
    </row>
    <row r="433">
      <c r="D433" s="4" t="s">
        <v>898</v>
      </c>
      <c r="E433" s="4">
        <f>SUMIF(Cleaned_Data!C$2:C$2013,D433,Cleaned_Data!N$2:N$2013)</f>
        <v>14366000000</v>
      </c>
      <c r="J433" s="4" t="str">
        <f>IFERROR(__xludf.DUMMYFUNCTION("""COMPUTED_VALUE"""),"Sempra Energy")</f>
        <v>Sempra Energy</v>
      </c>
      <c r="K433" s="4">
        <f>IFERROR(__xludf.DUMMYFUNCTION("""COMPUTED_VALUE"""),2.559E9)</f>
        <v>2559000000</v>
      </c>
      <c r="L433" s="4">
        <f>IFERROR(__xludf.DUMMYFUNCTION("""COMPUTED_VALUE"""),1.2184E10)</f>
        <v>12184000000</v>
      </c>
      <c r="O433" s="4" t="s">
        <v>856</v>
      </c>
      <c r="P433" s="4">
        <f>SUMIF(Cleaned_Data!C$2:C$2013,O433,Cleaned_Data!K$2:K$2013)</f>
        <v>239930000</v>
      </c>
      <c r="Q433" s="4">
        <f>SUMIF(Cleaned_Data!C$2:C$2013,O433,Cleaned_Data!N$2:N$2013)</f>
        <v>5531330000</v>
      </c>
      <c r="R433" s="6">
        <f t="shared" si="5"/>
        <v>0.04337654777</v>
      </c>
    </row>
    <row r="434">
      <c r="D434" s="4" t="s">
        <v>900</v>
      </c>
      <c r="E434" s="4">
        <f>SUMIF(Cleaned_Data!C$2:C$2013,D434,Cleaned_Data!N$2:N$2013)</f>
        <v>3485000000</v>
      </c>
      <c r="J434" s="4" t="str">
        <f>IFERROR(__xludf.DUMMYFUNCTION("""COMPUTED_VALUE"""),"ServiceNow")</f>
        <v>ServiceNow</v>
      </c>
      <c r="K434" s="4">
        <f>IFERROR(__xludf.DUMMYFUNCTION("""COMPUTED_VALUE"""),2.3993E8)</f>
        <v>239930000</v>
      </c>
      <c r="L434" s="4">
        <f>IFERROR(__xludf.DUMMYFUNCTION("""COMPUTED_VALUE"""),5.53133E9)</f>
        <v>5531330000</v>
      </c>
      <c r="O434" s="4" t="s">
        <v>858</v>
      </c>
      <c r="P434" s="4">
        <f>SUMIF(Cleaned_Data!C$2:C$2013,O434,Cleaned_Data!K$2:K$2013)</f>
        <v>2856800000</v>
      </c>
      <c r="Q434" s="4">
        <f>SUMIF(Cleaned_Data!C$2:C$2013,O434,Cleaned_Data!N$2:N$2013)</f>
        <v>19671300000</v>
      </c>
      <c r="R434" s="6">
        <f t="shared" si="5"/>
        <v>0.1452268025</v>
      </c>
    </row>
    <row r="435">
      <c r="D435" s="4" t="s">
        <v>902</v>
      </c>
      <c r="E435" s="4">
        <f>SUMIF(Cleaned_Data!C$2:C$2013,D435,Cleaned_Data!N$2:N$2013)</f>
        <v>2686878000</v>
      </c>
      <c r="J435" s="4" t="str">
        <f>IFERROR(__xludf.DUMMYFUNCTION("""COMPUTED_VALUE"""),"Sherwin-Williams")</f>
        <v>Sherwin-Williams</v>
      </c>
      <c r="K435" s="4">
        <f>IFERROR(__xludf.DUMMYFUNCTION("""COMPUTED_VALUE"""),2.8568E9)</f>
        <v>2856800000</v>
      </c>
      <c r="L435" s="4">
        <f>IFERROR(__xludf.DUMMYFUNCTION("""COMPUTED_VALUE"""),1.96713E10)</f>
        <v>19671300000</v>
      </c>
      <c r="O435" s="4" t="s">
        <v>860</v>
      </c>
      <c r="P435" s="4">
        <f>SUMIF(Cleaned_Data!C$2:C$2013,O435,Cleaned_Data!K$2:K$2013)</f>
        <v>2284846000</v>
      </c>
      <c r="Q435" s="4">
        <f>SUMIF(Cleaned_Data!C$2:C$2013,O435,Cleaned_Data!N$2:N$2013)</f>
        <v>4923219000</v>
      </c>
      <c r="R435" s="6">
        <f t="shared" si="5"/>
        <v>0.4640959502</v>
      </c>
    </row>
    <row r="436">
      <c r="D436" s="4" t="s">
        <v>904</v>
      </c>
      <c r="E436" s="4">
        <f>SUMIF(Cleaned_Data!C$2:C$2013,D436,Cleaned_Data!N$2:N$2013)</f>
        <v>3445787000</v>
      </c>
      <c r="J436" s="4" t="str">
        <f>IFERROR(__xludf.DUMMYFUNCTION("""COMPUTED_VALUE"""),"Simon Property Group")</f>
        <v>Simon Property Group</v>
      </c>
      <c r="K436" s="4">
        <f>IFERROR(__xludf.DUMMYFUNCTION("""COMPUTED_VALUE"""),2.284846E9)</f>
        <v>2284846000</v>
      </c>
      <c r="L436" s="4">
        <f>IFERROR(__xludf.DUMMYFUNCTION("""COMPUTED_VALUE"""),4.923219E9)</f>
        <v>4923219000</v>
      </c>
      <c r="O436" s="4" t="s">
        <v>862</v>
      </c>
      <c r="P436" s="4">
        <f>SUMIF(Cleaned_Data!C$2:C$2013,O436,Cleaned_Data!K$2:K$2013)</f>
        <v>1621600000</v>
      </c>
      <c r="Q436" s="4">
        <f>SUMIF(Cleaned_Data!C$2:C$2013,O436,Cleaned_Data!N$2:N$2013)</f>
        <v>5109100000</v>
      </c>
      <c r="R436" s="6">
        <f t="shared" si="5"/>
        <v>0.317394453</v>
      </c>
    </row>
    <row r="437">
      <c r="D437" s="4" t="s">
        <v>906</v>
      </c>
      <c r="E437" s="4">
        <f>SUMIF(Cleaned_Data!C$2:C$2013,D437,Cleaned_Data!N$2:N$2013)</f>
        <v>35940000000</v>
      </c>
      <c r="J437" s="4" t="str">
        <f>IFERROR(__xludf.DUMMYFUNCTION("""COMPUTED_VALUE"""),"Skyworks Solutions")</f>
        <v>Skyworks Solutions</v>
      </c>
      <c r="K437" s="4">
        <f>IFERROR(__xludf.DUMMYFUNCTION("""COMPUTED_VALUE"""),1.6216E9)</f>
        <v>1621600000</v>
      </c>
      <c r="L437" s="4">
        <f>IFERROR(__xludf.DUMMYFUNCTION("""COMPUTED_VALUE"""),5.1091E9)</f>
        <v>5109100000</v>
      </c>
      <c r="O437" s="4" t="s">
        <v>864</v>
      </c>
      <c r="P437" s="4">
        <f>SUMIF(Cleaned_Data!C$2:C$2013,O437,Cleaned_Data!K$2:K$2013)</f>
        <v>1126600000</v>
      </c>
      <c r="Q437" s="4">
        <f>SUMIF(Cleaned_Data!C$2:C$2013,O437,Cleaned_Data!N$2:N$2013)</f>
        <v>4574300000</v>
      </c>
      <c r="R437" s="6">
        <f t="shared" si="5"/>
        <v>0.2462890497</v>
      </c>
    </row>
    <row r="438">
      <c r="D438" s="4" t="s">
        <v>908</v>
      </c>
      <c r="E438" s="4">
        <f>SUMIF(Cleaned_Data!C$2:C$2013,D438,Cleaned_Data!N$2:N$2013)</f>
        <v>16762000000</v>
      </c>
      <c r="J438" s="4" t="str">
        <f>IFERROR(__xludf.DUMMYFUNCTION("""COMPUTED_VALUE"""),"Snap-on")</f>
        <v>Snap-on</v>
      </c>
      <c r="K438" s="4">
        <f>IFERROR(__xludf.DUMMYFUNCTION("""COMPUTED_VALUE"""),1.1266E9)</f>
        <v>1126600000</v>
      </c>
      <c r="L438" s="4">
        <f>IFERROR(__xludf.DUMMYFUNCTION("""COMPUTED_VALUE"""),4.5743E9)</f>
        <v>4574300000</v>
      </c>
      <c r="O438" s="4" t="s">
        <v>866</v>
      </c>
      <c r="P438" s="4">
        <f>SUMIF(Cleaned_Data!C$2:C$2013,O438,Cleaned_Data!K$2:K$2013)</f>
        <v>5131000000</v>
      </c>
      <c r="Q438" s="4">
        <f>SUMIF(Cleaned_Data!C$2:C$2013,O438,Cleaned_Data!N$2:N$2013)</f>
        <v>22463000000</v>
      </c>
      <c r="R438" s="6">
        <f t="shared" si="5"/>
        <v>0.2284200686</v>
      </c>
    </row>
    <row r="439">
      <c r="D439" s="4" t="s">
        <v>910</v>
      </c>
      <c r="E439" s="4">
        <f>SUMIF(Cleaned_Data!C$2:C$2013,D439,Cleaned_Data!N$2:N$2013)</f>
        <v>12472000000</v>
      </c>
      <c r="J439" s="4" t="str">
        <f>IFERROR(__xludf.DUMMYFUNCTION("""COMPUTED_VALUE"""),"Southern Company")</f>
        <v>Southern Company</v>
      </c>
      <c r="K439" s="4">
        <f>IFERROR(__xludf.DUMMYFUNCTION("""COMPUTED_VALUE"""),5.131E9)</f>
        <v>5131000000</v>
      </c>
      <c r="L439" s="4">
        <f>IFERROR(__xludf.DUMMYFUNCTION("""COMPUTED_VALUE"""),2.2463E10)</f>
        <v>22463000000</v>
      </c>
      <c r="O439" s="4" t="s">
        <v>868</v>
      </c>
      <c r="P439" s="4">
        <f>SUMIF(Cleaned_Data!C$2:C$2013,O439,Cleaned_Data!K$2:K$2013)</f>
        <v>-2688000000</v>
      </c>
      <c r="Q439" s="4">
        <f>SUMIF(Cleaned_Data!C$2:C$2013,O439,Cleaned_Data!N$2:N$2013)</f>
        <v>12752000000</v>
      </c>
      <c r="R439" s="6">
        <f t="shared" si="5"/>
        <v>-0.2107904642</v>
      </c>
    </row>
    <row r="440">
      <c r="D440" s="4" t="s">
        <v>912</v>
      </c>
      <c r="E440" s="4">
        <f>SUMIF(Cleaned_Data!C$2:C$2013,D440,Cleaned_Data!N$2:N$2013)</f>
        <v>2845000000</v>
      </c>
      <c r="J440" s="4" t="str">
        <f>IFERROR(__xludf.DUMMYFUNCTION("""COMPUTED_VALUE"""),"Southwest Airlines")</f>
        <v>Southwest Airlines</v>
      </c>
      <c r="K440" s="4">
        <f>IFERROR(__xludf.DUMMYFUNCTION("""COMPUTED_VALUE"""),-2.688E9)</f>
        <v>-2688000000</v>
      </c>
      <c r="L440" s="4">
        <f>IFERROR(__xludf.DUMMYFUNCTION("""COMPUTED_VALUE"""),1.2752E10)</f>
        <v>12752000000</v>
      </c>
      <c r="O440" s="4" t="s">
        <v>870</v>
      </c>
      <c r="P440" s="4">
        <f>SUMIF(Cleaned_Data!C$2:C$2013,O440,Cleaned_Data!K$2:K$2013)</f>
        <v>2737700000</v>
      </c>
      <c r="Q440" s="4">
        <f>SUMIF(Cleaned_Data!C$2:C$2013,O440,Cleaned_Data!N$2:N$2013)</f>
        <v>16755800000</v>
      </c>
      <c r="R440" s="6">
        <f t="shared" si="5"/>
        <v>0.1633881999</v>
      </c>
    </row>
    <row r="441">
      <c r="D441" s="4" t="s">
        <v>914</v>
      </c>
      <c r="E441" s="4">
        <f>SUMIF(Cleaned_Data!C$2:C$2013,D441,Cleaned_Data!N$2:N$2013)</f>
        <v>21348000000</v>
      </c>
      <c r="J441" s="4" t="str">
        <f>IFERROR(__xludf.DUMMYFUNCTION("""COMPUTED_VALUE"""),"Stanley Black &amp; Decker")</f>
        <v>Stanley Black &amp; Decker</v>
      </c>
      <c r="K441" s="4">
        <f>IFERROR(__xludf.DUMMYFUNCTION("""COMPUTED_VALUE"""),2.7377E9)</f>
        <v>2737700000</v>
      </c>
      <c r="L441" s="4">
        <f>IFERROR(__xludf.DUMMYFUNCTION("""COMPUTED_VALUE"""),1.67558E10)</f>
        <v>16755800000</v>
      </c>
      <c r="O441" s="4" t="s">
        <v>872</v>
      </c>
      <c r="P441" s="4">
        <f>SUMIF(Cleaned_Data!C$2:C$2013,O441,Cleaned_Data!K$2:K$2013)</f>
        <v>3962600000</v>
      </c>
      <c r="Q441" s="4">
        <f>SUMIF(Cleaned_Data!C$2:C$2013,O441,Cleaned_Data!N$2:N$2013)</f>
        <v>27117000000</v>
      </c>
      <c r="R441" s="6">
        <f t="shared" si="5"/>
        <v>0.1461297341</v>
      </c>
    </row>
    <row r="442">
      <c r="D442" s="4" t="s">
        <v>916</v>
      </c>
      <c r="E442" s="4">
        <f>SUMIF(Cleaned_Data!C$2:C$2013,D442,Cleaned_Data!N$2:N$2013)</f>
        <v>8690443000</v>
      </c>
      <c r="J442" s="4" t="str">
        <f>IFERROR(__xludf.DUMMYFUNCTION("""COMPUTED_VALUE"""),"Starbucks")</f>
        <v>Starbucks</v>
      </c>
      <c r="K442" s="4">
        <f>IFERROR(__xludf.DUMMYFUNCTION("""COMPUTED_VALUE"""),3.9626E9)</f>
        <v>3962600000</v>
      </c>
      <c r="L442" s="4">
        <f>IFERROR(__xludf.DUMMYFUNCTION("""COMPUTED_VALUE"""),2.7117E10)</f>
        <v>27117000000</v>
      </c>
      <c r="O442" s="4" t="s">
        <v>874</v>
      </c>
      <c r="P442" s="4">
        <f>SUMIF(Cleaned_Data!C$2:C$2013,O442,Cleaned_Data!K$2:K$2013)</f>
        <v>3307000000</v>
      </c>
      <c r="Q442" s="4">
        <f>SUMIF(Cleaned_Data!C$2:C$2013,O442,Cleaned_Data!N$2:N$2013)</f>
        <v>11709000000</v>
      </c>
      <c r="R442" s="6">
        <f t="shared" si="5"/>
        <v>0.282432317</v>
      </c>
    </row>
    <row r="443">
      <c r="D443" s="4" t="s">
        <v>918</v>
      </c>
      <c r="E443" s="4">
        <f>SUMIF(Cleaned_Data!C$2:C$2013,D443,Cleaned_Data!N$2:N$2013)</f>
        <v>9936700000</v>
      </c>
      <c r="J443" s="4" t="str">
        <f>IFERROR(__xludf.DUMMYFUNCTION("""COMPUTED_VALUE"""),"State Street Corporation")</f>
        <v>State Street Corporation</v>
      </c>
      <c r="K443" s="4">
        <f>IFERROR(__xludf.DUMMYFUNCTION("""COMPUTED_VALUE"""),3.307E9)</f>
        <v>3307000000</v>
      </c>
      <c r="L443" s="4">
        <f>IFERROR(__xludf.DUMMYFUNCTION("""COMPUTED_VALUE"""),1.1709E10)</f>
        <v>11709000000</v>
      </c>
      <c r="O443" s="4" t="s">
        <v>876</v>
      </c>
      <c r="P443" s="4">
        <f>SUMIF(Cleaned_Data!C$2:C$2013,O443,Cleaned_Data!K$2:K$2013)</f>
        <v>637977000</v>
      </c>
      <c r="Q443" s="4">
        <f>SUMIF(Cleaned_Data!C$2:C$2013,O443,Cleaned_Data!N$2:N$2013)</f>
        <v>3407009000</v>
      </c>
      <c r="R443" s="6">
        <f t="shared" si="5"/>
        <v>0.1872542749</v>
      </c>
    </row>
    <row r="444">
      <c r="D444" s="4" t="s">
        <v>920</v>
      </c>
      <c r="E444" s="4">
        <f>SUMIF(Cleaned_Data!C$2:C$2013,D444,Cleaned_Data!N$2:N$2013)</f>
        <v>33672000000</v>
      </c>
      <c r="J444" s="4" t="str">
        <f>IFERROR(__xludf.DUMMYFUNCTION("""COMPUTED_VALUE"""),"Steris")</f>
        <v>Steris</v>
      </c>
      <c r="K444" s="4">
        <f>IFERROR(__xludf.DUMMYFUNCTION("""COMPUTED_VALUE"""),6.37977E8)</f>
        <v>637977000</v>
      </c>
      <c r="L444" s="4">
        <f>IFERROR(__xludf.DUMMYFUNCTION("""COMPUTED_VALUE"""),3.407009E9)</f>
        <v>3407009000</v>
      </c>
      <c r="O444" s="4" t="s">
        <v>878</v>
      </c>
      <c r="P444" s="4">
        <f>SUMIF(Cleaned_Data!C$2:C$2013,O444,Cleaned_Data!K$2:K$2013)</f>
        <v>3552000000</v>
      </c>
      <c r="Q444" s="4">
        <f>SUMIF(Cleaned_Data!C$2:C$2013,O444,Cleaned_Data!N$2:N$2013)</f>
        <v>16246000000</v>
      </c>
      <c r="R444" s="6">
        <f t="shared" si="5"/>
        <v>0.2186384341</v>
      </c>
    </row>
    <row r="445">
      <c r="D445" s="4" t="s">
        <v>922</v>
      </c>
      <c r="E445" s="4">
        <f>SUMIF(Cleaned_Data!C$2:C$2013,D445,Cleaned_Data!N$2:N$2013)</f>
        <v>58348000000</v>
      </c>
      <c r="J445" s="4" t="str">
        <f>IFERROR(__xludf.DUMMYFUNCTION("""COMPUTED_VALUE"""),"Stryker Corporation")</f>
        <v>Stryker Corporation</v>
      </c>
      <c r="K445" s="4">
        <f>IFERROR(__xludf.DUMMYFUNCTION("""COMPUTED_VALUE"""),3.552E9)</f>
        <v>3552000000</v>
      </c>
      <c r="L445" s="4">
        <f>IFERROR(__xludf.DUMMYFUNCTION("""COMPUTED_VALUE"""),1.6246E10)</f>
        <v>16246000000</v>
      </c>
      <c r="O445" s="4" t="s">
        <v>880</v>
      </c>
      <c r="P445" s="4">
        <f>SUMIF(Cleaned_Data!C$2:C$2013,O445,Cleaned_Data!K$2:K$2013)</f>
        <v>2339652000</v>
      </c>
      <c r="Q445" s="4">
        <f>SUMIF(Cleaned_Data!C$2:C$2013,O445,Cleaned_Data!N$2:N$2013)</f>
        <v>4549393000</v>
      </c>
      <c r="R445" s="6">
        <f t="shared" si="5"/>
        <v>0.5142778388</v>
      </c>
    </row>
    <row r="446">
      <c r="D446" s="4" t="s">
        <v>924</v>
      </c>
      <c r="E446" s="4">
        <f>SUMIF(Cleaned_Data!C$2:C$2013,D446,Cleaned_Data!N$2:N$2013)</f>
        <v>38250000000</v>
      </c>
      <c r="J446" s="4" t="str">
        <f>IFERROR(__xludf.DUMMYFUNCTION("""COMPUTED_VALUE"""),"Synchrony Financial")</f>
        <v>Synchrony Financial</v>
      </c>
      <c r="K446" s="4">
        <f>IFERROR(__xludf.DUMMYFUNCTION("""COMPUTED_VALUE"""),4.733E9)</f>
        <v>4733000000</v>
      </c>
      <c r="L446" s="4">
        <f>IFERROR(__xludf.DUMMYFUNCTION("""COMPUTED_VALUE"""),8.259E9)</f>
        <v>8259000000</v>
      </c>
      <c r="O446" s="4" t="s">
        <v>882</v>
      </c>
      <c r="P446" s="4">
        <f>SUMIF(Cleaned_Data!C$2:C$2013,O446,Cleaned_Data!K$2:K$2013)</f>
        <v>4733000000</v>
      </c>
      <c r="Q446" s="4">
        <f>SUMIF(Cleaned_Data!C$2:C$2013,O446,Cleaned_Data!N$2:N$2013)</f>
        <v>8259000000</v>
      </c>
      <c r="R446" s="6">
        <f t="shared" si="5"/>
        <v>0.5730718005</v>
      </c>
    </row>
    <row r="447">
      <c r="D447" s="4" t="s">
        <v>926</v>
      </c>
      <c r="E447" s="4">
        <f>SUMIF(Cleaned_Data!C$2:C$2013,D447,Cleaned_Data!N$2:N$2013)</f>
        <v>37814735000</v>
      </c>
      <c r="J447" s="4" t="str">
        <f>IFERROR(__xludf.DUMMYFUNCTION("""COMPUTED_VALUE"""),"Synopsys")</f>
        <v>Synopsys</v>
      </c>
      <c r="K447" s="4">
        <f>IFERROR(__xludf.DUMMYFUNCTION("""COMPUTED_VALUE"""),7.55398E8)</f>
        <v>755398000</v>
      </c>
      <c r="L447" s="4">
        <f>IFERROR(__xludf.DUMMYFUNCTION("""COMPUTED_VALUE"""),4.077213E9)</f>
        <v>4077213000</v>
      </c>
      <c r="O447" s="4" t="s">
        <v>884</v>
      </c>
      <c r="P447" s="4">
        <f>SUMIF(Cleaned_Data!C$2:C$2013,O447,Cleaned_Data!K$2:K$2013)</f>
        <v>755398000</v>
      </c>
      <c r="Q447" s="4">
        <f>SUMIF(Cleaned_Data!C$2:C$2013,O447,Cleaned_Data!N$2:N$2013)</f>
        <v>4077213000</v>
      </c>
      <c r="R447" s="6">
        <f t="shared" si="5"/>
        <v>0.1852731265</v>
      </c>
    </row>
    <row r="448">
      <c r="D448" s="4" t="s">
        <v>928</v>
      </c>
      <c r="E448" s="4">
        <f>SUMIF(Cleaned_Data!C$2:C$2013,D448,Cleaned_Data!N$2:N$2013)</f>
        <v>11878732000</v>
      </c>
      <c r="J448" s="4" t="str">
        <f>IFERROR(__xludf.DUMMYFUNCTION("""COMPUTED_VALUE"""),"Sysco")</f>
        <v>Sysco</v>
      </c>
      <c r="K448" s="4">
        <f>IFERROR(__xludf.DUMMYFUNCTION("""COMPUTED_VALUE"""),8.02905E8)</f>
        <v>802905000</v>
      </c>
      <c r="L448" s="4">
        <f>IFERROR(__xludf.DUMMYFUNCTION("""COMPUTED_VALUE"""),4.4027514E10)</f>
        <v>44027514000</v>
      </c>
      <c r="O448" s="4" t="s">
        <v>886</v>
      </c>
      <c r="P448" s="4">
        <f>SUMIF(Cleaned_Data!C$2:C$2013,O448,Cleaned_Data!K$2:K$2013)</f>
        <v>802905000</v>
      </c>
      <c r="Q448" s="4">
        <f>SUMIF(Cleaned_Data!C$2:C$2013,O448,Cleaned_Data!N$2:N$2013)</f>
        <v>44027514000</v>
      </c>
      <c r="R448" s="6">
        <f t="shared" si="5"/>
        <v>0.01823643733</v>
      </c>
    </row>
    <row r="449">
      <c r="D449" s="4" t="s">
        <v>930</v>
      </c>
      <c r="E449" s="4">
        <f>SUMIF(Cleaned_Data!C$2:C$2013,D449,Cleaned_Data!N$2:N$2013)</f>
        <v>13521900000</v>
      </c>
      <c r="J449" s="4" t="str">
        <f>IFERROR(__xludf.DUMMYFUNCTION("""COMPUTED_VALUE"""),"T-Mobile US")</f>
        <v>T-Mobile US</v>
      </c>
      <c r="K449" s="4">
        <f>IFERROR(__xludf.DUMMYFUNCTION("""COMPUTED_VALUE"""),1.04E10)</f>
        <v>10400000000</v>
      </c>
      <c r="L449" s="4">
        <f>IFERROR(__xludf.DUMMYFUNCTION("""COMPUTED_VALUE"""),7.9322E10)</f>
        <v>79322000000</v>
      </c>
      <c r="O449" s="4" t="s">
        <v>888</v>
      </c>
      <c r="P449" s="4">
        <f>SUMIF(Cleaned_Data!C$2:C$2013,O449,Cleaned_Data!K$2:K$2013)</f>
        <v>10400000000</v>
      </c>
      <c r="Q449" s="4">
        <f>SUMIF(Cleaned_Data!C$2:C$2013,O449,Cleaned_Data!N$2:N$2013)</f>
        <v>79322000000</v>
      </c>
      <c r="R449" s="6">
        <f t="shared" si="5"/>
        <v>0.1311111671</v>
      </c>
    </row>
    <row r="450">
      <c r="D450" s="4" t="s">
        <v>932</v>
      </c>
      <c r="E450" s="4">
        <f>SUMIF(Cleaned_Data!C$2:C$2013,D450,Cleaned_Data!N$2:N$2013)</f>
        <v>4693000000</v>
      </c>
      <c r="J450" s="4" t="str">
        <f>IFERROR(__xludf.DUMMYFUNCTION("""COMPUTED_VALUE"""),"T. Rowe Price")</f>
        <v>T. Rowe Price</v>
      </c>
      <c r="K450" s="4">
        <f>IFERROR(__xludf.DUMMYFUNCTION("""COMPUTED_VALUE"""),3.3361E9)</f>
        <v>3336100000</v>
      </c>
      <c r="L450" s="4">
        <f>IFERROR(__xludf.DUMMYFUNCTION("""COMPUTED_VALUE"""),7.0848E9)</f>
        <v>7084800000</v>
      </c>
      <c r="O450" s="4" t="s">
        <v>890</v>
      </c>
      <c r="P450" s="4">
        <f>SUMIF(Cleaned_Data!C$2:C$2013,O450,Cleaned_Data!K$2:K$2013)</f>
        <v>3336100000</v>
      </c>
      <c r="Q450" s="4">
        <f>SUMIF(Cleaned_Data!C$2:C$2013,O450,Cleaned_Data!N$2:N$2013)</f>
        <v>7084800000</v>
      </c>
      <c r="R450" s="6">
        <f t="shared" si="5"/>
        <v>0.4708813234</v>
      </c>
    </row>
    <row r="451">
      <c r="D451" s="4" t="s">
        <v>934</v>
      </c>
      <c r="E451" s="4">
        <f>SUMIF(Cleaned_Data!C$2:C$2013,D451,Cleaned_Data!N$2:N$2013)</f>
        <v>3453500000</v>
      </c>
      <c r="J451" s="4" t="str">
        <f>IFERROR(__xludf.DUMMYFUNCTION("""COMPUTED_VALUE"""),"TE Connectivity")</f>
        <v>TE Connectivity</v>
      </c>
      <c r="K451" s="4">
        <f>IFERROR(__xludf.DUMMYFUNCTION("""COMPUTED_VALUE"""),2.451E9)</f>
        <v>2451000000</v>
      </c>
      <c r="L451" s="4">
        <f>IFERROR(__xludf.DUMMYFUNCTION("""COMPUTED_VALUE"""),1.4366E10)</f>
        <v>14366000000</v>
      </c>
      <c r="O451" s="4" t="s">
        <v>892</v>
      </c>
      <c r="P451" s="4">
        <f>SUMIF(Cleaned_Data!C$2:C$2013,O451,Cleaned_Data!K$2:K$2013)</f>
        <v>731831000</v>
      </c>
      <c r="Q451" s="4">
        <f>SUMIF(Cleaned_Data!C$2:C$2013,O451,Cleaned_Data!N$2:N$2013)</f>
        <v>3371864000</v>
      </c>
      <c r="R451" s="6">
        <f t="shared" si="5"/>
        <v>0.2170404856</v>
      </c>
    </row>
    <row r="452">
      <c r="D452" s="4" t="s">
        <v>936</v>
      </c>
      <c r="E452" s="4">
        <f>SUMIF(Cleaned_Data!C$2:C$2013,D452,Cleaned_Data!N$2:N$2013)</f>
        <v>22143000000</v>
      </c>
      <c r="J452" s="4" t="str">
        <f>IFERROR(__xludf.DUMMYFUNCTION("""COMPUTED_VALUE"""),"TJX Companies")</f>
        <v>TJX Companies</v>
      </c>
      <c r="K452" s="4">
        <f>IFERROR(__xludf.DUMMYFUNCTION("""COMPUTED_VALUE"""),2.155761E9)</f>
        <v>2155761000</v>
      </c>
      <c r="L452" s="4">
        <f>IFERROR(__xludf.DUMMYFUNCTION("""COMPUTED_VALUE"""),3.7814735E10)</f>
        <v>37814735000</v>
      </c>
      <c r="O452" s="4" t="s">
        <v>894</v>
      </c>
      <c r="P452" s="4">
        <f>SUMIF(Cleaned_Data!C$2:C$2013,O452,Cleaned_Data!K$2:K$2013)</f>
        <v>1095300000</v>
      </c>
      <c r="Q452" s="4">
        <f>SUMIF(Cleaned_Data!C$2:C$2013,O452,Cleaned_Data!N$2:N$2013)</f>
        <v>5746300000</v>
      </c>
      <c r="R452" s="6">
        <f t="shared" si="5"/>
        <v>0.1906096097</v>
      </c>
    </row>
    <row r="453">
      <c r="D453" s="4" t="s">
        <v>938</v>
      </c>
      <c r="E453" s="4">
        <f>SUMIF(Cleaned_Data!C$2:C$2013,D453,Cleaned_Data!N$2:N$2013)</f>
        <v>4451719000</v>
      </c>
      <c r="J453" s="4" t="str">
        <f>IFERROR(__xludf.DUMMYFUNCTION("""COMPUTED_VALUE"""),"Take-Two Interactive")</f>
        <v>Take-Two Interactive</v>
      </c>
      <c r="K453" s="4">
        <f>IFERROR(__xludf.DUMMYFUNCTION("""COMPUTED_VALUE"""),7.31831E8)</f>
        <v>731831000</v>
      </c>
      <c r="L453" s="4">
        <f>IFERROR(__xludf.DUMMYFUNCTION("""COMPUTED_VALUE"""),3.371864E9)</f>
        <v>3371864000</v>
      </c>
      <c r="O453" s="4" t="s">
        <v>896</v>
      </c>
      <c r="P453" s="4">
        <f>SUMIF(Cleaned_Data!C$2:C$2013,O453,Cleaned_Data!K$2:K$2013)</f>
        <v>8495000000</v>
      </c>
      <c r="Q453" s="4">
        <f>SUMIF(Cleaned_Data!C$2:C$2013,O453,Cleaned_Data!N$2:N$2013)</f>
        <v>100328000000</v>
      </c>
      <c r="R453" s="6">
        <f t="shared" si="5"/>
        <v>0.08467227494</v>
      </c>
    </row>
    <row r="454">
      <c r="D454" s="4" t="s">
        <v>940</v>
      </c>
      <c r="E454" s="4">
        <f>SUMIF(Cleaned_Data!C$2:C$2013,D454,Cleaned_Data!N$2:N$2013)</f>
        <v>1134924000</v>
      </c>
      <c r="J454" s="4" t="str">
        <f>IFERROR(__xludf.DUMMYFUNCTION("""COMPUTED_VALUE"""),"Tapestry")</f>
        <v>Tapestry</v>
      </c>
      <c r="K454" s="4">
        <f>IFERROR(__xludf.DUMMYFUNCTION("""COMPUTED_VALUE"""),1.0953E9)</f>
        <v>1095300000</v>
      </c>
      <c r="L454" s="4">
        <f>IFERROR(__xludf.DUMMYFUNCTION("""COMPUTED_VALUE"""),5.7463E9)</f>
        <v>5746300000</v>
      </c>
      <c r="O454" s="4" t="s">
        <v>898</v>
      </c>
      <c r="P454" s="4">
        <f>SUMIF(Cleaned_Data!C$2:C$2013,O454,Cleaned_Data!K$2:K$2013)</f>
        <v>2451000000</v>
      </c>
      <c r="Q454" s="4">
        <f>SUMIF(Cleaned_Data!C$2:C$2013,O454,Cleaned_Data!N$2:N$2013)</f>
        <v>14366000000</v>
      </c>
      <c r="R454" s="6">
        <f t="shared" si="5"/>
        <v>0.1706111653</v>
      </c>
    </row>
    <row r="455">
      <c r="D455" s="4" t="s">
        <v>942</v>
      </c>
      <c r="E455" s="4">
        <f>SUMIF(Cleaned_Data!C$2:C$2013,D455,Cleaned_Data!N$2:N$2013)</f>
        <v>45698000000</v>
      </c>
      <c r="J455" s="4" t="str">
        <f>IFERROR(__xludf.DUMMYFUNCTION("""COMPUTED_VALUE"""),"Target Corporation")</f>
        <v>Target Corporation</v>
      </c>
      <c r="K455" s="4">
        <f>IFERROR(__xludf.DUMMYFUNCTION("""COMPUTED_VALUE"""),8.495E9)</f>
        <v>8495000000</v>
      </c>
      <c r="L455" s="4">
        <f>IFERROR(__xludf.DUMMYFUNCTION("""COMPUTED_VALUE"""),1.00328E11)</f>
        <v>100328000000</v>
      </c>
      <c r="O455" s="4" t="s">
        <v>900</v>
      </c>
      <c r="P455" s="4">
        <f>SUMIF(Cleaned_Data!C$2:C$2013,O455,Cleaned_Data!K$2:K$2013)</f>
        <v>640600000</v>
      </c>
      <c r="Q455" s="4">
        <f>SUMIF(Cleaned_Data!C$2:C$2013,O455,Cleaned_Data!N$2:N$2013)</f>
        <v>3485000000</v>
      </c>
      <c r="R455" s="6">
        <f t="shared" si="5"/>
        <v>0.1838163558</v>
      </c>
    </row>
    <row r="456">
      <c r="D456" s="4" t="s">
        <v>944</v>
      </c>
      <c r="E456" s="4">
        <f>SUMIF(Cleaned_Data!C$2:C$2013,D456,Cleaned_Data!N$2:N$2013)</f>
        <v>22641000000</v>
      </c>
      <c r="J456" s="4" t="str">
        <f>IFERROR(__xludf.DUMMYFUNCTION("""COMPUTED_VALUE"""),"Teledyne Technologies")</f>
        <v>Teledyne Technologies</v>
      </c>
      <c r="K456" s="4">
        <f>IFERROR(__xludf.DUMMYFUNCTION("""COMPUTED_VALUE"""),6.406E8)</f>
        <v>640600000</v>
      </c>
      <c r="L456" s="4">
        <f>IFERROR(__xludf.DUMMYFUNCTION("""COMPUTED_VALUE"""),3.485E9)</f>
        <v>3485000000</v>
      </c>
      <c r="O456" s="4" t="s">
        <v>902</v>
      </c>
      <c r="P456" s="4">
        <f>SUMIF(Cleaned_Data!C$2:C$2013,O456,Cleaned_Data!K$2:K$2013)</f>
        <v>526233000</v>
      </c>
      <c r="Q456" s="4">
        <f>SUMIF(Cleaned_Data!C$2:C$2013,O456,Cleaned_Data!N$2:N$2013)</f>
        <v>2686878000</v>
      </c>
      <c r="R456" s="6">
        <f t="shared" si="5"/>
        <v>0.1958529565</v>
      </c>
    </row>
    <row r="457">
      <c r="D457" s="4" t="s">
        <v>946</v>
      </c>
      <c r="E457" s="4">
        <f>SUMIF(Cleaned_Data!C$2:C$2013,D457,Cleaned_Data!N$2:N$2013)</f>
        <v>7656460000</v>
      </c>
      <c r="J457" s="4" t="str">
        <f>IFERROR(__xludf.DUMMYFUNCTION("""COMPUTED_VALUE"""),"Teleflex")</f>
        <v>Teleflex</v>
      </c>
      <c r="K457" s="4">
        <f>IFERROR(__xludf.DUMMYFUNCTION("""COMPUTED_VALUE"""),5.26233E8)</f>
        <v>526233000</v>
      </c>
      <c r="L457" s="4">
        <f>IFERROR(__xludf.DUMMYFUNCTION("""COMPUTED_VALUE"""),2.686878E9)</f>
        <v>2686878000</v>
      </c>
      <c r="O457" s="4" t="s">
        <v>904</v>
      </c>
      <c r="P457" s="4">
        <f>SUMIF(Cleaned_Data!C$2:C$2013,O457,Cleaned_Data!K$2:K$2013)</f>
        <v>1063826000</v>
      </c>
      <c r="Q457" s="4">
        <f>SUMIF(Cleaned_Data!C$2:C$2013,O457,Cleaned_Data!N$2:N$2013)</f>
        <v>3445787000</v>
      </c>
      <c r="R457" s="6">
        <f t="shared" si="5"/>
        <v>0.3087323738</v>
      </c>
    </row>
    <row r="458">
      <c r="D458" s="4" t="s">
        <v>948</v>
      </c>
      <c r="E458" s="4">
        <f>SUMIF(Cleaned_Data!C$2:C$2013,D458,Cleaned_Data!N$2:N$2013)</f>
        <v>5445516000</v>
      </c>
      <c r="J458" s="4" t="str">
        <f>IFERROR(__xludf.DUMMYFUNCTION("""COMPUTED_VALUE"""),"Teradyne")</f>
        <v>Teradyne</v>
      </c>
      <c r="K458" s="4">
        <f>IFERROR(__xludf.DUMMYFUNCTION("""COMPUTED_VALUE"""),1.063826E9)</f>
        <v>1063826000</v>
      </c>
      <c r="L458" s="4">
        <f>IFERROR(__xludf.DUMMYFUNCTION("""COMPUTED_VALUE"""),3.445787E9)</f>
        <v>3445787000</v>
      </c>
      <c r="O458" s="4" t="s">
        <v>906</v>
      </c>
      <c r="P458" s="4">
        <f>SUMIF(Cleaned_Data!C$2:C$2013,O458,Cleaned_Data!K$2:K$2013)</f>
        <v>2161000000</v>
      </c>
      <c r="Q458" s="4">
        <f>SUMIF(Cleaned_Data!C$2:C$2013,O458,Cleaned_Data!N$2:N$2013)</f>
        <v>35940000000</v>
      </c>
      <c r="R458" s="6">
        <f t="shared" si="5"/>
        <v>0.0601279911</v>
      </c>
    </row>
    <row r="459">
      <c r="D459" s="4" t="s">
        <v>950</v>
      </c>
      <c r="E459" s="4">
        <f>SUMIF(Cleaned_Data!C$2:C$2013,D459,Cleaned_Data!N$2:N$2013)</f>
        <v>5445516000</v>
      </c>
      <c r="J459" s="4" t="str">
        <f>IFERROR(__xludf.DUMMYFUNCTION("""COMPUTED_VALUE"""),"Tesla")</f>
        <v>Tesla</v>
      </c>
      <c r="K459" s="4">
        <f>IFERROR(__xludf.DUMMYFUNCTION("""COMPUTED_VALUE"""),2.161E9)</f>
        <v>2161000000</v>
      </c>
      <c r="L459" s="4">
        <f>IFERROR(__xludf.DUMMYFUNCTION("""COMPUTED_VALUE"""),3.594E10)</f>
        <v>35940000000</v>
      </c>
      <c r="O459" s="4" t="s">
        <v>908</v>
      </c>
      <c r="P459" s="4">
        <f>SUMIF(Cleaned_Data!C$2:C$2013,O459,Cleaned_Data!K$2:K$2013)</f>
        <v>7579000000</v>
      </c>
      <c r="Q459" s="4">
        <f>SUMIF(Cleaned_Data!C$2:C$2013,O459,Cleaned_Data!N$2:N$2013)</f>
        <v>16762000000</v>
      </c>
      <c r="R459" s="6">
        <f t="shared" si="5"/>
        <v>0.4521536809</v>
      </c>
    </row>
    <row r="460">
      <c r="D460" s="4" t="s">
        <v>952</v>
      </c>
      <c r="E460" s="4">
        <f>SUMIF(Cleaned_Data!C$2:C$2013,D460,Cleaned_Data!N$2:N$2013)</f>
        <v>20565000000</v>
      </c>
      <c r="J460" s="4" t="str">
        <f>IFERROR(__xludf.DUMMYFUNCTION("""COMPUTED_VALUE"""),"Texas Instruments")</f>
        <v>Texas Instruments</v>
      </c>
      <c r="K460" s="4">
        <f>IFERROR(__xludf.DUMMYFUNCTION("""COMPUTED_VALUE"""),7.579E9)</f>
        <v>7579000000</v>
      </c>
      <c r="L460" s="4">
        <f>IFERROR(__xludf.DUMMYFUNCTION("""COMPUTED_VALUE"""),1.6762E10)</f>
        <v>16762000000</v>
      </c>
      <c r="O460" s="4" t="s">
        <v>910</v>
      </c>
      <c r="P460" s="4">
        <f>SUMIF(Cleaned_Data!C$2:C$2013,O460,Cleaned_Data!K$2:K$2013)</f>
        <v>903000000</v>
      </c>
      <c r="Q460" s="4">
        <f>SUMIF(Cleaned_Data!C$2:C$2013,O460,Cleaned_Data!N$2:N$2013)</f>
        <v>12472000000</v>
      </c>
      <c r="R460" s="6">
        <f t="shared" si="5"/>
        <v>0.07240218089</v>
      </c>
    </row>
    <row r="461">
      <c r="D461" s="4" t="s">
        <v>954</v>
      </c>
      <c r="E461" s="4">
        <f>SUMIF(Cleaned_Data!C$2:C$2013,D461,Cleaned_Data!N$2:N$2013)</f>
        <v>14593000000</v>
      </c>
      <c r="J461" s="4" t="str">
        <f>IFERROR(__xludf.DUMMYFUNCTION("""COMPUTED_VALUE"""),"Textron")</f>
        <v>Textron</v>
      </c>
      <c r="K461" s="4">
        <f>IFERROR(__xludf.DUMMYFUNCTION("""COMPUTED_VALUE"""),9.03E8)</f>
        <v>903000000</v>
      </c>
      <c r="L461" s="4">
        <f>IFERROR(__xludf.DUMMYFUNCTION("""COMPUTED_VALUE"""),1.2472E10)</f>
        <v>12472000000</v>
      </c>
      <c r="O461" s="4" t="s">
        <v>912</v>
      </c>
      <c r="P461" s="4">
        <f>SUMIF(Cleaned_Data!C$2:C$2013,O461,Cleaned_Data!K$2:K$2013)</f>
        <v>636400000</v>
      </c>
      <c r="Q461" s="4">
        <f>SUMIF(Cleaned_Data!C$2:C$2013,O461,Cleaned_Data!N$2:N$2013)</f>
        <v>2845000000</v>
      </c>
      <c r="R461" s="6">
        <f t="shared" si="5"/>
        <v>0.2236906854</v>
      </c>
    </row>
    <row r="462">
      <c r="D462" s="4" t="s">
        <v>956</v>
      </c>
      <c r="E462" s="4">
        <f>SUMIF(Cleaned_Data!C$2:C$2013,D462,Cleaned_Data!N$2:N$2013)</f>
        <v>92466000000</v>
      </c>
      <c r="J462" s="4" t="str">
        <f>IFERROR(__xludf.DUMMYFUNCTION("""COMPUTED_VALUE"""),"The Cooper Companies")</f>
        <v>The Cooper Companies</v>
      </c>
      <c r="K462" s="4">
        <f>IFERROR(__xludf.DUMMYFUNCTION("""COMPUTED_VALUE"""),6.364E8)</f>
        <v>636400000</v>
      </c>
      <c r="L462" s="4">
        <f>IFERROR(__xludf.DUMMYFUNCTION("""COMPUTED_VALUE"""),2.845E9)</f>
        <v>2845000000</v>
      </c>
      <c r="O462" s="4" t="s">
        <v>914</v>
      </c>
      <c r="P462" s="4">
        <f>SUMIF(Cleaned_Data!C$2:C$2013,O462,Cleaned_Data!K$2:K$2013)</f>
        <v>2909000000</v>
      </c>
      <c r="Q462" s="4">
        <f>SUMIF(Cleaned_Data!C$2:C$2013,O462,Cleaned_Data!N$2:N$2013)</f>
        <v>21348000000</v>
      </c>
      <c r="R462" s="6">
        <f t="shared" si="5"/>
        <v>0.1362656923</v>
      </c>
    </row>
    <row r="463">
      <c r="D463" s="4" t="s">
        <v>958</v>
      </c>
      <c r="E463" s="4">
        <f>SUMIF(Cleaned_Data!C$2:C$2013,D463,Cleaned_Data!N$2:N$2013)</f>
        <v>8810000000</v>
      </c>
      <c r="J463" s="4" t="str">
        <f>IFERROR(__xludf.DUMMYFUNCTION("""COMPUTED_VALUE"""),"The Hartford")</f>
        <v>The Hartford</v>
      </c>
      <c r="K463" s="4">
        <f>IFERROR(__xludf.DUMMYFUNCTION("""COMPUTED_VALUE"""),2.909E9)</f>
        <v>2909000000</v>
      </c>
      <c r="L463" s="4">
        <f>IFERROR(__xludf.DUMMYFUNCTION("""COMPUTED_VALUE"""),2.1348E10)</f>
        <v>21348000000</v>
      </c>
      <c r="O463" s="4" t="s">
        <v>916</v>
      </c>
      <c r="P463" s="4">
        <f>SUMIF(Cleaned_Data!C$2:C$2013,O463,Cleaned_Data!K$2:K$2013)</f>
        <v>2045507000</v>
      </c>
      <c r="Q463" s="4">
        <f>SUMIF(Cleaned_Data!C$2:C$2013,O463,Cleaned_Data!N$2:N$2013)</f>
        <v>8690443000</v>
      </c>
      <c r="R463" s="6">
        <f t="shared" si="5"/>
        <v>0.2353743072</v>
      </c>
    </row>
    <row r="464">
      <c r="D464" s="4" t="s">
        <v>960</v>
      </c>
      <c r="E464" s="4">
        <f>SUMIF(Cleaned_Data!C$2:C$2013,D464,Cleaned_Data!N$2:N$2013)</f>
        <v>272099000000</v>
      </c>
      <c r="J464" s="4" t="str">
        <f>IFERROR(__xludf.DUMMYFUNCTION("""COMPUTED_VALUE"""),"The Hershey Company")</f>
        <v>The Hershey Company</v>
      </c>
      <c r="K464" s="4">
        <f>IFERROR(__xludf.DUMMYFUNCTION("""COMPUTED_VALUE"""),2.045507E9)</f>
        <v>2045507000</v>
      </c>
      <c r="L464" s="4">
        <f>IFERROR(__xludf.DUMMYFUNCTION("""COMPUTED_VALUE"""),8.690443E9)</f>
        <v>8690443000</v>
      </c>
      <c r="O464" s="4" t="s">
        <v>918</v>
      </c>
      <c r="P464" s="4">
        <f>SUMIF(Cleaned_Data!C$2:C$2013,O464,Cleaned_Data!K$2:K$2013)</f>
        <v>1390900000</v>
      </c>
      <c r="Q464" s="4">
        <f>SUMIF(Cleaned_Data!C$2:C$2013,O464,Cleaned_Data!N$2:N$2013)</f>
        <v>9936700000</v>
      </c>
      <c r="R464" s="6">
        <f t="shared" si="5"/>
        <v>0.1399760484</v>
      </c>
    </row>
    <row r="465">
      <c r="D465" s="4" t="s">
        <v>962</v>
      </c>
      <c r="E465" s="4">
        <f>SUMIF(Cleaned_Data!C$2:C$2013,D465,Cleaned_Data!N$2:N$2013)</f>
        <v>12210343000</v>
      </c>
      <c r="J465" s="4" t="str">
        <f>IFERROR(__xludf.DUMMYFUNCTION("""COMPUTED_VALUE"""),"The Mosaic Company")</f>
        <v>The Mosaic Company</v>
      </c>
      <c r="K465" s="4">
        <f>IFERROR(__xludf.DUMMYFUNCTION("""COMPUTED_VALUE"""),1.3909E9)</f>
        <v>1390900000</v>
      </c>
      <c r="L465" s="4">
        <f>IFERROR(__xludf.DUMMYFUNCTION("""COMPUTED_VALUE"""),9.9367E9)</f>
        <v>9936700000</v>
      </c>
      <c r="O465" s="4" t="s">
        <v>920</v>
      </c>
      <c r="P465" s="4">
        <f>SUMIF(Cleaned_Data!C$2:C$2013,O465,Cleaned_Data!K$2:K$2013)</f>
        <v>4959000000</v>
      </c>
      <c r="Q465" s="4">
        <f>SUMIF(Cleaned_Data!C$2:C$2013,O465,Cleaned_Data!N$2:N$2013)</f>
        <v>33672000000</v>
      </c>
      <c r="R465" s="6">
        <f t="shared" si="5"/>
        <v>0.1472736992</v>
      </c>
    </row>
    <row r="466">
      <c r="D466" s="4" t="s">
        <v>964</v>
      </c>
      <c r="E466" s="4">
        <f>SUMIF(Cleaned_Data!C$2:C$2013,D466,Cleaned_Data!N$2:N$2013)</f>
        <v>75780000000</v>
      </c>
      <c r="J466" s="4" t="str">
        <f>IFERROR(__xludf.DUMMYFUNCTION("""COMPUTED_VALUE"""),"The Travelers Companies")</f>
        <v>The Travelers Companies</v>
      </c>
      <c r="K466" s="4">
        <f>IFERROR(__xludf.DUMMYFUNCTION("""COMPUTED_VALUE"""),4.959E9)</f>
        <v>4959000000</v>
      </c>
      <c r="L466" s="4">
        <f>IFERROR(__xludf.DUMMYFUNCTION("""COMPUTED_VALUE"""),3.3672E10)</f>
        <v>33672000000</v>
      </c>
      <c r="O466" s="4" t="s">
        <v>922</v>
      </c>
      <c r="P466" s="4">
        <f>SUMIF(Cleaned_Data!C$2:C$2013,O466,Cleaned_Data!K$2:K$2013)</f>
        <v>1216000000</v>
      </c>
      <c r="Q466" s="4">
        <f>SUMIF(Cleaned_Data!C$2:C$2013,O466,Cleaned_Data!N$2:N$2013)</f>
        <v>58348000000</v>
      </c>
      <c r="R466" s="6">
        <f t="shared" si="5"/>
        <v>0.0208404744</v>
      </c>
    </row>
    <row r="467">
      <c r="D467" s="4" t="s">
        <v>966</v>
      </c>
      <c r="E467" s="4">
        <f>SUMIF(Cleaned_Data!C$2:C$2013,D467,Cleaned_Data!N$2:N$2013)</f>
        <v>3690535000</v>
      </c>
      <c r="J467" s="4" t="str">
        <f>IFERROR(__xludf.DUMMYFUNCTION("""COMPUTED_VALUE"""),"The Walt Disney Company")</f>
        <v>The Walt Disney Company</v>
      </c>
      <c r="K467" s="4">
        <f>IFERROR(__xludf.DUMMYFUNCTION("""COMPUTED_VALUE"""),1.216E9)</f>
        <v>1216000000</v>
      </c>
      <c r="L467" s="4">
        <f>IFERROR(__xludf.DUMMYFUNCTION("""COMPUTED_VALUE"""),5.8348E10)</f>
        <v>58348000000</v>
      </c>
      <c r="O467" s="4" t="s">
        <v>924</v>
      </c>
      <c r="P467" s="4">
        <f>SUMIF(Cleaned_Data!C$2:C$2013,O467,Cleaned_Data!K$2:K$2013)</f>
        <v>10803000000</v>
      </c>
      <c r="Q467" s="4">
        <f>SUMIF(Cleaned_Data!C$2:C$2013,O467,Cleaned_Data!N$2:N$2013)</f>
        <v>38250000000</v>
      </c>
      <c r="R467" s="6">
        <f t="shared" si="5"/>
        <v>0.2824313725</v>
      </c>
    </row>
    <row r="468">
      <c r="D468" s="4" t="s">
        <v>968</v>
      </c>
      <c r="E468" s="4">
        <f>SUMIF(Cleaned_Data!C$2:C$2013,D468,Cleaned_Data!N$2:N$2013)</f>
        <v>1291189000</v>
      </c>
      <c r="J468" s="4" t="str">
        <f>IFERROR(__xludf.DUMMYFUNCTION("""COMPUTED_VALUE"""),"Thermo Fisher Scientific")</f>
        <v>Thermo Fisher Scientific</v>
      </c>
      <c r="K468" s="4">
        <f>IFERROR(__xludf.DUMMYFUNCTION("""COMPUTED_VALUE"""),1.0803E10)</f>
        <v>10803000000</v>
      </c>
      <c r="L468" s="4">
        <f>IFERROR(__xludf.DUMMYFUNCTION("""COMPUTED_VALUE"""),3.825E10)</f>
        <v>38250000000</v>
      </c>
      <c r="O468" s="4" t="s">
        <v>926</v>
      </c>
      <c r="P468" s="4">
        <f>SUMIF(Cleaned_Data!C$2:C$2013,O468,Cleaned_Data!K$2:K$2013)</f>
        <v>2155761000</v>
      </c>
      <c r="Q468" s="4">
        <f>SUMIF(Cleaned_Data!C$2:C$2013,O468,Cleaned_Data!N$2:N$2013)</f>
        <v>37814735000</v>
      </c>
      <c r="R468" s="6">
        <f t="shared" si="5"/>
        <v>0.05700849153</v>
      </c>
    </row>
    <row r="469">
      <c r="D469" s="4" t="s">
        <v>970</v>
      </c>
      <c r="E469" s="4">
        <f>SUMIF(Cleaned_Data!C$2:C$2013,D469,Cleaned_Data!N$2:N$2013)</f>
        <v>2889700000</v>
      </c>
      <c r="J469" s="4" t="str">
        <f>IFERROR(__xludf.DUMMYFUNCTION("""COMPUTED_VALUE"""),"Tractor Supply Company")</f>
        <v>Tractor Supply Company</v>
      </c>
      <c r="K469" s="4">
        <f>IFERROR(__xludf.DUMMYFUNCTION("""COMPUTED_VALUE"""),1.295114E9)</f>
        <v>1295114000</v>
      </c>
      <c r="L469" s="4">
        <f>IFERROR(__xludf.DUMMYFUNCTION("""COMPUTED_VALUE"""),1.1878732E10)</f>
        <v>11878732000</v>
      </c>
      <c r="O469" s="4" t="s">
        <v>928</v>
      </c>
      <c r="P469" s="4">
        <f>SUMIF(Cleaned_Data!C$2:C$2013,O469,Cleaned_Data!K$2:K$2013)</f>
        <v>1295114000</v>
      </c>
      <c r="Q469" s="4">
        <f>SUMIF(Cleaned_Data!C$2:C$2013,O469,Cleaned_Data!N$2:N$2013)</f>
        <v>11878732000</v>
      </c>
      <c r="R469" s="6">
        <f t="shared" si="5"/>
        <v>0.109027967</v>
      </c>
    </row>
    <row r="470">
      <c r="D470" s="4" t="s">
        <v>972</v>
      </c>
      <c r="E470" s="4">
        <f>SUMIF(Cleaned_Data!C$2:C$2013,D470,Cleaned_Data!N$2:N$2013)</f>
        <v>132866000000</v>
      </c>
      <c r="J470" s="4" t="str">
        <f>IFERROR(__xludf.DUMMYFUNCTION("""COMPUTED_VALUE"""),"Trane Technologies")</f>
        <v>Trane Technologies</v>
      </c>
      <c r="K470" s="4">
        <f>IFERROR(__xludf.DUMMYFUNCTION("""COMPUTED_VALUE"""),1.9694E9)</f>
        <v>1969400000</v>
      </c>
      <c r="L470" s="4">
        <f>IFERROR(__xludf.DUMMYFUNCTION("""COMPUTED_VALUE"""),1.35219E10)</f>
        <v>13521900000</v>
      </c>
      <c r="O470" s="4" t="s">
        <v>930</v>
      </c>
      <c r="P470" s="4">
        <f>SUMIF(Cleaned_Data!C$2:C$2013,O470,Cleaned_Data!K$2:K$2013)</f>
        <v>1969400000</v>
      </c>
      <c r="Q470" s="4">
        <f>SUMIF(Cleaned_Data!C$2:C$2013,O470,Cleaned_Data!N$2:N$2013)</f>
        <v>13521900000</v>
      </c>
      <c r="R470" s="6">
        <f t="shared" si="5"/>
        <v>0.1456452126</v>
      </c>
    </row>
    <row r="471">
      <c r="D471" s="4" t="s">
        <v>974</v>
      </c>
      <c r="E471" s="4">
        <f>SUMIF(Cleaned_Data!C$2:C$2013,D471,Cleaned_Data!N$2:N$2013)</f>
        <v>6683766000</v>
      </c>
      <c r="J471" s="4" t="str">
        <f>IFERROR(__xludf.DUMMYFUNCTION("""COMPUTED_VALUE"""),"TransDigm Group")</f>
        <v>TransDigm Group</v>
      </c>
      <c r="K471" s="4">
        <f>IFERROR(__xludf.DUMMYFUNCTION("""COMPUTED_VALUE"""),1.579E9)</f>
        <v>1579000000</v>
      </c>
      <c r="L471" s="4">
        <f>IFERROR(__xludf.DUMMYFUNCTION("""COMPUTED_VALUE"""),4.693E9)</f>
        <v>4693000000</v>
      </c>
      <c r="O471" s="4" t="s">
        <v>932</v>
      </c>
      <c r="P471" s="4">
        <f>SUMIF(Cleaned_Data!C$2:C$2013,O471,Cleaned_Data!K$2:K$2013)</f>
        <v>1579000000</v>
      </c>
      <c r="Q471" s="4">
        <f>SUMIF(Cleaned_Data!C$2:C$2013,O471,Cleaned_Data!N$2:N$2013)</f>
        <v>4693000000</v>
      </c>
      <c r="R471" s="6">
        <f t="shared" si="5"/>
        <v>0.3364585553</v>
      </c>
    </row>
    <row r="472">
      <c r="D472" s="4" t="s">
        <v>976</v>
      </c>
      <c r="E472" s="4">
        <f>SUMIF(Cleaned_Data!C$2:C$2013,D472,Cleaned_Data!N$2:N$2013)</f>
        <v>10357094000</v>
      </c>
      <c r="J472" s="4" t="str">
        <f>IFERROR(__xludf.DUMMYFUNCTION("""COMPUTED_VALUE"""),"Trimble")</f>
        <v>Trimble</v>
      </c>
      <c r="K472" s="4">
        <f>IFERROR(__xludf.DUMMYFUNCTION("""COMPUTED_VALUE"""),5.538E8)</f>
        <v>553800000</v>
      </c>
      <c r="L472" s="4">
        <f>IFERROR(__xludf.DUMMYFUNCTION("""COMPUTED_VALUE"""),3.4535E9)</f>
        <v>3453500000</v>
      </c>
      <c r="O472" s="4" t="s">
        <v>934</v>
      </c>
      <c r="P472" s="4">
        <f>SUMIF(Cleaned_Data!C$2:C$2013,O472,Cleaned_Data!K$2:K$2013)</f>
        <v>553800000</v>
      </c>
      <c r="Q472" s="4">
        <f>SUMIF(Cleaned_Data!C$2:C$2013,O472,Cleaned_Data!N$2:N$2013)</f>
        <v>3453500000</v>
      </c>
      <c r="R472" s="6">
        <f t="shared" si="5"/>
        <v>0.160359056</v>
      </c>
    </row>
    <row r="473">
      <c r="D473" s="4" t="s">
        <v>978</v>
      </c>
      <c r="E473" s="4">
        <f>SUMIF(Cleaned_Data!C$2:C$2013,D473,Cleaned_Data!N$2:N$2013)</f>
        <v>26028000000</v>
      </c>
      <c r="J473" s="4" t="str">
        <f>IFERROR(__xludf.DUMMYFUNCTION("""COMPUTED_VALUE"""),"Truist Financial")</f>
        <v>Truist Financial</v>
      </c>
      <c r="K473" s="4">
        <f>IFERROR(__xludf.DUMMYFUNCTION("""COMPUTED_VALUE"""),8.663E9)</f>
        <v>8663000000</v>
      </c>
      <c r="L473" s="4">
        <f>IFERROR(__xludf.DUMMYFUNCTION("""COMPUTED_VALUE"""),2.2143E10)</f>
        <v>22143000000</v>
      </c>
      <c r="O473" s="4" t="s">
        <v>936</v>
      </c>
      <c r="P473" s="4">
        <f>SUMIF(Cleaned_Data!C$2:C$2013,O473,Cleaned_Data!K$2:K$2013)</f>
        <v>8663000000</v>
      </c>
      <c r="Q473" s="4">
        <f>SUMIF(Cleaned_Data!C$2:C$2013,O473,Cleaned_Data!N$2:N$2013)</f>
        <v>22143000000</v>
      </c>
      <c r="R473" s="6">
        <f t="shared" si="5"/>
        <v>0.391229734</v>
      </c>
    </row>
    <row r="474">
      <c r="D474" s="4" t="s">
        <v>980</v>
      </c>
      <c r="E474" s="4">
        <f>SUMIF(Cleaned_Data!C$2:C$2013,D474,Cleaned_Data!N$2:N$2013)</f>
        <v>15603700000</v>
      </c>
      <c r="J474" s="4" t="str">
        <f>IFERROR(__xludf.DUMMYFUNCTION("""COMPUTED_VALUE"""),"Twitter")</f>
        <v>Twitter</v>
      </c>
      <c r="K474" s="4">
        <f>IFERROR(__xludf.DUMMYFUNCTION("""COMPUTED_VALUE"""),5.40315E8)</f>
        <v>540315000</v>
      </c>
      <c r="L474" s="4">
        <f>IFERROR(__xludf.DUMMYFUNCTION("""COMPUTED_VALUE"""),4.451719E9)</f>
        <v>4451719000</v>
      </c>
      <c r="O474" s="4" t="s">
        <v>938</v>
      </c>
      <c r="P474" s="4">
        <f>SUMIF(Cleaned_Data!C$2:C$2013,O474,Cleaned_Data!K$2:K$2013)</f>
        <v>540315000</v>
      </c>
      <c r="Q474" s="4">
        <f>SUMIF(Cleaned_Data!C$2:C$2013,O474,Cleaned_Data!N$2:N$2013)</f>
        <v>4451719000</v>
      </c>
      <c r="R474" s="6">
        <f t="shared" si="5"/>
        <v>0.121372216</v>
      </c>
    </row>
    <row r="475">
      <c r="D475" s="4" t="s">
        <v>982</v>
      </c>
      <c r="E475" s="4">
        <f>SUMIF(Cleaned_Data!C$2:C$2013,D475,Cleaned_Data!N$2:N$2013)</f>
        <v>22647000000</v>
      </c>
      <c r="J475" s="4" t="str">
        <f>IFERROR(__xludf.DUMMYFUNCTION("""COMPUTED_VALUE"""),"Tyler Technologies")</f>
        <v>Tyler Technologies</v>
      </c>
      <c r="K475" s="4">
        <f>IFERROR(__xludf.DUMMYFUNCTION("""COMPUTED_VALUE"""),1.78054E8)</f>
        <v>178054000</v>
      </c>
      <c r="L475" s="4">
        <f>IFERROR(__xludf.DUMMYFUNCTION("""COMPUTED_VALUE"""),1.134924E9)</f>
        <v>1134924000</v>
      </c>
      <c r="O475" s="4" t="s">
        <v>940</v>
      </c>
      <c r="P475" s="4">
        <f>SUMIF(Cleaned_Data!C$2:C$2013,O475,Cleaned_Data!K$2:K$2013)</f>
        <v>178054000</v>
      </c>
      <c r="Q475" s="4">
        <f>SUMIF(Cleaned_Data!C$2:C$2013,O475,Cleaned_Data!N$2:N$2013)</f>
        <v>1134924000</v>
      </c>
      <c r="R475" s="6">
        <f t="shared" si="5"/>
        <v>0.1568862761</v>
      </c>
    </row>
    <row r="476">
      <c r="D476" s="4" t="s">
        <v>984</v>
      </c>
      <c r="E476" s="4">
        <f>SUMIF(Cleaned_Data!C$2:C$2013,D476,Cleaned_Data!N$2:N$2013)</f>
        <v>1610491000</v>
      </c>
      <c r="J476" s="4" t="str">
        <f>IFERROR(__xludf.DUMMYFUNCTION("""COMPUTED_VALUE"""),"Tyson Foods")</f>
        <v>Tyson Foods</v>
      </c>
      <c r="K476" s="4">
        <f>IFERROR(__xludf.DUMMYFUNCTION("""COMPUTED_VALUE"""),3.994E9)</f>
        <v>3994000000</v>
      </c>
      <c r="L476" s="4">
        <f>IFERROR(__xludf.DUMMYFUNCTION("""COMPUTED_VALUE"""),4.5698E10)</f>
        <v>45698000000</v>
      </c>
      <c r="O476" s="4" t="s">
        <v>942</v>
      </c>
      <c r="P476" s="4">
        <f>SUMIF(Cleaned_Data!C$2:C$2013,O476,Cleaned_Data!K$2:K$2013)</f>
        <v>3994000000</v>
      </c>
      <c r="Q476" s="4">
        <f>SUMIF(Cleaned_Data!C$2:C$2013,O476,Cleaned_Data!N$2:N$2013)</f>
        <v>45698000000</v>
      </c>
      <c r="R476" s="6">
        <f t="shared" si="5"/>
        <v>0.08739988621</v>
      </c>
    </row>
    <row r="477">
      <c r="D477" s="4" t="s">
        <v>986</v>
      </c>
      <c r="E477" s="4">
        <f>SUMIF(Cleaned_Data!C$2:C$2013,D477,Cleaned_Data!N$2:N$2013)</f>
        <v>4914400000</v>
      </c>
      <c r="J477" s="4" t="str">
        <f>IFERROR(__xludf.DUMMYFUNCTION("""COMPUTED_VALUE"""),"U.S. Bancorp")</f>
        <v>U.S. Bancorp</v>
      </c>
      <c r="K477" s="4">
        <f>IFERROR(__xludf.DUMMYFUNCTION("""COMPUTED_VALUE"""),9.274E9)</f>
        <v>9274000000</v>
      </c>
      <c r="L477" s="4">
        <f>IFERROR(__xludf.DUMMYFUNCTION("""COMPUTED_VALUE"""),2.2641E10)</f>
        <v>22641000000</v>
      </c>
      <c r="O477" s="4" t="s">
        <v>944</v>
      </c>
      <c r="P477" s="4">
        <f>SUMIF(Cleaned_Data!C$2:C$2013,O477,Cleaned_Data!K$2:K$2013)</f>
        <v>9274000000</v>
      </c>
      <c r="Q477" s="4">
        <f>SUMIF(Cleaned_Data!C$2:C$2013,O477,Cleaned_Data!N$2:N$2013)</f>
        <v>22641000000</v>
      </c>
      <c r="R477" s="6">
        <f t="shared" si="5"/>
        <v>0.4096108829</v>
      </c>
    </row>
    <row r="478">
      <c r="D478" s="4" t="s">
        <v>988</v>
      </c>
      <c r="E478" s="4">
        <f>SUMIF(Cleaned_Data!C$2:C$2013,D478,Cleaned_Data!N$2:N$2013)</f>
        <v>8805245000</v>
      </c>
      <c r="J478" s="4" t="str">
        <f>IFERROR(__xludf.DUMMYFUNCTION("""COMPUTED_VALUE"""),"Ulta Beauty")</f>
        <v>Ulta Beauty</v>
      </c>
      <c r="K478" s="4">
        <f>IFERROR(__xludf.DUMMYFUNCTION("""COMPUTED_VALUE"""),1.06622E9)</f>
        <v>1066220000</v>
      </c>
      <c r="L478" s="4">
        <f>IFERROR(__xludf.DUMMYFUNCTION("""COMPUTED_VALUE"""),7.65646E9)</f>
        <v>7656460000</v>
      </c>
      <c r="O478" s="4" t="s">
        <v>946</v>
      </c>
      <c r="P478" s="4">
        <f>SUMIF(Cleaned_Data!C$2:C$2013,O478,Cleaned_Data!K$2:K$2013)</f>
        <v>1066220000</v>
      </c>
      <c r="Q478" s="4">
        <f>SUMIF(Cleaned_Data!C$2:C$2013,O478,Cleaned_Data!N$2:N$2013)</f>
        <v>7656460000</v>
      </c>
      <c r="R478" s="6">
        <f t="shared" si="5"/>
        <v>0.1392575681</v>
      </c>
    </row>
    <row r="479">
      <c r="D479" s="4" t="s">
        <v>990</v>
      </c>
      <c r="E479" s="4">
        <f>SUMIF(Cleaned_Data!C$2:C$2013,D479,Cleaned_Data!N$2:N$2013)</f>
        <v>12250000000</v>
      </c>
      <c r="J479" s="4" t="str">
        <f>IFERROR(__xludf.DUMMYFUNCTION("""COMPUTED_VALUE"""),"Under Armour (Class A)")</f>
        <v>Under Armour (Class A)</v>
      </c>
      <c r="K479" s="4">
        <f>IFERROR(__xludf.DUMMYFUNCTION("""COMPUTED_VALUE"""),4.8532E8)</f>
        <v>485320000</v>
      </c>
      <c r="L479" s="4">
        <f>IFERROR(__xludf.DUMMYFUNCTION("""COMPUTED_VALUE"""),5.445516E9)</f>
        <v>5445516000</v>
      </c>
      <c r="O479" s="4" t="s">
        <v>948</v>
      </c>
      <c r="P479" s="4">
        <f>SUMIF(Cleaned_Data!C$2:C$2013,O479,Cleaned_Data!K$2:K$2013)</f>
        <v>485320000</v>
      </c>
      <c r="Q479" s="4">
        <f>SUMIF(Cleaned_Data!C$2:C$2013,O479,Cleaned_Data!N$2:N$2013)</f>
        <v>5445516000</v>
      </c>
      <c r="R479" s="6">
        <f t="shared" si="5"/>
        <v>0.08912286733</v>
      </c>
    </row>
    <row r="480">
      <c r="D480" s="4" t="s">
        <v>992</v>
      </c>
      <c r="E480" s="4">
        <f>SUMIF(Cleaned_Data!C$2:C$2013,D480,Cleaned_Data!N$2:N$2013)</f>
        <v>7456400000</v>
      </c>
      <c r="J480" s="4" t="str">
        <f>IFERROR(__xludf.DUMMYFUNCTION("""COMPUTED_VALUE"""),"Under Armour (Class C)")</f>
        <v>Under Armour (Class C)</v>
      </c>
      <c r="K480" s="4">
        <f>IFERROR(__xludf.DUMMYFUNCTION("""COMPUTED_VALUE"""),4.8532E8)</f>
        <v>485320000</v>
      </c>
      <c r="L480" s="4">
        <f>IFERROR(__xludf.DUMMYFUNCTION("""COMPUTED_VALUE"""),5.445516E9)</f>
        <v>5445516000</v>
      </c>
      <c r="O480" s="4" t="s">
        <v>950</v>
      </c>
      <c r="P480" s="4">
        <f>SUMIF(Cleaned_Data!C$2:C$2013,O480,Cleaned_Data!K$2:K$2013)</f>
        <v>485320000</v>
      </c>
      <c r="Q480" s="4">
        <f>SUMIF(Cleaned_Data!C$2:C$2013,O480,Cleaned_Data!N$2:N$2013)</f>
        <v>5445516000</v>
      </c>
      <c r="R480" s="6">
        <f t="shared" si="5"/>
        <v>0.08912286733</v>
      </c>
    </row>
    <row r="481">
      <c r="D481" s="4" t="s">
        <v>994</v>
      </c>
      <c r="E481" s="4">
        <f>SUMIF(Cleaned_Data!C$2:C$2013,D481,Cleaned_Data!N$2:N$2013)</f>
        <v>133594000000</v>
      </c>
      <c r="J481" s="4" t="str">
        <f>IFERROR(__xludf.DUMMYFUNCTION("""COMPUTED_VALUE"""),"Union Pacific")</f>
        <v>Union Pacific</v>
      </c>
      <c r="K481" s="4">
        <f>IFERROR(__xludf.DUMMYFUNCTION("""COMPUTED_VALUE"""),8.541E9)</f>
        <v>8541000000</v>
      </c>
      <c r="L481" s="4">
        <f>IFERROR(__xludf.DUMMYFUNCTION("""COMPUTED_VALUE"""),2.0565E10)</f>
        <v>20565000000</v>
      </c>
      <c r="O481" s="4" t="s">
        <v>952</v>
      </c>
      <c r="P481" s="4">
        <f>SUMIF(Cleaned_Data!C$2:C$2013,O481,Cleaned_Data!K$2:K$2013)</f>
        <v>8541000000</v>
      </c>
      <c r="Q481" s="4">
        <f>SUMIF(Cleaned_Data!C$2:C$2013,O481,Cleaned_Data!N$2:N$2013)</f>
        <v>20565000000</v>
      </c>
      <c r="R481" s="6">
        <f t="shared" si="5"/>
        <v>0.4153172867</v>
      </c>
    </row>
    <row r="482">
      <c r="D482" s="4" t="s">
        <v>996</v>
      </c>
      <c r="E482" s="4">
        <f>SUMIF(Cleaned_Data!C$2:C$2013,D482,Cleaned_Data!N$2:N$2013)</f>
        <v>566145000000</v>
      </c>
      <c r="J482" s="4" t="str">
        <f>IFERROR(__xludf.DUMMYFUNCTION("""COMPUTED_VALUE"""),"United Airlines")</f>
        <v>United Airlines</v>
      </c>
      <c r="K482" s="4">
        <f>IFERROR(__xludf.DUMMYFUNCTION("""COMPUTED_VALUE"""),-9.332E9)</f>
        <v>-9332000000</v>
      </c>
      <c r="L482" s="4">
        <f>IFERROR(__xludf.DUMMYFUNCTION("""COMPUTED_VALUE"""),1.4593E10)</f>
        <v>14593000000</v>
      </c>
      <c r="O482" s="4" t="s">
        <v>954</v>
      </c>
      <c r="P482" s="4">
        <f>SUMIF(Cleaned_Data!C$2:C$2013,O482,Cleaned_Data!K$2:K$2013)</f>
        <v>-9332000000</v>
      </c>
      <c r="Q482" s="4">
        <f>SUMIF(Cleaned_Data!C$2:C$2013,O482,Cleaned_Data!N$2:N$2013)</f>
        <v>14593000000</v>
      </c>
      <c r="R482" s="6">
        <f t="shared" si="5"/>
        <v>-0.6394846844</v>
      </c>
    </row>
    <row r="483">
      <c r="D483" s="4" t="s">
        <v>998</v>
      </c>
      <c r="E483" s="4">
        <f>SUMIF(Cleaned_Data!C$2:C$2013,D483,Cleaned_Data!N$2:N$2013)</f>
        <v>16516000000</v>
      </c>
      <c r="J483" s="4" t="str">
        <f>IFERROR(__xludf.DUMMYFUNCTION("""COMPUTED_VALUE"""),"United Parcel Service")</f>
        <v>United Parcel Service</v>
      </c>
      <c r="K483" s="4">
        <f>IFERROR(__xludf.DUMMYFUNCTION("""COMPUTED_VALUE"""),7.334E9)</f>
        <v>7334000000</v>
      </c>
      <c r="L483" s="4">
        <f>IFERROR(__xludf.DUMMYFUNCTION("""COMPUTED_VALUE"""),9.2466E10)</f>
        <v>92466000000</v>
      </c>
      <c r="O483" s="4" t="s">
        <v>956</v>
      </c>
      <c r="P483" s="4">
        <f>SUMIF(Cleaned_Data!C$2:C$2013,O483,Cleaned_Data!K$2:K$2013)</f>
        <v>7334000000</v>
      </c>
      <c r="Q483" s="4">
        <f>SUMIF(Cleaned_Data!C$2:C$2013,O483,Cleaned_Data!N$2:N$2013)</f>
        <v>92466000000</v>
      </c>
      <c r="R483" s="6">
        <f t="shared" si="5"/>
        <v>0.07931564034</v>
      </c>
    </row>
    <row r="484">
      <c r="D484" s="4" t="s">
        <v>1000</v>
      </c>
      <c r="E484" s="4">
        <f>SUMIF(Cleaned_Data!C$2:C$2013,D484,Cleaned_Data!N$2:N$2013)</f>
        <v>2670634000</v>
      </c>
      <c r="J484" s="4" t="str">
        <f>IFERROR(__xludf.DUMMYFUNCTION("""COMPUTED_VALUE"""),"United Rentals")</f>
        <v>United Rentals</v>
      </c>
      <c r="K484" s="4">
        <f>IFERROR(__xludf.DUMMYFUNCTION("""COMPUTED_VALUE"""),1.976E9)</f>
        <v>1976000000</v>
      </c>
      <c r="L484" s="4">
        <f>IFERROR(__xludf.DUMMYFUNCTION("""COMPUTED_VALUE"""),8.81E9)</f>
        <v>8810000000</v>
      </c>
      <c r="O484" s="4" t="s">
        <v>958</v>
      </c>
      <c r="P484" s="4">
        <f>SUMIF(Cleaned_Data!C$2:C$2013,O484,Cleaned_Data!K$2:K$2013)</f>
        <v>1976000000</v>
      </c>
      <c r="Q484" s="4">
        <f>SUMIF(Cleaned_Data!C$2:C$2013,O484,Cleaned_Data!N$2:N$2013)</f>
        <v>8810000000</v>
      </c>
      <c r="R484" s="6">
        <f t="shared" si="5"/>
        <v>0.2242905789</v>
      </c>
    </row>
    <row r="485">
      <c r="D485" s="4" t="s">
        <v>1002</v>
      </c>
      <c r="E485" s="4">
        <f>SUMIF(Cleaned_Data!C$2:C$2013,D485,Cleaned_Data!N$2:N$2013)</f>
        <v>7952000000</v>
      </c>
      <c r="J485" s="4" t="str">
        <f>IFERROR(__xludf.DUMMYFUNCTION("""COMPUTED_VALUE"""),"UnitedHealth Group")</f>
        <v>UnitedHealth Group</v>
      </c>
      <c r="K485" s="4">
        <f>IFERROR(__xludf.DUMMYFUNCTION("""COMPUTED_VALUE"""),2.0885E10)</f>
        <v>20885000000</v>
      </c>
      <c r="L485" s="4">
        <f>IFERROR(__xludf.DUMMYFUNCTION("""COMPUTED_VALUE"""),2.72099E11)</f>
        <v>272099000000</v>
      </c>
      <c r="O485" s="4" t="s">
        <v>960</v>
      </c>
      <c r="P485" s="4">
        <f>SUMIF(Cleaned_Data!C$2:C$2013,O485,Cleaned_Data!K$2:K$2013)</f>
        <v>20885000000</v>
      </c>
      <c r="Q485" s="4">
        <f>SUMIF(Cleaned_Data!C$2:C$2013,O485,Cleaned_Data!N$2:N$2013)</f>
        <v>272099000000</v>
      </c>
      <c r="R485" s="6">
        <f t="shared" si="5"/>
        <v>0.07675515162</v>
      </c>
    </row>
    <row r="486">
      <c r="D486" s="4" t="s">
        <v>1004</v>
      </c>
      <c r="E486" s="4">
        <f>SUMIF(Cleaned_Data!C$2:C$2013,D486,Cleaned_Data!N$2:N$2013)</f>
        <v>77348000000</v>
      </c>
      <c r="J486" s="4" t="str">
        <f>IFERROR(__xludf.DUMMYFUNCTION("""COMPUTED_VALUE"""),"Universal Health Services")</f>
        <v>Universal Health Services</v>
      </c>
      <c r="K486" s="4">
        <f>IFERROR(__xludf.DUMMYFUNCTION("""COMPUTED_VALUE"""),1.499266E9)</f>
        <v>1499266000</v>
      </c>
      <c r="L486" s="4">
        <f>IFERROR(__xludf.DUMMYFUNCTION("""COMPUTED_VALUE"""),1.2210343E10)</f>
        <v>12210343000</v>
      </c>
      <c r="O486" s="4" t="s">
        <v>962</v>
      </c>
      <c r="P486" s="4">
        <f>SUMIF(Cleaned_Data!C$2:C$2013,O486,Cleaned_Data!K$2:K$2013)</f>
        <v>1499266000</v>
      </c>
      <c r="Q486" s="4">
        <f>SUMIF(Cleaned_Data!C$2:C$2013,O486,Cleaned_Data!N$2:N$2013)</f>
        <v>12210343000</v>
      </c>
      <c r="R486" s="6">
        <f t="shared" si="5"/>
        <v>0.1227865589</v>
      </c>
    </row>
    <row r="487">
      <c r="D487" s="4" t="s">
        <v>1006</v>
      </c>
      <c r="E487" s="4">
        <f>SUMIF(Cleaned_Data!C$2:C$2013,D487,Cleaned_Data!N$2:N$2013)</f>
        <v>4351944000</v>
      </c>
      <c r="J487" s="4" t="str">
        <f>IFERROR(__xludf.DUMMYFUNCTION("""COMPUTED_VALUE"""),"VF Corporation")</f>
        <v>VF Corporation</v>
      </c>
      <c r="K487" s="4">
        <f>IFERROR(__xludf.DUMMYFUNCTION("""COMPUTED_VALUE"""),1.120928E9)</f>
        <v>1120928000</v>
      </c>
      <c r="L487" s="4">
        <f>IFERROR(__xludf.DUMMYFUNCTION("""COMPUTED_VALUE"""),1.0357094E10)</f>
        <v>10357094000</v>
      </c>
      <c r="O487" s="4" t="s">
        <v>964</v>
      </c>
      <c r="P487" s="4">
        <f>SUMIF(Cleaned_Data!C$2:C$2013,O487,Cleaned_Data!K$2:K$2013)</f>
        <v>-1171000000</v>
      </c>
      <c r="Q487" s="4">
        <f>SUMIF(Cleaned_Data!C$2:C$2013,O487,Cleaned_Data!N$2:N$2013)</f>
        <v>75780000000</v>
      </c>
      <c r="R487" s="6">
        <f t="shared" si="5"/>
        <v>-0.01545262602</v>
      </c>
    </row>
    <row r="488">
      <c r="D488" s="4" t="s">
        <v>1008</v>
      </c>
      <c r="E488" s="4">
        <f>SUMIF(Cleaned_Data!C$2:C$2013,D488,Cleaned_Data!N$2:N$2013)</f>
        <v>2522500000</v>
      </c>
      <c r="J488" s="4" t="str">
        <f>IFERROR(__xludf.DUMMYFUNCTION("""COMPUTED_VALUE"""),"Valero Energy")</f>
        <v>Valero Energy</v>
      </c>
      <c r="K488" s="4">
        <f>IFERROR(__xludf.DUMMYFUNCTION("""COMPUTED_VALUE"""),-1.171E9)</f>
        <v>-1171000000</v>
      </c>
      <c r="L488" s="4">
        <f>IFERROR(__xludf.DUMMYFUNCTION("""COMPUTED_VALUE"""),7.578E10)</f>
        <v>75780000000</v>
      </c>
      <c r="O488" s="4" t="s">
        <v>966</v>
      </c>
      <c r="P488" s="4">
        <f>SUMIF(Cleaned_Data!C$2:C$2013,O488,Cleaned_Data!K$2:K$2013)</f>
        <v>525211000</v>
      </c>
      <c r="Q488" s="4">
        <f>SUMIF(Cleaned_Data!C$2:C$2013,O488,Cleaned_Data!N$2:N$2013)</f>
        <v>3690535000</v>
      </c>
      <c r="R488" s="6">
        <f t="shared" si="5"/>
        <v>0.1423129709</v>
      </c>
    </row>
    <row r="489">
      <c r="D489" s="4" t="s">
        <v>1010</v>
      </c>
      <c r="E489" s="4">
        <f>SUMIF(Cleaned_Data!C$2:C$2013,D489,Cleaned_Data!N$2:N$2013)</f>
        <v>16289000000</v>
      </c>
      <c r="J489" s="4" t="str">
        <f>IFERROR(__xludf.DUMMYFUNCTION("""COMPUTED_VALUE"""),"Ventas")</f>
        <v>Ventas</v>
      </c>
      <c r="K489" s="4">
        <f>IFERROR(__xludf.DUMMYFUNCTION("""COMPUTED_VALUE"""),5.25211E8)</f>
        <v>525211000</v>
      </c>
      <c r="L489" s="4">
        <f>IFERROR(__xludf.DUMMYFUNCTION("""COMPUTED_VALUE"""),3.690535E9)</f>
        <v>3690535000</v>
      </c>
      <c r="O489" s="4" t="s">
        <v>968</v>
      </c>
      <c r="P489" s="4">
        <f>SUMIF(Cleaned_Data!C$2:C$2013,O489,Cleaned_Data!K$2:K$2013)</f>
        <v>834543000</v>
      </c>
      <c r="Q489" s="4">
        <f>SUMIF(Cleaned_Data!C$2:C$2013,O489,Cleaned_Data!N$2:N$2013)</f>
        <v>1291189000</v>
      </c>
      <c r="R489" s="6">
        <f t="shared" si="5"/>
        <v>0.646336826</v>
      </c>
    </row>
    <row r="490">
      <c r="D490" s="4" t="s">
        <v>1012</v>
      </c>
      <c r="E490" s="4">
        <f>SUMIF(Cleaned_Data!C$2:C$2013,D490,Cleaned_Data!N$2:N$2013)</f>
        <v>5030000000</v>
      </c>
      <c r="J490" s="4" t="str">
        <f>IFERROR(__xludf.DUMMYFUNCTION("""COMPUTED_VALUE"""),"Verisign")</f>
        <v>Verisign</v>
      </c>
      <c r="K490" s="4">
        <f>IFERROR(__xludf.DUMMYFUNCTION("""COMPUTED_VALUE"""),8.34543E8)</f>
        <v>834543000</v>
      </c>
      <c r="L490" s="4">
        <f>IFERROR(__xludf.DUMMYFUNCTION("""COMPUTED_VALUE"""),1.291189E9)</f>
        <v>1291189000</v>
      </c>
      <c r="O490" s="4" t="s">
        <v>970</v>
      </c>
      <c r="P490" s="4">
        <f>SUMIF(Cleaned_Data!C$2:C$2013,O490,Cleaned_Data!K$2:K$2013)</f>
        <v>1044400000</v>
      </c>
      <c r="Q490" s="4">
        <f>SUMIF(Cleaned_Data!C$2:C$2013,O490,Cleaned_Data!N$2:N$2013)</f>
        <v>2889700000</v>
      </c>
      <c r="R490" s="6">
        <f t="shared" si="5"/>
        <v>0.3614216009</v>
      </c>
    </row>
    <row r="491">
      <c r="D491" s="4" t="s">
        <v>1014</v>
      </c>
      <c r="E491" s="4">
        <f>SUMIF(Cleaned_Data!C$2:C$2013,D491,Cleaned_Data!N$2:N$2013)</f>
        <v>17547100000</v>
      </c>
      <c r="J491" s="4" t="str">
        <f>IFERROR(__xludf.DUMMYFUNCTION("""COMPUTED_VALUE"""),"Verisk Analytics")</f>
        <v>Verisk Analytics</v>
      </c>
      <c r="K491" s="4">
        <f>IFERROR(__xludf.DUMMYFUNCTION("""COMPUTED_VALUE"""),1.0444E9)</f>
        <v>1044400000</v>
      </c>
      <c r="L491" s="4">
        <f>IFERROR(__xludf.DUMMYFUNCTION("""COMPUTED_VALUE"""),2.8897E9)</f>
        <v>2889700000</v>
      </c>
      <c r="O491" s="4" t="s">
        <v>972</v>
      </c>
      <c r="P491" s="4">
        <f>SUMIF(Cleaned_Data!C$2:C$2013,O491,Cleaned_Data!K$2:K$2013)</f>
        <v>32561000000</v>
      </c>
      <c r="Q491" s="4">
        <f>SUMIF(Cleaned_Data!C$2:C$2013,O491,Cleaned_Data!N$2:N$2013)</f>
        <v>132866000000</v>
      </c>
      <c r="R491" s="6">
        <f t="shared" si="5"/>
        <v>0.2450664579</v>
      </c>
    </row>
    <row r="492">
      <c r="D492" s="4" t="s">
        <v>1016</v>
      </c>
      <c r="E492" s="4">
        <f>SUMIF(Cleaned_Data!C$2:C$2013,D492,Cleaned_Data!N$2:N$2013)</f>
        <v>9823000000</v>
      </c>
      <c r="J492" s="4" t="str">
        <f>IFERROR(__xludf.DUMMYFUNCTION("""COMPUTED_VALUE"""),"Verizon Communications")</f>
        <v>Verizon Communications</v>
      </c>
      <c r="K492" s="4">
        <f>IFERROR(__xludf.DUMMYFUNCTION("""COMPUTED_VALUE"""),3.2561E10)</f>
        <v>32561000000</v>
      </c>
      <c r="L492" s="4">
        <f>IFERROR(__xludf.DUMMYFUNCTION("""COMPUTED_VALUE"""),1.32866E11)</f>
        <v>132866000000</v>
      </c>
      <c r="O492" s="4" t="s">
        <v>974</v>
      </c>
      <c r="P492" s="4">
        <f>SUMIF(Cleaned_Data!C$2:C$2013,O492,Cleaned_Data!K$2:K$2013)</f>
        <v>2267898000</v>
      </c>
      <c r="Q492" s="4">
        <f>SUMIF(Cleaned_Data!C$2:C$2013,O492,Cleaned_Data!N$2:N$2013)</f>
        <v>6683766000</v>
      </c>
      <c r="R492" s="6">
        <f t="shared" si="5"/>
        <v>0.3393143925</v>
      </c>
    </row>
    <row r="493">
      <c r="D493" s="4" t="s">
        <v>1018</v>
      </c>
      <c r="E493" s="4">
        <f>SUMIF(Cleaned_Data!C$2:C$2013,D493,Cleaned_Data!N$2:N$2013)</f>
        <v>21771000000</v>
      </c>
      <c r="J493" s="4" t="str">
        <f>IFERROR(__xludf.DUMMYFUNCTION("""COMPUTED_VALUE"""),"Vertex Pharmaceuticals")</f>
        <v>Vertex Pharmaceuticals</v>
      </c>
      <c r="K493" s="4">
        <f>IFERROR(__xludf.DUMMYFUNCTION("""COMPUTED_VALUE"""),2.267898E9)</f>
        <v>2267898000</v>
      </c>
      <c r="L493" s="4">
        <f>IFERROR(__xludf.DUMMYFUNCTION("""COMPUTED_VALUE"""),6.683766E9)</f>
        <v>6683766000</v>
      </c>
      <c r="O493" s="4" t="s">
        <v>976</v>
      </c>
      <c r="P493" s="4">
        <f>SUMIF(Cleaned_Data!C$2:C$2013,O493,Cleaned_Data!K$2:K$2013)</f>
        <v>1120928000</v>
      </c>
      <c r="Q493" s="4">
        <f>SUMIF(Cleaned_Data!C$2:C$2013,O493,Cleaned_Data!N$2:N$2013)</f>
        <v>10357094000</v>
      </c>
      <c r="R493" s="6">
        <f t="shared" si="5"/>
        <v>0.1082280416</v>
      </c>
    </row>
    <row r="494">
      <c r="D494" s="4" t="s">
        <v>1020</v>
      </c>
      <c r="E494" s="4">
        <f>SUMIF(Cleaned_Data!C$2:C$2013,D494,Cleaned_Data!N$2:N$2013)</f>
        <v>8920000000</v>
      </c>
      <c r="J494" s="4" t="str">
        <f>IFERROR(__xludf.DUMMYFUNCTION("""COMPUTED_VALUE"""),"ViacomCBS")</f>
        <v>ViacomCBS</v>
      </c>
      <c r="K494" s="4">
        <f>IFERROR(__xludf.DUMMYFUNCTION("""COMPUTED_VALUE"""),4.877E9)</f>
        <v>4877000000</v>
      </c>
      <c r="L494" s="4">
        <f>IFERROR(__xludf.DUMMYFUNCTION("""COMPUTED_VALUE"""),2.6028E10)</f>
        <v>26028000000</v>
      </c>
      <c r="O494" s="4" t="s">
        <v>978</v>
      </c>
      <c r="P494" s="4">
        <f>SUMIF(Cleaned_Data!C$2:C$2013,O494,Cleaned_Data!K$2:K$2013)</f>
        <v>4877000000</v>
      </c>
      <c r="Q494" s="4">
        <f>SUMIF(Cleaned_Data!C$2:C$2013,O494,Cleaned_Data!N$2:N$2013)</f>
        <v>26028000000</v>
      </c>
      <c r="R494" s="6">
        <f t="shared" si="5"/>
        <v>0.1873751345</v>
      </c>
    </row>
    <row r="495">
      <c r="D495" s="4" t="s">
        <v>1022</v>
      </c>
      <c r="E495" s="4">
        <f>SUMIF(Cleaned_Data!C$2:C$2013,D495,Cleaned_Data!N$2:N$2013)</f>
        <v>9476000000</v>
      </c>
      <c r="J495" s="4" t="str">
        <f>IFERROR(__xludf.DUMMYFUNCTION("""COMPUTED_VALUE"""),"Viatris")</f>
        <v>Viatris</v>
      </c>
      <c r="K495" s="4">
        <f>IFERROR(__xludf.DUMMYFUNCTION("""COMPUTED_VALUE"""),1.9562E9)</f>
        <v>1956200000</v>
      </c>
      <c r="L495" s="4">
        <f>IFERROR(__xludf.DUMMYFUNCTION("""COMPUTED_VALUE"""),1.56037E10)</f>
        <v>15603700000</v>
      </c>
      <c r="O495" s="4" t="s">
        <v>980</v>
      </c>
      <c r="P495" s="4">
        <f>SUMIF(Cleaned_Data!C$2:C$2013,O495,Cleaned_Data!K$2:K$2013)</f>
        <v>1956200000</v>
      </c>
      <c r="Q495" s="4">
        <f>SUMIF(Cleaned_Data!C$2:C$2013,O495,Cleaned_Data!N$2:N$2013)</f>
        <v>15603700000</v>
      </c>
      <c r="R495" s="6">
        <f t="shared" si="5"/>
        <v>0.1253677013</v>
      </c>
    </row>
    <row r="496">
      <c r="D496" s="4" t="s">
        <v>1024</v>
      </c>
      <c r="E496" s="4">
        <f>SUMIF(Cleaned_Data!C$2:C$2013,D496,Cleaned_Data!N$2:N$2013)</f>
        <v>2783242000</v>
      </c>
      <c r="J496" s="4" t="str">
        <f>IFERROR(__xludf.DUMMYFUNCTION("""COMPUTED_VALUE"""),"Visa")</f>
        <v>Visa</v>
      </c>
      <c r="K496" s="4">
        <f>IFERROR(__xludf.DUMMYFUNCTION("""COMPUTED_VALUE"""),1.4668E10)</f>
        <v>14668000000</v>
      </c>
      <c r="L496" s="4">
        <f>IFERROR(__xludf.DUMMYFUNCTION("""COMPUTED_VALUE"""),2.2647E10)</f>
        <v>22647000000</v>
      </c>
      <c r="O496" s="4" t="s">
        <v>982</v>
      </c>
      <c r="P496" s="4">
        <f>SUMIF(Cleaned_Data!C$2:C$2013,O496,Cleaned_Data!K$2:K$2013)</f>
        <v>14668000000</v>
      </c>
      <c r="Q496" s="4">
        <f>SUMIF(Cleaned_Data!C$2:C$2013,O496,Cleaned_Data!N$2:N$2013)</f>
        <v>22647000000</v>
      </c>
      <c r="R496" s="6">
        <f t="shared" si="5"/>
        <v>0.6476796044</v>
      </c>
    </row>
    <row r="497">
      <c r="D497" s="4" t="s">
        <v>1026</v>
      </c>
      <c r="E497" s="4">
        <f>SUMIF(Cleaned_Data!C$2:C$2013,D497,Cleaned_Data!N$2:N$2013)</f>
        <v>13023000000</v>
      </c>
      <c r="J497" s="4" t="str">
        <f>IFERROR(__xludf.DUMMYFUNCTION("""COMPUTED_VALUE"""),"Vornado Realty Trust")</f>
        <v>Vornado Realty Trust</v>
      </c>
      <c r="K497" s="4">
        <f>IFERROR(__xludf.DUMMYFUNCTION("""COMPUTED_VALUE"""),3.06816E8)</f>
        <v>306816000</v>
      </c>
      <c r="L497" s="4">
        <f>IFERROR(__xludf.DUMMYFUNCTION("""COMPUTED_VALUE"""),1.610491E9)</f>
        <v>1610491000</v>
      </c>
      <c r="O497" s="4" t="s">
        <v>984</v>
      </c>
      <c r="P497" s="4">
        <f>SUMIF(Cleaned_Data!C$2:C$2013,O497,Cleaned_Data!K$2:K$2013)</f>
        <v>306816000</v>
      </c>
      <c r="Q497" s="4">
        <f>SUMIF(Cleaned_Data!C$2:C$2013,O497,Cleaned_Data!N$2:N$2013)</f>
        <v>1610491000</v>
      </c>
      <c r="R497" s="6">
        <f t="shared" si="5"/>
        <v>0.1905108442</v>
      </c>
    </row>
    <row r="498">
      <c r="D498" s="4" t="s">
        <v>1028</v>
      </c>
      <c r="E498" s="4">
        <f>SUMIF(Cleaned_Data!C$2:C$2013,D498,Cleaned_Data!N$2:N$2013)</f>
        <v>3299532000</v>
      </c>
      <c r="J498" s="4" t="str">
        <f>IFERROR(__xludf.DUMMYFUNCTION("""COMPUTED_VALUE"""),"Vulcan Materials")</f>
        <v>Vulcan Materials</v>
      </c>
      <c r="K498" s="4">
        <f>IFERROR(__xludf.DUMMYFUNCTION("""COMPUTED_VALUE"""),9.13636E8)</f>
        <v>913636000</v>
      </c>
      <c r="L498" s="4">
        <f>IFERROR(__xludf.DUMMYFUNCTION("""COMPUTED_VALUE"""),4.9144E9)</f>
        <v>4914400000</v>
      </c>
      <c r="O498" s="4" t="s">
        <v>986</v>
      </c>
      <c r="P498" s="4">
        <f>SUMIF(Cleaned_Data!C$2:C$2013,O498,Cleaned_Data!K$2:K$2013)</f>
        <v>913636000</v>
      </c>
      <c r="Q498" s="4">
        <f>SUMIF(Cleaned_Data!C$2:C$2013,O498,Cleaned_Data!N$2:N$2013)</f>
        <v>4914400000</v>
      </c>
      <c r="R498" s="6">
        <f t="shared" si="5"/>
        <v>0.1859099788</v>
      </c>
    </row>
    <row r="499">
      <c r="D499" s="4" t="s">
        <v>1030</v>
      </c>
      <c r="E499" s="4">
        <f>SUMIF(Cleaned_Data!C$2:C$2013,D499,Cleaned_Data!N$2:N$2013)</f>
        <v>5200000000</v>
      </c>
      <c r="J499" s="4" t="str">
        <f>IFERROR(__xludf.DUMMYFUNCTION("""COMPUTED_VALUE"""),"W. R. Berkley Corporation")</f>
        <v>W. R. Berkley Corporation</v>
      </c>
      <c r="K499" s="4">
        <f>IFERROR(__xludf.DUMMYFUNCTION("""COMPUTED_VALUE"""),1.394534E9)</f>
        <v>1394534000</v>
      </c>
      <c r="L499" s="4">
        <f>IFERROR(__xludf.DUMMYFUNCTION("""COMPUTED_VALUE"""),8.805245E9)</f>
        <v>8805245000</v>
      </c>
      <c r="O499" s="4" t="s">
        <v>988</v>
      </c>
      <c r="P499" s="4">
        <f>SUMIF(Cleaned_Data!C$2:C$2013,O499,Cleaned_Data!K$2:K$2013)</f>
        <v>1394534000</v>
      </c>
      <c r="Q499" s="4">
        <f>SUMIF(Cleaned_Data!C$2:C$2013,O499,Cleaned_Data!N$2:N$2013)</f>
        <v>8805245000</v>
      </c>
      <c r="R499" s="6">
        <f t="shared" si="5"/>
        <v>0.1583753774</v>
      </c>
    </row>
    <row r="500">
      <c r="D500" s="4" t="s">
        <v>1032</v>
      </c>
      <c r="E500" s="4">
        <f>SUMIF(Cleaned_Data!C$2:C$2013,D500,Cleaned_Data!N$2:N$2013)</f>
        <v>6279000000</v>
      </c>
      <c r="J500" s="4" t="str">
        <f>IFERROR(__xludf.DUMMYFUNCTION("""COMPUTED_VALUE"""),"W. W. Grainger")</f>
        <v>W. W. Grainger</v>
      </c>
      <c r="K500" s="4">
        <f>IFERROR(__xludf.DUMMYFUNCTION("""COMPUTED_VALUE"""),1.378E9)</f>
        <v>1378000000</v>
      </c>
      <c r="L500" s="4">
        <f>IFERROR(__xludf.DUMMYFUNCTION("""COMPUTED_VALUE"""),1.225E10)</f>
        <v>12250000000</v>
      </c>
      <c r="O500" s="4" t="s">
        <v>990</v>
      </c>
      <c r="P500" s="4">
        <f>SUMIF(Cleaned_Data!C$2:C$2013,O500,Cleaned_Data!K$2:K$2013)</f>
        <v>1378000000</v>
      </c>
      <c r="Q500" s="4">
        <f>SUMIF(Cleaned_Data!C$2:C$2013,O500,Cleaned_Data!N$2:N$2013)</f>
        <v>12250000000</v>
      </c>
      <c r="R500" s="6">
        <f t="shared" si="5"/>
        <v>0.1124897959</v>
      </c>
    </row>
    <row r="501">
      <c r="D501" s="4" t="s">
        <v>1034</v>
      </c>
      <c r="E501" s="4">
        <f>SUMIF(Cleaned_Data!C$2:C$2013,D501,Cleaned_Data!N$2:N$2013)</f>
        <v>5164000000</v>
      </c>
      <c r="J501" s="4" t="str">
        <f>IFERROR(__xludf.DUMMYFUNCTION("""COMPUTED_VALUE"""),"WEC Energy Group")</f>
        <v>WEC Energy Group</v>
      </c>
      <c r="K501" s="4">
        <f>IFERROR(__xludf.DUMMYFUNCTION("""COMPUTED_VALUE"""),1.8122E9)</f>
        <v>1812200000</v>
      </c>
      <c r="L501" s="4">
        <f>IFERROR(__xludf.DUMMYFUNCTION("""COMPUTED_VALUE"""),7.952E9)</f>
        <v>7952000000</v>
      </c>
      <c r="O501" s="4" t="s">
        <v>992</v>
      </c>
      <c r="P501" s="4">
        <f>SUMIF(Cleaned_Data!C$2:C$2013,O501,Cleaned_Data!K$2:K$2013)</f>
        <v>826200000</v>
      </c>
      <c r="Q501" s="4">
        <f>SUMIF(Cleaned_Data!C$2:C$2013,O501,Cleaned_Data!N$2:N$2013)</f>
        <v>7456400000</v>
      </c>
      <c r="R501" s="6">
        <f t="shared" si="5"/>
        <v>0.1108041414</v>
      </c>
    </row>
    <row r="502">
      <c r="D502" s="4" t="s">
        <v>1036</v>
      </c>
      <c r="E502" s="4">
        <f>SUMIF(Cleaned_Data!C$2:C$2013,D502,Cleaned_Data!N$2:N$2013)</f>
        <v>7888900000</v>
      </c>
      <c r="J502" s="4" t="str">
        <f>IFERROR(__xludf.DUMMYFUNCTION("""COMPUTED_VALUE"""),"Wabtec")</f>
        <v>Wabtec</v>
      </c>
      <c r="K502" s="4">
        <f>IFERROR(__xludf.DUMMYFUNCTION("""COMPUTED_VALUE"""),8.262E8)</f>
        <v>826200000</v>
      </c>
      <c r="L502" s="4">
        <f>IFERROR(__xludf.DUMMYFUNCTION("""COMPUTED_VALUE"""),7.4564E9)</f>
        <v>7456400000</v>
      </c>
      <c r="O502" s="4" t="s">
        <v>994</v>
      </c>
      <c r="P502" s="4">
        <f>SUMIF(Cleaned_Data!C$2:C$2013,O502,Cleaned_Data!K$2:K$2013)</f>
        <v>2245000000</v>
      </c>
      <c r="Q502" s="4">
        <f>SUMIF(Cleaned_Data!C$2:C$2013,O502,Cleaned_Data!N$2:N$2013)</f>
        <v>133594000000</v>
      </c>
      <c r="R502" s="6">
        <f t="shared" si="5"/>
        <v>0.01680464692</v>
      </c>
    </row>
    <row r="503">
      <c r="D503" s="4" t="s">
        <v>1038</v>
      </c>
      <c r="E503" s="4">
        <f>SUMIF(Cleaned_Data!C$2:C$2013,D503,Cleaned_Data!N$2:N$2013)</f>
        <v>3165000000</v>
      </c>
      <c r="J503" s="4" t="str">
        <f>IFERROR(__xludf.DUMMYFUNCTION("""COMPUTED_VALUE"""),"Walgreens Boots Alliance")</f>
        <v>Walgreens Boots Alliance</v>
      </c>
      <c r="K503" s="4">
        <f>IFERROR(__xludf.DUMMYFUNCTION("""COMPUTED_VALUE"""),2.245E9)</f>
        <v>2245000000</v>
      </c>
      <c r="L503" s="4">
        <f>IFERROR(__xludf.DUMMYFUNCTION("""COMPUTED_VALUE"""),1.33594E11)</f>
        <v>133594000000</v>
      </c>
      <c r="O503" s="4" t="s">
        <v>996</v>
      </c>
      <c r="P503" s="4">
        <f>SUMIF(Cleaned_Data!C$2:C$2013,O503,Cleaned_Data!K$2:K$2013)</f>
        <v>27128000000</v>
      </c>
      <c r="Q503" s="4">
        <f>SUMIF(Cleaned_Data!C$2:C$2013,O503,Cleaned_Data!N$2:N$2013)</f>
        <v>566145000000</v>
      </c>
      <c r="R503" s="6">
        <f t="shared" si="5"/>
        <v>0.04791705305</v>
      </c>
    </row>
    <row r="504">
      <c r="D504" s="4" t="s">
        <v>1040</v>
      </c>
      <c r="E504" s="4">
        <f>SUMIF(Cleaned_Data!C$2:C$2013,D504,Cleaned_Data!N$2:N$2013)</f>
        <v>7412000000</v>
      </c>
      <c r="J504" s="4" t="str">
        <f>IFERROR(__xludf.DUMMYFUNCTION("""COMPUTED_VALUE"""),"Walmart")</f>
        <v>Walmart</v>
      </c>
      <c r="K504" s="4">
        <f>IFERROR(__xludf.DUMMYFUNCTION("""COMPUTED_VALUE"""),2.7128E10)</f>
        <v>27128000000</v>
      </c>
      <c r="L504" s="4">
        <f>IFERROR(__xludf.DUMMYFUNCTION("""COMPUTED_VALUE"""),5.66145E11)</f>
        <v>566145000000</v>
      </c>
      <c r="O504" s="4" t="s">
        <v>998</v>
      </c>
      <c r="P504" s="4">
        <f>SUMIF(Cleaned_Data!C$2:C$2013,O504,Cleaned_Data!K$2:K$2013)</f>
        <v>2928000000</v>
      </c>
      <c r="Q504" s="4">
        <f>SUMIF(Cleaned_Data!C$2:C$2013,O504,Cleaned_Data!N$2:N$2013)</f>
        <v>16516000000</v>
      </c>
      <c r="R504" s="6">
        <f t="shared" si="5"/>
        <v>0.177282635</v>
      </c>
    </row>
    <row r="505">
      <c r="J505" s="4" t="str">
        <f>IFERROR(__xludf.DUMMYFUNCTION("""COMPUTED_VALUE"""),"Waste Management")</f>
        <v>Waste Management</v>
      </c>
      <c r="K505" s="4">
        <f>IFERROR(__xludf.DUMMYFUNCTION("""COMPUTED_VALUE"""),2.928E9)</f>
        <v>2928000000</v>
      </c>
      <c r="L505" s="4">
        <f>IFERROR(__xludf.DUMMYFUNCTION("""COMPUTED_VALUE"""),1.6516E10)</f>
        <v>16516000000</v>
      </c>
      <c r="O505" s="4" t="s">
        <v>1000</v>
      </c>
      <c r="P505" s="4">
        <f>SUMIF(Cleaned_Data!C$2:C$2013,O505,Cleaned_Data!K$2:K$2013)</f>
        <v>802543000</v>
      </c>
      <c r="Q505" s="4">
        <f>SUMIF(Cleaned_Data!C$2:C$2013,O505,Cleaned_Data!N$2:N$2013)</f>
        <v>2670634000</v>
      </c>
      <c r="R505" s="6">
        <f t="shared" si="5"/>
        <v>0.3005065464</v>
      </c>
    </row>
    <row r="506">
      <c r="J506" s="4" t="str">
        <f>IFERROR(__xludf.DUMMYFUNCTION("""COMPUTED_VALUE"""),"Waters Corporation")</f>
        <v>Waters Corporation</v>
      </c>
      <c r="K506" s="4">
        <f>IFERROR(__xludf.DUMMYFUNCTION("""COMPUTED_VALUE"""),8.02543E8)</f>
        <v>802543000</v>
      </c>
      <c r="L506" s="4">
        <f>IFERROR(__xludf.DUMMYFUNCTION("""COMPUTED_VALUE"""),2.670634E9)</f>
        <v>2670634000</v>
      </c>
      <c r="O506" s="4" t="s">
        <v>1002</v>
      </c>
      <c r="P506" s="4">
        <f>SUMIF(Cleaned_Data!C$2:C$2013,O506,Cleaned_Data!K$2:K$2013)</f>
        <v>1812200000</v>
      </c>
      <c r="Q506" s="4">
        <f>SUMIF(Cleaned_Data!C$2:C$2013,O506,Cleaned_Data!N$2:N$2013)</f>
        <v>7952000000</v>
      </c>
      <c r="R506" s="6">
        <f t="shared" si="5"/>
        <v>0.2278923541</v>
      </c>
    </row>
    <row r="507">
      <c r="D507" s="1" t="s">
        <v>1042</v>
      </c>
      <c r="J507" s="4" t="str">
        <f>IFERROR(__xludf.DUMMYFUNCTION("""COMPUTED_VALUE"""),"Wells Fargo")</f>
        <v>Wells Fargo</v>
      </c>
      <c r="K507" s="4">
        <f>IFERROR(__xludf.DUMMYFUNCTION("""COMPUTED_VALUE"""),2.1424E10)</f>
        <v>21424000000</v>
      </c>
      <c r="L507" s="4">
        <f>IFERROR(__xludf.DUMMYFUNCTION("""COMPUTED_VALUE"""),7.7348E10)</f>
        <v>77348000000</v>
      </c>
      <c r="O507" s="4" t="s">
        <v>1004</v>
      </c>
      <c r="P507" s="4">
        <f>SUMIF(Cleaned_Data!C$2:C$2013,O507,Cleaned_Data!K$2:K$2013)</f>
        <v>21424000000</v>
      </c>
      <c r="Q507" s="4">
        <f>SUMIF(Cleaned_Data!C$2:C$2013,O507,Cleaned_Data!N$2:N$2013)</f>
        <v>77348000000</v>
      </c>
      <c r="R507" s="6">
        <f t="shared" si="5"/>
        <v>0.2769819517</v>
      </c>
    </row>
    <row r="508">
      <c r="D508" s="4" t="str">
        <f t="array" ref="D508:D1009">UNIQUE(Cleaned_Data!C2:C2013)</f>
        <v>3M</v>
      </c>
      <c r="E508" s="4">
        <f>SUMIF(Cleaned_Data!C$2:C$2013,D508,Cleaned_Data!K$2:K$2013)</f>
        <v>15978000000</v>
      </c>
      <c r="G508" s="4" t="str">
        <f>IFERROR(__xludf.DUMMYFUNCTION("SORTN(D508:E1009,10,0,2,FALSE)"),"Apple")</f>
        <v>Apple</v>
      </c>
      <c r="H508" s="4">
        <f>IFERROR(__xludf.DUMMYFUNCTION("""COMPUTED_VALUE"""),9.9938E10)</f>
        <v>99938000000</v>
      </c>
      <c r="J508" s="4" t="str">
        <f>IFERROR(__xludf.DUMMYFUNCTION("""COMPUTED_VALUE"""),"Welltower")</f>
        <v>Welltower</v>
      </c>
      <c r="K508" s="4">
        <f>IFERROR(__xludf.DUMMYFUNCTION("""COMPUTED_VALUE"""),6.35989E8)</f>
        <v>635989000</v>
      </c>
      <c r="L508" s="4">
        <f>IFERROR(__xludf.DUMMYFUNCTION("""COMPUTED_VALUE"""),4.351944E9)</f>
        <v>4351944000</v>
      </c>
      <c r="O508" s="4" t="s">
        <v>1006</v>
      </c>
      <c r="P508" s="4">
        <f>SUMIF(Cleaned_Data!C$2:C$2013,O508,Cleaned_Data!K$2:K$2013)</f>
        <v>635989000</v>
      </c>
      <c r="Q508" s="4">
        <f>SUMIF(Cleaned_Data!C$2:C$2013,O508,Cleaned_Data!N$2:N$2013)</f>
        <v>4351944000</v>
      </c>
      <c r="R508" s="6">
        <f t="shared" si="5"/>
        <v>0.1461390588</v>
      </c>
    </row>
    <row r="509">
      <c r="D509" s="4" t="s">
        <v>22</v>
      </c>
      <c r="E509" s="4">
        <f>SUMIF(Cleaned_Data!C$2:C$2013,D509,Cleaned_Data!K$2:K$2013)</f>
        <v>579100000</v>
      </c>
      <c r="G509" s="4" t="str">
        <f>IFERROR(__xludf.DUMMYFUNCTION("""COMPUTED_VALUE"""),"Microsoft")</f>
        <v>Microsoft</v>
      </c>
      <c r="H509" s="4">
        <f>IFERROR(__xludf.DUMMYFUNCTION("""COMPUTED_VALUE"""),6.9916E10)</f>
        <v>69916000000</v>
      </c>
      <c r="J509" s="4" t="str">
        <f>IFERROR(__xludf.DUMMYFUNCTION("""COMPUTED_VALUE"""),"West Pharmaceutical Services")</f>
        <v>West Pharmaceutical Services</v>
      </c>
      <c r="K509" s="4">
        <f>IFERROR(__xludf.DUMMYFUNCTION("""COMPUTED_VALUE"""),6.174E8)</f>
        <v>617400000</v>
      </c>
      <c r="L509" s="4">
        <f>IFERROR(__xludf.DUMMYFUNCTION("""COMPUTED_VALUE"""),2.5225E9)</f>
        <v>2522500000</v>
      </c>
      <c r="O509" s="4" t="s">
        <v>1008</v>
      </c>
      <c r="P509" s="4">
        <f>SUMIF(Cleaned_Data!C$2:C$2013,O509,Cleaned_Data!K$2:K$2013)</f>
        <v>617400000</v>
      </c>
      <c r="Q509" s="4">
        <f>SUMIF(Cleaned_Data!C$2:C$2013,O509,Cleaned_Data!N$2:N$2013)</f>
        <v>2522500000</v>
      </c>
      <c r="R509" s="6">
        <f t="shared" si="5"/>
        <v>0.2447571853</v>
      </c>
    </row>
    <row r="510">
      <c r="D510" s="4" t="s">
        <v>24</v>
      </c>
      <c r="E510" s="4">
        <f>SUMIF(Cleaned_Data!C$2:C$2013,D510,Cleaned_Data!K$2:K$2013)</f>
        <v>9292000000</v>
      </c>
      <c r="G510" s="4" t="str">
        <f>IFERROR(__xludf.DUMMYFUNCTION("""COMPUTED_VALUE"""),"Alphabet (Class A)")</f>
        <v>Alphabet (Class A)</v>
      </c>
      <c r="H510" s="4">
        <f>IFERROR(__xludf.DUMMYFUNCTION("""COMPUTED_VALUE"""),6.2662E10)</f>
        <v>62662000000</v>
      </c>
      <c r="J510" s="4" t="str">
        <f>IFERROR(__xludf.DUMMYFUNCTION("""COMPUTED_VALUE"""),"WestRock")</f>
        <v>WestRock</v>
      </c>
      <c r="K510" s="4">
        <f>IFERROR(__xludf.DUMMYFUNCTION("""COMPUTED_VALUE"""),1.2257E9)</f>
        <v>1225700000</v>
      </c>
      <c r="L510" s="4">
        <f>IFERROR(__xludf.DUMMYFUNCTION("""COMPUTED_VALUE"""),1.75471E10)</f>
        <v>17547100000</v>
      </c>
      <c r="O510" s="4" t="s">
        <v>1010</v>
      </c>
      <c r="P510" s="4">
        <f>SUMIF(Cleaned_Data!C$2:C$2013,O510,Cleaned_Data!K$2:K$2013)</f>
        <v>693000000</v>
      </c>
      <c r="Q510" s="4">
        <f>SUMIF(Cleaned_Data!C$2:C$2013,O510,Cleaned_Data!N$2:N$2013)</f>
        <v>16289000000</v>
      </c>
      <c r="R510" s="6">
        <f t="shared" si="5"/>
        <v>0.04254404813</v>
      </c>
    </row>
    <row r="511">
      <c r="D511" s="4" t="s">
        <v>26</v>
      </c>
      <c r="E511" s="4">
        <f>SUMIF(Cleaned_Data!C$2:C$2013,D511,Cleaned_Data!K$2:K$2013)</f>
        <v>19467000000</v>
      </c>
      <c r="G511" s="4" t="str">
        <f>IFERROR(__xludf.DUMMYFUNCTION("""COMPUTED_VALUE"""),"Alphabet (Class C)")</f>
        <v>Alphabet (Class C)</v>
      </c>
      <c r="H511" s="4">
        <f>IFERROR(__xludf.DUMMYFUNCTION("""COMPUTED_VALUE"""),6.2662E10)</f>
        <v>62662000000</v>
      </c>
      <c r="J511" s="4" t="str">
        <f>IFERROR(__xludf.DUMMYFUNCTION("""COMPUTED_VALUE"""),"Western Digital")</f>
        <v>Western Digital</v>
      </c>
      <c r="K511" s="4">
        <f>IFERROR(__xludf.DUMMYFUNCTION("""COMPUTED_VALUE"""),6.93E8)</f>
        <v>693000000</v>
      </c>
      <c r="L511" s="4">
        <f>IFERROR(__xludf.DUMMYFUNCTION("""COMPUTED_VALUE"""),1.6289E10)</f>
        <v>16289000000</v>
      </c>
      <c r="O511" s="4" t="s">
        <v>1012</v>
      </c>
      <c r="P511" s="4">
        <f>SUMIF(Cleaned_Data!C$2:C$2013,O511,Cleaned_Data!K$2:K$2013)</f>
        <v>1009000000</v>
      </c>
      <c r="Q511" s="4">
        <f>SUMIF(Cleaned_Data!C$2:C$2013,O511,Cleaned_Data!N$2:N$2013)</f>
        <v>5030000000</v>
      </c>
      <c r="R511" s="6">
        <f t="shared" si="5"/>
        <v>0.2005964215</v>
      </c>
    </row>
    <row r="512">
      <c r="D512" s="4" t="s">
        <v>28</v>
      </c>
      <c r="E512" s="4">
        <f>SUMIF(Cleaned_Data!C$2:C$2013,D512,Cleaned_Data!K$2:K$2013)</f>
        <v>261956000</v>
      </c>
      <c r="G512" s="4" t="str">
        <f>IFERROR(__xludf.DUMMYFUNCTION("""COMPUTED_VALUE"""),"JPMorgan Chase")</f>
        <v>JPMorgan Chase</v>
      </c>
      <c r="H512" s="4">
        <f>IFERROR(__xludf.DUMMYFUNCTION("""COMPUTED_VALUE"""),6.0533E10)</f>
        <v>60533000000</v>
      </c>
      <c r="J512" s="4" t="str">
        <f>IFERROR(__xludf.DUMMYFUNCTION("""COMPUTED_VALUE"""),"Western Union")</f>
        <v>Western Union</v>
      </c>
      <c r="K512" s="4">
        <f>IFERROR(__xludf.DUMMYFUNCTION("""COMPUTED_VALUE"""),1.009E9)</f>
        <v>1009000000</v>
      </c>
      <c r="L512" s="4">
        <f>IFERROR(__xludf.DUMMYFUNCTION("""COMPUTED_VALUE"""),5.03E9)</f>
        <v>5030000000</v>
      </c>
      <c r="O512" s="4" t="s">
        <v>1014</v>
      </c>
      <c r="P512" s="4">
        <f>SUMIF(Cleaned_Data!C$2:C$2013,O512,Cleaned_Data!K$2:K$2013)</f>
        <v>1225700000</v>
      </c>
      <c r="Q512" s="4">
        <f>SUMIF(Cleaned_Data!C$2:C$2013,O512,Cleaned_Data!N$2:N$2013)</f>
        <v>17547100000</v>
      </c>
      <c r="R512" s="6">
        <f t="shared" si="5"/>
        <v>0.06985199834</v>
      </c>
    </row>
    <row r="513">
      <c r="D513" s="4" t="s">
        <v>30</v>
      </c>
      <c r="E513" s="4">
        <f>SUMIF(Cleaned_Data!C$2:C$2013,D513,Cleaned_Data!K$2:K$2013)</f>
        <v>7621529000</v>
      </c>
      <c r="G513" s="4" t="str">
        <f>IFERROR(__xludf.DUMMYFUNCTION("""COMPUTED_VALUE"""),"Facebook")</f>
        <v>Facebook</v>
      </c>
      <c r="H513" s="4">
        <f>IFERROR(__xludf.DUMMYFUNCTION("""COMPUTED_VALUE"""),4.456E10)</f>
        <v>44560000000</v>
      </c>
      <c r="J513" s="4" t="str">
        <f>IFERROR(__xludf.DUMMYFUNCTION("""COMPUTED_VALUE"""),"Weyerhaeuser")</f>
        <v>Weyerhaeuser</v>
      </c>
      <c r="K513" s="4">
        <f>IFERROR(__xludf.DUMMYFUNCTION("""COMPUTED_VALUE"""),3.5E9)</f>
        <v>3500000000</v>
      </c>
      <c r="L513" s="4">
        <f>IFERROR(__xludf.DUMMYFUNCTION("""COMPUTED_VALUE"""),9.823E9)</f>
        <v>9823000000</v>
      </c>
      <c r="O513" s="4" t="s">
        <v>1016</v>
      </c>
      <c r="P513" s="4">
        <f>SUMIF(Cleaned_Data!C$2:C$2013,O513,Cleaned_Data!K$2:K$2013)</f>
        <v>3500000000</v>
      </c>
      <c r="Q513" s="4">
        <f>SUMIF(Cleaned_Data!C$2:C$2013,O513,Cleaned_Data!N$2:N$2013)</f>
        <v>9823000000</v>
      </c>
      <c r="R513" s="6">
        <f t="shared" si="5"/>
        <v>0.3563066273</v>
      </c>
    </row>
    <row r="514">
      <c r="D514" s="4" t="s">
        <v>32</v>
      </c>
      <c r="E514" s="4">
        <f>SUMIF(Cleaned_Data!C$2:C$2013,D514,Cleaned_Data!K$2:K$2013)</f>
        <v>3274000000</v>
      </c>
      <c r="G514" s="4" t="str">
        <f>IFERROR(__xludf.DUMMYFUNCTION("""COMPUTED_VALUE"""),"Verizon Communications")</f>
        <v>Verizon Communications</v>
      </c>
      <c r="H514" s="4">
        <f>IFERROR(__xludf.DUMMYFUNCTION("""COMPUTED_VALUE"""),3.2561E10)</f>
        <v>32561000000</v>
      </c>
      <c r="J514" s="4" t="str">
        <f>IFERROR(__xludf.DUMMYFUNCTION("""COMPUTED_VALUE"""),"Whirlpool Corporation")</f>
        <v>Whirlpool Corporation</v>
      </c>
      <c r="K514" s="4">
        <f>IFERROR(__xludf.DUMMYFUNCTION("""COMPUTED_VALUE"""),2.652E9)</f>
        <v>2652000000</v>
      </c>
      <c r="L514" s="4">
        <f>IFERROR(__xludf.DUMMYFUNCTION("""COMPUTED_VALUE"""),2.1771E10)</f>
        <v>21771000000</v>
      </c>
      <c r="O514" s="4" t="s">
        <v>1018</v>
      </c>
      <c r="P514" s="4">
        <f>SUMIF(Cleaned_Data!C$2:C$2013,O514,Cleaned_Data!K$2:K$2013)</f>
        <v>2652000000</v>
      </c>
      <c r="Q514" s="4">
        <f>SUMIF(Cleaned_Data!C$2:C$2013,O514,Cleaned_Data!N$2:N$2013)</f>
        <v>21771000000</v>
      </c>
      <c r="R514" s="6">
        <f t="shared" si="5"/>
        <v>0.1218134215</v>
      </c>
    </row>
    <row r="515">
      <c r="D515" s="4" t="s">
        <v>34</v>
      </c>
      <c r="E515" s="4">
        <f>SUMIF(Cleaned_Data!C$2:C$2013,D515,Cleaned_Data!K$2:K$2013)</f>
        <v>2707000000</v>
      </c>
      <c r="G515" s="4" t="str">
        <f>IFERROR(__xludf.DUMMYFUNCTION("""COMPUTED_VALUE"""),"Bank of America")</f>
        <v>Bank of America</v>
      </c>
      <c r="H515" s="4">
        <f>IFERROR(__xludf.DUMMYFUNCTION("""COMPUTED_VALUE"""),3.2277E10)</f>
        <v>32277000000</v>
      </c>
      <c r="J515" s="4" t="str">
        <f>IFERROR(__xludf.DUMMYFUNCTION("""COMPUTED_VALUE"""),"Williams Companies")</f>
        <v>Williams Companies</v>
      </c>
      <c r="K515" s="4">
        <f>IFERROR(__xludf.DUMMYFUNCTION("""COMPUTED_VALUE"""),2.68E9)</f>
        <v>2680000000</v>
      </c>
      <c r="L515" s="4">
        <f>IFERROR(__xludf.DUMMYFUNCTION("""COMPUTED_VALUE"""),8.92E9)</f>
        <v>8920000000</v>
      </c>
      <c r="O515" s="4" t="s">
        <v>1020</v>
      </c>
      <c r="P515" s="4">
        <f>SUMIF(Cleaned_Data!C$2:C$2013,O515,Cleaned_Data!K$2:K$2013)</f>
        <v>2680000000</v>
      </c>
      <c r="Q515" s="4">
        <f>SUMIF(Cleaned_Data!C$2:C$2013,O515,Cleaned_Data!N$2:N$2013)</f>
        <v>8920000000</v>
      </c>
      <c r="R515" s="6">
        <f t="shared" si="5"/>
        <v>0.3004484305</v>
      </c>
    </row>
    <row r="516">
      <c r="D516" s="4" t="s">
        <v>35</v>
      </c>
      <c r="E516" s="4">
        <f>SUMIF(Cleaned_Data!C$2:C$2013,D516,Cleaned_Data!K$2:K$2013)</f>
        <v>5516000000</v>
      </c>
      <c r="G516" s="4" t="str">
        <f>IFERROR(__xludf.DUMMYFUNCTION("""COMPUTED_VALUE"""),"AT&amp;T")</f>
        <v>AT&amp;T</v>
      </c>
      <c r="H516" s="4">
        <f>IFERROR(__xludf.DUMMYFUNCTION("""COMPUTED_VALUE"""),3.07E10)</f>
        <v>30700000000</v>
      </c>
      <c r="J516" s="4" t="str">
        <f>IFERROR(__xludf.DUMMYFUNCTION("""COMPUTED_VALUE"""),"Willis Towers Watson")</f>
        <v>Willis Towers Watson</v>
      </c>
      <c r="K516" s="4">
        <f>IFERROR(__xludf.DUMMYFUNCTION("""COMPUTED_VALUE"""),1.79E9)</f>
        <v>1790000000</v>
      </c>
      <c r="L516" s="4">
        <f>IFERROR(__xludf.DUMMYFUNCTION("""COMPUTED_VALUE"""),9.476E9)</f>
        <v>9476000000</v>
      </c>
      <c r="O516" s="4" t="s">
        <v>1022</v>
      </c>
      <c r="P516" s="4">
        <f>SUMIF(Cleaned_Data!C$2:C$2013,O516,Cleaned_Data!K$2:K$2013)</f>
        <v>1790000000</v>
      </c>
      <c r="Q516" s="4">
        <f>SUMIF(Cleaned_Data!C$2:C$2013,O516,Cleaned_Data!N$2:N$2013)</f>
        <v>9476000000</v>
      </c>
      <c r="R516" s="6">
        <f t="shared" si="5"/>
        <v>0.1888982693</v>
      </c>
    </row>
    <row r="517">
      <c r="D517" s="4" t="s">
        <v>37</v>
      </c>
      <c r="E517" s="4">
        <f>SUMIF(Cleaned_Data!C$2:C$2013,D517,Cleaned_Data!K$2:K$2013)</f>
        <v>1087428000</v>
      </c>
      <c r="G517" s="4" t="str">
        <f>IFERROR(__xludf.DUMMYFUNCTION("""COMPUTED_VALUE"""),"Amazon")</f>
        <v>Amazon</v>
      </c>
      <c r="H517" s="4">
        <f>IFERROR(__xludf.DUMMYFUNCTION("""COMPUTED_VALUE"""),2.9634E10)</f>
        <v>29634000000</v>
      </c>
      <c r="J517" s="4" t="str">
        <f>IFERROR(__xludf.DUMMYFUNCTION("""COMPUTED_VALUE"""),"Wynn Resorts")</f>
        <v>Wynn Resorts</v>
      </c>
      <c r="K517" s="4">
        <f>IFERROR(__xludf.DUMMYFUNCTION("""COMPUTED_VALUE"""),-5.94171E8)</f>
        <v>-594171000</v>
      </c>
      <c r="L517" s="4">
        <f>IFERROR(__xludf.DUMMYFUNCTION("""COMPUTED_VALUE"""),2.783242E9)</f>
        <v>2783242000</v>
      </c>
      <c r="O517" s="4" t="s">
        <v>1024</v>
      </c>
      <c r="P517" s="4">
        <f>SUMIF(Cleaned_Data!C$2:C$2013,O517,Cleaned_Data!K$2:K$2013)</f>
        <v>-594171000</v>
      </c>
      <c r="Q517" s="4">
        <f>SUMIF(Cleaned_Data!C$2:C$2013,O517,Cleaned_Data!N$2:N$2013)</f>
        <v>2783242000</v>
      </c>
      <c r="R517" s="6">
        <f t="shared" si="5"/>
        <v>-0.213481616</v>
      </c>
    </row>
    <row r="518">
      <c r="D518" s="4" t="s">
        <v>39</v>
      </c>
      <c r="E518" s="4">
        <f>SUMIF(Cleaned_Data!C$2:C$2013,D518,Cleaned_Data!K$2:K$2013)</f>
        <v>3044000000</v>
      </c>
      <c r="J518" s="4" t="str">
        <f>IFERROR(__xludf.DUMMYFUNCTION("""COMPUTED_VALUE"""),"Xcel Energy")</f>
        <v>Xcel Energy</v>
      </c>
      <c r="K518" s="4">
        <f>IFERROR(__xludf.DUMMYFUNCTION("""COMPUTED_VALUE"""),2.194E9)</f>
        <v>2194000000</v>
      </c>
      <c r="L518" s="4">
        <f>IFERROR(__xludf.DUMMYFUNCTION("""COMPUTED_VALUE"""),1.3023E10)</f>
        <v>13023000000</v>
      </c>
      <c r="O518" s="4" t="s">
        <v>1026</v>
      </c>
      <c r="P518" s="4">
        <f>SUMIF(Cleaned_Data!C$2:C$2013,O518,Cleaned_Data!K$2:K$2013)</f>
        <v>2194000000</v>
      </c>
      <c r="Q518" s="4">
        <f>SUMIF(Cleaned_Data!C$2:C$2013,O518,Cleaned_Data!N$2:N$2013)</f>
        <v>13023000000</v>
      </c>
      <c r="R518" s="6">
        <f t="shared" si="5"/>
        <v>0.1684711664</v>
      </c>
    </row>
    <row r="519">
      <c r="D519" s="4" t="s">
        <v>41</v>
      </c>
      <c r="E519" s="4">
        <f>SUMIF(Cleaned_Data!C$2:C$2013,D519,Cleaned_Data!K$2:K$2013)</f>
        <v>2699000000</v>
      </c>
      <c r="J519" s="4" t="str">
        <f>IFERROR(__xludf.DUMMYFUNCTION("""COMPUTED_VALUE"""),"Xilinx")</f>
        <v>Xilinx</v>
      </c>
      <c r="K519" s="4">
        <f>IFERROR(__xludf.DUMMYFUNCTION("""COMPUTED_VALUE"""),7.87987E8)</f>
        <v>787987000</v>
      </c>
      <c r="L519" s="4">
        <f>IFERROR(__xludf.DUMMYFUNCTION("""COMPUTED_VALUE"""),3.299532E9)</f>
        <v>3299532000</v>
      </c>
      <c r="O519" s="4" t="s">
        <v>1028</v>
      </c>
      <c r="P519" s="4">
        <f>SUMIF(Cleaned_Data!C$2:C$2013,O519,Cleaned_Data!K$2:K$2013)</f>
        <v>787987000</v>
      </c>
      <c r="Q519" s="4">
        <f>SUMIF(Cleaned_Data!C$2:C$2013,O519,Cleaned_Data!N$2:N$2013)</f>
        <v>3299532000</v>
      </c>
      <c r="R519" s="6">
        <f t="shared" si="5"/>
        <v>0.2388178081</v>
      </c>
    </row>
    <row r="520">
      <c r="D520" s="4" t="s">
        <v>43</v>
      </c>
      <c r="E520" s="4">
        <f>SUMIF(Cleaned_Data!C$2:C$2013,D520,Cleaned_Data!K$2:K$2013)</f>
        <v>5548000000</v>
      </c>
      <c r="G520" s="1" t="s">
        <v>1043</v>
      </c>
      <c r="J520" s="4" t="str">
        <f>IFERROR(__xludf.DUMMYFUNCTION("""COMPUTED_VALUE"""),"Xylem")</f>
        <v>Xylem</v>
      </c>
      <c r="K520" s="4">
        <f>IFERROR(__xludf.DUMMYFUNCTION("""COMPUTED_VALUE"""),6.28E8)</f>
        <v>628000000</v>
      </c>
      <c r="L520" s="4">
        <f>IFERROR(__xludf.DUMMYFUNCTION("""COMPUTED_VALUE"""),5.2E9)</f>
        <v>5200000000</v>
      </c>
      <c r="O520" s="4" t="s">
        <v>1030</v>
      </c>
      <c r="P520" s="4">
        <f>SUMIF(Cleaned_Data!C$2:C$2013,O520,Cleaned_Data!K$2:K$2013)</f>
        <v>628000000</v>
      </c>
      <c r="Q520" s="4">
        <f>SUMIF(Cleaned_Data!C$2:C$2013,O520,Cleaned_Data!N$2:N$2013)</f>
        <v>5200000000</v>
      </c>
      <c r="R520" s="6">
        <f t="shared" si="5"/>
        <v>0.1207692308</v>
      </c>
    </row>
    <row r="521">
      <c r="D521" s="4" t="s">
        <v>45</v>
      </c>
      <c r="E521" s="4">
        <f>SUMIF(Cleaned_Data!C$2:C$2013,D521,Cleaned_Data!K$2:K$2013)</f>
        <v>1318000000</v>
      </c>
      <c r="G521" s="4" t="str">
        <f>IFERROR(__xludf.DUMMYFUNCTION("QUERY({Cleaned_Data!C2:C2013,Cleaned_Data!G2:G2013},""select Col1, sum(Col2) where Col1 is not null group by Col1 order by sum(Col2) desc limit 10"",0)"),"")</f>
        <v/>
      </c>
      <c r="H521" s="4" t="str">
        <f>IFERROR(__xludf.DUMMYFUNCTION("""COMPUTED_VALUE"""),"sum ")</f>
        <v>sum </v>
      </c>
      <c r="J521" s="4" t="str">
        <f>IFERROR(__xludf.DUMMYFUNCTION("""COMPUTED_VALUE"""),"Yum! Brands")</f>
        <v>Yum! Brands</v>
      </c>
      <c r="K521" s="4">
        <f>IFERROR(__xludf.DUMMYFUNCTION("""COMPUTED_VALUE"""),2.09E9)</f>
        <v>2090000000</v>
      </c>
      <c r="L521" s="4">
        <f>IFERROR(__xludf.DUMMYFUNCTION("""COMPUTED_VALUE"""),6.279E9)</f>
        <v>6279000000</v>
      </c>
      <c r="O521" s="4" t="s">
        <v>1032</v>
      </c>
      <c r="P521" s="4">
        <f>SUMIF(Cleaned_Data!C$2:C$2013,O521,Cleaned_Data!K$2:K$2013)</f>
        <v>2090000000</v>
      </c>
      <c r="Q521" s="4">
        <f>SUMIF(Cleaned_Data!C$2:C$2013,O521,Cleaned_Data!N$2:N$2013)</f>
        <v>6279000000</v>
      </c>
      <c r="R521" s="6">
        <f t="shared" si="5"/>
        <v>0.3328555502</v>
      </c>
    </row>
    <row r="522">
      <c r="D522" s="4" t="s">
        <v>47</v>
      </c>
      <c r="E522" s="4">
        <f>SUMIF(Cleaned_Data!C$2:C$2013,D522,Cleaned_Data!K$2:K$2013)</f>
        <v>2333400000</v>
      </c>
      <c r="G522" s="4" t="str">
        <f>IFERROR(__xludf.DUMMYFUNCTION("""COMPUTED_VALUE"""),"Apple")</f>
        <v>Apple</v>
      </c>
      <c r="H522" s="4">
        <f>IFERROR(__xludf.DUMMYFUNCTION("""COMPUTED_VALUE"""),8.6802E10)</f>
        <v>86802000000</v>
      </c>
      <c r="J522" s="4" t="str">
        <f>IFERROR(__xludf.DUMMYFUNCTION("""COMPUTED_VALUE"""),"Zebra Technologies")</f>
        <v>Zebra Technologies</v>
      </c>
      <c r="K522" s="4">
        <f>IFERROR(__xludf.DUMMYFUNCTION("""COMPUTED_VALUE"""),9.31E8)</f>
        <v>931000000</v>
      </c>
      <c r="L522" s="4">
        <f>IFERROR(__xludf.DUMMYFUNCTION("""COMPUTED_VALUE"""),5.164E9)</f>
        <v>5164000000</v>
      </c>
      <c r="O522" s="4" t="s">
        <v>1034</v>
      </c>
      <c r="P522" s="4">
        <f>SUMIF(Cleaned_Data!C$2:C$2013,O522,Cleaned_Data!K$2:K$2013)</f>
        <v>931000000</v>
      </c>
      <c r="Q522" s="4">
        <f>SUMIF(Cleaned_Data!C$2:C$2013,O522,Cleaned_Data!N$2:N$2013)</f>
        <v>5164000000</v>
      </c>
      <c r="R522" s="6">
        <f t="shared" si="5"/>
        <v>0.1802865995</v>
      </c>
    </row>
    <row r="523">
      <c r="D523" s="4" t="s">
        <v>49</v>
      </c>
      <c r="E523" s="4">
        <f>SUMIF(Cleaned_Data!C$2:C$2013,D523,Cleaned_Data!K$2:K$2013)</f>
        <v>759729000</v>
      </c>
      <c r="G523" s="4" t="str">
        <f>IFERROR(__xludf.DUMMYFUNCTION("""COMPUTED_VALUE"""),"Alphabet (Class A)")</f>
        <v>Alphabet (Class A)</v>
      </c>
      <c r="H523" s="4">
        <f>IFERROR(__xludf.DUMMYFUNCTION("""COMPUTED_VALUE"""),6.2929E10)</f>
        <v>62929000000</v>
      </c>
      <c r="J523" s="4" t="str">
        <f>IFERROR(__xludf.DUMMYFUNCTION("""COMPUTED_VALUE"""),"Zimmer Biomet")</f>
        <v>Zimmer Biomet</v>
      </c>
      <c r="K523" s="4">
        <f>IFERROR(__xludf.DUMMYFUNCTION("""COMPUTED_VALUE"""),1.3499E9)</f>
        <v>1349900000</v>
      </c>
      <c r="L523" s="4">
        <f>IFERROR(__xludf.DUMMYFUNCTION("""COMPUTED_VALUE"""),7.8889E9)</f>
        <v>7888900000</v>
      </c>
      <c r="O523" s="4" t="s">
        <v>1036</v>
      </c>
      <c r="P523" s="4">
        <f>SUMIF(Cleaned_Data!C$2:C$2013,O523,Cleaned_Data!K$2:K$2013)</f>
        <v>1349900000</v>
      </c>
      <c r="Q523" s="4">
        <f>SUMIF(Cleaned_Data!C$2:C$2013,O523,Cleaned_Data!N$2:N$2013)</f>
        <v>7888900000</v>
      </c>
      <c r="R523" s="6">
        <f t="shared" si="5"/>
        <v>0.1711138435</v>
      </c>
    </row>
    <row r="524">
      <c r="D524" s="4" t="s">
        <v>51</v>
      </c>
      <c r="E524" s="4">
        <f>SUMIF(Cleaned_Data!C$2:C$2013,D524,Cleaned_Data!K$2:K$2013)</f>
        <v>561132000</v>
      </c>
      <c r="G524" s="4" t="str">
        <f>IFERROR(__xludf.DUMMYFUNCTION("""COMPUTED_VALUE"""),"Alphabet (Class C)")</f>
        <v>Alphabet (Class C)</v>
      </c>
      <c r="H524" s="4">
        <f>IFERROR(__xludf.DUMMYFUNCTION("""COMPUTED_VALUE"""),6.2929E10)</f>
        <v>62929000000</v>
      </c>
      <c r="J524" s="4" t="str">
        <f>IFERROR(__xludf.DUMMYFUNCTION("""COMPUTED_VALUE"""),"Zions Bancorp")</f>
        <v>Zions Bancorp</v>
      </c>
      <c r="K524" s="4">
        <f>IFERROR(__xludf.DUMMYFUNCTION("""COMPUTED_VALUE"""),1.497E9)</f>
        <v>1497000000</v>
      </c>
      <c r="L524" s="4">
        <f>IFERROR(__xludf.DUMMYFUNCTION("""COMPUTED_VALUE"""),3.165E9)</f>
        <v>3165000000</v>
      </c>
      <c r="O524" s="4" t="s">
        <v>1038</v>
      </c>
      <c r="P524" s="4">
        <f>SUMIF(Cleaned_Data!C$2:C$2013,O524,Cleaned_Data!K$2:K$2013)</f>
        <v>1497000000</v>
      </c>
      <c r="Q524" s="4">
        <f>SUMIF(Cleaned_Data!C$2:C$2013,O524,Cleaned_Data!N$2:N$2013)</f>
        <v>3165000000</v>
      </c>
      <c r="R524" s="6">
        <f t="shared" si="5"/>
        <v>0.472985782</v>
      </c>
    </row>
    <row r="525">
      <c r="D525" s="4" t="s">
        <v>53</v>
      </c>
      <c r="E525" s="4">
        <f>SUMIF(Cleaned_Data!C$2:C$2013,D525,Cleaned_Data!K$2:K$2013)</f>
        <v>-801000000</v>
      </c>
      <c r="G525" s="4" t="str">
        <f>IFERROR(__xludf.DUMMYFUNCTION("""COMPUTED_VALUE"""),"Microsoft")</f>
        <v>Microsoft</v>
      </c>
      <c r="H525" s="4">
        <f>IFERROR(__xludf.DUMMYFUNCTION("""COMPUTED_VALUE"""),6.1271E10)</f>
        <v>61271000000</v>
      </c>
      <c r="J525" s="4" t="str">
        <f>IFERROR(__xludf.DUMMYFUNCTION("""COMPUTED_VALUE"""),"Zoetis")</f>
        <v>Zoetis</v>
      </c>
      <c r="K525" s="4">
        <f>IFERROR(__xludf.DUMMYFUNCTION("""COMPUTED_VALUE"""),2.682E9)</f>
        <v>2682000000</v>
      </c>
      <c r="L525" s="4">
        <f>IFERROR(__xludf.DUMMYFUNCTION("""COMPUTED_VALUE"""),7.412E9)</f>
        <v>7412000000</v>
      </c>
      <c r="O525" s="4" t="s">
        <v>1040</v>
      </c>
      <c r="P525" s="4">
        <f>SUMIF(Cleaned_Data!C$2:C$2013,O525,Cleaned_Data!K$2:K$2013)</f>
        <v>2682000000</v>
      </c>
      <c r="Q525" s="4">
        <f>SUMIF(Cleaned_Data!C$2:C$2013,O525,Cleaned_Data!N$2:N$2013)</f>
        <v>7412000000</v>
      </c>
      <c r="R525" s="6">
        <f t="shared" si="5"/>
        <v>0.3618456557</v>
      </c>
    </row>
    <row r="526">
      <c r="D526" s="4" t="s">
        <v>55</v>
      </c>
      <c r="E526" s="4">
        <f>SUMIF(Cleaned_Data!C$2:C$2013,D526,Cleaned_Data!K$2:K$2013)</f>
        <v>527118000</v>
      </c>
      <c r="G526" s="4" t="str">
        <f>IFERROR(__xludf.DUMMYFUNCTION("""COMPUTED_VALUE"""),"JPMorgan Chase")</f>
        <v>JPMorgan Chase</v>
      </c>
      <c r="H526" s="4">
        <f>IFERROR(__xludf.DUMMYFUNCTION("""COMPUTED_VALUE"""),4.7827E10)</f>
        <v>47827000000</v>
      </c>
      <c r="J526" s="4" t="str">
        <f>IFERROR(__xludf.DUMMYFUNCTION("""COMPUTED_VALUE"""),"eBay")</f>
        <v>eBay</v>
      </c>
      <c r="K526" s="4">
        <f>IFERROR(__xludf.DUMMYFUNCTION("""COMPUTED_VALUE"""),2.964E9)</f>
        <v>2964000000</v>
      </c>
      <c r="L526" s="4">
        <f>IFERROR(__xludf.DUMMYFUNCTION("""COMPUTED_VALUE"""),1.078E10)</f>
        <v>10780000000</v>
      </c>
      <c r="R526" s="6"/>
    </row>
    <row r="527">
      <c r="D527" s="4" t="s">
        <v>57</v>
      </c>
      <c r="E527" s="4">
        <f>SUMIF(Cleaned_Data!C$2:C$2013,D527,Cleaned_Data!K$2:K$2013)</f>
        <v>968692000</v>
      </c>
      <c r="G527" s="4" t="str">
        <f>IFERROR(__xludf.DUMMYFUNCTION("""COMPUTED_VALUE"""),"Facebook")</f>
        <v>Facebook</v>
      </c>
      <c r="H527" s="4">
        <f>IFERROR(__xludf.DUMMYFUNCTION("""COMPUTED_VALUE"""),3.8956E10)</f>
        <v>38956000000</v>
      </c>
      <c r="R527" s="6"/>
    </row>
    <row r="528">
      <c r="D528" s="4" t="s">
        <v>59</v>
      </c>
      <c r="E528" s="4">
        <f>SUMIF(Cleaned_Data!C$2:C$2013,D528,Cleaned_Data!K$2:K$2013)</f>
        <v>585200000</v>
      </c>
      <c r="G528" s="4" t="str">
        <f>IFERROR(__xludf.DUMMYFUNCTION("""COMPUTED_VALUE"""),"Bank of America")</f>
        <v>Bank of America</v>
      </c>
      <c r="H528" s="4">
        <f>IFERROR(__xludf.DUMMYFUNCTION("""COMPUTED_VALUE"""),3.0435E10)</f>
        <v>30435000000</v>
      </c>
      <c r="R528" s="6"/>
    </row>
    <row r="529">
      <c r="D529" s="4" t="s">
        <v>61</v>
      </c>
      <c r="E529" s="4">
        <f>SUMIF(Cleaned_Data!C$2:C$2013,D529,Cleaned_Data!K$2:K$2013)</f>
        <v>751000000</v>
      </c>
      <c r="G529" s="4" t="str">
        <f>IFERROR(__xludf.DUMMYFUNCTION("""COMPUTED_VALUE"""),"Amazon")</f>
        <v>Amazon</v>
      </c>
      <c r="H529" s="4">
        <f>IFERROR(__xludf.DUMMYFUNCTION("""COMPUTED_VALUE"""),2.9438E10)</f>
        <v>29438000000</v>
      </c>
      <c r="R529" s="6"/>
    </row>
    <row r="530">
      <c r="D530" s="4" t="s">
        <v>63</v>
      </c>
      <c r="E530" s="4">
        <f>SUMIF(Cleaned_Data!C$2:C$2013,D530,Cleaned_Data!K$2:K$2013)</f>
        <v>8926000000</v>
      </c>
      <c r="G530" s="4" t="str">
        <f>IFERROR(__xludf.DUMMYFUNCTION("""COMPUTED_VALUE"""),"Citigroup")</f>
        <v>Citigroup</v>
      </c>
      <c r="H530" s="4">
        <f>IFERROR(__xludf.DUMMYFUNCTION("""COMPUTED_VALUE"""),2.1344E10)</f>
        <v>21344000000</v>
      </c>
      <c r="R530" s="6"/>
    </row>
    <row r="531">
      <c r="D531" s="4" t="s">
        <v>65</v>
      </c>
      <c r="E531" s="4">
        <f>SUMIF(Cleaned_Data!C$2:C$2013,D531,Cleaned_Data!K$2:K$2013)</f>
        <v>62662000000</v>
      </c>
      <c r="G531" s="4" t="str">
        <f>IFERROR(__xludf.DUMMYFUNCTION("""COMPUTED_VALUE"""),"Goldman Sachs")</f>
        <v>Goldman Sachs</v>
      </c>
      <c r="H531" s="4">
        <f>IFERROR(__xludf.DUMMYFUNCTION("""COMPUTED_VALUE"""),2.0195E10)</f>
        <v>20195000000</v>
      </c>
      <c r="R531" s="6"/>
    </row>
    <row r="532">
      <c r="D532" s="4" t="s">
        <v>67</v>
      </c>
      <c r="E532" s="4">
        <f>SUMIF(Cleaned_Data!C$2:C$2013,D532,Cleaned_Data!K$2:K$2013)</f>
        <v>62662000000</v>
      </c>
      <c r="R532" s="6"/>
    </row>
    <row r="533">
      <c r="D533" s="4" t="s">
        <v>69</v>
      </c>
      <c r="E533" s="4">
        <f>SUMIF(Cleaned_Data!C$2:C$2013,D533,Cleaned_Data!K$2:K$2013)</f>
        <v>11976000000</v>
      </c>
      <c r="R533" s="6"/>
    </row>
    <row r="534">
      <c r="D534" s="4" t="s">
        <v>71</v>
      </c>
      <c r="E534" s="4">
        <f>SUMIF(Cleaned_Data!C$2:C$2013,D534,Cleaned_Data!K$2:K$2013)</f>
        <v>29634000000</v>
      </c>
      <c r="R534" s="6"/>
    </row>
    <row r="535">
      <c r="D535" s="4" t="s">
        <v>73</v>
      </c>
      <c r="E535" s="4">
        <f>SUMIF(Cleaned_Data!C$2:C$2013,D535,Cleaned_Data!K$2:K$2013)</f>
        <v>1438000000</v>
      </c>
      <c r="R535" s="6"/>
    </row>
    <row r="536">
      <c r="D536" s="4" t="s">
        <v>75</v>
      </c>
      <c r="E536" s="4">
        <f>SUMIF(Cleaned_Data!C$2:C$2013,D536,Cleaned_Data!K$2:K$2013)</f>
        <v>1438000000</v>
      </c>
      <c r="R536" s="6"/>
    </row>
    <row r="537">
      <c r="D537" s="4" t="s">
        <v>77</v>
      </c>
      <c r="E537" s="4">
        <f>SUMIF(Cleaned_Data!C$2:C$2013,D537,Cleaned_Data!K$2:K$2013)</f>
        <v>-9862000000</v>
      </c>
      <c r="R537" s="6"/>
    </row>
    <row r="538">
      <c r="D538" s="4" t="s">
        <v>79</v>
      </c>
      <c r="E538" s="4">
        <f>SUMIF(Cleaned_Data!C$2:C$2013,D538,Cleaned_Data!K$2:K$2013)</f>
        <v>3252400000</v>
      </c>
      <c r="R538" s="6"/>
    </row>
    <row r="539">
      <c r="D539" s="4" t="s">
        <v>81</v>
      </c>
      <c r="E539" s="4">
        <f>SUMIF(Cleaned_Data!C$2:C$2013,D539,Cleaned_Data!K$2:K$2013)</f>
        <v>8677000000</v>
      </c>
      <c r="R539" s="6"/>
    </row>
    <row r="540">
      <c r="D540" s="4" t="s">
        <v>83</v>
      </c>
      <c r="E540" s="4">
        <f>SUMIF(Cleaned_Data!C$2:C$2013,D540,Cleaned_Data!K$2:K$2013)</f>
        <v>5804000000</v>
      </c>
      <c r="R540" s="6"/>
    </row>
    <row r="541">
      <c r="D541" s="4" t="s">
        <v>85</v>
      </c>
      <c r="E541" s="4">
        <f>SUMIF(Cleaned_Data!C$2:C$2013,D541,Cleaned_Data!K$2:K$2013)</f>
        <v>3425900000</v>
      </c>
      <c r="R541" s="6"/>
    </row>
    <row r="542">
      <c r="D542" s="4" t="s">
        <v>87</v>
      </c>
      <c r="E542" s="4">
        <f>SUMIF(Cleaned_Data!C$2:C$2013,D542,Cleaned_Data!K$2:K$2013)</f>
        <v>1318000000</v>
      </c>
      <c r="R542" s="6"/>
    </row>
    <row r="543">
      <c r="D543" s="4" t="s">
        <v>90</v>
      </c>
      <c r="E543" s="4">
        <f>SUMIF(Cleaned_Data!C$2:C$2013,D543,Cleaned_Data!K$2:K$2013)</f>
        <v>1985000000</v>
      </c>
      <c r="R543" s="6"/>
    </row>
    <row r="544">
      <c r="D544" s="4" t="s">
        <v>95</v>
      </c>
      <c r="E544" s="4">
        <f>SUMIF(Cleaned_Data!C$2:C$2013,D544,Cleaned_Data!K$2:K$2013)</f>
        <v>2745755000</v>
      </c>
      <c r="R544" s="6"/>
    </row>
    <row r="545">
      <c r="D545" s="4" t="s">
        <v>97</v>
      </c>
      <c r="E545" s="4">
        <f>SUMIF(Cleaned_Data!C$2:C$2013,D545,Cleaned_Data!K$2:K$2013)</f>
        <v>1163411000</v>
      </c>
      <c r="R545" s="6"/>
    </row>
    <row r="546">
      <c r="D546" s="4" t="s">
        <v>99</v>
      </c>
      <c r="E546" s="4">
        <f>SUMIF(Cleaned_Data!C$2:C$2013,D546,Cleaned_Data!K$2:K$2013)</f>
        <v>8950000000</v>
      </c>
      <c r="R546" s="6"/>
    </row>
    <row r="547">
      <c r="D547" s="4" t="s">
        <v>102</v>
      </c>
      <c r="E547" s="4">
        <f>SUMIF(Cleaned_Data!C$2:C$2013,D547,Cleaned_Data!K$2:K$2013)</f>
        <v>1791000000</v>
      </c>
      <c r="R547" s="6"/>
    </row>
    <row r="548">
      <c r="D548" s="4" t="s">
        <v>104</v>
      </c>
      <c r="E548" s="4">
        <f>SUMIF(Cleaned_Data!C$2:C$2013,D548,Cleaned_Data!K$2:K$2013)</f>
        <v>2130126000</v>
      </c>
      <c r="R548" s="6"/>
    </row>
    <row r="549">
      <c r="D549" s="4" t="s">
        <v>107</v>
      </c>
      <c r="E549" s="4">
        <f>SUMIF(Cleaned_Data!C$2:C$2013,D549,Cleaned_Data!K$2:K$2013)</f>
        <v>523432000</v>
      </c>
      <c r="R549" s="6"/>
    </row>
    <row r="550">
      <c r="D550" s="4" t="s">
        <v>109</v>
      </c>
      <c r="E550" s="4">
        <f>SUMIF(Cleaned_Data!C$2:C$2013,D550,Cleaned_Data!K$2:K$2013)</f>
        <v>7933000000</v>
      </c>
      <c r="R550" s="6"/>
    </row>
    <row r="551">
      <c r="D551" s="4" t="s">
        <v>111</v>
      </c>
      <c r="E551" s="4">
        <f>SUMIF(Cleaned_Data!C$2:C$2013,D551,Cleaned_Data!K$2:K$2013)</f>
        <v>3237000000</v>
      </c>
      <c r="R551" s="6"/>
    </row>
    <row r="552">
      <c r="D552" s="4" t="s">
        <v>113</v>
      </c>
      <c r="E552" s="4">
        <f>SUMIF(Cleaned_Data!C$2:C$2013,D552,Cleaned_Data!K$2:K$2013)</f>
        <v>-2676000000</v>
      </c>
      <c r="R552" s="6"/>
    </row>
    <row r="553">
      <c r="D553" s="4" t="s">
        <v>116</v>
      </c>
      <c r="E553" s="4">
        <f>SUMIF(Cleaned_Data!C$2:C$2013,D553,Cleaned_Data!K$2:K$2013)</f>
        <v>99938000000</v>
      </c>
      <c r="R553" s="6"/>
    </row>
    <row r="554">
      <c r="D554" s="4" t="s">
        <v>118</v>
      </c>
      <c r="E554" s="4">
        <f>SUMIF(Cleaned_Data!C$2:C$2013,D554,Cleaned_Data!K$2:K$2013)</f>
        <v>6549000000</v>
      </c>
      <c r="R554" s="6"/>
    </row>
    <row r="555">
      <c r="D555" s="4" t="s">
        <v>121</v>
      </c>
      <c r="E555" s="4">
        <f>SUMIF(Cleaned_Data!C$2:C$2013,D555,Cleaned_Data!K$2:K$2013)</f>
        <v>1562000000</v>
      </c>
      <c r="R555" s="6"/>
    </row>
    <row r="556">
      <c r="D556" s="4" t="s">
        <v>123</v>
      </c>
      <c r="E556" s="4">
        <f>SUMIF(Cleaned_Data!C$2:C$2013,D556,Cleaned_Data!K$2:K$2013)</f>
        <v>803390000</v>
      </c>
      <c r="R556" s="6"/>
    </row>
    <row r="557">
      <c r="D557" s="4" t="s">
        <v>126</v>
      </c>
      <c r="E557" s="4">
        <f>SUMIF(Cleaned_Data!C$2:C$2013,D557,Cleaned_Data!K$2:K$2013)</f>
        <v>1323300000</v>
      </c>
      <c r="R557" s="6"/>
    </row>
    <row r="558">
      <c r="D558" s="4" t="s">
        <v>128</v>
      </c>
      <c r="E558" s="4">
        <f>SUMIF(Cleaned_Data!C$2:C$2013,D558,Cleaned_Data!K$2:K$2013)</f>
        <v>881700000</v>
      </c>
      <c r="R558" s="6"/>
    </row>
    <row r="559">
      <c r="D559" s="4" t="s">
        <v>131</v>
      </c>
      <c r="E559" s="4">
        <f>SUMIF(Cleaned_Data!C$2:C$2013,D559,Cleaned_Data!K$2:K$2013)</f>
        <v>30700000000</v>
      </c>
      <c r="R559" s="6"/>
    </row>
    <row r="560">
      <c r="D560" s="4" t="s">
        <v>133</v>
      </c>
      <c r="E560" s="4">
        <f>SUMIF(Cleaned_Data!C$2:C$2013,D560,Cleaned_Data!K$2:K$2013)</f>
        <v>904107000</v>
      </c>
      <c r="R560" s="6"/>
    </row>
    <row r="561">
      <c r="D561" s="4" t="s">
        <v>136</v>
      </c>
      <c r="E561" s="4">
        <f>SUMIF(Cleaned_Data!C$2:C$2013,D561,Cleaned_Data!K$2:K$2013)</f>
        <v>665600000</v>
      </c>
      <c r="R561" s="6"/>
    </row>
    <row r="562">
      <c r="D562" s="4" t="s">
        <v>138</v>
      </c>
      <c r="E562" s="4">
        <f>SUMIF(Cleaned_Data!C$2:C$2013,D562,Cleaned_Data!K$2:K$2013)</f>
        <v>3355400000</v>
      </c>
      <c r="R562" s="6"/>
    </row>
    <row r="563">
      <c r="D563" s="4" t="s">
        <v>141</v>
      </c>
      <c r="E563" s="4">
        <f>SUMIF(Cleaned_Data!C$2:C$2013,D563,Cleaned_Data!K$2:K$2013)</f>
        <v>2981427000</v>
      </c>
      <c r="R563" s="6"/>
    </row>
    <row r="564">
      <c r="D564" s="4" t="s">
        <v>143</v>
      </c>
      <c r="E564" s="4">
        <f>SUMIF(Cleaned_Data!C$2:C$2013,D564,Cleaned_Data!K$2:K$2013)</f>
        <v>603917000</v>
      </c>
      <c r="R564" s="6"/>
    </row>
    <row r="565">
      <c r="D565" s="4" t="s">
        <v>146</v>
      </c>
      <c r="E565" s="4">
        <f>SUMIF(Cleaned_Data!C$2:C$2013,D565,Cleaned_Data!K$2:K$2013)</f>
        <v>1060000000</v>
      </c>
      <c r="R565" s="6"/>
    </row>
    <row r="566">
      <c r="D566" s="4" t="s">
        <v>148</v>
      </c>
      <c r="E566" s="4">
        <f>SUMIF(Cleaned_Data!C$2:C$2013,D566,Cleaned_Data!K$2:K$2013)</f>
        <v>1407000000</v>
      </c>
      <c r="R566" s="6"/>
    </row>
    <row r="567">
      <c r="D567" s="4" t="s">
        <v>151</v>
      </c>
      <c r="E567" s="4">
        <f>SUMIF(Cleaned_Data!C$2:C$2013,D567,Cleaned_Data!K$2:K$2013)</f>
        <v>1373000000</v>
      </c>
      <c r="R567" s="6"/>
    </row>
    <row r="568">
      <c r="D568" s="4" t="s">
        <v>153</v>
      </c>
      <c r="E568" s="4">
        <f>SUMIF(Cleaned_Data!C$2:C$2013,D568,Cleaned_Data!K$2:K$2013)</f>
        <v>32277000000</v>
      </c>
      <c r="R568" s="6"/>
    </row>
    <row r="569">
      <c r="D569" s="4" t="s">
        <v>155</v>
      </c>
      <c r="E569" s="4">
        <f>SUMIF(Cleaned_Data!C$2:C$2013,D569,Cleaned_Data!K$2:K$2013)</f>
        <v>3060000000</v>
      </c>
      <c r="R569" s="6"/>
    </row>
    <row r="570">
      <c r="D570" s="4" t="s">
        <v>157</v>
      </c>
      <c r="E570" s="4">
        <f>SUMIF(Cleaned_Data!C$2:C$2013,D570,Cleaned_Data!K$2:K$2013)</f>
        <v>1905000000</v>
      </c>
      <c r="R570" s="6"/>
    </row>
    <row r="571">
      <c r="D571" s="4" t="s">
        <v>159</v>
      </c>
      <c r="E571" s="4">
        <f>SUMIF(Cleaned_Data!C$2:C$2013,D571,Cleaned_Data!K$2:K$2013)</f>
        <v>3729000000</v>
      </c>
      <c r="R571" s="6"/>
    </row>
    <row r="572">
      <c r="D572" s="4" t="s">
        <v>161</v>
      </c>
      <c r="E572" s="4">
        <f>SUMIF(Cleaned_Data!C$2:C$2013,D572,Cleaned_Data!K$2:K$2013)</f>
        <v>3392000000</v>
      </c>
      <c r="R572" s="6"/>
    </row>
    <row r="573">
      <c r="D573" s="4" t="s">
        <v>163</v>
      </c>
      <c r="E573" s="4">
        <f>SUMIF(Cleaned_Data!C$2:C$2013,D573,Cleaned_Data!K$2:K$2013)</f>
        <v>576286000</v>
      </c>
      <c r="R573" s="6"/>
    </row>
    <row r="574">
      <c r="D574" s="4" t="s">
        <v>165</v>
      </c>
      <c r="E574" s="4">
        <f>SUMIF(Cleaned_Data!C$2:C$2013,D574,Cleaned_Data!K$2:K$2013)</f>
        <v>245835000</v>
      </c>
      <c r="R574" s="6"/>
    </row>
    <row r="575">
      <c r="D575" s="4" t="s">
        <v>169</v>
      </c>
      <c r="E575" s="4">
        <f>SUMIF(Cleaned_Data!C$2:C$2013,D575,Cleaned_Data!K$2:K$2013)</f>
        <v>2224600000</v>
      </c>
      <c r="R575" s="6"/>
    </row>
    <row r="576">
      <c r="D576" s="4" t="s">
        <v>171</v>
      </c>
      <c r="E576" s="4">
        <f>SUMIF(Cleaned_Data!C$2:C$2013,D576,Cleaned_Data!K$2:K$2013)</f>
        <v>7085000000</v>
      </c>
      <c r="R576" s="6"/>
    </row>
    <row r="577">
      <c r="D577" s="4" t="s">
        <v>173</v>
      </c>
      <c r="E577" s="4">
        <f>SUMIF(Cleaned_Data!C$2:C$2013,D577,Cleaned_Data!K$2:K$2013)</f>
        <v>4575000000</v>
      </c>
      <c r="R577" s="6"/>
    </row>
    <row r="578">
      <c r="D578" s="4" t="s">
        <v>175</v>
      </c>
      <c r="E578" s="4">
        <f>SUMIF(Cleaned_Data!C$2:C$2013,D578,Cleaned_Data!K$2:K$2013)</f>
        <v>-3700000000</v>
      </c>
      <c r="R578" s="6"/>
    </row>
    <row r="579">
      <c r="D579" s="4" t="s">
        <v>178</v>
      </c>
      <c r="E579" s="4">
        <f>SUMIF(Cleaned_Data!C$2:C$2013,D579,Cleaned_Data!K$2:K$2013)</f>
        <v>492000000</v>
      </c>
      <c r="R579" s="6"/>
    </row>
    <row r="580">
      <c r="D580" s="4" t="s">
        <v>180</v>
      </c>
      <c r="E580" s="4">
        <f>SUMIF(Cleaned_Data!C$2:C$2013,D580,Cleaned_Data!K$2:K$2013)</f>
        <v>1610000000</v>
      </c>
      <c r="R580" s="6"/>
    </row>
    <row r="581">
      <c r="D581" s="4" t="s">
        <v>182</v>
      </c>
      <c r="E581" s="4">
        <f>SUMIF(Cleaned_Data!C$2:C$2013,D581,Cleaned_Data!K$2:K$2013)</f>
        <v>900832000</v>
      </c>
      <c r="R581" s="6"/>
    </row>
    <row r="582">
      <c r="D582" s="4" t="s">
        <v>185</v>
      </c>
      <c r="E582" s="4">
        <f>SUMIF(Cleaned_Data!C$2:C$2013,D582,Cleaned_Data!K$2:K$2013)</f>
        <v>1803000000</v>
      </c>
      <c r="R582" s="6"/>
    </row>
    <row r="583">
      <c r="D583" s="4" t="s">
        <v>187</v>
      </c>
      <c r="E583" s="4">
        <f>SUMIF(Cleaned_Data!C$2:C$2013,D583,Cleaned_Data!K$2:K$2013)</f>
        <v>8197000000</v>
      </c>
      <c r="R583" s="6"/>
    </row>
    <row r="584">
      <c r="D584" s="4" t="s">
        <v>189</v>
      </c>
      <c r="E584" s="4">
        <f>SUMIF(Cleaned_Data!C$2:C$2013,D584,Cleaned_Data!K$2:K$2013)</f>
        <v>7536000000</v>
      </c>
      <c r="R584" s="6"/>
    </row>
    <row r="585">
      <c r="D585" s="4" t="s">
        <v>192</v>
      </c>
      <c r="E585" s="4">
        <f>SUMIF(Cleaned_Data!C$2:C$2013,D585,Cleaned_Data!K$2:K$2013)</f>
        <v>696100000</v>
      </c>
      <c r="R585" s="6"/>
    </row>
    <row r="586">
      <c r="D586" s="4" t="s">
        <v>194</v>
      </c>
      <c r="E586" s="4">
        <f>SUMIF(Cleaned_Data!C$2:C$2013,D586,Cleaned_Data!K$2:K$2013)</f>
        <v>720296000</v>
      </c>
      <c r="R586" s="6"/>
    </row>
    <row r="587">
      <c r="D587" s="4" t="s">
        <v>197</v>
      </c>
      <c r="E587" s="4">
        <f>SUMIF(Cleaned_Data!C$2:C$2013,D587,Cleaned_Data!K$2:K$2013)</f>
        <v>787157000</v>
      </c>
      <c r="R587" s="6"/>
    </row>
    <row r="588">
      <c r="D588" s="4" t="s">
        <v>202</v>
      </c>
      <c r="E588" s="4">
        <f>SUMIF(Cleaned_Data!C$2:C$2013,D588,Cleaned_Data!K$2:K$2013)</f>
        <v>753437000</v>
      </c>
      <c r="R588" s="6"/>
    </row>
    <row r="589">
      <c r="D589" s="4" t="s">
        <v>204</v>
      </c>
      <c r="E589" s="4">
        <f>SUMIF(Cleaned_Data!C$2:C$2013,D589,Cleaned_Data!K$2:K$2013)</f>
        <v>955000000</v>
      </c>
      <c r="R589" s="6"/>
    </row>
    <row r="590">
      <c r="D590" s="4" t="s">
        <v>206</v>
      </c>
      <c r="E590" s="4">
        <f>SUMIF(Cleaned_Data!C$2:C$2013,D590,Cleaned_Data!K$2:K$2013)</f>
        <v>1363000000</v>
      </c>
      <c r="R590" s="6"/>
    </row>
    <row r="591">
      <c r="D591" s="4" t="s">
        <v>208</v>
      </c>
      <c r="E591" s="4">
        <f>SUMIF(Cleaned_Data!C$2:C$2013,D591,Cleaned_Data!K$2:K$2013)</f>
        <v>15816000000</v>
      </c>
      <c r="R591" s="6"/>
    </row>
    <row r="592">
      <c r="D592" s="4" t="s">
        <v>210</v>
      </c>
      <c r="E592" s="4">
        <f>SUMIF(Cleaned_Data!C$2:C$2013,D592,Cleaned_Data!K$2:K$2013)</f>
        <v>1991000000</v>
      </c>
      <c r="R592" s="6"/>
    </row>
    <row r="593">
      <c r="D593" s="4" t="s">
        <v>212</v>
      </c>
      <c r="E593" s="4">
        <f>SUMIF(Cleaned_Data!C$2:C$2013,D593,Cleaned_Data!K$2:K$2013)</f>
        <v>1574024000</v>
      </c>
      <c r="R593" s="6"/>
    </row>
    <row r="594">
      <c r="D594" s="4" t="s">
        <v>214</v>
      </c>
      <c r="E594" s="4">
        <f>SUMIF(Cleaned_Data!C$2:C$2013,D594,Cleaned_Data!K$2:K$2013)</f>
        <v>-6066000000</v>
      </c>
      <c r="R594" s="6"/>
    </row>
    <row r="595">
      <c r="D595" s="4" t="s">
        <v>216</v>
      </c>
      <c r="E595" s="4">
        <f>SUMIF(Cleaned_Data!C$2:C$2013,D595,Cleaned_Data!K$2:K$2013)</f>
        <v>2392000000</v>
      </c>
      <c r="R595" s="6"/>
    </row>
    <row r="596">
      <c r="D596" s="4" t="s">
        <v>218</v>
      </c>
      <c r="E596" s="4">
        <f>SUMIF(Cleaned_Data!C$2:C$2013,D596,Cleaned_Data!K$2:K$2013)</f>
        <v>665000000</v>
      </c>
      <c r="R596" s="6"/>
    </row>
    <row r="597">
      <c r="D597" s="4" t="s">
        <v>220</v>
      </c>
      <c r="E597" s="4">
        <f>SUMIF(Cleaned_Data!C$2:C$2013,D597,Cleaned_Data!K$2:K$2013)</f>
        <v>5222000000</v>
      </c>
      <c r="R597" s="6"/>
    </row>
    <row r="598">
      <c r="D598" s="4" t="s">
        <v>222</v>
      </c>
      <c r="E598" s="4">
        <f>SUMIF(Cleaned_Data!C$2:C$2013,D598,Cleaned_Data!K$2:K$2013)</f>
        <v>715600000</v>
      </c>
      <c r="R598" s="6"/>
    </row>
    <row r="599">
      <c r="D599" s="4" t="s">
        <v>225</v>
      </c>
      <c r="E599" s="4">
        <f>SUMIF(Cleaned_Data!C$2:C$2013,D599,Cleaned_Data!K$2:K$2013)</f>
        <v>1415380000</v>
      </c>
      <c r="R599" s="6"/>
    </row>
    <row r="600">
      <c r="D600" s="4" t="s">
        <v>226</v>
      </c>
      <c r="E600" s="4">
        <f>SUMIF(Cleaned_Data!C$2:C$2013,D600,Cleaned_Data!K$2:K$2013)</f>
        <v>1351800000</v>
      </c>
      <c r="R600" s="6"/>
    </row>
    <row r="601">
      <c r="D601" s="4" t="s">
        <v>228</v>
      </c>
      <c r="E601" s="4">
        <f>SUMIF(Cleaned_Data!C$2:C$2013,D601,Cleaned_Data!K$2:K$2013)</f>
        <v>1344000000</v>
      </c>
      <c r="R601" s="6"/>
    </row>
    <row r="602">
      <c r="D602" s="4" t="s">
        <v>230</v>
      </c>
      <c r="E602" s="4">
        <f>SUMIF(Cleaned_Data!C$2:C$2013,D602,Cleaned_Data!K$2:K$2013)</f>
        <v>3209000000</v>
      </c>
      <c r="R602" s="6"/>
    </row>
    <row r="603">
      <c r="D603" s="4" t="s">
        <v>233</v>
      </c>
      <c r="E603" s="4">
        <f>SUMIF(Cleaned_Data!C$2:C$2013,D603,Cleaned_Data!K$2:K$2013)</f>
        <v>1337000000</v>
      </c>
      <c r="R603" s="6"/>
    </row>
    <row r="604">
      <c r="D604" s="4" t="s">
        <v>235</v>
      </c>
      <c r="E604" s="4">
        <f>SUMIF(Cleaned_Data!C$2:C$2013,D604,Cleaned_Data!K$2:K$2013)</f>
        <v>-1500000</v>
      </c>
      <c r="R604" s="6"/>
    </row>
    <row r="605">
      <c r="D605" s="4" t="s">
        <v>238</v>
      </c>
      <c r="E605" s="4">
        <f>SUMIF(Cleaned_Data!C$2:C$2013,D605,Cleaned_Data!K$2:K$2013)</f>
        <v>874388000</v>
      </c>
      <c r="R605" s="6"/>
    </row>
    <row r="606">
      <c r="D606" s="4" t="s">
        <v>240</v>
      </c>
      <c r="E606" s="4">
        <f>SUMIF(Cleaned_Data!C$2:C$2013,D606,Cleaned_Data!K$2:K$2013)</f>
        <v>853000000</v>
      </c>
      <c r="R606" s="6"/>
    </row>
    <row r="607">
      <c r="D607" s="4" t="s">
        <v>242</v>
      </c>
      <c r="E607" s="4">
        <f>SUMIF(Cleaned_Data!C$2:C$2013,D607,Cleaned_Data!K$2:K$2013)</f>
        <v>549058000</v>
      </c>
      <c r="R607" s="6"/>
    </row>
    <row r="608">
      <c r="D608" s="4" t="s">
        <v>245</v>
      </c>
      <c r="E608" s="4">
        <f>SUMIF(Cleaned_Data!C$2:C$2013,D608,Cleaned_Data!K$2:K$2013)</f>
        <v>6723000000</v>
      </c>
      <c r="R608" s="6"/>
    </row>
    <row r="609">
      <c r="D609" s="4" t="s">
        <v>247</v>
      </c>
      <c r="E609" s="4">
        <f>SUMIF(Cleaned_Data!C$2:C$2013,D609,Cleaned_Data!K$2:K$2013)</f>
        <v>10555000000</v>
      </c>
      <c r="R609" s="6"/>
    </row>
    <row r="610">
      <c r="D610" s="4" t="s">
        <v>249</v>
      </c>
      <c r="E610" s="4">
        <f>SUMIF(Cleaned_Data!C$2:C$2013,D610,Cleaned_Data!K$2:K$2013)</f>
        <v>6680000000</v>
      </c>
      <c r="R610" s="6"/>
    </row>
    <row r="611">
      <c r="D611" s="4" t="s">
        <v>251</v>
      </c>
      <c r="E611" s="4">
        <f>SUMIF(Cleaned_Data!C$2:C$2013,D611,Cleaned_Data!K$2:K$2013)</f>
        <v>792388000</v>
      </c>
      <c r="R611" s="6"/>
    </row>
    <row r="612">
      <c r="D612" s="4" t="s">
        <v>253</v>
      </c>
      <c r="E612" s="4">
        <f>SUMIF(Cleaned_Data!C$2:C$2013,D612,Cleaned_Data!K$2:K$2013)</f>
        <v>7474000000</v>
      </c>
      <c r="R612" s="6"/>
    </row>
    <row r="613">
      <c r="D613" s="4" t="s">
        <v>255</v>
      </c>
      <c r="E613" s="4">
        <f>SUMIF(Cleaned_Data!C$2:C$2013,D613,Cleaned_Data!K$2:K$2013)</f>
        <v>973300000</v>
      </c>
      <c r="R613" s="6"/>
    </row>
    <row r="614">
      <c r="D614" s="4" t="s">
        <v>257</v>
      </c>
      <c r="E614" s="4">
        <f>SUMIF(Cleaned_Data!C$2:C$2013,D614,Cleaned_Data!K$2:K$2013)</f>
        <v>8141000000</v>
      </c>
      <c r="R614" s="6"/>
    </row>
    <row r="615">
      <c r="D615" s="4" t="s">
        <v>259</v>
      </c>
      <c r="E615" s="4">
        <f>SUMIF(Cleaned_Data!C$2:C$2013,D615,Cleaned_Data!K$2:K$2013)</f>
        <v>3897000000</v>
      </c>
      <c r="R615" s="6"/>
    </row>
    <row r="616">
      <c r="D616" s="4" t="s">
        <v>261</v>
      </c>
      <c r="E616" s="4">
        <f>SUMIF(Cleaned_Data!C$2:C$2013,D616,Cleaned_Data!K$2:K$2013)</f>
        <v>1435001000</v>
      </c>
      <c r="R616" s="6"/>
    </row>
    <row r="617">
      <c r="D617" s="4" t="s">
        <v>263</v>
      </c>
      <c r="E617" s="4">
        <f>SUMIF(Cleaned_Data!C$2:C$2013,D617,Cleaned_Data!K$2:K$2013)</f>
        <v>13522000000</v>
      </c>
      <c r="R617" s="6"/>
    </row>
    <row r="618">
      <c r="D618" s="4" t="s">
        <v>265</v>
      </c>
      <c r="E618" s="4">
        <f>SUMIF(Cleaned_Data!C$2:C$2013,D618,Cleaned_Data!K$2:K$2013)</f>
        <v>26731000000</v>
      </c>
      <c r="R618" s="6"/>
    </row>
    <row r="619">
      <c r="D619" s="4" t="s">
        <v>267</v>
      </c>
      <c r="E619" s="4">
        <f>SUMIF(Cleaned_Data!C$2:C$2013,D619,Cleaned_Data!K$2:K$2013)</f>
        <v>2558000000</v>
      </c>
      <c r="R619" s="6"/>
    </row>
    <row r="620">
      <c r="D620" s="4" t="s">
        <v>269</v>
      </c>
      <c r="E620" s="4">
        <f>SUMIF(Cleaned_Data!C$2:C$2013,D620,Cleaned_Data!K$2:K$2013)</f>
        <v>456400000</v>
      </c>
      <c r="R620" s="6"/>
    </row>
    <row r="621">
      <c r="D621" s="4" t="s">
        <v>271</v>
      </c>
      <c r="E621" s="4">
        <f>SUMIF(Cleaned_Data!C$2:C$2013,D621,Cleaned_Data!K$2:K$2013)</f>
        <v>1218000000</v>
      </c>
      <c r="R621" s="6"/>
    </row>
    <row r="622">
      <c r="D622" s="4" t="s">
        <v>273</v>
      </c>
      <c r="E622" s="4">
        <f>SUMIF(Cleaned_Data!C$2:C$2013,D622,Cleaned_Data!K$2:K$2013)</f>
        <v>2475800000</v>
      </c>
      <c r="R622" s="6"/>
    </row>
    <row r="623">
      <c r="D623" s="4" t="s">
        <v>275</v>
      </c>
      <c r="E623" s="4">
        <f>SUMIF(Cleaned_Data!C$2:C$2013,D623,Cleaned_Data!K$2:K$2013)</f>
        <v>1440000000</v>
      </c>
      <c r="R623" s="6"/>
    </row>
    <row r="624">
      <c r="D624" s="4" t="s">
        <v>277</v>
      </c>
      <c r="E624" s="4">
        <f>SUMIF(Cleaned_Data!C$2:C$2013,D624,Cleaned_Data!K$2:K$2013)</f>
        <v>11463000000</v>
      </c>
      <c r="R624" s="6"/>
    </row>
    <row r="625">
      <c r="D625" s="4" t="s">
        <v>279</v>
      </c>
      <c r="E625" s="4">
        <f>SUMIF(Cleaned_Data!C$2:C$2013,D625,Cleaned_Data!K$2:K$2013)</f>
        <v>2537000000</v>
      </c>
      <c r="R625" s="6"/>
    </row>
    <row r="626">
      <c r="D626" s="4" t="s">
        <v>281</v>
      </c>
      <c r="E626" s="4">
        <f>SUMIF(Cleaned_Data!C$2:C$2013,D626,Cleaned_Data!K$2:K$2013)</f>
        <v>3892000000</v>
      </c>
      <c r="R626" s="6"/>
    </row>
    <row r="627">
      <c r="D627" s="4" t="s">
        <v>283</v>
      </c>
      <c r="E627" s="4">
        <f>SUMIF(Cleaned_Data!C$2:C$2013,D627,Cleaned_Data!K$2:K$2013)</f>
        <v>18540000000</v>
      </c>
      <c r="R627" s="6"/>
    </row>
    <row r="628">
      <c r="D628" s="4" t="s">
        <v>285</v>
      </c>
      <c r="E628" s="4">
        <f>SUMIF(Cleaned_Data!C$2:C$2013,D628,Cleaned_Data!K$2:K$2013)</f>
        <v>1448000000</v>
      </c>
      <c r="R628" s="6"/>
    </row>
    <row r="629">
      <c r="D629" s="4" t="s">
        <v>287</v>
      </c>
      <c r="E629" s="4">
        <f>SUMIF(Cleaned_Data!C$2:C$2013,D629,Cleaned_Data!K$2:K$2013)</f>
        <v>2128200000</v>
      </c>
      <c r="R629" s="6"/>
    </row>
    <row r="630">
      <c r="D630" s="4" t="s">
        <v>289</v>
      </c>
      <c r="E630" s="4">
        <f>SUMIF(Cleaned_Data!C$2:C$2013,D630,Cleaned_Data!K$2:K$2013)</f>
        <v>2953000000</v>
      </c>
      <c r="R630" s="6"/>
    </row>
    <row r="631">
      <c r="D631" s="4" t="s">
        <v>291</v>
      </c>
      <c r="E631" s="4">
        <f>SUMIF(Cleaned_Data!C$2:C$2013,D631,Cleaned_Data!K$2:K$2013)</f>
        <v>2560000000</v>
      </c>
      <c r="R631" s="6"/>
    </row>
    <row r="632">
      <c r="D632" s="4" t="s">
        <v>293</v>
      </c>
      <c r="E632" s="4">
        <f>SUMIF(Cleaned_Data!C$2:C$2013,D632,Cleaned_Data!K$2:K$2013)</f>
        <v>2937800000</v>
      </c>
      <c r="R632" s="6"/>
    </row>
    <row r="633">
      <c r="D633" s="4" t="s">
        <v>295</v>
      </c>
      <c r="E633" s="4">
        <f>SUMIF(Cleaned_Data!C$2:C$2013,D633,Cleaned_Data!K$2:K$2013)</f>
        <v>1040641000</v>
      </c>
      <c r="R633" s="6"/>
    </row>
    <row r="634">
      <c r="D634" s="4" t="s">
        <v>297</v>
      </c>
      <c r="E634" s="4">
        <f>SUMIF(Cleaned_Data!C$2:C$2013,D634,Cleaned_Data!K$2:K$2013)</f>
        <v>2114000000</v>
      </c>
      <c r="R634" s="6"/>
    </row>
    <row r="635">
      <c r="D635" s="4" t="s">
        <v>299</v>
      </c>
      <c r="E635" s="4">
        <f>SUMIF(Cleaned_Data!C$2:C$2013,D635,Cleaned_Data!K$2:K$2013)</f>
        <v>1954000000</v>
      </c>
      <c r="R635" s="6"/>
    </row>
    <row r="636">
      <c r="D636" s="4" t="s">
        <v>301</v>
      </c>
      <c r="E636" s="4">
        <f>SUMIF(Cleaned_Data!C$2:C$2013,D636,Cleaned_Data!K$2:K$2013)</f>
        <v>6708000000</v>
      </c>
      <c r="R636" s="6"/>
    </row>
    <row r="637">
      <c r="D637" s="4" t="s">
        <v>303</v>
      </c>
      <c r="E637" s="4">
        <f>SUMIF(Cleaned_Data!C$2:C$2013,D637,Cleaned_Data!K$2:K$2013)</f>
        <v>393535000</v>
      </c>
      <c r="R637" s="6"/>
    </row>
    <row r="638">
      <c r="D638" s="4" t="s">
        <v>305</v>
      </c>
      <c r="E638" s="4">
        <f>SUMIF(Cleaned_Data!C$2:C$2013,D638,Cleaned_Data!K$2:K$2013)</f>
        <v>1807000000</v>
      </c>
      <c r="R638" s="6"/>
    </row>
    <row r="639">
      <c r="D639" s="4" t="s">
        <v>307</v>
      </c>
      <c r="E639" s="4">
        <f>SUMIF(Cleaned_Data!C$2:C$2013,D639,Cleaned_Data!K$2:K$2013)</f>
        <v>5086000000</v>
      </c>
      <c r="R639" s="6"/>
    </row>
    <row r="640">
      <c r="D640" s="4" t="s">
        <v>308</v>
      </c>
      <c r="E640" s="4">
        <f>SUMIF(Cleaned_Data!C$2:C$2013,D640,Cleaned_Data!K$2:K$2013)</f>
        <v>2389000000</v>
      </c>
      <c r="R640" s="6"/>
    </row>
    <row r="641">
      <c r="D641" s="4" t="s">
        <v>310</v>
      </c>
      <c r="E641" s="4">
        <f>SUMIF(Cleaned_Data!C$2:C$2013,D641,Cleaned_Data!K$2:K$2013)</f>
        <v>12913000000</v>
      </c>
      <c r="R641" s="6"/>
    </row>
    <row r="642">
      <c r="D642" s="4" t="s">
        <v>312</v>
      </c>
      <c r="E642" s="4">
        <f>SUMIF(Cleaned_Data!C$2:C$2013,D642,Cleaned_Data!K$2:K$2013)</f>
        <v>4704500000</v>
      </c>
      <c r="R642" s="6"/>
    </row>
    <row r="643">
      <c r="D643" s="4" t="s">
        <v>314</v>
      </c>
      <c r="E643" s="4">
        <f>SUMIF(Cleaned_Data!C$2:C$2013,D643,Cleaned_Data!K$2:K$2013)</f>
        <v>7214500000</v>
      </c>
      <c r="R643" s="6"/>
    </row>
    <row r="644">
      <c r="D644" s="4" t="s">
        <v>316</v>
      </c>
      <c r="E644" s="4">
        <f>SUMIF(Cleaned_Data!C$2:C$2013,D644,Cleaned_Data!K$2:K$2013)</f>
        <v>657900000</v>
      </c>
      <c r="R644" s="6"/>
    </row>
    <row r="645">
      <c r="D645" s="4" t="s">
        <v>318</v>
      </c>
      <c r="E645" s="4">
        <f>SUMIF(Cleaned_Data!C$2:C$2013,D645,Cleaned_Data!K$2:K$2013)</f>
        <v>1766606000</v>
      </c>
      <c r="R645" s="6"/>
    </row>
    <row r="646">
      <c r="D646" s="4" t="s">
        <v>320</v>
      </c>
      <c r="E646" s="4">
        <f>SUMIF(Cleaned_Data!C$2:C$2013,D646,Cleaned_Data!K$2:K$2013)</f>
        <v>8090000000</v>
      </c>
      <c r="R646" s="6"/>
    </row>
    <row r="647">
      <c r="D647" s="4" t="s">
        <v>322</v>
      </c>
      <c r="E647" s="4">
        <f>SUMIF(Cleaned_Data!C$2:C$2013,D647,Cleaned_Data!K$2:K$2013)</f>
        <v>-6855000000</v>
      </c>
      <c r="R647" s="6"/>
    </row>
    <row r="648">
      <c r="D648" s="4" t="s">
        <v>324</v>
      </c>
      <c r="E648" s="4">
        <f>SUMIF(Cleaned_Data!C$2:C$2013,D648,Cleaned_Data!K$2:K$2013)</f>
        <v>399000000</v>
      </c>
      <c r="R648" s="6"/>
    </row>
    <row r="649">
      <c r="D649" s="4" t="s">
        <v>326</v>
      </c>
      <c r="E649" s="4">
        <f>SUMIF(Cleaned_Data!C$2:C$2013,D649,Cleaned_Data!K$2:K$2013)</f>
        <v>3246000000</v>
      </c>
      <c r="R649" s="6"/>
    </row>
    <row r="650">
      <c r="D650" s="4" t="s">
        <v>328</v>
      </c>
      <c r="E650" s="4">
        <f>SUMIF(Cleaned_Data!C$2:C$2013,D650,Cleaned_Data!K$2:K$2013)</f>
        <v>345000000</v>
      </c>
      <c r="R650" s="6"/>
    </row>
    <row r="651">
      <c r="D651" s="4" t="s">
        <v>330</v>
      </c>
      <c r="E651" s="4">
        <f>SUMIF(Cleaned_Data!C$2:C$2013,D651,Cleaned_Data!K$2:K$2013)</f>
        <v>8000000</v>
      </c>
      <c r="R651" s="6"/>
    </row>
    <row r="652">
      <c r="D652" s="4" t="s">
        <v>332</v>
      </c>
      <c r="E652" s="4">
        <f>SUMIF(Cleaned_Data!C$2:C$2013,D652,Cleaned_Data!K$2:K$2013)</f>
        <v>788724000</v>
      </c>
      <c r="R652" s="6"/>
    </row>
    <row r="653">
      <c r="D653" s="4" t="s">
        <v>334</v>
      </c>
      <c r="E653" s="4">
        <f>SUMIF(Cleaned_Data!C$2:C$2013,D653,Cleaned_Data!K$2:K$2013)</f>
        <v>6463000000</v>
      </c>
      <c r="R653" s="6"/>
    </row>
    <row r="654">
      <c r="D654" s="4" t="s">
        <v>336</v>
      </c>
      <c r="E654" s="4">
        <f>SUMIF(Cleaned_Data!C$2:C$2013,D654,Cleaned_Data!K$2:K$2013)</f>
        <v>2404000000</v>
      </c>
      <c r="R654" s="6"/>
    </row>
    <row r="655">
      <c r="D655" s="4" t="s">
        <v>338</v>
      </c>
      <c r="E655" s="4">
        <f>SUMIF(Cleaned_Data!C$2:C$2013,D655,Cleaned_Data!K$2:K$2013)</f>
        <v>2404000000</v>
      </c>
      <c r="R655" s="6"/>
    </row>
    <row r="656">
      <c r="D656" s="4" t="s">
        <v>340</v>
      </c>
      <c r="E656" s="4">
        <f>SUMIF(Cleaned_Data!C$2:C$2013,D656,Cleaned_Data!K$2:K$2013)</f>
        <v>3572201000</v>
      </c>
      <c r="R656" s="6"/>
    </row>
    <row r="657">
      <c r="D657" s="4" t="s">
        <v>342</v>
      </c>
      <c r="E657" s="4">
        <f>SUMIF(Cleaned_Data!C$2:C$2013,D657,Cleaned_Data!K$2:K$2013)</f>
        <v>3599531000</v>
      </c>
      <c r="R657" s="6"/>
    </row>
    <row r="658">
      <c r="D658" s="4" t="s">
        <v>344</v>
      </c>
      <c r="E658" s="4">
        <f>SUMIF(Cleaned_Data!C$2:C$2013,D658,Cleaned_Data!K$2:K$2013)</f>
        <v>2258300000</v>
      </c>
      <c r="R658" s="6"/>
    </row>
    <row r="659">
      <c r="D659" s="4" t="s">
        <v>346</v>
      </c>
      <c r="E659" s="4">
        <f>SUMIF(Cleaned_Data!C$2:C$2013,D659,Cleaned_Data!K$2:K$2013)</f>
        <v>3744000000</v>
      </c>
      <c r="R659" s="6"/>
    </row>
    <row r="660">
      <c r="D660" s="4" t="s">
        <v>348</v>
      </c>
      <c r="E660" s="4">
        <f>SUMIF(Cleaned_Data!C$2:C$2013,D660,Cleaned_Data!K$2:K$2013)</f>
        <v>783665000</v>
      </c>
      <c r="R660" s="6"/>
    </row>
    <row r="661">
      <c r="D661" s="4" t="s">
        <v>350</v>
      </c>
      <c r="E661" s="4">
        <f>SUMIF(Cleaned_Data!C$2:C$2013,D661,Cleaned_Data!K$2:K$2013)</f>
        <v>1288860000</v>
      </c>
      <c r="R661" s="6"/>
    </row>
    <row r="662">
      <c r="D662" s="4" t="s">
        <v>352</v>
      </c>
      <c r="E662" s="4">
        <f>SUMIF(Cleaned_Data!C$2:C$2013,D662,Cleaned_Data!K$2:K$2013)</f>
        <v>5348000000</v>
      </c>
      <c r="R662" s="6"/>
    </row>
    <row r="663">
      <c r="D663" s="4" t="s">
        <v>354</v>
      </c>
      <c r="E663" s="4">
        <f>SUMIF(Cleaned_Data!C$2:C$2013,D663,Cleaned_Data!K$2:K$2013)</f>
        <v>1970000000</v>
      </c>
      <c r="R663" s="6"/>
    </row>
    <row r="664">
      <c r="D664" s="4" t="s">
        <v>356</v>
      </c>
      <c r="E664" s="4">
        <f>SUMIF(Cleaned_Data!C$2:C$2013,D664,Cleaned_Data!K$2:K$2013)</f>
        <v>5649000000</v>
      </c>
      <c r="R664" s="6"/>
    </row>
    <row r="665">
      <c r="D665" s="4" t="s">
        <v>358</v>
      </c>
      <c r="E665" s="4">
        <f>SUMIF(Cleaned_Data!C$2:C$2013,D665,Cleaned_Data!K$2:K$2013)</f>
        <v>305011000</v>
      </c>
      <c r="R665" s="6"/>
    </row>
    <row r="666">
      <c r="D666" s="4" t="s">
        <v>360</v>
      </c>
      <c r="E666" s="4">
        <f>SUMIF(Cleaned_Data!C$2:C$2013,D666,Cleaned_Data!K$2:K$2013)</f>
        <v>2330000000</v>
      </c>
      <c r="R666" s="6"/>
    </row>
    <row r="667">
      <c r="D667" s="4" t="s">
        <v>362</v>
      </c>
      <c r="E667" s="4">
        <f>SUMIF(Cleaned_Data!C$2:C$2013,D667,Cleaned_Data!K$2:K$2013)</f>
        <v>182000000</v>
      </c>
      <c r="R667" s="6"/>
    </row>
    <row r="668">
      <c r="D668" s="4" t="s">
        <v>364</v>
      </c>
      <c r="E668" s="4">
        <f>SUMIF(Cleaned_Data!C$2:C$2013,D668,Cleaned_Data!K$2:K$2013)</f>
        <v>1253000000</v>
      </c>
      <c r="R668" s="6"/>
    </row>
    <row r="669">
      <c r="D669" s="4" t="s">
        <v>366</v>
      </c>
      <c r="E669" s="4">
        <f>SUMIF(Cleaned_Data!C$2:C$2013,D669,Cleaned_Data!K$2:K$2013)</f>
        <v>2415000000</v>
      </c>
      <c r="R669" s="6"/>
    </row>
    <row r="670">
      <c r="D670" s="4" t="s">
        <v>368</v>
      </c>
      <c r="E670" s="4">
        <f>SUMIF(Cleaned_Data!C$2:C$2013,D670,Cleaned_Data!K$2:K$2013)</f>
        <v>2964000000</v>
      </c>
      <c r="R670" s="6"/>
    </row>
    <row r="671">
      <c r="D671" s="4" t="s">
        <v>370</v>
      </c>
      <c r="E671" s="4">
        <f>SUMIF(Cleaned_Data!C$2:C$2013,D671,Cleaned_Data!K$2:K$2013)</f>
        <v>1796900000</v>
      </c>
      <c r="R671" s="6"/>
    </row>
    <row r="672">
      <c r="D672" s="4" t="s">
        <v>372</v>
      </c>
      <c r="E672" s="4">
        <f>SUMIF(Cleaned_Data!C$2:C$2013,D672,Cleaned_Data!K$2:K$2013)</f>
        <v>2976000000</v>
      </c>
      <c r="R672" s="6"/>
    </row>
    <row r="673">
      <c r="D673" s="4" t="s">
        <v>374</v>
      </c>
      <c r="E673" s="4">
        <f>SUMIF(Cleaned_Data!C$2:C$2013,D673,Cleaned_Data!K$2:K$2013)</f>
        <v>1545300000</v>
      </c>
      <c r="R673" s="6"/>
    </row>
    <row r="674">
      <c r="D674" s="4" t="s">
        <v>376</v>
      </c>
      <c r="E674" s="4">
        <f>SUMIF(Cleaned_Data!C$2:C$2013,D674,Cleaned_Data!K$2:K$2013)</f>
        <v>929000000</v>
      </c>
      <c r="R674" s="6"/>
    </row>
    <row r="675">
      <c r="D675" s="4" t="s">
        <v>378</v>
      </c>
      <c r="E675" s="4">
        <f>SUMIF(Cleaned_Data!C$2:C$2013,D675,Cleaned_Data!K$2:K$2013)</f>
        <v>7093400000</v>
      </c>
      <c r="R675" s="6"/>
    </row>
    <row r="676">
      <c r="D676" s="4" t="s">
        <v>380</v>
      </c>
      <c r="E676" s="4">
        <f>SUMIF(Cleaned_Data!C$2:C$2013,D676,Cleaned_Data!K$2:K$2013)</f>
        <v>3194000000</v>
      </c>
      <c r="R676" s="6"/>
    </row>
    <row r="677">
      <c r="D677" s="4" t="s">
        <v>382</v>
      </c>
      <c r="E677" s="4">
        <f>SUMIF(Cleaned_Data!C$2:C$2013,D677,Cleaned_Data!K$2:K$2013)</f>
        <v>206213000</v>
      </c>
      <c r="R677" s="6"/>
    </row>
    <row r="678">
      <c r="D678" s="4" t="s">
        <v>384</v>
      </c>
      <c r="E678" s="4">
        <f>SUMIF(Cleaned_Data!C$2:C$2013,D678,Cleaned_Data!K$2:K$2013)</f>
        <v>1949005000</v>
      </c>
      <c r="R678" s="6"/>
    </row>
    <row r="679">
      <c r="D679" s="4" t="s">
        <v>386</v>
      </c>
      <c r="E679" s="4">
        <f>SUMIF(Cleaned_Data!C$2:C$2013,D679,Cleaned_Data!K$2:K$2013)</f>
        <v>2981088000</v>
      </c>
      <c r="R679" s="6"/>
    </row>
    <row r="680">
      <c r="D680" s="4" t="s">
        <v>388</v>
      </c>
      <c r="E680" s="4">
        <f>SUMIF(Cleaned_Data!C$2:C$2013,D680,Cleaned_Data!K$2:K$2013)</f>
        <v>1006600000</v>
      </c>
      <c r="R680" s="6"/>
    </row>
    <row r="681">
      <c r="D681" s="4" t="s">
        <v>390</v>
      </c>
      <c r="E681" s="4">
        <f>SUMIF(Cleaned_Data!C$2:C$2013,D681,Cleaned_Data!K$2:K$2013)</f>
        <v>1143956000</v>
      </c>
      <c r="R681" s="6"/>
    </row>
    <row r="682">
      <c r="D682" s="4" t="s">
        <v>392</v>
      </c>
      <c r="E682" s="4">
        <f>SUMIF(Cleaned_Data!C$2:C$2013,D682,Cleaned_Data!K$2:K$2013)</f>
        <v>648161000</v>
      </c>
      <c r="R682" s="6"/>
    </row>
    <row r="683">
      <c r="D683" s="4" t="s">
        <v>394</v>
      </c>
      <c r="E683" s="4">
        <f>SUMIF(Cleaned_Data!C$2:C$2013,D683,Cleaned_Data!K$2:K$2013)</f>
        <v>446968000</v>
      </c>
      <c r="R683" s="6"/>
    </row>
    <row r="684">
      <c r="D684" s="4" t="s">
        <v>396</v>
      </c>
      <c r="E684" s="4">
        <f>SUMIF(Cleaned_Data!C$2:C$2013,D684,Cleaned_Data!K$2:K$2013)</f>
        <v>3109000000</v>
      </c>
      <c r="R684" s="6"/>
    </row>
    <row r="685">
      <c r="D685" s="4" t="s">
        <v>398</v>
      </c>
      <c r="E685" s="4">
        <f>SUMIF(Cleaned_Data!C$2:C$2013,D685,Cleaned_Data!K$2:K$2013)</f>
        <v>529685000</v>
      </c>
      <c r="R685" s="6"/>
    </row>
    <row r="686">
      <c r="D686" s="4" t="s">
        <v>400</v>
      </c>
      <c r="E686" s="4">
        <f>SUMIF(Cleaned_Data!C$2:C$2013,D686,Cleaned_Data!K$2:K$2013)</f>
        <v>1509913000</v>
      </c>
      <c r="R686" s="6"/>
    </row>
    <row r="687">
      <c r="D687" s="4" t="s">
        <v>402</v>
      </c>
      <c r="E687" s="4">
        <f>SUMIF(Cleaned_Data!C$2:C$2013,D687,Cleaned_Data!K$2:K$2013)</f>
        <v>1291100000</v>
      </c>
      <c r="R687" s="6"/>
    </row>
    <row r="688">
      <c r="D688" s="4" t="s">
        <v>404</v>
      </c>
      <c r="E688" s="4">
        <f>SUMIF(Cleaned_Data!C$2:C$2013,D688,Cleaned_Data!K$2:K$2013)</f>
        <v>2120831000</v>
      </c>
      <c r="R688" s="6"/>
    </row>
    <row r="689">
      <c r="D689" s="4" t="s">
        <v>406</v>
      </c>
      <c r="E689" s="4">
        <f>SUMIF(Cleaned_Data!C$2:C$2013,D689,Cleaned_Data!K$2:K$2013)</f>
        <v>3587000000</v>
      </c>
      <c r="R689" s="6"/>
    </row>
    <row r="690">
      <c r="D690" s="4" t="s">
        <v>408</v>
      </c>
      <c r="E690" s="4">
        <f>SUMIF(Cleaned_Data!C$2:C$2013,D690,Cleaned_Data!K$2:K$2013)</f>
        <v>-1502000000</v>
      </c>
      <c r="R690" s="6"/>
    </row>
    <row r="691">
      <c r="D691" s="4" t="s">
        <v>410</v>
      </c>
      <c r="E691" s="4">
        <f>SUMIF(Cleaned_Data!C$2:C$2013,D691,Cleaned_Data!K$2:K$2013)</f>
        <v>1166897000</v>
      </c>
      <c r="R691" s="6"/>
    </row>
    <row r="692">
      <c r="D692" s="4" t="s">
        <v>412</v>
      </c>
      <c r="E692" s="4">
        <f>SUMIF(Cleaned_Data!C$2:C$2013,D692,Cleaned_Data!K$2:K$2013)</f>
        <v>748703000</v>
      </c>
      <c r="R692" s="6"/>
    </row>
    <row r="693">
      <c r="D693" s="4" t="s">
        <v>414</v>
      </c>
      <c r="E693" s="4">
        <f>SUMIF(Cleaned_Data!C$2:C$2013,D693,Cleaned_Data!K$2:K$2013)</f>
        <v>6390000000</v>
      </c>
      <c r="R693" s="6"/>
    </row>
    <row r="694">
      <c r="D694" s="4" t="s">
        <v>416</v>
      </c>
      <c r="E694" s="4">
        <f>SUMIF(Cleaned_Data!C$2:C$2013,D694,Cleaned_Data!K$2:K$2013)</f>
        <v>400908000</v>
      </c>
      <c r="R694" s="6"/>
    </row>
    <row r="695">
      <c r="D695" s="4" t="s">
        <v>418</v>
      </c>
      <c r="E695" s="4">
        <f>SUMIF(Cleaned_Data!C$2:C$2013,D695,Cleaned_Data!K$2:K$2013)</f>
        <v>44560000000</v>
      </c>
      <c r="R695" s="6"/>
    </row>
    <row r="696">
      <c r="D696" s="4" t="s">
        <v>420</v>
      </c>
      <c r="E696" s="4">
        <f>SUMIF(Cleaned_Data!C$2:C$2013,D696,Cleaned_Data!K$2:K$2013)</f>
        <v>1151300000</v>
      </c>
      <c r="R696" s="6"/>
    </row>
    <row r="697">
      <c r="D697" s="4" t="s">
        <v>422</v>
      </c>
      <c r="E697" s="4">
        <f>SUMIF(Cleaned_Data!C$2:C$2013,D697,Cleaned_Data!K$2:K$2013)</f>
        <v>266263000</v>
      </c>
      <c r="R697" s="6"/>
    </row>
    <row r="698">
      <c r="D698" s="4" t="s">
        <v>424</v>
      </c>
      <c r="E698" s="4">
        <f>SUMIF(Cleaned_Data!C$2:C$2013,D698,Cleaned_Data!K$2:K$2013)</f>
        <v>7956000000</v>
      </c>
      <c r="R698" s="6"/>
    </row>
    <row r="699">
      <c r="D699" s="4" t="s">
        <v>426</v>
      </c>
      <c r="E699" s="4">
        <f>SUMIF(Cleaned_Data!C$2:C$2013,D699,Cleaned_Data!K$2:K$2013)</f>
        <v>1442000000</v>
      </c>
      <c r="R699" s="6"/>
    </row>
    <row r="700">
      <c r="D700" s="4" t="s">
        <v>428</v>
      </c>
      <c r="E700" s="4">
        <f>SUMIF(Cleaned_Data!C$2:C$2013,D700,Cleaned_Data!K$2:K$2013)</f>
        <v>3340000000</v>
      </c>
      <c r="R700" s="6"/>
    </row>
    <row r="701">
      <c r="D701" s="4" t="s">
        <v>430</v>
      </c>
      <c r="E701" s="4">
        <f>SUMIF(Cleaned_Data!C$2:C$2013,D701,Cleaned_Data!K$2:K$2013)</f>
        <v>1708881000</v>
      </c>
      <c r="R701" s="6"/>
    </row>
    <row r="702">
      <c r="D702" s="4" t="s">
        <v>432</v>
      </c>
      <c r="E702" s="4">
        <f>SUMIF(Cleaned_Data!C$2:C$2013,D702,Cleaned_Data!K$2:K$2013)</f>
        <v>2492000000</v>
      </c>
      <c r="R702" s="6"/>
    </row>
    <row r="703">
      <c r="D703" s="4" t="s">
        <v>434</v>
      </c>
      <c r="E703" s="4">
        <f>SUMIF(Cleaned_Data!C$2:C$2013,D703,Cleaned_Data!K$2:K$2013)</f>
        <v>2269000000</v>
      </c>
      <c r="R703" s="6"/>
    </row>
    <row r="704">
      <c r="D704" s="4" t="s">
        <v>436</v>
      </c>
      <c r="E704" s="4">
        <f>SUMIF(Cleaned_Data!C$2:C$2013,D704,Cleaned_Data!K$2:K$2013)</f>
        <v>1122342000</v>
      </c>
      <c r="R704" s="6"/>
    </row>
    <row r="705">
      <c r="D705" s="4" t="s">
        <v>438</v>
      </c>
      <c r="E705" s="4">
        <f>SUMIF(Cleaned_Data!C$2:C$2013,D705,Cleaned_Data!K$2:K$2013)</f>
        <v>1033300000</v>
      </c>
      <c r="R705" s="6"/>
    </row>
    <row r="706">
      <c r="D706" s="4" t="s">
        <v>440</v>
      </c>
      <c r="E706" s="4">
        <f>SUMIF(Cleaned_Data!C$2:C$2013,D706,Cleaned_Data!K$2:K$2013)</f>
        <v>4873000000</v>
      </c>
      <c r="R706" s="6"/>
    </row>
    <row r="707">
      <c r="D707" s="4" t="s">
        <v>442</v>
      </c>
      <c r="E707" s="4">
        <f>SUMIF(Cleaned_Data!C$2:C$2013,D707,Cleaned_Data!K$2:K$2013)</f>
        <v>560800000</v>
      </c>
      <c r="R707" s="6"/>
    </row>
    <row r="708">
      <c r="D708" s="4" t="s">
        <v>444</v>
      </c>
      <c r="E708" s="4">
        <f>SUMIF(Cleaned_Data!C$2:C$2013,D708,Cleaned_Data!K$2:K$2013)</f>
        <v>646900000</v>
      </c>
      <c r="R708" s="6"/>
    </row>
    <row r="709">
      <c r="D709" s="4" t="s">
        <v>446</v>
      </c>
      <c r="E709" s="4">
        <f>SUMIF(Cleaned_Data!C$2:C$2013,D709,Cleaned_Data!K$2:K$2013)</f>
        <v>1040800000</v>
      </c>
      <c r="R709" s="6"/>
    </row>
    <row r="710">
      <c r="D710" s="4" t="s">
        <v>448</v>
      </c>
      <c r="E710" s="4">
        <f>SUMIF(Cleaned_Data!C$2:C$2013,D710,Cleaned_Data!K$2:K$2013)</f>
        <v>2765000000</v>
      </c>
      <c r="R710" s="6"/>
    </row>
    <row r="711">
      <c r="D711" s="4" t="s">
        <v>450</v>
      </c>
      <c r="E711" s="4">
        <f>SUMIF(Cleaned_Data!C$2:C$2013,D711,Cleaned_Data!K$2:K$2013)</f>
        <v>2765000000</v>
      </c>
      <c r="R711" s="6"/>
    </row>
    <row r="712">
      <c r="D712" s="4" t="s">
        <v>452</v>
      </c>
      <c r="E712" s="4">
        <f>SUMIF(Cleaned_Data!C$2:C$2013,D712,Cleaned_Data!K$2:K$2013)</f>
        <v>1931200000</v>
      </c>
      <c r="R712" s="6"/>
    </row>
    <row r="713">
      <c r="D713" s="4" t="s">
        <v>454</v>
      </c>
      <c r="E713" s="4">
        <f>SUMIF(Cleaned_Data!C$2:C$2013,D713,Cleaned_Data!K$2:K$2013)</f>
        <v>5916000000</v>
      </c>
      <c r="R713" s="6"/>
    </row>
    <row r="714">
      <c r="D714" s="4" t="s">
        <v>456</v>
      </c>
      <c r="E714" s="4">
        <f>SUMIF(Cleaned_Data!C$2:C$2013,D714,Cleaned_Data!K$2:K$2013)</f>
        <v>981000000</v>
      </c>
      <c r="R714" s="6"/>
    </row>
    <row r="715">
      <c r="D715" s="4" t="s">
        <v>458</v>
      </c>
      <c r="E715" s="4">
        <f>SUMIF(Cleaned_Data!C$2:C$2013,D715,Cleaned_Data!K$2:K$2013)</f>
        <v>1309199000</v>
      </c>
      <c r="R715" s="6"/>
    </row>
    <row r="716">
      <c r="D716" s="4" t="s">
        <v>460</v>
      </c>
      <c r="E716" s="4">
        <f>SUMIF(Cleaned_Data!C$2:C$2013,D716,Cleaned_Data!K$2:K$2013)</f>
        <v>778315000</v>
      </c>
      <c r="R716" s="6"/>
    </row>
    <row r="717">
      <c r="D717" s="4" t="s">
        <v>462</v>
      </c>
      <c r="E717" s="4">
        <f>SUMIF(Cleaned_Data!C$2:C$2013,D717,Cleaned_Data!K$2:K$2013)</f>
        <v>611386000</v>
      </c>
      <c r="R717" s="6"/>
    </row>
    <row r="718">
      <c r="D718" s="4" t="s">
        <v>464</v>
      </c>
      <c r="E718" s="4">
        <f>SUMIF(Cleaned_Data!C$2:C$2013,D718,Cleaned_Data!K$2:K$2013)</f>
        <v>4386000000</v>
      </c>
      <c r="R718" s="6"/>
    </row>
    <row r="719">
      <c r="D719" s="4" t="s">
        <v>466</v>
      </c>
      <c r="E719" s="4">
        <f>SUMIF(Cleaned_Data!C$2:C$2013,D719,Cleaned_Data!K$2:K$2013)</f>
        <v>1768000000</v>
      </c>
      <c r="R719" s="6"/>
    </row>
    <row r="720">
      <c r="D720" s="4" t="s">
        <v>468</v>
      </c>
      <c r="E720" s="4">
        <f>SUMIF(Cleaned_Data!C$2:C$2013,D720,Cleaned_Data!K$2:K$2013)</f>
        <v>3503900000</v>
      </c>
      <c r="R720" s="6"/>
    </row>
    <row r="721">
      <c r="D721" s="4" t="s">
        <v>470</v>
      </c>
      <c r="E721" s="4">
        <f>SUMIF(Cleaned_Data!C$2:C$2013,D721,Cleaned_Data!K$2:K$2013)</f>
        <v>15132000000</v>
      </c>
      <c r="R721" s="6"/>
    </row>
    <row r="722">
      <c r="D722" s="4" t="s">
        <v>472</v>
      </c>
      <c r="E722" s="4">
        <f>SUMIF(Cleaned_Data!C$2:C$2013,D722,Cleaned_Data!K$2:K$2013)</f>
        <v>1199676000</v>
      </c>
      <c r="R722" s="6"/>
    </row>
    <row r="723">
      <c r="D723" s="4" t="s">
        <v>474</v>
      </c>
      <c r="E723" s="4">
        <f>SUMIF(Cleaned_Data!C$2:C$2013,D723,Cleaned_Data!K$2:K$2013)</f>
        <v>12393000000</v>
      </c>
      <c r="R723" s="6"/>
    </row>
    <row r="724">
      <c r="D724" s="4" t="s">
        <v>476</v>
      </c>
      <c r="E724" s="4">
        <f>SUMIF(Cleaned_Data!C$2:C$2013,D724,Cleaned_Data!K$2:K$2013)</f>
        <v>1472118000</v>
      </c>
      <c r="R724" s="6"/>
    </row>
    <row r="725">
      <c r="D725" s="4" t="s">
        <v>478</v>
      </c>
      <c r="E725" s="4">
        <f>SUMIF(Cleaned_Data!C$2:C$2013,D725,Cleaned_Data!K$2:K$2013)</f>
        <v>1036417000</v>
      </c>
      <c r="R725" s="6"/>
    </row>
    <row r="726">
      <c r="D726" s="4" t="s">
        <v>480</v>
      </c>
      <c r="E726" s="4">
        <f>SUMIF(Cleaned_Data!C$2:C$2013,D726,Cleaned_Data!K$2:K$2013)</f>
        <v>25593000000</v>
      </c>
      <c r="R726" s="6"/>
    </row>
    <row r="727">
      <c r="D727" s="4" t="s">
        <v>482</v>
      </c>
      <c r="E727" s="4">
        <f>SUMIF(Cleaned_Data!C$2:C$2013,D727,Cleaned_Data!K$2:K$2013)</f>
        <v>1322000000</v>
      </c>
      <c r="R727" s="6"/>
    </row>
    <row r="728">
      <c r="D728" s="4" t="s">
        <v>484</v>
      </c>
      <c r="E728" s="4">
        <f>SUMIF(Cleaned_Data!C$2:C$2013,D728,Cleaned_Data!K$2:K$2013)</f>
        <v>851027000</v>
      </c>
      <c r="R728" s="6"/>
    </row>
    <row r="729">
      <c r="D729" s="4" t="s">
        <v>486</v>
      </c>
      <c r="E729" s="4">
        <f>SUMIF(Cleaned_Data!C$2:C$2013,D729,Cleaned_Data!K$2:K$2013)</f>
        <v>902890000</v>
      </c>
      <c r="R729" s="6"/>
    </row>
    <row r="730">
      <c r="D730" s="4" t="s">
        <v>488</v>
      </c>
      <c r="E730" s="4">
        <f>SUMIF(Cleaned_Data!C$2:C$2013,D730,Cleaned_Data!K$2:K$2013)</f>
        <v>9350000000</v>
      </c>
      <c r="R730" s="6"/>
    </row>
    <row r="731">
      <c r="D731" s="4" t="s">
        <v>490</v>
      </c>
      <c r="E731" s="4">
        <f>SUMIF(Cleaned_Data!C$2:C$2013,D731,Cleaned_Data!K$2:K$2013)</f>
        <v>333774000</v>
      </c>
      <c r="R731" s="6"/>
    </row>
    <row r="732">
      <c r="D732" s="4" t="s">
        <v>492</v>
      </c>
      <c r="E732" s="4">
        <f>SUMIF(Cleaned_Data!C$2:C$2013,D732,Cleaned_Data!K$2:K$2013)</f>
        <v>600403000</v>
      </c>
      <c r="R732" s="6"/>
    </row>
    <row r="733">
      <c r="D733" s="4" t="s">
        <v>494</v>
      </c>
      <c r="E733" s="4">
        <f>SUMIF(Cleaned_Data!C$2:C$2013,D733,Cleaned_Data!K$2:K$2013)</f>
        <v>937000000</v>
      </c>
      <c r="R733" s="6"/>
    </row>
    <row r="734">
      <c r="D734" s="4" t="s">
        <v>496</v>
      </c>
      <c r="E734" s="4">
        <f>SUMIF(Cleaned_Data!C$2:C$2013,D734,Cleaned_Data!K$2:K$2013)</f>
        <v>2166000000</v>
      </c>
      <c r="R734" s="6"/>
    </row>
    <row r="735">
      <c r="D735" s="4" t="s">
        <v>498</v>
      </c>
      <c r="E735" s="4">
        <f>SUMIF(Cleaned_Data!C$2:C$2013,D735,Cleaned_Data!K$2:K$2013)</f>
        <v>-113000000</v>
      </c>
      <c r="R735" s="6"/>
    </row>
    <row r="736">
      <c r="D736" s="4" t="s">
        <v>500</v>
      </c>
      <c r="E736" s="4">
        <f>SUMIF(Cleaned_Data!C$2:C$2013,D736,Cleaned_Data!K$2:K$2013)</f>
        <v>2690800000</v>
      </c>
      <c r="R736" s="6"/>
    </row>
    <row r="737">
      <c r="D737" s="4" t="s">
        <v>502</v>
      </c>
      <c r="E737" s="4">
        <f>SUMIF(Cleaned_Data!C$2:C$2013,D737,Cleaned_Data!K$2:K$2013)</f>
        <v>22335000000</v>
      </c>
      <c r="R737" s="6"/>
    </row>
    <row r="738">
      <c r="D738" s="4" t="s">
        <v>504</v>
      </c>
      <c r="E738" s="4">
        <f>SUMIF(Cleaned_Data!C$2:C$2013,D738,Cleaned_Data!K$2:K$2013)</f>
        <v>7206000000</v>
      </c>
      <c r="R738" s="6"/>
    </row>
    <row r="739">
      <c r="D739" s="4" t="s">
        <v>506</v>
      </c>
      <c r="E739" s="4">
        <f>SUMIF(Cleaned_Data!C$2:C$2013,D739,Cleaned_Data!K$2:K$2013)</f>
        <v>1137525000</v>
      </c>
      <c r="R739" s="6"/>
    </row>
    <row r="740">
      <c r="D740" s="4" t="s">
        <v>508</v>
      </c>
      <c r="E740" s="4">
        <f>SUMIF(Cleaned_Data!C$2:C$2013,D740,Cleaned_Data!K$2:K$2013)</f>
        <v>-1071000000</v>
      </c>
      <c r="R740" s="6"/>
    </row>
    <row r="741">
      <c r="D741" s="4" t="s">
        <v>510</v>
      </c>
      <c r="E741" s="4">
        <f>SUMIF(Cleaned_Data!C$2:C$2013,D741,Cleaned_Data!K$2:K$2013)</f>
        <v>550000000</v>
      </c>
      <c r="R741" s="6"/>
    </row>
    <row r="742">
      <c r="D742" s="4" t="s">
        <v>512</v>
      </c>
      <c r="E742" s="4">
        <f>SUMIF(Cleaned_Data!C$2:C$2013,D742,Cleaned_Data!K$2:K$2013)</f>
        <v>5408000000</v>
      </c>
      <c r="R742" s="6"/>
    </row>
    <row r="743">
      <c r="D743" s="4" t="s">
        <v>514</v>
      </c>
      <c r="E743" s="4">
        <f>SUMIF(Cleaned_Data!C$2:C$2013,D743,Cleaned_Data!K$2:K$2013)</f>
        <v>5135000000</v>
      </c>
      <c r="R743" s="6"/>
    </row>
    <row r="744">
      <c r="D744" s="4" t="s">
        <v>516</v>
      </c>
      <c r="E744" s="4">
        <f>SUMIF(Cleaned_Data!C$2:C$2013,D744,Cleaned_Data!K$2:K$2013)</f>
        <v>1720000000</v>
      </c>
      <c r="R744" s="6"/>
    </row>
    <row r="745">
      <c r="D745" s="4" t="s">
        <v>518</v>
      </c>
      <c r="E745" s="4">
        <f>SUMIF(Cleaned_Data!C$2:C$2013,D745,Cleaned_Data!K$2:K$2013)</f>
        <v>911000000</v>
      </c>
      <c r="R745" s="6"/>
    </row>
    <row r="746">
      <c r="D746" s="4" t="s">
        <v>520</v>
      </c>
      <c r="E746" s="4">
        <f>SUMIF(Cleaned_Data!C$2:C$2013,D746,Cleaned_Data!K$2:K$2013)</f>
        <v>9256000000</v>
      </c>
      <c r="R746" s="6"/>
    </row>
    <row r="747">
      <c r="D747" s="4" t="s">
        <v>521</v>
      </c>
      <c r="E747" s="4">
        <f>SUMIF(Cleaned_Data!C$2:C$2013,D747,Cleaned_Data!K$2:K$2013)</f>
        <v>600758000</v>
      </c>
      <c r="R747" s="6"/>
    </row>
    <row r="748">
      <c r="D748" s="4" t="s">
        <v>523</v>
      </c>
      <c r="E748" s="4">
        <f>SUMIF(Cleaned_Data!C$2:C$2013,D748,Cleaned_Data!K$2:K$2013)</f>
        <v>863826000</v>
      </c>
      <c r="R748" s="6"/>
    </row>
    <row r="749">
      <c r="D749" s="4" t="s">
        <v>525</v>
      </c>
      <c r="E749" s="4">
        <f>SUMIF(Cleaned_Data!C$2:C$2013,D749,Cleaned_Data!K$2:K$2013)</f>
        <v>1106500000</v>
      </c>
      <c r="R749" s="6"/>
    </row>
    <row r="750">
      <c r="D750" s="4" t="s">
        <v>527</v>
      </c>
      <c r="E750" s="4">
        <f>SUMIF(Cleaned_Data!C$2:C$2013,D750,Cleaned_Data!K$2:K$2013)</f>
        <v>3042000000</v>
      </c>
      <c r="R750" s="6"/>
    </row>
    <row r="751">
      <c r="D751" s="4" t="s">
        <v>529</v>
      </c>
      <c r="E751" s="4">
        <f>SUMIF(Cleaned_Data!C$2:C$2013,D751,Cleaned_Data!K$2:K$2013)</f>
        <v>557000000</v>
      </c>
      <c r="R751" s="6"/>
    </row>
    <row r="752">
      <c r="D752" s="4" t="s">
        <v>531</v>
      </c>
      <c r="E752" s="4">
        <f>SUMIF(Cleaned_Data!C$2:C$2013,D752,Cleaned_Data!K$2:K$2013)</f>
        <v>429224000</v>
      </c>
      <c r="R752" s="6"/>
    </row>
    <row r="753">
      <c r="D753" s="4" t="s">
        <v>533</v>
      </c>
      <c r="E753" s="4">
        <f>SUMIF(Cleaned_Data!C$2:C$2013,D753,Cleaned_Data!K$2:K$2013)</f>
        <v>571200000</v>
      </c>
      <c r="R753" s="6"/>
    </row>
    <row r="754">
      <c r="D754" s="4" t="s">
        <v>535</v>
      </c>
      <c r="E754" s="4">
        <f>SUMIF(Cleaned_Data!C$2:C$2013,D754,Cleaned_Data!K$2:K$2013)</f>
        <v>22765000000</v>
      </c>
      <c r="R754" s="6"/>
    </row>
    <row r="755">
      <c r="D755" s="4" t="s">
        <v>537</v>
      </c>
      <c r="E755" s="4">
        <f>SUMIF(Cleaned_Data!C$2:C$2013,D755,Cleaned_Data!K$2:K$2013)</f>
        <v>3222000000</v>
      </c>
      <c r="R755" s="6"/>
    </row>
    <row r="756">
      <c r="D756" s="4" t="s">
        <v>539</v>
      </c>
      <c r="E756" s="4">
        <f>SUMIF(Cleaned_Data!C$2:C$2013,D756,Cleaned_Data!K$2:K$2013)</f>
        <v>1035757000</v>
      </c>
      <c r="R756" s="6"/>
    </row>
    <row r="757">
      <c r="D757" s="4" t="s">
        <v>541</v>
      </c>
      <c r="E757" s="4">
        <f>SUMIF(Cleaned_Data!C$2:C$2013,D757,Cleaned_Data!K$2:K$2013)</f>
        <v>1869000000</v>
      </c>
      <c r="R757" s="6"/>
    </row>
    <row r="758">
      <c r="D758" s="4" t="s">
        <v>543</v>
      </c>
      <c r="E758" s="4">
        <f>SUMIF(Cleaned_Data!C$2:C$2013,D758,Cleaned_Data!K$2:K$2013)</f>
        <v>1406200000</v>
      </c>
      <c r="R758" s="6"/>
    </row>
    <row r="759">
      <c r="D759" s="4" t="s">
        <v>545</v>
      </c>
      <c r="E759" s="4">
        <f>SUMIF(Cleaned_Data!C$2:C$2013,D759,Cleaned_Data!K$2:K$2013)</f>
        <v>2607000000</v>
      </c>
      <c r="R759" s="6"/>
    </row>
    <row r="760">
      <c r="D760" s="4" t="s">
        <v>547</v>
      </c>
      <c r="E760" s="4">
        <f>SUMIF(Cleaned_Data!C$2:C$2013,D760,Cleaned_Data!K$2:K$2013)</f>
        <v>1182400000</v>
      </c>
      <c r="R760" s="6"/>
    </row>
    <row r="761">
      <c r="D761" s="4" t="s">
        <v>549</v>
      </c>
      <c r="E761" s="4">
        <f>SUMIF(Cleaned_Data!C$2:C$2013,D761,Cleaned_Data!K$2:K$2013)</f>
        <v>1544500000</v>
      </c>
      <c r="R761" s="6"/>
    </row>
    <row r="762">
      <c r="D762" s="4" t="s">
        <v>551</v>
      </c>
      <c r="E762" s="4">
        <f>SUMIF(Cleaned_Data!C$2:C$2013,D762,Cleaned_Data!K$2:K$2013)</f>
        <v>231510000</v>
      </c>
      <c r="R762" s="6"/>
    </row>
    <row r="763">
      <c r="D763" s="4" t="s">
        <v>553</v>
      </c>
      <c r="E763" s="4">
        <f>SUMIF(Cleaned_Data!C$2:C$2013,D763,Cleaned_Data!K$2:K$2013)</f>
        <v>1166000000</v>
      </c>
      <c r="R763" s="6"/>
    </row>
    <row r="764">
      <c r="D764" s="4" t="s">
        <v>555</v>
      </c>
      <c r="E764" s="4">
        <f>SUMIF(Cleaned_Data!C$2:C$2013,D764,Cleaned_Data!K$2:K$2013)</f>
        <v>803202000</v>
      </c>
      <c r="R764" s="6"/>
    </row>
    <row r="765">
      <c r="D765" s="4" t="s">
        <v>557</v>
      </c>
      <c r="E765" s="4">
        <f>SUMIF(Cleaned_Data!C$2:C$2013,D765,Cleaned_Data!K$2:K$2013)</f>
        <v>824193000</v>
      </c>
      <c r="R765" s="6"/>
    </row>
    <row r="766">
      <c r="D766" s="4" t="s">
        <v>559</v>
      </c>
      <c r="E766" s="4">
        <f>SUMIF(Cleaned_Data!C$2:C$2013,D766,Cleaned_Data!K$2:K$2013)</f>
        <v>398719000</v>
      </c>
      <c r="R766" s="6"/>
    </row>
    <row r="767">
      <c r="D767" s="4" t="s">
        <v>561</v>
      </c>
      <c r="E767" s="4">
        <f>SUMIF(Cleaned_Data!C$2:C$2013,D767,Cleaned_Data!K$2:K$2013)</f>
        <v>1068201000</v>
      </c>
      <c r="R767" s="6"/>
    </row>
    <row r="768">
      <c r="D768" s="4" t="s">
        <v>563</v>
      </c>
      <c r="E768" s="4">
        <f>SUMIF(Cleaned_Data!C$2:C$2013,D768,Cleaned_Data!K$2:K$2013)</f>
        <v>1275300000</v>
      </c>
      <c r="R768" s="6"/>
    </row>
    <row r="769">
      <c r="D769" s="4" t="s">
        <v>565</v>
      </c>
      <c r="E769" s="4">
        <f>SUMIF(Cleaned_Data!C$2:C$2013,D769,Cleaned_Data!K$2:K$2013)</f>
        <v>23168000000</v>
      </c>
      <c r="R769" s="6"/>
    </row>
    <row r="770">
      <c r="D770" s="4" t="s">
        <v>567</v>
      </c>
      <c r="E770" s="4">
        <f>SUMIF(Cleaned_Data!C$2:C$2013,D770,Cleaned_Data!K$2:K$2013)</f>
        <v>3026000000</v>
      </c>
      <c r="R770" s="6"/>
    </row>
    <row r="771">
      <c r="D771" s="4" t="s">
        <v>569</v>
      </c>
      <c r="E771" s="4">
        <f>SUMIF(Cleaned_Data!C$2:C$2013,D771,Cleaned_Data!K$2:K$2013)</f>
        <v>60533000000</v>
      </c>
      <c r="R771" s="6"/>
    </row>
    <row r="772">
      <c r="D772" s="4" t="s">
        <v>571</v>
      </c>
      <c r="E772" s="4">
        <f>SUMIF(Cleaned_Data!C$2:C$2013,D772,Cleaned_Data!K$2:K$2013)</f>
        <v>456500000</v>
      </c>
      <c r="R772" s="6"/>
    </row>
    <row r="773">
      <c r="D773" s="4" t="s">
        <v>573</v>
      </c>
      <c r="E773" s="4">
        <f>SUMIF(Cleaned_Data!C$2:C$2013,D773,Cleaned_Data!K$2:K$2013)</f>
        <v>1112300000</v>
      </c>
      <c r="R773" s="6"/>
    </row>
    <row r="774">
      <c r="D774" s="4" t="s">
        <v>575</v>
      </c>
      <c r="E774" s="4">
        <f>SUMIF(Cleaned_Data!C$2:C$2013,D774,Cleaned_Data!K$2:K$2013)</f>
        <v>1948000000</v>
      </c>
      <c r="R774" s="6"/>
    </row>
    <row r="775">
      <c r="D775" s="4" t="s">
        <v>577</v>
      </c>
      <c r="E775" s="4">
        <f>SUMIF(Cleaned_Data!C$2:C$2013,D775,Cleaned_Data!K$2:K$2013)</f>
        <v>2954000000</v>
      </c>
      <c r="R775" s="6"/>
    </row>
    <row r="776">
      <c r="D776" s="4" t="s">
        <v>579</v>
      </c>
      <c r="E776" s="4">
        <f>SUMIF(Cleaned_Data!C$2:C$2013,D776,Cleaned_Data!K$2:K$2013)</f>
        <v>921000000</v>
      </c>
      <c r="R776" s="6"/>
    </row>
    <row r="777">
      <c r="D777" s="4" t="s">
        <v>581</v>
      </c>
      <c r="E777" s="4">
        <f>SUMIF(Cleaned_Data!C$2:C$2013,D777,Cleaned_Data!K$2:K$2013)</f>
        <v>3411000000</v>
      </c>
      <c r="R777" s="6"/>
    </row>
    <row r="778">
      <c r="D778" s="4" t="s">
        <v>583</v>
      </c>
      <c r="E778" s="4">
        <f>SUMIF(Cleaned_Data!C$2:C$2013,D778,Cleaned_Data!K$2:K$2013)</f>
        <v>361277000</v>
      </c>
      <c r="R778" s="6"/>
    </row>
    <row r="779">
      <c r="D779" s="4" t="s">
        <v>585</v>
      </c>
      <c r="E779" s="4">
        <f>SUMIF(Cleaned_Data!C$2:C$2013,D779,Cleaned_Data!K$2:K$2013)</f>
        <v>4360000000</v>
      </c>
      <c r="R779" s="6"/>
    </row>
    <row r="780">
      <c r="D780" s="4" t="s">
        <v>587</v>
      </c>
      <c r="E780" s="4">
        <f>SUMIF(Cleaned_Data!C$2:C$2013,D780,Cleaned_Data!K$2:K$2013)</f>
        <v>2486641000</v>
      </c>
      <c r="R780" s="6"/>
    </row>
    <row r="781">
      <c r="D781" s="4" t="s">
        <v>589</v>
      </c>
      <c r="E781" s="4">
        <f>SUMIF(Cleaned_Data!C$2:C$2013,D781,Cleaned_Data!K$2:K$2013)</f>
        <v>6097000000</v>
      </c>
      <c r="R781" s="6"/>
    </row>
    <row r="782">
      <c r="D782" s="4" t="s">
        <v>591</v>
      </c>
      <c r="E782" s="4">
        <f>SUMIF(Cleaned_Data!C$2:C$2013,D782,Cleaned_Data!K$2:K$2013)</f>
        <v>2654000000</v>
      </c>
      <c r="R782" s="6"/>
    </row>
    <row r="783">
      <c r="D783" s="4" t="s">
        <v>593</v>
      </c>
      <c r="E783" s="4">
        <f>SUMIF(Cleaned_Data!C$2:C$2013,D783,Cleaned_Data!K$2:K$2013)</f>
        <v>2651000000</v>
      </c>
      <c r="R783" s="6"/>
    </row>
    <row r="784">
      <c r="D784" s="4" t="s">
        <v>595</v>
      </c>
      <c r="E784" s="4">
        <f>SUMIF(Cleaned_Data!C$2:C$2013,D784,Cleaned_Data!K$2:K$2013)</f>
        <v>3921100000</v>
      </c>
      <c r="R784" s="6"/>
    </row>
    <row r="785">
      <c r="D785" s="4" t="s">
        <v>597</v>
      </c>
      <c r="E785" s="4">
        <f>SUMIF(Cleaned_Data!C$2:C$2013,D785,Cleaned_Data!K$2:K$2013)</f>
        <v>4482023000</v>
      </c>
      <c r="R785" s="6"/>
    </row>
    <row r="786">
      <c r="D786" s="4" t="s">
        <v>599</v>
      </c>
      <c r="E786" s="4">
        <f>SUMIF(Cleaned_Data!C$2:C$2013,D786,Cleaned_Data!K$2:K$2013)</f>
        <v>501500000</v>
      </c>
      <c r="R786" s="6"/>
    </row>
    <row r="787">
      <c r="D787" s="4" t="s">
        <v>601</v>
      </c>
      <c r="E787" s="4">
        <f>SUMIF(Cleaned_Data!C$2:C$2013,D787,Cleaned_Data!K$2:K$2013)</f>
        <v>-1761000000</v>
      </c>
      <c r="R787" s="6"/>
    </row>
    <row r="788">
      <c r="D788" s="4" t="s">
        <v>603</v>
      </c>
      <c r="E788" s="4">
        <f>SUMIF(Cleaned_Data!C$2:C$2013,D788,Cleaned_Data!K$2:K$2013)</f>
        <v>443100000</v>
      </c>
      <c r="R788" s="6"/>
    </row>
    <row r="789">
      <c r="D789" s="4" t="s">
        <v>605</v>
      </c>
      <c r="E789" s="4">
        <f>SUMIF(Cleaned_Data!C$2:C$2013,D789,Cleaned_Data!K$2:K$2013)</f>
        <v>1151000000</v>
      </c>
      <c r="R789" s="6"/>
    </row>
    <row r="790">
      <c r="D790" s="4" t="s">
        <v>607</v>
      </c>
      <c r="E790" s="4">
        <f>SUMIF(Cleaned_Data!C$2:C$2013,D790,Cleaned_Data!K$2:K$2013)</f>
        <v>3938518000</v>
      </c>
      <c r="R790" s="6"/>
    </row>
    <row r="791">
      <c r="D791" s="4" t="s">
        <v>609</v>
      </c>
      <c r="E791" s="4">
        <f>SUMIF(Cleaned_Data!C$2:C$2013,D791,Cleaned_Data!K$2:K$2013)</f>
        <v>1942000000</v>
      </c>
      <c r="R791" s="6"/>
    </row>
    <row r="792">
      <c r="D792" s="4" t="s">
        <v>611</v>
      </c>
      <c r="E792" s="4">
        <f>SUMIF(Cleaned_Data!C$2:C$2013,D792,Cleaned_Data!K$2:K$2013)</f>
        <v>4903000000</v>
      </c>
      <c r="R792" s="6"/>
    </row>
    <row r="793">
      <c r="D793" s="4" t="s">
        <v>613</v>
      </c>
      <c r="E793" s="4">
        <f>SUMIF(Cleaned_Data!C$2:C$2013,D793,Cleaned_Data!K$2:K$2013)</f>
        <v>-1339070000</v>
      </c>
      <c r="R793" s="6"/>
    </row>
    <row r="794">
      <c r="D794" s="4" t="s">
        <v>615</v>
      </c>
      <c r="E794" s="4">
        <f>SUMIF(Cleaned_Data!C$2:C$2013,D794,Cleaned_Data!K$2:K$2013)</f>
        <v>1176135000</v>
      </c>
      <c r="R794" s="6"/>
    </row>
    <row r="795">
      <c r="D795" s="4" t="s">
        <v>617</v>
      </c>
      <c r="E795" s="4">
        <f>SUMIF(Cleaned_Data!C$2:C$2013,D795,Cleaned_Data!K$2:K$2013)</f>
        <v>9042000000</v>
      </c>
      <c r="R795" s="6"/>
    </row>
    <row r="796">
      <c r="D796" s="4" t="s">
        <v>619</v>
      </c>
      <c r="E796" s="4">
        <f>SUMIF(Cleaned_Data!C$2:C$2013,D796,Cleaned_Data!K$2:K$2013)</f>
        <v>2605000000</v>
      </c>
      <c r="R796" s="6"/>
    </row>
    <row r="797">
      <c r="D797" s="4" t="s">
        <v>621</v>
      </c>
      <c r="E797" s="4">
        <f>SUMIF(Cleaned_Data!C$2:C$2013,D797,Cleaned_Data!K$2:K$2013)</f>
        <v>12426000000</v>
      </c>
      <c r="R797" s="6"/>
    </row>
    <row r="798">
      <c r="D798" s="4" t="s">
        <v>623</v>
      </c>
      <c r="E798" s="4">
        <f>SUMIF(Cleaned_Data!C$2:C$2013,D798,Cleaned_Data!K$2:K$2013)</f>
        <v>3926000000</v>
      </c>
      <c r="R798" s="6"/>
    </row>
    <row r="799">
      <c r="D799" s="4" t="s">
        <v>625</v>
      </c>
      <c r="E799" s="4">
        <f>SUMIF(Cleaned_Data!C$2:C$2013,D799,Cleaned_Data!K$2:K$2013)</f>
        <v>6713000000</v>
      </c>
      <c r="R799" s="6"/>
    </row>
    <row r="800">
      <c r="D800" s="4" t="s">
        <v>627</v>
      </c>
      <c r="E800" s="4">
        <f>SUMIF(Cleaned_Data!C$2:C$2013,D800,Cleaned_Data!K$2:K$2013)</f>
        <v>2381381000</v>
      </c>
      <c r="R800" s="6"/>
    </row>
    <row r="801">
      <c r="D801" s="4" t="s">
        <v>629</v>
      </c>
      <c r="E801" s="4">
        <f>SUMIF(Cleaned_Data!C$2:C$2013,D801,Cleaned_Data!K$2:K$2013)</f>
        <v>-313000000</v>
      </c>
      <c r="R801" s="6"/>
    </row>
    <row r="802">
      <c r="D802" s="4" t="s">
        <v>631</v>
      </c>
      <c r="E802" s="4">
        <f>SUMIF(Cleaned_Data!C$2:C$2013,D802,Cleaned_Data!K$2:K$2013)</f>
        <v>919000000</v>
      </c>
      <c r="R802" s="6"/>
    </row>
    <row r="803">
      <c r="D803" s="4" t="s">
        <v>633</v>
      </c>
      <c r="E803" s="4">
        <f>SUMIF(Cleaned_Data!C$2:C$2013,D803,Cleaned_Data!K$2:K$2013)</f>
        <v>371276000</v>
      </c>
      <c r="R803" s="6"/>
    </row>
    <row r="804">
      <c r="D804" s="4" t="s">
        <v>635</v>
      </c>
      <c r="E804" s="4">
        <f>SUMIF(Cleaned_Data!C$2:C$2013,D804,Cleaned_Data!K$2:K$2013)</f>
        <v>350000000</v>
      </c>
      <c r="R804" s="6"/>
    </row>
    <row r="805">
      <c r="D805" s="4" t="s">
        <v>637</v>
      </c>
      <c r="E805" s="4">
        <f>SUMIF(Cleaned_Data!C$2:C$2013,D805,Cleaned_Data!K$2:K$2013)</f>
        <v>3760000000</v>
      </c>
      <c r="R805" s="6"/>
    </row>
    <row r="806">
      <c r="D806" s="4" t="s">
        <v>639</v>
      </c>
      <c r="E806" s="4">
        <f>SUMIF(Cleaned_Data!C$2:C$2013,D806,Cleaned_Data!K$2:K$2013)</f>
        <v>990200000</v>
      </c>
      <c r="R806" s="6"/>
    </row>
    <row r="807">
      <c r="D807" s="4" t="s">
        <v>641</v>
      </c>
      <c r="E807" s="4">
        <f>SUMIF(Cleaned_Data!C$2:C$2013,D807,Cleaned_Data!K$2:K$2013)</f>
        <v>1409000000</v>
      </c>
      <c r="R807" s="6"/>
    </row>
    <row r="808">
      <c r="D808" s="4" t="s">
        <v>643</v>
      </c>
      <c r="E808" s="4">
        <f>SUMIF(Cleaned_Data!C$2:C$2013,D808,Cleaned_Data!K$2:K$2013)</f>
        <v>8821000000</v>
      </c>
      <c r="R808" s="6"/>
    </row>
    <row r="809">
      <c r="D809" s="4" t="s">
        <v>645</v>
      </c>
      <c r="E809" s="4">
        <f>SUMIF(Cleaned_Data!C$2:C$2013,D809,Cleaned_Data!K$2:K$2013)</f>
        <v>819421000</v>
      </c>
      <c r="R809" s="6"/>
    </row>
    <row r="810">
      <c r="D810" s="4" t="s">
        <v>647</v>
      </c>
      <c r="E810" s="4">
        <f>SUMIF(Cleaned_Data!C$2:C$2013,D810,Cleaned_Data!K$2:K$2013)</f>
        <v>1090600000</v>
      </c>
      <c r="R810" s="6"/>
    </row>
    <row r="811">
      <c r="D811" s="4" t="s">
        <v>649</v>
      </c>
      <c r="E811" s="4">
        <f>SUMIF(Cleaned_Data!C$2:C$2013,D811,Cleaned_Data!K$2:K$2013)</f>
        <v>9089700000</v>
      </c>
      <c r="R811" s="6"/>
    </row>
    <row r="812">
      <c r="D812" s="4" t="s">
        <v>651</v>
      </c>
      <c r="E812" s="4">
        <f>SUMIF(Cleaned_Data!C$2:C$2013,D812,Cleaned_Data!K$2:K$2013)</f>
        <v>3118000000</v>
      </c>
      <c r="R812" s="6"/>
    </row>
    <row r="813">
      <c r="D813" s="4" t="s">
        <v>653</v>
      </c>
      <c r="E813" s="4">
        <f>SUMIF(Cleaned_Data!C$2:C$2013,D813,Cleaned_Data!K$2:K$2013)</f>
        <v>6431000000</v>
      </c>
      <c r="R813" s="6"/>
    </row>
    <row r="814">
      <c r="D814" s="4" t="s">
        <v>655</v>
      </c>
      <c r="E814" s="4">
        <f>SUMIF(Cleaned_Data!C$2:C$2013,D814,Cleaned_Data!K$2:K$2013)</f>
        <v>15216000000</v>
      </c>
      <c r="R814" s="6"/>
    </row>
    <row r="815">
      <c r="D815" s="4" t="s">
        <v>657</v>
      </c>
      <c r="E815" s="4">
        <f>SUMIF(Cleaned_Data!C$2:C$2013,D815,Cleaned_Data!K$2:K$2013)</f>
        <v>6778000000</v>
      </c>
      <c r="R815" s="6"/>
    </row>
    <row r="816">
      <c r="D816" s="4" t="s">
        <v>659</v>
      </c>
      <c r="E816" s="4">
        <f>SUMIF(Cleaned_Data!C$2:C$2013,D816,Cleaned_Data!K$2:K$2013)</f>
        <v>865302000</v>
      </c>
      <c r="R816" s="6"/>
    </row>
    <row r="817">
      <c r="D817" s="4" t="s">
        <v>661</v>
      </c>
      <c r="E817" s="4">
        <f>SUMIF(Cleaned_Data!C$2:C$2013,D817,Cleaned_Data!K$2:K$2013)</f>
        <v>-889574000</v>
      </c>
      <c r="R817" s="6"/>
    </row>
    <row r="818">
      <c r="D818" s="4" t="s">
        <v>663</v>
      </c>
      <c r="E818" s="4">
        <f>SUMIF(Cleaned_Data!C$2:C$2013,D818,Cleaned_Data!K$2:K$2013)</f>
        <v>1161400000</v>
      </c>
      <c r="R818" s="6"/>
    </row>
    <row r="819">
      <c r="D819" s="4" t="s">
        <v>665</v>
      </c>
      <c r="E819" s="4">
        <f>SUMIF(Cleaned_Data!C$2:C$2013,D819,Cleaned_Data!K$2:K$2013)</f>
        <v>3625000000</v>
      </c>
      <c r="R819" s="6"/>
    </row>
    <row r="820">
      <c r="D820" s="4" t="s">
        <v>667</v>
      </c>
      <c r="E820" s="4">
        <f>SUMIF(Cleaned_Data!C$2:C$2013,D820,Cleaned_Data!K$2:K$2013)</f>
        <v>69916000000</v>
      </c>
      <c r="R820" s="6"/>
    </row>
    <row r="821">
      <c r="D821" s="4" t="s">
        <v>669</v>
      </c>
      <c r="E821" s="4">
        <f>SUMIF(Cleaned_Data!C$2:C$2013,D821,Cleaned_Data!K$2:K$2013)</f>
        <v>425396000</v>
      </c>
      <c r="R821" s="6"/>
    </row>
    <row r="822">
      <c r="D822" s="4" t="s">
        <v>671</v>
      </c>
      <c r="E822" s="4">
        <f>SUMIF(Cleaned_Data!C$2:C$2013,D822,Cleaned_Data!K$2:K$2013)</f>
        <v>3817845000</v>
      </c>
      <c r="R822" s="6"/>
    </row>
    <row r="823">
      <c r="D823" s="4" t="s">
        <v>673</v>
      </c>
      <c r="E823" s="4">
        <f>SUMIF(Cleaned_Data!C$2:C$2013,D823,Cleaned_Data!K$2:K$2013)</f>
        <v>1337973000</v>
      </c>
      <c r="R823" s="6"/>
    </row>
    <row r="824">
      <c r="D824" s="4" t="s">
        <v>675</v>
      </c>
      <c r="E824" s="4">
        <f>SUMIF(Cleaned_Data!C$2:C$2013,D824,Cleaned_Data!K$2:K$2013)</f>
        <v>1634000000</v>
      </c>
      <c r="R824" s="6"/>
    </row>
    <row r="825">
      <c r="D825" s="4" t="s">
        <v>677</v>
      </c>
      <c r="E825" s="4">
        <f>SUMIF(Cleaned_Data!C$2:C$2013,D825,Cleaned_Data!K$2:K$2013)</f>
        <v>5005000000</v>
      </c>
      <c r="R825" s="6"/>
    </row>
    <row r="826">
      <c r="D826" s="4" t="s">
        <v>679</v>
      </c>
      <c r="E826" s="4">
        <f>SUMIF(Cleaned_Data!C$2:C$2013,D826,Cleaned_Data!K$2:K$2013)</f>
        <v>213260000</v>
      </c>
      <c r="R826" s="6"/>
    </row>
    <row r="827">
      <c r="D827" s="4" t="s">
        <v>681</v>
      </c>
      <c r="E827" s="4">
        <f>SUMIF(Cleaned_Data!C$2:C$2013,D827,Cleaned_Data!K$2:K$2013)</f>
        <v>1801023000</v>
      </c>
      <c r="R827" s="6"/>
    </row>
    <row r="828">
      <c r="D828" s="4" t="s">
        <v>683</v>
      </c>
      <c r="E828" s="4">
        <f>SUMIF(Cleaned_Data!C$2:C$2013,D828,Cleaned_Data!K$2:K$2013)</f>
        <v>2816000000</v>
      </c>
      <c r="R828" s="6"/>
    </row>
    <row r="829">
      <c r="D829" s="4" t="s">
        <v>685</v>
      </c>
      <c r="E829" s="4">
        <f>SUMIF(Cleaned_Data!C$2:C$2013,D829,Cleaned_Data!K$2:K$2013)</f>
        <v>23136000000</v>
      </c>
      <c r="R829" s="6"/>
    </row>
    <row r="830">
      <c r="D830" s="4" t="s">
        <v>687</v>
      </c>
      <c r="E830" s="4">
        <f>SUMIF(Cleaned_Data!C$2:C$2013,D830,Cleaned_Data!K$2:K$2013)</f>
        <v>1807000000</v>
      </c>
      <c r="R830" s="6"/>
    </row>
    <row r="831">
      <c r="D831" s="4" t="s">
        <v>689</v>
      </c>
      <c r="E831" s="4">
        <f>SUMIF(Cleaned_Data!C$2:C$2013,D831,Cleaned_Data!K$2:K$2013)</f>
        <v>988212000</v>
      </c>
      <c r="R831" s="6"/>
    </row>
    <row r="832">
      <c r="D832" s="4" t="s">
        <v>690</v>
      </c>
      <c r="E832" s="4">
        <f>SUMIF(Cleaned_Data!C$2:C$2013,D832,Cleaned_Data!K$2:K$2013)</f>
        <v>1548000000</v>
      </c>
      <c r="R832" s="6"/>
    </row>
    <row r="833">
      <c r="D833" s="4" t="s">
        <v>692</v>
      </c>
      <c r="E833" s="4">
        <f>SUMIF(Cleaned_Data!C$2:C$2013,D833,Cleaned_Data!K$2:K$2013)</f>
        <v>938000000</v>
      </c>
      <c r="R833" s="6"/>
    </row>
    <row r="834">
      <c r="D834" s="4" t="s">
        <v>694</v>
      </c>
      <c r="E834" s="4">
        <f>SUMIF(Cleaned_Data!C$2:C$2013,D834,Cleaned_Data!K$2:K$2013)</f>
        <v>5586889000</v>
      </c>
      <c r="R834" s="6"/>
    </row>
    <row r="835">
      <c r="D835" s="4" t="s">
        <v>696</v>
      </c>
      <c r="E835" s="4">
        <f>SUMIF(Cleaned_Data!C$2:C$2013,D835,Cleaned_Data!K$2:K$2013)</f>
        <v>1127000000</v>
      </c>
      <c r="R835" s="6"/>
    </row>
    <row r="836">
      <c r="D836" s="4" t="s">
        <v>698</v>
      </c>
      <c r="E836" s="4">
        <f>SUMIF(Cleaned_Data!C$2:C$2013,D836,Cleaned_Data!K$2:K$2013)</f>
        <v>4040000000</v>
      </c>
      <c r="R836" s="6"/>
    </row>
    <row r="837">
      <c r="D837" s="4" t="s">
        <v>700</v>
      </c>
      <c r="E837" s="4">
        <f>SUMIF(Cleaned_Data!C$2:C$2013,D837,Cleaned_Data!K$2:K$2013)</f>
        <v>606000000</v>
      </c>
      <c r="R837" s="6"/>
    </row>
    <row r="838">
      <c r="D838" s="4" t="s">
        <v>702</v>
      </c>
      <c r="E838" s="4">
        <f>SUMIF(Cleaned_Data!C$2:C$2013,D838,Cleaned_Data!K$2:K$2013)</f>
        <v>606000000</v>
      </c>
      <c r="R838" s="6"/>
    </row>
    <row r="839">
      <c r="D839" s="4" t="s">
        <v>704</v>
      </c>
      <c r="E839" s="4">
        <f>SUMIF(Cleaned_Data!C$2:C$2013,D839,Cleaned_Data!K$2:K$2013)</f>
        <v>3469000000</v>
      </c>
      <c r="R839" s="6"/>
    </row>
    <row r="840">
      <c r="D840" s="4" t="s">
        <v>706</v>
      </c>
      <c r="E840" s="4">
        <f>SUMIF(Cleaned_Data!C$2:C$2013,D840,Cleaned_Data!K$2:K$2013)</f>
        <v>1001000000</v>
      </c>
      <c r="R840" s="6"/>
    </row>
    <row r="841">
      <c r="D841" s="4" t="s">
        <v>708</v>
      </c>
      <c r="E841" s="4">
        <f>SUMIF(Cleaned_Data!C$2:C$2013,D841,Cleaned_Data!K$2:K$2013)</f>
        <v>4492000000</v>
      </c>
      <c r="R841" s="6"/>
    </row>
    <row r="842">
      <c r="D842" s="4" t="s">
        <v>710</v>
      </c>
      <c r="E842" s="4">
        <f>SUMIF(Cleaned_Data!C$2:C$2013,D842,Cleaned_Data!K$2:K$2013)</f>
        <v>999700000</v>
      </c>
      <c r="R842" s="6"/>
    </row>
    <row r="843">
      <c r="D843" s="4" t="s">
        <v>712</v>
      </c>
      <c r="E843" s="4">
        <f>SUMIF(Cleaned_Data!C$2:C$2013,D843,Cleaned_Data!K$2:K$2013)</f>
        <v>3543000000</v>
      </c>
      <c r="R843" s="6"/>
    </row>
    <row r="844">
      <c r="D844" s="4" t="s">
        <v>714</v>
      </c>
      <c r="E844" s="4">
        <f>SUMIF(Cleaned_Data!C$2:C$2013,D844,Cleaned_Data!K$2:K$2013)</f>
        <v>1798200000</v>
      </c>
      <c r="R844" s="6"/>
    </row>
    <row r="845">
      <c r="D845" s="4" t="s">
        <v>716</v>
      </c>
      <c r="E845" s="4">
        <f>SUMIF(Cleaned_Data!C$2:C$2013,D845,Cleaned_Data!K$2:K$2013)</f>
        <v>4316000000</v>
      </c>
      <c r="R845" s="6"/>
    </row>
    <row r="846">
      <c r="D846" s="4" t="s">
        <v>718</v>
      </c>
      <c r="E846" s="4">
        <f>SUMIF(Cleaned_Data!C$2:C$2013,D846,Cleaned_Data!K$2:K$2013)</f>
        <v>1129000000</v>
      </c>
      <c r="R846" s="6"/>
    </row>
    <row r="847">
      <c r="D847" s="4" t="s">
        <v>720</v>
      </c>
      <c r="E847" s="4">
        <f>SUMIF(Cleaned_Data!C$2:C$2013,D847,Cleaned_Data!K$2:K$2013)</f>
        <v>-2231540000</v>
      </c>
      <c r="R847" s="6"/>
    </row>
    <row r="848">
      <c r="D848" s="4" t="s">
        <v>722</v>
      </c>
      <c r="E848" s="4">
        <f>SUMIF(Cleaned_Data!C$2:C$2013,D848,Cleaned_Data!K$2:K$2013)</f>
        <v>922000000</v>
      </c>
      <c r="R848" s="6"/>
    </row>
    <row r="849">
      <c r="D849" s="4" t="s">
        <v>724</v>
      </c>
      <c r="E849" s="4">
        <f>SUMIF(Cleaned_Data!C$2:C$2013,D849,Cleaned_Data!K$2:K$2013)</f>
        <v>4308237000</v>
      </c>
      <c r="R849" s="6"/>
    </row>
    <row r="850">
      <c r="D850" s="4" t="s">
        <v>726</v>
      </c>
      <c r="E850" s="4">
        <f>SUMIF(Cleaned_Data!C$2:C$2013,D850,Cleaned_Data!K$2:K$2013)</f>
        <v>7306000000</v>
      </c>
      <c r="R850" s="6"/>
    </row>
    <row r="851">
      <c r="D851" s="4" t="s">
        <v>728</v>
      </c>
      <c r="E851" s="4">
        <f>SUMIF(Cleaned_Data!C$2:C$2013,D851,Cleaned_Data!K$2:K$2013)</f>
        <v>1467332000</v>
      </c>
      <c r="R851" s="6"/>
    </row>
    <row r="852">
      <c r="D852" s="4" t="s">
        <v>729</v>
      </c>
      <c r="E852" s="4">
        <f>SUMIF(Cleaned_Data!C$2:C$2013,D852,Cleaned_Data!K$2:K$2013)</f>
        <v>1646000000</v>
      </c>
      <c r="R852" s="6"/>
    </row>
    <row r="853">
      <c r="D853" s="4" t="s">
        <v>731</v>
      </c>
      <c r="E853" s="4">
        <f>SUMIF(Cleaned_Data!C$2:C$2013,D853,Cleaned_Data!K$2:K$2013)</f>
        <v>2690280000</v>
      </c>
      <c r="R853" s="6"/>
    </row>
    <row r="854">
      <c r="D854" s="4" t="s">
        <v>733</v>
      </c>
      <c r="E854" s="4">
        <f>SUMIF(Cleaned_Data!C$2:C$2013,D854,Cleaned_Data!K$2:K$2013)</f>
        <v>-119000000</v>
      </c>
      <c r="R854" s="6"/>
    </row>
    <row r="855">
      <c r="D855" s="4" t="s">
        <v>735</v>
      </c>
      <c r="E855" s="4">
        <f>SUMIF(Cleaned_Data!C$2:C$2013,D855,Cleaned_Data!K$2:K$2013)</f>
        <v>1273413000</v>
      </c>
      <c r="R855" s="6"/>
    </row>
    <row r="856">
      <c r="D856" s="4" t="s">
        <v>737</v>
      </c>
      <c r="E856" s="4">
        <f>SUMIF(Cleaned_Data!C$2:C$2013,D856,Cleaned_Data!K$2:K$2013)</f>
        <v>1996700000</v>
      </c>
      <c r="R856" s="6"/>
    </row>
    <row r="857">
      <c r="D857" s="4" t="s">
        <v>739</v>
      </c>
      <c r="E857" s="4">
        <f>SUMIF(Cleaned_Data!C$2:C$2013,D857,Cleaned_Data!K$2:K$2013)</f>
        <v>2461507000</v>
      </c>
      <c r="R857" s="6"/>
    </row>
    <row r="858">
      <c r="D858" s="4" t="s">
        <v>741</v>
      </c>
      <c r="E858" s="4">
        <f>SUMIF(Cleaned_Data!C$2:C$2013,D858,Cleaned_Data!K$2:K$2013)</f>
        <v>15734000000</v>
      </c>
      <c r="R858" s="6"/>
    </row>
    <row r="859">
      <c r="D859" s="4" t="s">
        <v>743</v>
      </c>
      <c r="E859" s="4">
        <f>SUMIF(Cleaned_Data!C$2:C$2013,D859,Cleaned_Data!K$2:K$2013)</f>
        <v>2597000000</v>
      </c>
      <c r="R859" s="6"/>
    </row>
    <row r="860">
      <c r="D860" s="4" t="s">
        <v>745</v>
      </c>
      <c r="E860" s="4">
        <f>SUMIF(Cleaned_Data!C$2:C$2013,D860,Cleaned_Data!K$2:K$2013)</f>
        <v>2122000000</v>
      </c>
      <c r="R860" s="6"/>
    </row>
    <row r="861">
      <c r="D861" s="4" t="s">
        <v>747</v>
      </c>
      <c r="E861" s="4">
        <f>SUMIF(Cleaned_Data!C$2:C$2013,D861,Cleaned_Data!K$2:K$2013)</f>
        <v>2253500000</v>
      </c>
      <c r="R861" s="6"/>
    </row>
    <row r="862">
      <c r="D862" s="4" t="s">
        <v>749</v>
      </c>
      <c r="E862" s="4">
        <f>SUMIF(Cleaned_Data!C$2:C$2013,D862,Cleaned_Data!K$2:K$2013)</f>
        <v>1142800000</v>
      </c>
      <c r="R862" s="6"/>
    </row>
    <row r="863">
      <c r="D863" s="4" t="s">
        <v>751</v>
      </c>
      <c r="E863" s="4">
        <f>SUMIF(Cleaned_Data!C$2:C$2013,D863,Cleaned_Data!K$2:K$2013)</f>
        <v>2556211000</v>
      </c>
      <c r="R863" s="6"/>
    </row>
    <row r="864">
      <c r="D864" s="4" t="s">
        <v>753</v>
      </c>
      <c r="E864" s="4">
        <f>SUMIF(Cleaned_Data!C$2:C$2013,D864,Cleaned_Data!K$2:K$2013)</f>
        <v>1619600000</v>
      </c>
      <c r="R864" s="6"/>
    </row>
    <row r="865">
      <c r="D865" s="4" t="s">
        <v>755</v>
      </c>
      <c r="E865" s="4">
        <f>SUMIF(Cleaned_Data!C$2:C$2013,D865,Cleaned_Data!K$2:K$2013)</f>
        <v>221188000</v>
      </c>
      <c r="R865" s="6"/>
    </row>
    <row r="866">
      <c r="D866" s="4" t="s">
        <v>757</v>
      </c>
      <c r="E866" s="4">
        <f>SUMIF(Cleaned_Data!C$2:C$2013,D866,Cleaned_Data!K$2:K$2013)</f>
        <v>4278000000</v>
      </c>
      <c r="R866" s="6"/>
    </row>
    <row r="867">
      <c r="D867" s="4" t="s">
        <v>759</v>
      </c>
      <c r="E867" s="4">
        <f>SUMIF(Cleaned_Data!C$2:C$2013,D867,Cleaned_Data!K$2:K$2013)</f>
        <v>979100000</v>
      </c>
      <c r="R867" s="6"/>
    </row>
    <row r="868">
      <c r="D868" s="4" t="s">
        <v>761</v>
      </c>
      <c r="E868" s="4">
        <f>SUMIF(Cleaned_Data!C$2:C$2013,D868,Cleaned_Data!K$2:K$2013)</f>
        <v>620500000</v>
      </c>
      <c r="R868" s="6"/>
    </row>
    <row r="869">
      <c r="D869" s="4" t="s">
        <v>763</v>
      </c>
      <c r="E869" s="4">
        <f>SUMIF(Cleaned_Data!C$2:C$2013,D869,Cleaned_Data!K$2:K$2013)</f>
        <v>959600000</v>
      </c>
      <c r="R869" s="6"/>
    </row>
    <row r="870">
      <c r="D870" s="4" t="s">
        <v>765</v>
      </c>
      <c r="E870" s="4">
        <f>SUMIF(Cleaned_Data!C$2:C$2013,D870,Cleaned_Data!K$2:K$2013)</f>
        <v>11788000000</v>
      </c>
      <c r="R870" s="6"/>
    </row>
    <row r="871">
      <c r="D871" s="4" t="s">
        <v>767</v>
      </c>
      <c r="E871" s="4">
        <f>SUMIF(Cleaned_Data!C$2:C$2013,D871,Cleaned_Data!K$2:K$2013)</f>
        <v>1628430000</v>
      </c>
      <c r="R871" s="6"/>
    </row>
    <row r="872">
      <c r="D872" s="4" t="s">
        <v>769</v>
      </c>
      <c r="E872" s="4">
        <f>SUMIF(Cleaned_Data!C$2:C$2013,D872,Cleaned_Data!K$2:K$2013)</f>
        <v>21848000000</v>
      </c>
      <c r="R872" s="6"/>
    </row>
    <row r="873">
      <c r="D873" s="4" t="s">
        <v>771</v>
      </c>
      <c r="E873" s="4">
        <f>SUMIF(Cleaned_Data!C$2:C$2013,D873,Cleaned_Data!K$2:K$2013)</f>
        <v>13070000000</v>
      </c>
      <c r="R873" s="6"/>
    </row>
    <row r="874">
      <c r="D874" s="4" t="s">
        <v>773</v>
      </c>
      <c r="E874" s="4">
        <f>SUMIF(Cleaned_Data!C$2:C$2013,D874,Cleaned_Data!K$2:K$2013)</f>
        <v>-1087000000</v>
      </c>
      <c r="R874" s="6"/>
    </row>
    <row r="875">
      <c r="D875" s="4" t="s">
        <v>775</v>
      </c>
      <c r="E875" s="4">
        <f>SUMIF(Cleaned_Data!C$2:C$2013,D875,Cleaned_Data!K$2:K$2013)</f>
        <v>884412000</v>
      </c>
      <c r="R875" s="6"/>
    </row>
    <row r="876">
      <c r="D876" s="4" t="s">
        <v>777</v>
      </c>
      <c r="E876" s="4">
        <f>SUMIF(Cleaned_Data!C$2:C$2013,D876,Cleaned_Data!K$2:K$2013)</f>
        <v>2045000000</v>
      </c>
      <c r="R876" s="6"/>
    </row>
    <row r="877">
      <c r="D877" s="4" t="s">
        <v>779</v>
      </c>
      <c r="E877" s="4">
        <f>SUMIF(Cleaned_Data!C$2:C$2013,D877,Cleaned_Data!K$2:K$2013)</f>
        <v>7079000000</v>
      </c>
      <c r="R877" s="6"/>
    </row>
    <row r="878">
      <c r="D878" s="4" t="s">
        <v>781</v>
      </c>
      <c r="E878" s="4">
        <f>SUMIF(Cleaned_Data!C$2:C$2013,D878,Cleaned_Data!K$2:K$2013)</f>
        <v>777843000</v>
      </c>
      <c r="R878" s="6"/>
    </row>
    <row r="879">
      <c r="D879" s="4" t="s">
        <v>783</v>
      </c>
      <c r="E879" s="4">
        <f>SUMIF(Cleaned_Data!C$2:C$2013,D879,Cleaned_Data!K$2:K$2013)</f>
        <v>1919000000</v>
      </c>
      <c r="R879" s="6"/>
    </row>
    <row r="880">
      <c r="D880" s="4" t="s">
        <v>785</v>
      </c>
      <c r="E880" s="4">
        <f>SUMIF(Cleaned_Data!C$2:C$2013,D880,Cleaned_Data!K$2:K$2013)</f>
        <v>1894000000</v>
      </c>
      <c r="R880" s="6"/>
    </row>
    <row r="881">
      <c r="D881" s="4" t="s">
        <v>786</v>
      </c>
      <c r="E881" s="4">
        <f>SUMIF(Cleaned_Data!C$2:C$2013,D881,Cleaned_Data!K$2:K$2013)</f>
        <v>2066200000</v>
      </c>
      <c r="R881" s="6"/>
    </row>
    <row r="882">
      <c r="D882" s="4" t="s">
        <v>788</v>
      </c>
      <c r="E882" s="4">
        <f>SUMIF(Cleaned_Data!C$2:C$2013,D882,Cleaned_Data!K$2:K$2013)</f>
        <v>18799000000</v>
      </c>
      <c r="R882" s="6"/>
    </row>
    <row r="883">
      <c r="D883" s="4" t="s">
        <v>790</v>
      </c>
      <c r="E883" s="4">
        <f>SUMIF(Cleaned_Data!C$2:C$2013,D883,Cleaned_Data!K$2:K$2013)</f>
        <v>5335500000</v>
      </c>
      <c r="R883" s="6"/>
    </row>
    <row r="884">
      <c r="D884" s="4" t="s">
        <v>792</v>
      </c>
      <c r="E884" s="4">
        <f>SUMIF(Cleaned_Data!C$2:C$2013,D884,Cleaned_Data!K$2:K$2013)</f>
        <v>1784918000</v>
      </c>
      <c r="R884" s="6"/>
    </row>
    <row r="885">
      <c r="D885" s="4" t="s">
        <v>794</v>
      </c>
      <c r="E885" s="4">
        <f>SUMIF(Cleaned_Data!C$2:C$2013,D885,Cleaned_Data!K$2:K$2013)</f>
        <v>8850000000</v>
      </c>
      <c r="R885" s="6"/>
    </row>
    <row r="886">
      <c r="D886" s="4" t="s">
        <v>796</v>
      </c>
      <c r="E886" s="4">
        <f>SUMIF(Cleaned_Data!C$2:C$2013,D886,Cleaned_Data!K$2:K$2013)</f>
        <v>397952000</v>
      </c>
      <c r="R886" s="6"/>
    </row>
    <row r="887">
      <c r="D887" s="4" t="s">
        <v>797</v>
      </c>
      <c r="E887" s="4">
        <f>SUMIF(Cleaned_Data!C$2:C$2013,D887,Cleaned_Data!K$2:K$2013)</f>
        <v>1611000000</v>
      </c>
      <c r="R887" s="6"/>
    </row>
    <row r="888">
      <c r="D888" s="4" t="s">
        <v>799</v>
      </c>
      <c r="E888" s="4">
        <f>SUMIF(Cleaned_Data!C$2:C$2013,D888,Cleaned_Data!K$2:K$2013)</f>
        <v>1699907000</v>
      </c>
      <c r="R888" s="6"/>
    </row>
    <row r="889">
      <c r="D889" s="4" t="s">
        <v>801</v>
      </c>
      <c r="E889" s="4">
        <f>SUMIF(Cleaned_Data!C$2:C$2013,D889,Cleaned_Data!K$2:K$2013)</f>
        <v>2244239000</v>
      </c>
      <c r="R889" s="6"/>
    </row>
    <row r="890">
      <c r="D890" s="4" t="s">
        <v>803</v>
      </c>
      <c r="E890" s="4">
        <f>SUMIF(Cleaned_Data!C$2:C$2013,D890,Cleaned_Data!K$2:K$2013)</f>
        <v>596100000</v>
      </c>
      <c r="R890" s="6"/>
    </row>
    <row r="891">
      <c r="D891" s="4" t="s">
        <v>804</v>
      </c>
      <c r="E891" s="4">
        <f>SUMIF(Cleaned_Data!C$2:C$2013,D891,Cleaned_Data!K$2:K$2013)</f>
        <v>1283618000</v>
      </c>
      <c r="R891" s="6"/>
    </row>
    <row r="892">
      <c r="D892" s="4" t="s">
        <v>806</v>
      </c>
      <c r="E892" s="4">
        <f>SUMIF(Cleaned_Data!C$2:C$2013,D892,Cleaned_Data!K$2:K$2013)</f>
        <v>9789000000</v>
      </c>
      <c r="R892" s="6"/>
    </row>
    <row r="893">
      <c r="D893" s="4" t="s">
        <v>808</v>
      </c>
      <c r="E893" s="4">
        <f>SUMIF(Cleaned_Data!C$2:C$2013,D893,Cleaned_Data!K$2:K$2013)</f>
        <v>680319000</v>
      </c>
      <c r="R893" s="6"/>
    </row>
    <row r="894">
      <c r="D894" s="4" t="s">
        <v>810</v>
      </c>
      <c r="E894" s="4">
        <f>SUMIF(Cleaned_Data!C$2:C$2013,D894,Cleaned_Data!K$2:K$2013)</f>
        <v>2735000000</v>
      </c>
      <c r="R894" s="6"/>
    </row>
    <row r="895">
      <c r="D895" s="4" t="s">
        <v>812</v>
      </c>
      <c r="E895" s="4">
        <f>SUMIF(Cleaned_Data!C$2:C$2013,D895,Cleaned_Data!K$2:K$2013)</f>
        <v>711600000</v>
      </c>
      <c r="R895" s="6"/>
    </row>
    <row r="896">
      <c r="D896" s="4" t="s">
        <v>814</v>
      </c>
      <c r="E896" s="4">
        <f>SUMIF(Cleaned_Data!C$2:C$2013,D896,Cleaned_Data!K$2:K$2013)</f>
        <v>1942000000</v>
      </c>
      <c r="R896" s="6"/>
    </row>
    <row r="897">
      <c r="D897" s="4" t="s">
        <v>816</v>
      </c>
      <c r="E897" s="4">
        <f>SUMIF(Cleaned_Data!C$2:C$2013,D897,Cleaned_Data!K$2:K$2013)</f>
        <v>5782000000</v>
      </c>
      <c r="R897" s="6"/>
    </row>
    <row r="898">
      <c r="D898" s="4" t="s">
        <v>818</v>
      </c>
      <c r="E898" s="4">
        <f>SUMIF(Cleaned_Data!C$2:C$2013,D898,Cleaned_Data!K$2:K$2013)</f>
        <v>877228000</v>
      </c>
      <c r="R898" s="6"/>
    </row>
    <row r="899">
      <c r="D899" s="4" t="s">
        <v>820</v>
      </c>
      <c r="E899" s="4">
        <f>SUMIF(Cleaned_Data!C$2:C$2013,D899,Cleaned_Data!K$2:K$2013)</f>
        <v>436610000</v>
      </c>
      <c r="R899" s="6"/>
    </row>
    <row r="900">
      <c r="D900" s="4" t="s">
        <v>822</v>
      </c>
      <c r="E900" s="4">
        <f>SUMIF(Cleaned_Data!C$2:C$2013,D900,Cleaned_Data!K$2:K$2013)</f>
        <v>7192400000</v>
      </c>
      <c r="R900" s="6"/>
    </row>
    <row r="901">
      <c r="D901" s="4" t="s">
        <v>824</v>
      </c>
      <c r="E901" s="4">
        <f>SUMIF(Cleaned_Data!C$2:C$2013,D901,Cleaned_Data!K$2:K$2013)</f>
        <v>3484000000</v>
      </c>
      <c r="R901" s="6"/>
    </row>
    <row r="902">
      <c r="D902" s="4" t="s">
        <v>826</v>
      </c>
      <c r="E902" s="4">
        <f>SUMIF(Cleaned_Data!C$2:C$2013,D902,Cleaned_Data!K$2:K$2013)</f>
        <v>2082100000</v>
      </c>
      <c r="R902" s="6"/>
    </row>
    <row r="903">
      <c r="D903" s="4" t="s">
        <v>828</v>
      </c>
      <c r="E903" s="4">
        <f>SUMIF(Cleaned_Data!C$2:C$2013,D903,Cleaned_Data!K$2:K$2013)</f>
        <v>962598000</v>
      </c>
      <c r="R903" s="6"/>
    </row>
    <row r="904">
      <c r="D904" s="4" t="s">
        <v>830</v>
      </c>
      <c r="E904" s="4">
        <f>SUMIF(Cleaned_Data!C$2:C$2013,D904,Cleaned_Data!K$2:K$2013)</f>
        <v>632403000</v>
      </c>
      <c r="R904" s="6"/>
    </row>
    <row r="905">
      <c r="D905" s="4" t="s">
        <v>832</v>
      </c>
      <c r="E905" s="4">
        <f>SUMIF(Cleaned_Data!C$2:C$2013,D905,Cleaned_Data!K$2:K$2013)</f>
        <v>1152600000</v>
      </c>
      <c r="R905" s="6"/>
    </row>
    <row r="906">
      <c r="D906" s="4" t="s">
        <v>834</v>
      </c>
      <c r="E906" s="4">
        <f>SUMIF(Cleaned_Data!C$2:C$2013,D906,Cleaned_Data!K$2:K$2013)</f>
        <v>437058000</v>
      </c>
      <c r="R906" s="6"/>
    </row>
    <row r="907">
      <c r="D907" s="4" t="s">
        <v>836</v>
      </c>
      <c r="E907" s="4">
        <f>SUMIF(Cleaned_Data!C$2:C$2013,D907,Cleaned_Data!K$2:K$2013)</f>
        <v>1574600000</v>
      </c>
      <c r="R907" s="6"/>
    </row>
    <row r="908">
      <c r="D908" s="4" t="s">
        <v>838</v>
      </c>
      <c r="E908" s="4">
        <f>SUMIF(Cleaned_Data!C$2:C$2013,D908,Cleaned_Data!K$2:K$2013)</f>
        <v>2126182000</v>
      </c>
      <c r="R908" s="6"/>
    </row>
    <row r="909">
      <c r="D909" s="4" t="s">
        <v>840</v>
      </c>
      <c r="E909" s="4">
        <f>SUMIF(Cleaned_Data!C$2:C$2013,D909,Cleaned_Data!K$2:K$2013)</f>
        <v>-3603338000</v>
      </c>
      <c r="R909" s="6"/>
    </row>
    <row r="910">
      <c r="D910" s="4" t="s">
        <v>842</v>
      </c>
      <c r="E910" s="4">
        <f>SUMIF(Cleaned_Data!C$2:C$2013,D910,Cleaned_Data!K$2:K$2013)</f>
        <v>4376000000</v>
      </c>
      <c r="R910" s="6"/>
    </row>
    <row r="911">
      <c r="D911" s="4" t="s">
        <v>844</v>
      </c>
      <c r="E911" s="4">
        <f>SUMIF(Cleaned_Data!C$2:C$2013,D911,Cleaned_Data!K$2:K$2013)</f>
        <v>1157000000</v>
      </c>
      <c r="R911" s="6"/>
    </row>
    <row r="912">
      <c r="D912" s="4" t="s">
        <v>846</v>
      </c>
      <c r="E912" s="4">
        <f>SUMIF(Cleaned_Data!C$2:C$2013,D912,Cleaned_Data!K$2:K$2013)</f>
        <v>778450000</v>
      </c>
      <c r="R912" s="6"/>
    </row>
    <row r="913">
      <c r="D913" s="4" t="s">
        <v>848</v>
      </c>
      <c r="E913" s="4">
        <f>SUMIF(Cleaned_Data!C$2:C$2013,D913,Cleaned_Data!K$2:K$2013)</f>
        <v>2434000000</v>
      </c>
      <c r="R913" s="6"/>
    </row>
    <row r="914">
      <c r="D914" s="4" t="s">
        <v>850</v>
      </c>
      <c r="E914" s="4">
        <f>SUMIF(Cleaned_Data!C$2:C$2013,D914,Cleaned_Data!K$2:K$2013)</f>
        <v>1835000000</v>
      </c>
      <c r="R914" s="6"/>
    </row>
    <row r="915">
      <c r="D915" s="4" t="s">
        <v>852</v>
      </c>
      <c r="E915" s="4">
        <f>SUMIF(Cleaned_Data!C$2:C$2013,D915,Cleaned_Data!K$2:K$2013)</f>
        <v>828400000</v>
      </c>
      <c r="R915" s="6"/>
    </row>
    <row r="916">
      <c r="D916" s="4" t="s">
        <v>854</v>
      </c>
      <c r="E916" s="4">
        <f>SUMIF(Cleaned_Data!C$2:C$2013,D916,Cleaned_Data!K$2:K$2013)</f>
        <v>2559000000</v>
      </c>
      <c r="R916" s="6"/>
    </row>
    <row r="917">
      <c r="D917" s="4" t="s">
        <v>856</v>
      </c>
      <c r="E917" s="4">
        <f>SUMIF(Cleaned_Data!C$2:C$2013,D917,Cleaned_Data!K$2:K$2013)</f>
        <v>239930000</v>
      </c>
      <c r="R917" s="6"/>
    </row>
    <row r="918">
      <c r="D918" s="4" t="s">
        <v>858</v>
      </c>
      <c r="E918" s="4">
        <f>SUMIF(Cleaned_Data!C$2:C$2013,D918,Cleaned_Data!K$2:K$2013)</f>
        <v>2856800000</v>
      </c>
      <c r="R918" s="6"/>
    </row>
    <row r="919">
      <c r="D919" s="4" t="s">
        <v>860</v>
      </c>
      <c r="E919" s="4">
        <f>SUMIF(Cleaned_Data!C$2:C$2013,D919,Cleaned_Data!K$2:K$2013)</f>
        <v>2284846000</v>
      </c>
      <c r="R919" s="6"/>
    </row>
    <row r="920">
      <c r="D920" s="4" t="s">
        <v>862</v>
      </c>
      <c r="E920" s="4">
        <f>SUMIF(Cleaned_Data!C$2:C$2013,D920,Cleaned_Data!K$2:K$2013)</f>
        <v>1621600000</v>
      </c>
      <c r="R920" s="6"/>
    </row>
    <row r="921">
      <c r="D921" s="4" t="s">
        <v>864</v>
      </c>
      <c r="E921" s="4">
        <f>SUMIF(Cleaned_Data!C$2:C$2013,D921,Cleaned_Data!K$2:K$2013)</f>
        <v>1126600000</v>
      </c>
      <c r="R921" s="6"/>
    </row>
    <row r="922">
      <c r="D922" s="4" t="s">
        <v>866</v>
      </c>
      <c r="E922" s="4">
        <f>SUMIF(Cleaned_Data!C$2:C$2013,D922,Cleaned_Data!K$2:K$2013)</f>
        <v>5131000000</v>
      </c>
      <c r="R922" s="6"/>
    </row>
    <row r="923">
      <c r="D923" s="4" t="s">
        <v>868</v>
      </c>
      <c r="E923" s="4">
        <f>SUMIF(Cleaned_Data!C$2:C$2013,D923,Cleaned_Data!K$2:K$2013)</f>
        <v>-2688000000</v>
      </c>
      <c r="R923" s="6"/>
    </row>
    <row r="924">
      <c r="D924" s="4" t="s">
        <v>870</v>
      </c>
      <c r="E924" s="4">
        <f>SUMIF(Cleaned_Data!C$2:C$2013,D924,Cleaned_Data!K$2:K$2013)</f>
        <v>2737700000</v>
      </c>
      <c r="R924" s="6"/>
    </row>
    <row r="925">
      <c r="D925" s="4" t="s">
        <v>872</v>
      </c>
      <c r="E925" s="4">
        <f>SUMIF(Cleaned_Data!C$2:C$2013,D925,Cleaned_Data!K$2:K$2013)</f>
        <v>3962600000</v>
      </c>
      <c r="R925" s="6"/>
    </row>
    <row r="926">
      <c r="D926" s="4" t="s">
        <v>874</v>
      </c>
      <c r="E926" s="4">
        <f>SUMIF(Cleaned_Data!C$2:C$2013,D926,Cleaned_Data!K$2:K$2013)</f>
        <v>3307000000</v>
      </c>
      <c r="R926" s="6"/>
    </row>
    <row r="927">
      <c r="D927" s="4" t="s">
        <v>876</v>
      </c>
      <c r="E927" s="4">
        <f>SUMIF(Cleaned_Data!C$2:C$2013,D927,Cleaned_Data!K$2:K$2013)</f>
        <v>637977000</v>
      </c>
      <c r="R927" s="6"/>
    </row>
    <row r="928">
      <c r="D928" s="4" t="s">
        <v>878</v>
      </c>
      <c r="E928" s="4">
        <f>SUMIF(Cleaned_Data!C$2:C$2013,D928,Cleaned_Data!K$2:K$2013)</f>
        <v>3552000000</v>
      </c>
      <c r="R928" s="6"/>
    </row>
    <row r="929">
      <c r="D929" s="4" t="s">
        <v>880</v>
      </c>
      <c r="E929" s="4">
        <f>SUMIF(Cleaned_Data!C$2:C$2013,D929,Cleaned_Data!K$2:K$2013)</f>
        <v>2339652000</v>
      </c>
      <c r="R929" s="6"/>
    </row>
    <row r="930">
      <c r="D930" s="4" t="s">
        <v>882</v>
      </c>
      <c r="E930" s="4">
        <f>SUMIF(Cleaned_Data!C$2:C$2013,D930,Cleaned_Data!K$2:K$2013)</f>
        <v>4733000000</v>
      </c>
      <c r="R930" s="6"/>
    </row>
    <row r="931">
      <c r="D931" s="4" t="s">
        <v>884</v>
      </c>
      <c r="E931" s="4">
        <f>SUMIF(Cleaned_Data!C$2:C$2013,D931,Cleaned_Data!K$2:K$2013)</f>
        <v>755398000</v>
      </c>
      <c r="R931" s="6"/>
    </row>
    <row r="932">
      <c r="D932" s="4" t="s">
        <v>886</v>
      </c>
      <c r="E932" s="4">
        <f>SUMIF(Cleaned_Data!C$2:C$2013,D932,Cleaned_Data!K$2:K$2013)</f>
        <v>802905000</v>
      </c>
      <c r="R932" s="6"/>
    </row>
    <row r="933">
      <c r="D933" s="4" t="s">
        <v>888</v>
      </c>
      <c r="E933" s="4">
        <f>SUMIF(Cleaned_Data!C$2:C$2013,D933,Cleaned_Data!K$2:K$2013)</f>
        <v>10400000000</v>
      </c>
      <c r="R933" s="6"/>
    </row>
    <row r="934">
      <c r="D934" s="4" t="s">
        <v>890</v>
      </c>
      <c r="E934" s="4">
        <f>SUMIF(Cleaned_Data!C$2:C$2013,D934,Cleaned_Data!K$2:K$2013)</f>
        <v>3336100000</v>
      </c>
      <c r="R934" s="6"/>
    </row>
    <row r="935">
      <c r="D935" s="4" t="s">
        <v>892</v>
      </c>
      <c r="E935" s="4">
        <f>SUMIF(Cleaned_Data!C$2:C$2013,D935,Cleaned_Data!K$2:K$2013)</f>
        <v>731831000</v>
      </c>
      <c r="R935" s="6"/>
    </row>
    <row r="936">
      <c r="D936" s="4" t="s">
        <v>894</v>
      </c>
      <c r="E936" s="4">
        <f>SUMIF(Cleaned_Data!C$2:C$2013,D936,Cleaned_Data!K$2:K$2013)</f>
        <v>1095300000</v>
      </c>
      <c r="R936" s="6"/>
    </row>
    <row r="937">
      <c r="D937" s="4" t="s">
        <v>896</v>
      </c>
      <c r="E937" s="4">
        <f>SUMIF(Cleaned_Data!C$2:C$2013,D937,Cleaned_Data!K$2:K$2013)</f>
        <v>8495000000</v>
      </c>
      <c r="R937" s="6"/>
    </row>
    <row r="938">
      <c r="D938" s="4" t="s">
        <v>898</v>
      </c>
      <c r="E938" s="4">
        <f>SUMIF(Cleaned_Data!C$2:C$2013,D938,Cleaned_Data!K$2:K$2013)</f>
        <v>2451000000</v>
      </c>
      <c r="R938" s="6"/>
    </row>
    <row r="939">
      <c r="D939" s="4" t="s">
        <v>900</v>
      </c>
      <c r="E939" s="4">
        <f>SUMIF(Cleaned_Data!C$2:C$2013,D939,Cleaned_Data!K$2:K$2013)</f>
        <v>640600000</v>
      </c>
      <c r="R939" s="6"/>
    </row>
    <row r="940">
      <c r="D940" s="4" t="s">
        <v>902</v>
      </c>
      <c r="E940" s="4">
        <f>SUMIF(Cleaned_Data!C$2:C$2013,D940,Cleaned_Data!K$2:K$2013)</f>
        <v>526233000</v>
      </c>
      <c r="R940" s="6"/>
    </row>
    <row r="941">
      <c r="D941" s="4" t="s">
        <v>904</v>
      </c>
      <c r="E941" s="4">
        <f>SUMIF(Cleaned_Data!C$2:C$2013,D941,Cleaned_Data!K$2:K$2013)</f>
        <v>1063826000</v>
      </c>
      <c r="R941" s="6"/>
    </row>
    <row r="942">
      <c r="D942" s="4" t="s">
        <v>906</v>
      </c>
      <c r="E942" s="4">
        <f>SUMIF(Cleaned_Data!C$2:C$2013,D942,Cleaned_Data!K$2:K$2013)</f>
        <v>2161000000</v>
      </c>
      <c r="R942" s="6"/>
    </row>
    <row r="943">
      <c r="D943" s="4" t="s">
        <v>908</v>
      </c>
      <c r="E943" s="4">
        <f>SUMIF(Cleaned_Data!C$2:C$2013,D943,Cleaned_Data!K$2:K$2013)</f>
        <v>7579000000</v>
      </c>
      <c r="R943" s="6"/>
    </row>
    <row r="944">
      <c r="D944" s="4" t="s">
        <v>910</v>
      </c>
      <c r="E944" s="4">
        <f>SUMIF(Cleaned_Data!C$2:C$2013,D944,Cleaned_Data!K$2:K$2013)</f>
        <v>903000000</v>
      </c>
      <c r="R944" s="6"/>
    </row>
    <row r="945">
      <c r="D945" s="4" t="s">
        <v>912</v>
      </c>
      <c r="E945" s="4">
        <f>SUMIF(Cleaned_Data!C$2:C$2013,D945,Cleaned_Data!K$2:K$2013)</f>
        <v>636400000</v>
      </c>
      <c r="R945" s="6"/>
    </row>
    <row r="946">
      <c r="D946" s="4" t="s">
        <v>914</v>
      </c>
      <c r="E946" s="4">
        <f>SUMIF(Cleaned_Data!C$2:C$2013,D946,Cleaned_Data!K$2:K$2013)</f>
        <v>2909000000</v>
      </c>
      <c r="R946" s="6"/>
    </row>
    <row r="947">
      <c r="D947" s="4" t="s">
        <v>916</v>
      </c>
      <c r="E947" s="4">
        <f>SUMIF(Cleaned_Data!C$2:C$2013,D947,Cleaned_Data!K$2:K$2013)</f>
        <v>2045507000</v>
      </c>
      <c r="R947" s="6"/>
    </row>
    <row r="948">
      <c r="D948" s="4" t="s">
        <v>918</v>
      </c>
      <c r="E948" s="4">
        <f>SUMIF(Cleaned_Data!C$2:C$2013,D948,Cleaned_Data!K$2:K$2013)</f>
        <v>1390900000</v>
      </c>
      <c r="R948" s="6"/>
    </row>
    <row r="949">
      <c r="D949" s="4" t="s">
        <v>920</v>
      </c>
      <c r="E949" s="4">
        <f>SUMIF(Cleaned_Data!C$2:C$2013,D949,Cleaned_Data!K$2:K$2013)</f>
        <v>4959000000</v>
      </c>
      <c r="R949" s="6"/>
    </row>
    <row r="950">
      <c r="D950" s="4" t="s">
        <v>922</v>
      </c>
      <c r="E950" s="4">
        <f>SUMIF(Cleaned_Data!C$2:C$2013,D950,Cleaned_Data!K$2:K$2013)</f>
        <v>1216000000</v>
      </c>
      <c r="R950" s="6"/>
    </row>
    <row r="951">
      <c r="D951" s="4" t="s">
        <v>924</v>
      </c>
      <c r="E951" s="4">
        <f>SUMIF(Cleaned_Data!C$2:C$2013,D951,Cleaned_Data!K$2:K$2013)</f>
        <v>10803000000</v>
      </c>
      <c r="R951" s="6"/>
    </row>
    <row r="952">
      <c r="D952" s="4" t="s">
        <v>926</v>
      </c>
      <c r="E952" s="4">
        <f>SUMIF(Cleaned_Data!C$2:C$2013,D952,Cleaned_Data!K$2:K$2013)</f>
        <v>2155761000</v>
      </c>
      <c r="R952" s="6"/>
    </row>
    <row r="953">
      <c r="D953" s="4" t="s">
        <v>928</v>
      </c>
      <c r="E953" s="4">
        <f>SUMIF(Cleaned_Data!C$2:C$2013,D953,Cleaned_Data!K$2:K$2013)</f>
        <v>1295114000</v>
      </c>
      <c r="R953" s="6"/>
    </row>
    <row r="954">
      <c r="D954" s="4" t="s">
        <v>930</v>
      </c>
      <c r="E954" s="4">
        <f>SUMIF(Cleaned_Data!C$2:C$2013,D954,Cleaned_Data!K$2:K$2013)</f>
        <v>1969400000</v>
      </c>
      <c r="R954" s="6"/>
    </row>
    <row r="955">
      <c r="D955" s="4" t="s">
        <v>932</v>
      </c>
      <c r="E955" s="4">
        <f>SUMIF(Cleaned_Data!C$2:C$2013,D955,Cleaned_Data!K$2:K$2013)</f>
        <v>1579000000</v>
      </c>
      <c r="R955" s="6"/>
    </row>
    <row r="956">
      <c r="D956" s="4" t="s">
        <v>934</v>
      </c>
      <c r="E956" s="4">
        <f>SUMIF(Cleaned_Data!C$2:C$2013,D956,Cleaned_Data!K$2:K$2013)</f>
        <v>553800000</v>
      </c>
      <c r="R956" s="6"/>
    </row>
    <row r="957">
      <c r="D957" s="4" t="s">
        <v>936</v>
      </c>
      <c r="E957" s="4">
        <f>SUMIF(Cleaned_Data!C$2:C$2013,D957,Cleaned_Data!K$2:K$2013)</f>
        <v>8663000000</v>
      </c>
      <c r="R957" s="6"/>
    </row>
    <row r="958">
      <c r="D958" s="4" t="s">
        <v>938</v>
      </c>
      <c r="E958" s="4">
        <f>SUMIF(Cleaned_Data!C$2:C$2013,D958,Cleaned_Data!K$2:K$2013)</f>
        <v>540315000</v>
      </c>
      <c r="R958" s="6"/>
    </row>
    <row r="959">
      <c r="D959" s="4" t="s">
        <v>940</v>
      </c>
      <c r="E959" s="4">
        <f>SUMIF(Cleaned_Data!C$2:C$2013,D959,Cleaned_Data!K$2:K$2013)</f>
        <v>178054000</v>
      </c>
      <c r="R959" s="6"/>
    </row>
    <row r="960">
      <c r="D960" s="4" t="s">
        <v>942</v>
      </c>
      <c r="E960" s="4">
        <f>SUMIF(Cleaned_Data!C$2:C$2013,D960,Cleaned_Data!K$2:K$2013)</f>
        <v>3994000000</v>
      </c>
      <c r="R960" s="6"/>
    </row>
    <row r="961">
      <c r="D961" s="4" t="s">
        <v>944</v>
      </c>
      <c r="E961" s="4">
        <f>SUMIF(Cleaned_Data!C$2:C$2013,D961,Cleaned_Data!K$2:K$2013)</f>
        <v>9274000000</v>
      </c>
      <c r="R961" s="6"/>
    </row>
    <row r="962">
      <c r="D962" s="4" t="s">
        <v>946</v>
      </c>
      <c r="E962" s="4">
        <f>SUMIF(Cleaned_Data!C$2:C$2013,D962,Cleaned_Data!K$2:K$2013)</f>
        <v>1066220000</v>
      </c>
      <c r="R962" s="6"/>
    </row>
    <row r="963">
      <c r="D963" s="4" t="s">
        <v>948</v>
      </c>
      <c r="E963" s="4">
        <f>SUMIF(Cleaned_Data!C$2:C$2013,D963,Cleaned_Data!K$2:K$2013)</f>
        <v>485320000</v>
      </c>
      <c r="R963" s="6"/>
    </row>
    <row r="964">
      <c r="D964" s="4" t="s">
        <v>950</v>
      </c>
      <c r="E964" s="4">
        <f>SUMIF(Cleaned_Data!C$2:C$2013,D964,Cleaned_Data!K$2:K$2013)</f>
        <v>485320000</v>
      </c>
      <c r="R964" s="6"/>
    </row>
    <row r="965">
      <c r="D965" s="4" t="s">
        <v>952</v>
      </c>
      <c r="E965" s="4">
        <f>SUMIF(Cleaned_Data!C$2:C$2013,D965,Cleaned_Data!K$2:K$2013)</f>
        <v>8541000000</v>
      </c>
      <c r="R965" s="6"/>
    </row>
    <row r="966">
      <c r="D966" s="4" t="s">
        <v>954</v>
      </c>
      <c r="E966" s="4">
        <f>SUMIF(Cleaned_Data!C$2:C$2013,D966,Cleaned_Data!K$2:K$2013)</f>
        <v>-9332000000</v>
      </c>
      <c r="R966" s="6"/>
    </row>
    <row r="967">
      <c r="D967" s="4" t="s">
        <v>956</v>
      </c>
      <c r="E967" s="4">
        <f>SUMIF(Cleaned_Data!C$2:C$2013,D967,Cleaned_Data!K$2:K$2013)</f>
        <v>7334000000</v>
      </c>
      <c r="R967" s="6"/>
    </row>
    <row r="968">
      <c r="D968" s="4" t="s">
        <v>958</v>
      </c>
      <c r="E968" s="4">
        <f>SUMIF(Cleaned_Data!C$2:C$2013,D968,Cleaned_Data!K$2:K$2013)</f>
        <v>1976000000</v>
      </c>
      <c r="R968" s="6"/>
    </row>
    <row r="969">
      <c r="D969" s="4" t="s">
        <v>960</v>
      </c>
      <c r="E969" s="4">
        <f>SUMIF(Cleaned_Data!C$2:C$2013,D969,Cleaned_Data!K$2:K$2013)</f>
        <v>20885000000</v>
      </c>
      <c r="R969" s="6"/>
    </row>
    <row r="970">
      <c r="D970" s="4" t="s">
        <v>962</v>
      </c>
      <c r="E970" s="4">
        <f>SUMIF(Cleaned_Data!C$2:C$2013,D970,Cleaned_Data!K$2:K$2013)</f>
        <v>1499266000</v>
      </c>
      <c r="R970" s="6"/>
    </row>
    <row r="971">
      <c r="D971" s="4" t="s">
        <v>964</v>
      </c>
      <c r="E971" s="4">
        <f>SUMIF(Cleaned_Data!C$2:C$2013,D971,Cleaned_Data!K$2:K$2013)</f>
        <v>-1171000000</v>
      </c>
      <c r="R971" s="6"/>
    </row>
    <row r="972">
      <c r="D972" s="4" t="s">
        <v>966</v>
      </c>
      <c r="E972" s="4">
        <f>SUMIF(Cleaned_Data!C$2:C$2013,D972,Cleaned_Data!K$2:K$2013)</f>
        <v>525211000</v>
      </c>
      <c r="R972" s="6"/>
    </row>
    <row r="973">
      <c r="D973" s="4" t="s">
        <v>968</v>
      </c>
      <c r="E973" s="4">
        <f>SUMIF(Cleaned_Data!C$2:C$2013,D973,Cleaned_Data!K$2:K$2013)</f>
        <v>834543000</v>
      </c>
      <c r="R973" s="6"/>
    </row>
    <row r="974">
      <c r="D974" s="4" t="s">
        <v>970</v>
      </c>
      <c r="E974" s="4">
        <f>SUMIF(Cleaned_Data!C$2:C$2013,D974,Cleaned_Data!K$2:K$2013)</f>
        <v>1044400000</v>
      </c>
      <c r="R974" s="6"/>
    </row>
    <row r="975">
      <c r="D975" s="4" t="s">
        <v>972</v>
      </c>
      <c r="E975" s="4">
        <f>SUMIF(Cleaned_Data!C$2:C$2013,D975,Cleaned_Data!K$2:K$2013)</f>
        <v>32561000000</v>
      </c>
      <c r="R975" s="6"/>
    </row>
    <row r="976">
      <c r="D976" s="4" t="s">
        <v>974</v>
      </c>
      <c r="E976" s="4">
        <f>SUMIF(Cleaned_Data!C$2:C$2013,D976,Cleaned_Data!K$2:K$2013)</f>
        <v>2267898000</v>
      </c>
      <c r="R976" s="6"/>
    </row>
    <row r="977">
      <c r="D977" s="4" t="s">
        <v>976</v>
      </c>
      <c r="E977" s="4">
        <f>SUMIF(Cleaned_Data!C$2:C$2013,D977,Cleaned_Data!K$2:K$2013)</f>
        <v>1120928000</v>
      </c>
      <c r="R977" s="6"/>
    </row>
    <row r="978">
      <c r="D978" s="4" t="s">
        <v>978</v>
      </c>
      <c r="E978" s="4">
        <f>SUMIF(Cleaned_Data!C$2:C$2013,D978,Cleaned_Data!K$2:K$2013)</f>
        <v>4877000000</v>
      </c>
      <c r="R978" s="6"/>
    </row>
    <row r="979">
      <c r="D979" s="4" t="s">
        <v>980</v>
      </c>
      <c r="E979" s="4">
        <f>SUMIF(Cleaned_Data!C$2:C$2013,D979,Cleaned_Data!K$2:K$2013)</f>
        <v>1956200000</v>
      </c>
      <c r="R979" s="6"/>
    </row>
    <row r="980">
      <c r="D980" s="4" t="s">
        <v>982</v>
      </c>
      <c r="E980" s="4">
        <f>SUMIF(Cleaned_Data!C$2:C$2013,D980,Cleaned_Data!K$2:K$2013)</f>
        <v>14668000000</v>
      </c>
      <c r="R980" s="6"/>
    </row>
    <row r="981">
      <c r="D981" s="4" t="s">
        <v>984</v>
      </c>
      <c r="E981" s="4">
        <f>SUMIF(Cleaned_Data!C$2:C$2013,D981,Cleaned_Data!K$2:K$2013)</f>
        <v>306816000</v>
      </c>
      <c r="R981" s="6"/>
    </row>
    <row r="982">
      <c r="D982" s="4" t="s">
        <v>986</v>
      </c>
      <c r="E982" s="4">
        <f>SUMIF(Cleaned_Data!C$2:C$2013,D982,Cleaned_Data!K$2:K$2013)</f>
        <v>913636000</v>
      </c>
      <c r="R982" s="6"/>
    </row>
    <row r="983">
      <c r="D983" s="4" t="s">
        <v>988</v>
      </c>
      <c r="E983" s="4">
        <f>SUMIF(Cleaned_Data!C$2:C$2013,D983,Cleaned_Data!K$2:K$2013)</f>
        <v>1394534000</v>
      </c>
      <c r="R983" s="6"/>
    </row>
    <row r="984">
      <c r="D984" s="4" t="s">
        <v>990</v>
      </c>
      <c r="E984" s="4">
        <f>SUMIF(Cleaned_Data!C$2:C$2013,D984,Cleaned_Data!K$2:K$2013)</f>
        <v>1378000000</v>
      </c>
      <c r="R984" s="6"/>
    </row>
    <row r="985">
      <c r="D985" s="4" t="s">
        <v>992</v>
      </c>
      <c r="E985" s="4">
        <f>SUMIF(Cleaned_Data!C$2:C$2013,D985,Cleaned_Data!K$2:K$2013)</f>
        <v>826200000</v>
      </c>
      <c r="R985" s="6"/>
    </row>
    <row r="986">
      <c r="D986" s="4" t="s">
        <v>994</v>
      </c>
      <c r="E986" s="4">
        <f>SUMIF(Cleaned_Data!C$2:C$2013,D986,Cleaned_Data!K$2:K$2013)</f>
        <v>2245000000</v>
      </c>
      <c r="R986" s="6"/>
    </row>
    <row r="987">
      <c r="D987" s="4" t="s">
        <v>996</v>
      </c>
      <c r="E987" s="4">
        <f>SUMIF(Cleaned_Data!C$2:C$2013,D987,Cleaned_Data!K$2:K$2013)</f>
        <v>27128000000</v>
      </c>
      <c r="R987" s="6"/>
    </row>
    <row r="988">
      <c r="D988" s="4" t="s">
        <v>998</v>
      </c>
      <c r="E988" s="4">
        <f>SUMIF(Cleaned_Data!C$2:C$2013,D988,Cleaned_Data!K$2:K$2013)</f>
        <v>2928000000</v>
      </c>
      <c r="R988" s="6"/>
    </row>
    <row r="989">
      <c r="D989" s="4" t="s">
        <v>1000</v>
      </c>
      <c r="E989" s="4">
        <f>SUMIF(Cleaned_Data!C$2:C$2013,D989,Cleaned_Data!K$2:K$2013)</f>
        <v>802543000</v>
      </c>
      <c r="R989" s="6"/>
    </row>
    <row r="990">
      <c r="D990" s="4" t="s">
        <v>1002</v>
      </c>
      <c r="E990" s="4">
        <f>SUMIF(Cleaned_Data!C$2:C$2013,D990,Cleaned_Data!K$2:K$2013)</f>
        <v>1812200000</v>
      </c>
      <c r="R990" s="6"/>
    </row>
    <row r="991">
      <c r="D991" s="4" t="s">
        <v>1004</v>
      </c>
      <c r="E991" s="4">
        <f>SUMIF(Cleaned_Data!C$2:C$2013,D991,Cleaned_Data!K$2:K$2013)</f>
        <v>21424000000</v>
      </c>
      <c r="R991" s="6"/>
    </row>
    <row r="992">
      <c r="D992" s="4" t="s">
        <v>1006</v>
      </c>
      <c r="E992" s="4">
        <f>SUMIF(Cleaned_Data!C$2:C$2013,D992,Cleaned_Data!K$2:K$2013)</f>
        <v>635989000</v>
      </c>
      <c r="R992" s="6"/>
    </row>
    <row r="993">
      <c r="D993" s="4" t="s">
        <v>1008</v>
      </c>
      <c r="E993" s="4">
        <f>SUMIF(Cleaned_Data!C$2:C$2013,D993,Cleaned_Data!K$2:K$2013)</f>
        <v>617400000</v>
      </c>
      <c r="R993" s="6"/>
    </row>
    <row r="994">
      <c r="D994" s="4" t="s">
        <v>1010</v>
      </c>
      <c r="E994" s="4">
        <f>SUMIF(Cleaned_Data!C$2:C$2013,D994,Cleaned_Data!K$2:K$2013)</f>
        <v>693000000</v>
      </c>
      <c r="R994" s="6"/>
    </row>
    <row r="995">
      <c r="D995" s="4" t="s">
        <v>1012</v>
      </c>
      <c r="E995" s="4">
        <f>SUMIF(Cleaned_Data!C$2:C$2013,D995,Cleaned_Data!K$2:K$2013)</f>
        <v>1009000000</v>
      </c>
      <c r="R995" s="6"/>
    </row>
    <row r="996">
      <c r="D996" s="4" t="s">
        <v>1014</v>
      </c>
      <c r="E996" s="4">
        <f>SUMIF(Cleaned_Data!C$2:C$2013,D996,Cleaned_Data!K$2:K$2013)</f>
        <v>1225700000</v>
      </c>
      <c r="R996" s="6"/>
    </row>
    <row r="997">
      <c r="D997" s="4" t="s">
        <v>1016</v>
      </c>
      <c r="E997" s="4">
        <f>SUMIF(Cleaned_Data!C$2:C$2013,D997,Cleaned_Data!K$2:K$2013)</f>
        <v>3500000000</v>
      </c>
      <c r="R997" s="6"/>
    </row>
    <row r="998">
      <c r="D998" s="4" t="s">
        <v>1018</v>
      </c>
      <c r="E998" s="4">
        <f>SUMIF(Cleaned_Data!C$2:C$2013,D998,Cleaned_Data!K$2:K$2013)</f>
        <v>2652000000</v>
      </c>
      <c r="R998" s="6"/>
    </row>
    <row r="999">
      <c r="D999" s="4" t="s">
        <v>1020</v>
      </c>
      <c r="E999" s="4">
        <f>SUMIF(Cleaned_Data!C$2:C$2013,D999,Cleaned_Data!K$2:K$2013)</f>
        <v>2680000000</v>
      </c>
      <c r="R999" s="6"/>
    </row>
    <row r="1000">
      <c r="D1000" s="4" t="s">
        <v>1022</v>
      </c>
      <c r="E1000" s="4">
        <f>SUMIF(Cleaned_Data!C$2:C$2013,D1000,Cleaned_Data!K$2:K$2013)</f>
        <v>1790000000</v>
      </c>
      <c r="R1000" s="6"/>
    </row>
    <row r="1001">
      <c r="D1001" s="4" t="s">
        <v>1024</v>
      </c>
      <c r="E1001" s="4">
        <f>SUMIF(Cleaned_Data!C$2:C$2013,D1001,Cleaned_Data!K$2:K$2013)</f>
        <v>-594171000</v>
      </c>
      <c r="R1001" s="6"/>
    </row>
    <row r="1002">
      <c r="D1002" s="4" t="s">
        <v>1026</v>
      </c>
      <c r="E1002" s="4">
        <f>SUMIF(Cleaned_Data!C$2:C$2013,D1002,Cleaned_Data!K$2:K$2013)</f>
        <v>2194000000</v>
      </c>
      <c r="R1002" s="6"/>
    </row>
    <row r="1003">
      <c r="D1003" s="4" t="s">
        <v>1028</v>
      </c>
      <c r="E1003" s="4">
        <f>SUMIF(Cleaned_Data!C$2:C$2013,D1003,Cleaned_Data!K$2:K$2013)</f>
        <v>787987000</v>
      </c>
      <c r="R1003" s="6"/>
    </row>
    <row r="1004">
      <c r="D1004" s="4" t="s">
        <v>1030</v>
      </c>
      <c r="E1004" s="4">
        <f>SUMIF(Cleaned_Data!C$2:C$2013,D1004,Cleaned_Data!K$2:K$2013)</f>
        <v>628000000</v>
      </c>
      <c r="R1004" s="6"/>
    </row>
    <row r="1005">
      <c r="D1005" s="4" t="s">
        <v>1032</v>
      </c>
      <c r="E1005" s="4">
        <f>SUMIF(Cleaned_Data!C$2:C$2013,D1005,Cleaned_Data!K$2:K$2013)</f>
        <v>2090000000</v>
      </c>
      <c r="R1005" s="6"/>
    </row>
    <row r="1006">
      <c r="D1006" s="4" t="s">
        <v>1034</v>
      </c>
      <c r="E1006" s="4">
        <f>SUMIF(Cleaned_Data!C$2:C$2013,D1006,Cleaned_Data!K$2:K$2013)</f>
        <v>931000000</v>
      </c>
      <c r="R1006" s="6"/>
    </row>
    <row r="1007">
      <c r="D1007" s="4" t="s">
        <v>1036</v>
      </c>
      <c r="E1007" s="4">
        <f>SUMIF(Cleaned_Data!C$2:C$2013,D1007,Cleaned_Data!K$2:K$2013)</f>
        <v>1349900000</v>
      </c>
      <c r="R1007" s="6"/>
    </row>
    <row r="1008">
      <c r="D1008" s="4" t="s">
        <v>1038</v>
      </c>
      <c r="E1008" s="4">
        <f>SUMIF(Cleaned_Data!C$2:C$2013,D1008,Cleaned_Data!K$2:K$2013)</f>
        <v>1497000000</v>
      </c>
      <c r="R1008" s="6"/>
    </row>
    <row r="1009">
      <c r="D1009" s="4" t="s">
        <v>1040</v>
      </c>
      <c r="E1009" s="4">
        <f>SUMIF(Cleaned_Data!C$2:C$2013,D1009,Cleaned_Data!K$2:K$2013)</f>
        <v>2682000000</v>
      </c>
      <c r="R1009" s="6"/>
    </row>
    <row r="1010">
      <c r="R1010" s="6"/>
    </row>
    <row r="1011">
      <c r="R1011" s="6"/>
    </row>
    <row r="1012">
      <c r="R1012" s="6"/>
    </row>
    <row r="1013">
      <c r="R1013" s="6"/>
    </row>
    <row r="1014">
      <c r="R1014" s="6"/>
    </row>
    <row r="1015">
      <c r="R1015" s="6"/>
    </row>
    <row r="1016">
      <c r="R1016" s="6"/>
    </row>
    <row r="1017">
      <c r="R1017" s="6"/>
    </row>
    <row r="1018">
      <c r="R1018" s="6"/>
    </row>
    <row r="1019">
      <c r="R1019" s="6"/>
    </row>
    <row r="1020">
      <c r="R1020" s="6"/>
    </row>
    <row r="1021">
      <c r="R1021" s="6"/>
    </row>
    <row r="1022">
      <c r="R1022" s="6"/>
    </row>
    <row r="1023">
      <c r="R1023" s="6"/>
    </row>
    <row r="1024">
      <c r="R1024" s="6"/>
    </row>
    <row r="1025">
      <c r="R1025" s="6"/>
    </row>
    <row r="1026">
      <c r="R1026" s="6"/>
    </row>
    <row r="1027">
      <c r="R1027" s="6"/>
    </row>
    <row r="1028">
      <c r="R1028" s="6"/>
    </row>
    <row r="1029">
      <c r="R1029" s="6"/>
    </row>
    <row r="1030">
      <c r="R1030" s="6"/>
    </row>
    <row r="1031">
      <c r="R1031" s="6"/>
    </row>
    <row r="1032">
      <c r="R1032" s="6"/>
    </row>
    <row r="1033">
      <c r="R1033" s="6"/>
    </row>
    <row r="1034">
      <c r="R1034" s="6"/>
    </row>
    <row r="1035">
      <c r="R1035" s="6"/>
    </row>
    <row r="1036">
      <c r="R1036" s="6"/>
    </row>
    <row r="1037">
      <c r="R1037" s="6"/>
    </row>
    <row r="1038">
      <c r="R1038" s="6"/>
    </row>
    <row r="1039">
      <c r="R1039" s="6"/>
    </row>
    <row r="1040">
      <c r="R1040" s="6"/>
    </row>
    <row r="1041">
      <c r="R1041" s="6"/>
    </row>
    <row r="1042">
      <c r="R1042" s="6"/>
    </row>
    <row r="1043">
      <c r="R1043" s="6"/>
    </row>
    <row r="1044">
      <c r="R1044" s="6"/>
    </row>
    <row r="1045">
      <c r="R1045" s="6"/>
    </row>
    <row r="1046">
      <c r="R1046" s="6"/>
    </row>
    <row r="1047">
      <c r="R1047" s="6"/>
    </row>
    <row r="1048">
      <c r="R1048" s="6"/>
    </row>
    <row r="1049">
      <c r="R1049" s="6"/>
    </row>
    <row r="1050">
      <c r="R1050" s="6"/>
    </row>
    <row r="1051">
      <c r="R1051" s="6"/>
    </row>
    <row r="1052">
      <c r="R1052" s="6"/>
    </row>
    <row r="1053">
      <c r="R1053" s="6"/>
    </row>
    <row r="1054">
      <c r="R1054" s="6"/>
    </row>
    <row r="1055">
      <c r="R1055" s="6"/>
    </row>
    <row r="1056">
      <c r="R1056" s="6"/>
    </row>
    <row r="1057">
      <c r="R1057" s="6"/>
    </row>
    <row r="1058">
      <c r="R1058" s="6"/>
    </row>
    <row r="1059">
      <c r="R1059" s="6"/>
    </row>
    <row r="1060">
      <c r="R1060" s="6"/>
    </row>
    <row r="1061">
      <c r="R1061" s="6"/>
    </row>
    <row r="1062">
      <c r="R1062" s="6"/>
    </row>
    <row r="1063">
      <c r="R1063" s="6"/>
    </row>
    <row r="1064">
      <c r="R1064" s="6"/>
    </row>
    <row r="1065">
      <c r="R1065" s="6"/>
    </row>
    <row r="1066">
      <c r="R1066" s="6"/>
    </row>
    <row r="1067">
      <c r="R1067" s="6"/>
    </row>
    <row r="1068">
      <c r="R1068" s="6"/>
    </row>
    <row r="1069">
      <c r="R1069" s="6"/>
    </row>
    <row r="1070">
      <c r="R1070" s="6"/>
    </row>
    <row r="1071">
      <c r="R1071" s="6"/>
    </row>
    <row r="1072">
      <c r="R1072" s="6"/>
    </row>
    <row r="1073">
      <c r="R1073" s="6"/>
    </row>
    <row r="1074">
      <c r="R1074" s="6"/>
    </row>
    <row r="1075">
      <c r="R1075" s="6"/>
    </row>
    <row r="1076">
      <c r="R1076" s="6"/>
    </row>
    <row r="1077">
      <c r="R1077" s="6"/>
    </row>
    <row r="1078">
      <c r="R1078" s="6"/>
    </row>
    <row r="1079">
      <c r="R1079" s="6"/>
    </row>
    <row r="1080">
      <c r="R1080" s="6"/>
    </row>
    <row r="1081">
      <c r="R1081" s="6"/>
    </row>
    <row r="1082">
      <c r="R1082" s="6"/>
    </row>
    <row r="1083">
      <c r="R1083" s="6"/>
    </row>
    <row r="1084">
      <c r="R1084" s="6"/>
    </row>
    <row r="1085">
      <c r="R1085" s="6"/>
    </row>
    <row r="1086">
      <c r="R1086" s="6"/>
    </row>
    <row r="1087">
      <c r="R1087" s="6"/>
    </row>
    <row r="1088">
      <c r="R1088" s="6"/>
    </row>
    <row r="1089">
      <c r="R1089" s="6"/>
    </row>
    <row r="1090">
      <c r="R1090" s="6"/>
    </row>
    <row r="1091">
      <c r="R1091" s="6"/>
    </row>
    <row r="1092">
      <c r="R1092" s="6"/>
    </row>
    <row r="1093">
      <c r="R1093" s="6"/>
    </row>
    <row r="1094">
      <c r="R1094" s="6"/>
    </row>
    <row r="1095">
      <c r="R1095" s="6"/>
    </row>
    <row r="1096">
      <c r="R1096" s="6"/>
    </row>
    <row r="1097">
      <c r="R1097" s="6"/>
    </row>
    <row r="1098">
      <c r="R1098" s="6"/>
    </row>
    <row r="1099">
      <c r="R1099" s="6"/>
    </row>
    <row r="1100">
      <c r="R1100" s="6"/>
    </row>
    <row r="1101">
      <c r="R1101" s="6"/>
    </row>
    <row r="1102">
      <c r="R1102" s="6"/>
    </row>
    <row r="1103">
      <c r="R1103" s="6"/>
    </row>
    <row r="1104">
      <c r="R1104" s="6"/>
    </row>
    <row r="1105">
      <c r="R1105" s="6"/>
    </row>
    <row r="1106">
      <c r="R1106" s="6"/>
    </row>
    <row r="1107">
      <c r="R1107" s="6"/>
    </row>
    <row r="1108">
      <c r="R1108" s="6"/>
    </row>
    <row r="1109">
      <c r="R1109" s="6"/>
    </row>
    <row r="1110">
      <c r="R1110" s="6"/>
    </row>
    <row r="1111">
      <c r="R1111" s="6"/>
    </row>
    <row r="1112">
      <c r="R1112" s="6"/>
    </row>
    <row r="1113">
      <c r="R1113" s="6"/>
    </row>
    <row r="1114">
      <c r="R1114" s="6"/>
    </row>
    <row r="1115">
      <c r="R1115" s="6"/>
    </row>
    <row r="1116">
      <c r="R1116" s="6"/>
    </row>
    <row r="1117">
      <c r="R1117" s="6"/>
    </row>
    <row r="1118">
      <c r="R1118" s="6"/>
    </row>
    <row r="1119">
      <c r="R1119" s="6"/>
    </row>
    <row r="1120">
      <c r="R1120" s="6"/>
    </row>
    <row r="1121">
      <c r="R1121" s="6"/>
    </row>
    <row r="1122">
      <c r="R1122" s="6"/>
    </row>
    <row r="1123">
      <c r="R1123" s="6"/>
    </row>
    <row r="1124">
      <c r="R1124" s="6"/>
    </row>
    <row r="1125">
      <c r="R1125" s="6"/>
    </row>
    <row r="1126">
      <c r="R1126" s="6"/>
    </row>
    <row r="1127">
      <c r="R1127" s="6"/>
    </row>
    <row r="1128">
      <c r="R1128" s="6"/>
    </row>
    <row r="1129">
      <c r="R1129" s="6"/>
    </row>
    <row r="1130">
      <c r="R1130" s="6"/>
    </row>
    <row r="1131">
      <c r="R1131" s="6"/>
    </row>
    <row r="1132">
      <c r="R1132" s="6"/>
    </row>
    <row r="1133">
      <c r="R1133" s="6"/>
    </row>
    <row r="1134">
      <c r="R1134" s="6"/>
    </row>
    <row r="1135">
      <c r="R1135" s="6"/>
    </row>
    <row r="1136">
      <c r="R1136" s="6"/>
    </row>
    <row r="1137">
      <c r="R1137" s="6"/>
    </row>
    <row r="1138">
      <c r="R1138" s="6"/>
    </row>
    <row r="1139">
      <c r="R1139" s="6"/>
    </row>
    <row r="1140">
      <c r="R1140" s="6"/>
    </row>
    <row r="1141">
      <c r="R1141" s="6"/>
    </row>
    <row r="1142">
      <c r="R1142" s="6"/>
    </row>
    <row r="1143">
      <c r="R1143" s="6"/>
    </row>
    <row r="1144">
      <c r="R1144" s="6"/>
    </row>
    <row r="1145">
      <c r="R1145" s="6"/>
    </row>
    <row r="1146">
      <c r="R1146" s="6"/>
    </row>
    <row r="1147">
      <c r="R1147" s="6"/>
    </row>
    <row r="1148">
      <c r="R1148" s="6"/>
    </row>
    <row r="1149">
      <c r="R1149" s="6"/>
    </row>
    <row r="1150">
      <c r="R1150" s="6"/>
    </row>
    <row r="1151">
      <c r="R1151" s="6"/>
    </row>
    <row r="1152">
      <c r="R1152" s="6"/>
    </row>
    <row r="1153">
      <c r="R1153" s="6"/>
    </row>
    <row r="1154">
      <c r="R1154" s="6"/>
    </row>
    <row r="1155">
      <c r="R1155" s="6"/>
    </row>
    <row r="1156">
      <c r="R1156" s="6"/>
    </row>
    <row r="1157">
      <c r="R1157" s="6"/>
    </row>
    <row r="1158">
      <c r="R1158" s="6"/>
    </row>
    <row r="1159">
      <c r="R1159" s="6"/>
    </row>
    <row r="1160">
      <c r="R1160" s="6"/>
    </row>
    <row r="1161">
      <c r="R1161" s="6"/>
    </row>
    <row r="1162">
      <c r="R1162" s="6"/>
    </row>
    <row r="1163">
      <c r="R1163" s="6"/>
    </row>
    <row r="1164">
      <c r="R1164" s="6"/>
    </row>
    <row r="1165">
      <c r="R1165" s="6"/>
    </row>
    <row r="1166">
      <c r="R1166" s="6"/>
    </row>
    <row r="1167">
      <c r="R1167" s="6"/>
    </row>
    <row r="1168">
      <c r="R1168" s="6"/>
    </row>
    <row r="1169">
      <c r="R1169" s="6"/>
    </row>
    <row r="1170">
      <c r="R1170" s="6"/>
    </row>
    <row r="1171">
      <c r="R1171" s="6"/>
    </row>
    <row r="1172">
      <c r="R1172" s="6"/>
    </row>
    <row r="1173">
      <c r="R1173" s="6"/>
    </row>
    <row r="1174">
      <c r="R1174" s="6"/>
    </row>
    <row r="1175">
      <c r="R1175" s="6"/>
    </row>
    <row r="1176">
      <c r="R1176" s="6"/>
    </row>
    <row r="1177">
      <c r="R1177" s="6"/>
    </row>
    <row r="1178">
      <c r="R1178" s="6"/>
    </row>
    <row r="1179">
      <c r="R1179" s="6"/>
    </row>
    <row r="1180">
      <c r="R1180" s="6"/>
    </row>
    <row r="1181">
      <c r="R1181" s="6"/>
    </row>
    <row r="1182">
      <c r="R1182" s="6"/>
    </row>
    <row r="1183">
      <c r="R1183" s="6"/>
    </row>
    <row r="1184">
      <c r="R1184" s="6"/>
    </row>
    <row r="1185">
      <c r="R1185" s="6"/>
    </row>
    <row r="1186">
      <c r="R1186" s="6"/>
    </row>
    <row r="1187">
      <c r="R1187" s="6"/>
    </row>
    <row r="1188">
      <c r="R1188" s="6"/>
    </row>
    <row r="1189">
      <c r="R1189" s="6"/>
    </row>
    <row r="1190">
      <c r="R1190" s="6"/>
    </row>
    <row r="1191">
      <c r="R1191" s="6"/>
    </row>
    <row r="1192">
      <c r="R1192" s="6"/>
    </row>
    <row r="1193">
      <c r="R1193" s="6"/>
    </row>
    <row r="1194">
      <c r="R1194" s="6"/>
    </row>
    <row r="1195">
      <c r="R1195" s="6"/>
    </row>
    <row r="1196">
      <c r="R1196" s="6"/>
    </row>
    <row r="1197">
      <c r="R1197" s="6"/>
    </row>
    <row r="1198">
      <c r="R1198" s="6"/>
    </row>
    <row r="1199">
      <c r="R1199" s="6"/>
    </row>
    <row r="1200">
      <c r="R1200" s="6"/>
    </row>
    <row r="1201">
      <c r="R1201" s="6"/>
    </row>
    <row r="1202">
      <c r="R1202" s="6"/>
    </row>
    <row r="1203">
      <c r="R1203" s="6"/>
    </row>
    <row r="1204">
      <c r="R1204" s="6"/>
    </row>
    <row r="1205">
      <c r="R1205" s="6"/>
    </row>
    <row r="1206">
      <c r="R1206" s="6"/>
    </row>
    <row r="1207">
      <c r="R1207" s="6"/>
    </row>
    <row r="1208">
      <c r="R1208" s="6"/>
    </row>
    <row r="1209">
      <c r="R1209" s="6"/>
    </row>
    <row r="1210">
      <c r="R1210" s="6"/>
    </row>
    <row r="1211">
      <c r="R1211" s="6"/>
    </row>
    <row r="1212">
      <c r="R1212" s="6"/>
    </row>
    <row r="1213">
      <c r="R1213" s="6"/>
    </row>
    <row r="1214">
      <c r="R1214" s="6"/>
    </row>
    <row r="1215">
      <c r="R1215" s="6"/>
    </row>
    <row r="1216">
      <c r="R1216" s="6"/>
    </row>
    <row r="1217">
      <c r="R1217" s="6"/>
    </row>
    <row r="1218">
      <c r="R1218" s="6"/>
    </row>
    <row r="1219">
      <c r="R1219" s="6"/>
    </row>
    <row r="1220">
      <c r="R1220" s="6"/>
    </row>
    <row r="1221">
      <c r="R1221" s="6"/>
    </row>
    <row r="1222">
      <c r="R1222" s="6"/>
    </row>
    <row r="1223">
      <c r="R1223" s="6"/>
    </row>
    <row r="1224">
      <c r="R1224" s="6"/>
    </row>
    <row r="1225">
      <c r="R1225" s="6"/>
    </row>
    <row r="1226">
      <c r="R1226" s="6"/>
    </row>
    <row r="1227">
      <c r="R1227" s="6"/>
    </row>
    <row r="1228">
      <c r="R1228" s="6"/>
    </row>
    <row r="1229">
      <c r="R1229" s="6"/>
    </row>
    <row r="1230">
      <c r="R1230" s="6"/>
    </row>
    <row r="1231">
      <c r="R1231" s="6"/>
    </row>
    <row r="1232">
      <c r="R1232" s="6"/>
    </row>
    <row r="1233">
      <c r="R1233" s="6"/>
    </row>
    <row r="1234">
      <c r="R1234" s="6"/>
    </row>
    <row r="1235">
      <c r="R1235" s="6"/>
    </row>
    <row r="1236">
      <c r="R1236" s="6"/>
    </row>
    <row r="1237">
      <c r="R1237" s="6"/>
    </row>
    <row r="1238">
      <c r="R1238" s="6"/>
    </row>
    <row r="1239">
      <c r="R1239" s="6"/>
    </row>
    <row r="1240">
      <c r="R1240" s="6"/>
    </row>
    <row r="1241">
      <c r="R1241" s="6"/>
    </row>
    <row r="1242">
      <c r="R1242" s="6"/>
    </row>
    <row r="1243">
      <c r="R1243" s="6"/>
    </row>
    <row r="1244">
      <c r="R1244" s="6"/>
    </row>
    <row r="1245">
      <c r="R1245" s="6"/>
    </row>
    <row r="1246">
      <c r="R1246" s="6"/>
    </row>
    <row r="1247">
      <c r="R1247" s="6"/>
    </row>
    <row r="1248">
      <c r="R1248" s="6"/>
    </row>
    <row r="1249">
      <c r="R1249" s="6"/>
    </row>
    <row r="1250">
      <c r="R1250" s="6"/>
    </row>
    <row r="1251">
      <c r="R1251" s="6"/>
    </row>
    <row r="1252">
      <c r="R1252" s="6"/>
    </row>
    <row r="1253">
      <c r="R1253" s="6"/>
    </row>
    <row r="1254">
      <c r="R1254" s="6"/>
    </row>
    <row r="1255">
      <c r="R1255" s="6"/>
    </row>
    <row r="1256">
      <c r="R1256" s="6"/>
    </row>
    <row r="1257">
      <c r="R1257" s="6"/>
    </row>
    <row r="1258">
      <c r="R1258" s="6"/>
    </row>
    <row r="1259">
      <c r="R1259" s="6"/>
    </row>
    <row r="1260">
      <c r="R1260" s="6"/>
    </row>
    <row r="1261">
      <c r="R1261" s="6"/>
    </row>
    <row r="1262">
      <c r="R1262" s="6"/>
    </row>
    <row r="1263">
      <c r="R1263" s="6"/>
    </row>
    <row r="1264">
      <c r="R1264" s="6"/>
    </row>
    <row r="1265">
      <c r="R1265" s="6"/>
    </row>
    <row r="1266">
      <c r="R1266" s="6"/>
    </row>
    <row r="1267">
      <c r="R1267" s="6"/>
    </row>
    <row r="1268">
      <c r="R1268" s="6"/>
    </row>
    <row r="1269">
      <c r="R1269" s="6"/>
    </row>
    <row r="1270">
      <c r="R1270" s="6"/>
    </row>
    <row r="1271">
      <c r="R1271" s="6"/>
    </row>
    <row r="1272">
      <c r="R1272" s="6"/>
    </row>
    <row r="1273">
      <c r="R1273" s="6"/>
    </row>
    <row r="1274">
      <c r="R1274" s="6"/>
    </row>
    <row r="1275">
      <c r="R1275" s="6"/>
    </row>
    <row r="1276">
      <c r="R1276" s="6"/>
    </row>
    <row r="1277">
      <c r="R1277" s="6"/>
    </row>
    <row r="1278">
      <c r="R1278" s="6"/>
    </row>
    <row r="1279">
      <c r="R1279" s="6"/>
    </row>
    <row r="1280">
      <c r="R1280" s="6"/>
    </row>
    <row r="1281">
      <c r="R1281" s="6"/>
    </row>
    <row r="1282">
      <c r="R1282" s="6"/>
    </row>
    <row r="1283">
      <c r="R1283" s="6"/>
    </row>
    <row r="1284">
      <c r="R1284" s="6"/>
    </row>
    <row r="1285">
      <c r="R1285" s="6"/>
    </row>
    <row r="1286">
      <c r="R1286" s="6"/>
    </row>
    <row r="1287">
      <c r="R1287" s="6"/>
    </row>
    <row r="1288">
      <c r="R1288" s="6"/>
    </row>
    <row r="1289">
      <c r="R1289" s="6"/>
    </row>
    <row r="1290">
      <c r="R1290" s="6"/>
    </row>
    <row r="1291">
      <c r="R1291" s="6"/>
    </row>
    <row r="1292">
      <c r="R1292" s="6"/>
    </row>
    <row r="1293">
      <c r="R1293" s="6"/>
    </row>
    <row r="1294">
      <c r="R1294" s="6"/>
    </row>
    <row r="1295">
      <c r="R1295" s="6"/>
    </row>
    <row r="1296">
      <c r="R1296" s="6"/>
    </row>
    <row r="1297">
      <c r="R1297" s="6"/>
    </row>
    <row r="1298">
      <c r="R1298" s="6"/>
    </row>
    <row r="1299">
      <c r="R1299" s="6"/>
    </row>
    <row r="1300">
      <c r="R1300" s="6"/>
    </row>
    <row r="1301">
      <c r="R1301" s="6"/>
    </row>
    <row r="1302">
      <c r="R1302" s="6"/>
    </row>
    <row r="1303">
      <c r="R1303" s="6"/>
    </row>
    <row r="1304">
      <c r="R1304" s="6"/>
    </row>
    <row r="1305">
      <c r="R1305" s="6"/>
    </row>
    <row r="1306">
      <c r="R1306" s="6"/>
    </row>
    <row r="1307">
      <c r="R1307" s="6"/>
    </row>
    <row r="1308">
      <c r="R1308" s="6"/>
    </row>
    <row r="1309">
      <c r="R1309" s="6"/>
    </row>
    <row r="1310">
      <c r="R1310" s="6"/>
    </row>
    <row r="1311">
      <c r="R1311" s="6"/>
    </row>
    <row r="1312">
      <c r="R1312" s="6"/>
    </row>
    <row r="1313">
      <c r="R1313" s="6"/>
    </row>
    <row r="1314">
      <c r="R1314" s="6"/>
    </row>
    <row r="1315">
      <c r="R1315" s="6"/>
    </row>
    <row r="1316">
      <c r="R1316" s="6"/>
    </row>
    <row r="1317">
      <c r="R1317" s="6"/>
    </row>
    <row r="1318">
      <c r="R1318" s="6"/>
    </row>
    <row r="1319">
      <c r="R1319" s="6"/>
    </row>
    <row r="1320">
      <c r="R1320" s="6"/>
    </row>
    <row r="1321">
      <c r="R1321" s="6"/>
    </row>
    <row r="1322">
      <c r="R1322" s="6"/>
    </row>
    <row r="1323">
      <c r="R1323" s="6"/>
    </row>
    <row r="1324">
      <c r="R1324" s="6"/>
    </row>
    <row r="1325">
      <c r="R1325" s="6"/>
    </row>
    <row r="1326">
      <c r="R1326" s="6"/>
    </row>
    <row r="1327">
      <c r="R1327" s="6"/>
    </row>
    <row r="1328">
      <c r="R1328" s="6"/>
    </row>
    <row r="1329">
      <c r="R1329" s="6"/>
    </row>
    <row r="1330">
      <c r="R1330" s="6"/>
    </row>
    <row r="1331">
      <c r="R1331" s="6"/>
    </row>
    <row r="1332">
      <c r="R1332" s="6"/>
    </row>
    <row r="1333">
      <c r="R1333" s="6"/>
    </row>
    <row r="1334">
      <c r="R1334" s="6"/>
    </row>
    <row r="1335">
      <c r="R1335" s="6"/>
    </row>
    <row r="1336">
      <c r="R1336" s="6"/>
    </row>
    <row r="1337">
      <c r="R1337" s="6"/>
    </row>
    <row r="1338">
      <c r="R1338" s="6"/>
    </row>
    <row r="1339">
      <c r="R1339" s="6"/>
    </row>
    <row r="1340">
      <c r="R1340" s="6"/>
    </row>
    <row r="1341">
      <c r="R1341" s="6"/>
    </row>
    <row r="1342">
      <c r="R1342" s="6"/>
    </row>
    <row r="1343">
      <c r="R1343" s="6"/>
    </row>
    <row r="1344">
      <c r="R1344" s="6"/>
    </row>
    <row r="1345">
      <c r="R1345" s="6"/>
    </row>
    <row r="1346">
      <c r="R1346" s="6"/>
    </row>
    <row r="1347">
      <c r="R1347" s="6"/>
    </row>
    <row r="1348">
      <c r="R1348" s="6"/>
    </row>
    <row r="1349">
      <c r="R1349" s="6"/>
    </row>
    <row r="1350">
      <c r="R1350" s="6"/>
    </row>
    <row r="1351">
      <c r="R1351" s="6"/>
    </row>
    <row r="1352">
      <c r="R1352" s="6"/>
    </row>
    <row r="1353">
      <c r="R1353" s="6"/>
    </row>
    <row r="1354">
      <c r="R1354" s="6"/>
    </row>
    <row r="1355">
      <c r="R1355" s="6"/>
    </row>
    <row r="1356">
      <c r="R1356" s="6"/>
    </row>
    <row r="1357">
      <c r="R1357" s="6"/>
    </row>
    <row r="1358">
      <c r="R1358" s="6"/>
    </row>
    <row r="1359">
      <c r="R1359" s="6"/>
    </row>
    <row r="1360">
      <c r="R1360" s="6"/>
    </row>
    <row r="1361">
      <c r="R1361" s="6"/>
    </row>
    <row r="1362">
      <c r="R1362" s="6"/>
    </row>
    <row r="1363">
      <c r="R1363" s="6"/>
    </row>
    <row r="1364">
      <c r="R1364" s="6"/>
    </row>
    <row r="1365">
      <c r="R1365" s="6"/>
    </row>
    <row r="1366">
      <c r="R1366" s="6"/>
    </row>
    <row r="1367">
      <c r="R1367" s="6"/>
    </row>
    <row r="1368">
      <c r="R1368" s="6"/>
    </row>
    <row r="1369">
      <c r="R1369" s="6"/>
    </row>
    <row r="1370">
      <c r="R1370" s="6"/>
    </row>
    <row r="1371">
      <c r="R1371" s="6"/>
    </row>
    <row r="1372">
      <c r="R1372" s="6"/>
    </row>
    <row r="1373">
      <c r="R1373" s="6"/>
    </row>
    <row r="1374">
      <c r="R1374" s="6"/>
    </row>
    <row r="1375">
      <c r="R1375" s="6"/>
    </row>
    <row r="1376">
      <c r="R1376" s="6"/>
    </row>
    <row r="1377">
      <c r="R1377" s="6"/>
    </row>
    <row r="1378">
      <c r="R1378" s="6"/>
    </row>
    <row r="1379">
      <c r="R1379" s="6"/>
    </row>
    <row r="1380">
      <c r="R1380" s="6"/>
    </row>
    <row r="1381">
      <c r="R1381" s="6"/>
    </row>
    <row r="1382">
      <c r="R1382" s="6"/>
    </row>
    <row r="1383">
      <c r="R1383" s="6"/>
    </row>
    <row r="1384">
      <c r="R1384" s="6"/>
    </row>
    <row r="1385">
      <c r="R1385" s="6"/>
    </row>
    <row r="1386">
      <c r="R1386" s="6"/>
    </row>
    <row r="1387">
      <c r="R1387" s="6"/>
    </row>
    <row r="1388">
      <c r="R1388" s="6"/>
    </row>
    <row r="1389">
      <c r="R1389" s="6"/>
    </row>
    <row r="1390">
      <c r="R1390" s="6"/>
    </row>
    <row r="1391">
      <c r="R1391" s="6"/>
    </row>
    <row r="1392">
      <c r="R1392" s="6"/>
    </row>
    <row r="1393">
      <c r="R1393" s="6"/>
    </row>
    <row r="1394">
      <c r="R1394" s="6"/>
    </row>
    <row r="1395">
      <c r="R1395" s="6"/>
    </row>
    <row r="1396">
      <c r="R1396" s="6"/>
    </row>
    <row r="1397">
      <c r="R1397" s="6"/>
    </row>
    <row r="1398">
      <c r="R1398" s="6"/>
    </row>
    <row r="1399">
      <c r="R1399" s="6"/>
    </row>
    <row r="1400">
      <c r="R1400" s="6"/>
    </row>
    <row r="1401">
      <c r="R1401" s="6"/>
    </row>
    <row r="1402">
      <c r="R1402" s="6"/>
    </row>
    <row r="1403">
      <c r="R1403" s="6"/>
    </row>
    <row r="1404">
      <c r="R1404" s="6"/>
    </row>
    <row r="1405">
      <c r="R1405" s="6"/>
    </row>
    <row r="1406">
      <c r="R1406" s="6"/>
    </row>
    <row r="1407">
      <c r="R1407" s="6"/>
    </row>
    <row r="1408">
      <c r="R1408" s="6"/>
    </row>
    <row r="1409">
      <c r="R1409" s="6"/>
    </row>
    <row r="1410">
      <c r="R1410" s="6"/>
    </row>
    <row r="1411">
      <c r="R1411" s="6"/>
    </row>
    <row r="1412">
      <c r="R1412" s="6"/>
    </row>
    <row r="1413">
      <c r="R1413" s="6"/>
    </row>
    <row r="1414">
      <c r="R1414" s="6"/>
    </row>
    <row r="1415">
      <c r="R1415" s="6"/>
    </row>
    <row r="1416">
      <c r="R1416" s="6"/>
    </row>
    <row r="1417">
      <c r="R1417" s="6"/>
    </row>
    <row r="1418">
      <c r="R1418" s="6"/>
    </row>
    <row r="1419">
      <c r="R1419" s="6"/>
    </row>
    <row r="1420">
      <c r="R1420" s="6"/>
    </row>
    <row r="1421">
      <c r="R1421" s="6"/>
    </row>
    <row r="1422">
      <c r="R1422" s="6"/>
    </row>
    <row r="1423">
      <c r="R1423" s="6"/>
    </row>
    <row r="1424">
      <c r="R1424" s="6"/>
    </row>
    <row r="1425">
      <c r="R1425" s="6"/>
    </row>
    <row r="1426">
      <c r="R1426" s="6"/>
    </row>
    <row r="1427">
      <c r="R1427" s="6"/>
    </row>
    <row r="1428">
      <c r="R1428" s="6"/>
    </row>
    <row r="1429">
      <c r="R1429" s="6"/>
    </row>
    <row r="1430">
      <c r="R1430" s="6"/>
    </row>
    <row r="1431">
      <c r="R1431" s="6"/>
    </row>
    <row r="1432">
      <c r="R1432" s="6"/>
    </row>
    <row r="1433">
      <c r="R1433" s="6"/>
    </row>
    <row r="1434">
      <c r="R1434" s="6"/>
    </row>
    <row r="1435">
      <c r="R1435" s="6"/>
    </row>
    <row r="1436">
      <c r="R1436" s="6"/>
    </row>
    <row r="1437">
      <c r="R1437" s="6"/>
    </row>
    <row r="1438">
      <c r="R1438" s="6"/>
    </row>
    <row r="1439">
      <c r="R1439" s="6"/>
    </row>
    <row r="1440">
      <c r="R1440" s="6"/>
    </row>
    <row r="1441">
      <c r="R1441" s="6"/>
    </row>
    <row r="1442">
      <c r="R1442" s="6"/>
    </row>
    <row r="1443">
      <c r="R1443" s="6"/>
    </row>
    <row r="1444">
      <c r="R1444" s="6"/>
    </row>
    <row r="1445">
      <c r="R1445" s="6"/>
    </row>
    <row r="1446">
      <c r="R1446" s="6"/>
    </row>
    <row r="1447">
      <c r="R1447" s="6"/>
    </row>
    <row r="1448">
      <c r="R1448" s="6"/>
    </row>
    <row r="1449">
      <c r="R1449" s="6"/>
    </row>
    <row r="1450">
      <c r="R1450" s="6"/>
    </row>
    <row r="1451">
      <c r="R1451" s="6"/>
    </row>
    <row r="1452">
      <c r="R1452" s="6"/>
    </row>
    <row r="1453">
      <c r="R1453" s="6"/>
    </row>
    <row r="1454">
      <c r="R1454" s="6"/>
    </row>
    <row r="1455">
      <c r="R1455" s="6"/>
    </row>
    <row r="1456">
      <c r="R1456" s="6"/>
    </row>
    <row r="1457">
      <c r="R1457" s="6"/>
    </row>
    <row r="1458">
      <c r="R1458" s="6"/>
    </row>
    <row r="1459">
      <c r="R1459" s="6"/>
    </row>
    <row r="1460">
      <c r="R1460" s="6"/>
    </row>
    <row r="1461">
      <c r="R1461" s="6"/>
    </row>
    <row r="1462">
      <c r="R1462" s="6"/>
    </row>
    <row r="1463">
      <c r="R1463" s="6"/>
    </row>
    <row r="1464">
      <c r="R1464" s="6"/>
    </row>
    <row r="1465">
      <c r="R1465" s="6"/>
    </row>
    <row r="1466">
      <c r="R1466" s="6"/>
    </row>
    <row r="1467">
      <c r="R1467" s="6"/>
    </row>
    <row r="1468">
      <c r="R1468" s="6"/>
    </row>
    <row r="1469">
      <c r="R1469" s="6"/>
    </row>
    <row r="1470">
      <c r="R1470" s="6"/>
    </row>
    <row r="1471">
      <c r="R1471" s="6"/>
    </row>
    <row r="1472">
      <c r="R1472" s="6"/>
    </row>
    <row r="1473">
      <c r="R1473" s="6"/>
    </row>
    <row r="1474">
      <c r="R1474" s="6"/>
    </row>
    <row r="1475">
      <c r="R1475" s="6"/>
    </row>
    <row r="1476">
      <c r="R1476" s="6"/>
    </row>
    <row r="1477">
      <c r="R1477" s="6"/>
    </row>
    <row r="1478">
      <c r="R1478" s="6"/>
    </row>
    <row r="1479">
      <c r="R1479" s="6"/>
    </row>
    <row r="1480">
      <c r="R1480" s="6"/>
    </row>
    <row r="1481">
      <c r="R1481" s="6"/>
    </row>
    <row r="1482">
      <c r="R1482" s="6"/>
    </row>
    <row r="1483">
      <c r="R1483" s="6"/>
    </row>
    <row r="1484">
      <c r="R1484" s="6"/>
    </row>
    <row r="1485">
      <c r="R1485" s="6"/>
    </row>
    <row r="1486">
      <c r="R1486" s="6"/>
    </row>
    <row r="1487">
      <c r="R1487" s="6"/>
    </row>
    <row r="1488">
      <c r="R1488" s="6"/>
    </row>
    <row r="1489">
      <c r="R1489" s="6"/>
    </row>
    <row r="1490">
      <c r="R1490" s="6"/>
    </row>
    <row r="1491">
      <c r="R1491" s="6"/>
    </row>
    <row r="1492">
      <c r="R1492" s="6"/>
    </row>
    <row r="1493">
      <c r="R1493" s="6"/>
    </row>
    <row r="1494">
      <c r="R1494" s="6"/>
    </row>
    <row r="1495">
      <c r="R1495" s="6"/>
    </row>
    <row r="1496">
      <c r="R1496" s="6"/>
    </row>
    <row r="1497">
      <c r="R1497" s="6"/>
    </row>
    <row r="1498">
      <c r="R1498" s="6"/>
    </row>
    <row r="1499">
      <c r="R1499" s="6"/>
    </row>
    <row r="1500">
      <c r="R1500" s="6"/>
    </row>
    <row r="1501">
      <c r="R1501" s="6"/>
    </row>
    <row r="1502">
      <c r="R1502" s="6"/>
    </row>
    <row r="1503">
      <c r="R1503" s="6"/>
    </row>
    <row r="1504">
      <c r="R1504" s="6"/>
    </row>
    <row r="1505">
      <c r="R1505" s="6"/>
    </row>
    <row r="1506">
      <c r="R1506" s="6"/>
    </row>
    <row r="1507">
      <c r="R1507" s="6"/>
    </row>
    <row r="1508">
      <c r="R1508" s="6"/>
    </row>
    <row r="1509">
      <c r="R150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25"/>
  </cols>
  <sheetData>
    <row r="1"/>
    <row r="2"/>
    <row r="3"/>
    <row r="4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13"/>
    <col customWidth="1" min="3" max="3" width="17.88"/>
    <col customWidth="1" min="5" max="5" width="21.38"/>
    <col customWidth="1" min="7" max="7" width="17.88"/>
    <col customWidth="1" min="9" max="9" width="26.5"/>
  </cols>
  <sheetData>
    <row r="1">
      <c r="A1" s="12" t="s">
        <v>1044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1045</v>
      </c>
      <c r="B3" s="13"/>
      <c r="C3" s="14" t="s">
        <v>1046</v>
      </c>
      <c r="D3" s="13"/>
      <c r="E3" s="14" t="s">
        <v>115</v>
      </c>
      <c r="F3" s="13"/>
      <c r="G3" s="14" t="s">
        <v>120</v>
      </c>
      <c r="H3" s="13"/>
      <c r="I3" s="14" t="s">
        <v>1047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>
        <f>Financial_Analysis!B2</f>
        <v>13173344212500</v>
      </c>
      <c r="B4" s="13"/>
      <c r="C4" s="15">
        <f>Financial_Analysis!B3</f>
        <v>5165530836500</v>
      </c>
      <c r="D4" s="13"/>
      <c r="E4" s="15">
        <f>Financial_Analysis!B4</f>
        <v>2049131813000</v>
      </c>
      <c r="F4" s="13"/>
      <c r="G4" s="15">
        <f>Financial_Analysis!B5</f>
        <v>1441865680000</v>
      </c>
      <c r="H4" s="13"/>
      <c r="I4" s="16">
        <f>Financial_Analysis!K17</f>
        <v>0.3511437831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8" t="s">
        <v>1048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9" t="s">
        <v>1049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" t="s">
        <v>1050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" t="s">
        <v>1051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" t="s">
        <v>1052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" t="s">
        <v>1053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" t="s">
        <v>1054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A1:H1"/>
    <mergeCell ref="A47:B47"/>
  </mergeCells>
  <drawing r:id="rId1"/>
</worksheet>
</file>