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80" windowWidth="15360" windowHeight="6975" firstSheet="2" activeTab="5"/>
  </bookViews>
  <sheets>
    <sheet name="Tarifas Paquetes" sheetId="1" r:id="rId1"/>
    <sheet name="Laboratorios prod." sheetId="4" r:id="rId2"/>
    <sheet name="P &amp; E año completo  Inicial " sheetId="5" r:id="rId3"/>
    <sheet name="P &amp; E 2015- 2019 T. Finales" sheetId="6" r:id="rId4"/>
    <sheet name="PPTO Resumen" sheetId="7" r:id="rId5"/>
    <sheet name="PPTO DEFINITIVO" sheetId="8" r:id="rId6"/>
    <sheet name="EJECUCION ACTUAL" sheetId="9" r:id="rId7"/>
  </sheets>
  <externalReferences>
    <externalReference r:id="rId8"/>
  </externalReferences>
  <definedNames>
    <definedName name="A" localSheetId="0">'Tarifas Paquetes'!$A$1:$D$35</definedName>
    <definedName name="_xlnm.Print_Area" localSheetId="0">'Tarifas Paquetes'!$A$1:$H$38</definedName>
  </definedNames>
  <calcPr calcId="144525" calcOnSave="0"/>
</workbook>
</file>

<file path=xl/calcChain.xml><?xml version="1.0" encoding="utf-8"?>
<calcChain xmlns="http://schemas.openxmlformats.org/spreadsheetml/2006/main">
  <c r="P9" i="8" l="1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D33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C33" i="9" l="1"/>
  <c r="E5" i="9"/>
  <c r="E33" i="9" s="1"/>
  <c r="Q6" i="8" l="1"/>
  <c r="Q7" i="8"/>
  <c r="Q8" i="8"/>
  <c r="I8" i="8"/>
  <c r="E8" i="8"/>
  <c r="R7" i="8"/>
  <c r="S7" i="8"/>
  <c r="U7" i="8"/>
  <c r="U8" i="8"/>
  <c r="U6" i="8"/>
  <c r="S8" i="8"/>
  <c r="S6" i="8"/>
  <c r="R8" i="8"/>
  <c r="R6" i="8"/>
  <c r="M7" i="8"/>
  <c r="M8" i="8"/>
  <c r="M6" i="8"/>
  <c r="L9" i="8"/>
  <c r="K9" i="8"/>
  <c r="I6" i="8"/>
  <c r="H9" i="8"/>
  <c r="F9" i="8"/>
  <c r="E7" i="8"/>
  <c r="E6" i="8"/>
  <c r="D9" i="8"/>
  <c r="C9" i="8"/>
  <c r="B9" i="8"/>
  <c r="C7" i="8"/>
  <c r="G7" i="8"/>
  <c r="G9" i="8" s="1"/>
  <c r="G10" i="8" s="1"/>
  <c r="O8" i="8"/>
  <c r="O9" i="8" s="1"/>
  <c r="O10" i="8" s="1"/>
  <c r="C10" i="8" l="1"/>
  <c r="U9" i="8"/>
  <c r="V6" i="8"/>
  <c r="Q9" i="8"/>
  <c r="S9" i="8"/>
  <c r="M9" i="8"/>
  <c r="K10" i="8"/>
  <c r="C11" i="8" s="1"/>
  <c r="V7" i="8"/>
  <c r="V8" i="8"/>
  <c r="I9" i="8"/>
  <c r="E9" i="8"/>
  <c r="I7" i="8"/>
  <c r="V9" i="8" l="1"/>
  <c r="C20" i="7"/>
  <c r="D20" i="7" s="1"/>
  <c r="E20" i="7" s="1"/>
  <c r="F20" i="7" s="1"/>
  <c r="E16" i="4" l="1"/>
  <c r="F16" i="4" s="1"/>
  <c r="G16" i="4" s="1"/>
  <c r="H16" i="4" s="1"/>
  <c r="E17" i="4"/>
  <c r="F17" i="4" s="1"/>
  <c r="E15" i="4"/>
  <c r="F15" i="4" s="1"/>
  <c r="I217" i="6"/>
  <c r="J217" i="6" s="1"/>
  <c r="I216" i="6"/>
  <c r="J216" i="6" s="1"/>
  <c r="K215" i="6"/>
  <c r="I215" i="6"/>
  <c r="J215" i="6" s="1"/>
  <c r="J214" i="6"/>
  <c r="K214" i="6" s="1"/>
  <c r="I214" i="6"/>
  <c r="I213" i="6"/>
  <c r="J213" i="6" s="1"/>
  <c r="I212" i="6"/>
  <c r="J212" i="6" s="1"/>
  <c r="K211" i="6"/>
  <c r="L211" i="6" s="1"/>
  <c r="I211" i="6"/>
  <c r="J211" i="6" s="1"/>
  <c r="H191" i="6"/>
  <c r="I191" i="6" s="1"/>
  <c r="J191" i="6" s="1"/>
  <c r="K191" i="6" s="1"/>
  <c r="L191" i="6" s="1"/>
  <c r="F191" i="6"/>
  <c r="J190" i="6"/>
  <c r="K190" i="6" s="1"/>
  <c r="L190" i="6" s="1"/>
  <c r="F190" i="6"/>
  <c r="H190" i="6" s="1"/>
  <c r="I190" i="6" s="1"/>
  <c r="H189" i="6"/>
  <c r="I189" i="6" s="1"/>
  <c r="J189" i="6" s="1"/>
  <c r="K189" i="6" s="1"/>
  <c r="L189" i="6" s="1"/>
  <c r="F189" i="6"/>
  <c r="F188" i="6"/>
  <c r="H188" i="6" s="1"/>
  <c r="I188" i="6" s="1"/>
  <c r="H172" i="6"/>
  <c r="I172" i="6" s="1"/>
  <c r="J172" i="6" s="1"/>
  <c r="K172" i="6" s="1"/>
  <c r="L172" i="6" s="1"/>
  <c r="H171" i="6"/>
  <c r="I171" i="6" s="1"/>
  <c r="J171" i="6" s="1"/>
  <c r="K171" i="6" s="1"/>
  <c r="L171" i="6" s="1"/>
  <c r="H169" i="6"/>
  <c r="I169" i="6" s="1"/>
  <c r="J169" i="6" s="1"/>
  <c r="F156" i="6"/>
  <c r="H156" i="6" s="1"/>
  <c r="I156" i="6" s="1"/>
  <c r="J156" i="6" s="1"/>
  <c r="K156" i="6" s="1"/>
  <c r="L156" i="6" s="1"/>
  <c r="H154" i="6"/>
  <c r="I154" i="6" s="1"/>
  <c r="G142" i="6"/>
  <c r="H142" i="6" s="1"/>
  <c r="I142" i="6" s="1"/>
  <c r="J142" i="6" s="1"/>
  <c r="K142" i="6" s="1"/>
  <c r="L142" i="6" s="1"/>
  <c r="H138" i="6"/>
  <c r="I138" i="6" s="1"/>
  <c r="J138" i="6" s="1"/>
  <c r="K138" i="6" s="1"/>
  <c r="L138" i="6" s="1"/>
  <c r="H137" i="6"/>
  <c r="I137" i="6" s="1"/>
  <c r="J137" i="6" s="1"/>
  <c r="K137" i="6" s="1"/>
  <c r="L137" i="6" s="1"/>
  <c r="H136" i="6"/>
  <c r="I136" i="6" s="1"/>
  <c r="J136" i="6" s="1"/>
  <c r="K136" i="6" s="1"/>
  <c r="L136" i="6" s="1"/>
  <c r="H133" i="6"/>
  <c r="H139" i="6" s="1"/>
  <c r="F124" i="6"/>
  <c r="F123" i="6"/>
  <c r="F118" i="6"/>
  <c r="H118" i="6" s="1"/>
  <c r="I118" i="6" s="1"/>
  <c r="J118" i="6" s="1"/>
  <c r="K118" i="6" s="1"/>
  <c r="L118" i="6" s="1"/>
  <c r="F117" i="6"/>
  <c r="H117" i="6" s="1"/>
  <c r="H110" i="6"/>
  <c r="F101" i="6"/>
  <c r="F100" i="6"/>
  <c r="F99" i="6"/>
  <c r="G96" i="6"/>
  <c r="H96" i="6" s="1"/>
  <c r="F92" i="6"/>
  <c r="H92" i="6" s="1"/>
  <c r="I92" i="6" s="1"/>
  <c r="J92" i="6" s="1"/>
  <c r="K92" i="6" s="1"/>
  <c r="L92" i="6" s="1"/>
  <c r="F91" i="6"/>
  <c r="H91" i="6" s="1"/>
  <c r="J87" i="6"/>
  <c r="K87" i="6" s="1"/>
  <c r="L87" i="6" s="1"/>
  <c r="H87" i="6"/>
  <c r="I87" i="6" s="1"/>
  <c r="H86" i="6"/>
  <c r="I86" i="6" s="1"/>
  <c r="J86" i="6" s="1"/>
  <c r="K86" i="6" s="1"/>
  <c r="L86" i="6" s="1"/>
  <c r="H85" i="6"/>
  <c r="I85" i="6" s="1"/>
  <c r="J85" i="6" s="1"/>
  <c r="K85" i="6" s="1"/>
  <c r="L85" i="6" s="1"/>
  <c r="I84" i="6"/>
  <c r="J84" i="6" s="1"/>
  <c r="K84" i="6" s="1"/>
  <c r="L84" i="6" s="1"/>
  <c r="H84" i="6"/>
  <c r="H80" i="6"/>
  <c r="F70" i="6"/>
  <c r="F69" i="6"/>
  <c r="F64" i="6"/>
  <c r="H64" i="6" s="1"/>
  <c r="I64" i="6" s="1"/>
  <c r="J64" i="6" s="1"/>
  <c r="K64" i="6" s="1"/>
  <c r="L64" i="6" s="1"/>
  <c r="I63" i="6"/>
  <c r="J63" i="6" s="1"/>
  <c r="K63" i="6" s="1"/>
  <c r="L63" i="6" s="1"/>
  <c r="F63" i="6"/>
  <c r="H63" i="6" s="1"/>
  <c r="F62" i="6"/>
  <c r="H62" i="6" s="1"/>
  <c r="I62" i="6" s="1"/>
  <c r="J62" i="6" s="1"/>
  <c r="K62" i="6" s="1"/>
  <c r="L62" i="6" s="1"/>
  <c r="F61" i="6"/>
  <c r="H61" i="6" s="1"/>
  <c r="I61" i="6" s="1"/>
  <c r="J61" i="6" s="1"/>
  <c r="K61" i="6" s="1"/>
  <c r="L61" i="6" s="1"/>
  <c r="I60" i="6"/>
  <c r="F60" i="6"/>
  <c r="H60" i="6" s="1"/>
  <c r="H56" i="6"/>
  <c r="I56" i="6" s="1"/>
  <c r="J56" i="6" s="1"/>
  <c r="K56" i="6" s="1"/>
  <c r="L56" i="6" s="1"/>
  <c r="H55" i="6"/>
  <c r="I55" i="6" s="1"/>
  <c r="J55" i="6" s="1"/>
  <c r="K55" i="6" s="1"/>
  <c r="L55" i="6" s="1"/>
  <c r="H54" i="6"/>
  <c r="I54" i="6" s="1"/>
  <c r="J54" i="6" s="1"/>
  <c r="K54" i="6" s="1"/>
  <c r="L54" i="6" s="1"/>
  <c r="H53" i="6"/>
  <c r="I53" i="6" s="1"/>
  <c r="J53" i="6" s="1"/>
  <c r="K53" i="6" s="1"/>
  <c r="L53" i="6" s="1"/>
  <c r="H51" i="6"/>
  <c r="F34" i="6"/>
  <c r="F33" i="6"/>
  <c r="F32" i="6"/>
  <c r="G28" i="6"/>
  <c r="H28" i="6" s="1"/>
  <c r="I28" i="6" s="1"/>
  <c r="F24" i="6"/>
  <c r="H24" i="6" s="1"/>
  <c r="I24" i="6" s="1"/>
  <c r="J24" i="6" s="1"/>
  <c r="K24" i="6" s="1"/>
  <c r="L24" i="6" s="1"/>
  <c r="F23" i="6"/>
  <c r="H23" i="6" s="1"/>
  <c r="I23" i="6" s="1"/>
  <c r="J23" i="6" s="1"/>
  <c r="K23" i="6" s="1"/>
  <c r="L23" i="6" s="1"/>
  <c r="F22" i="6"/>
  <c r="H22" i="6" s="1"/>
  <c r="I22" i="6" s="1"/>
  <c r="J22" i="6" s="1"/>
  <c r="K22" i="6" s="1"/>
  <c r="L22" i="6" s="1"/>
  <c r="F21" i="6"/>
  <c r="H21" i="6" s="1"/>
  <c r="I21" i="6" s="1"/>
  <c r="J21" i="6" s="1"/>
  <c r="K21" i="6" s="1"/>
  <c r="L21" i="6" s="1"/>
  <c r="F20" i="6"/>
  <c r="H20" i="6" s="1"/>
  <c r="I20" i="6" s="1"/>
  <c r="J20" i="6" s="1"/>
  <c r="K20" i="6" s="1"/>
  <c r="L20" i="6" s="1"/>
  <c r="F19" i="6"/>
  <c r="H19" i="6" s="1"/>
  <c r="H15" i="6"/>
  <c r="I15" i="6" s="1"/>
  <c r="J15" i="6" s="1"/>
  <c r="K15" i="6" s="1"/>
  <c r="L15" i="6" s="1"/>
  <c r="H14" i="6"/>
  <c r="I14" i="6" s="1"/>
  <c r="J14" i="6" s="1"/>
  <c r="K14" i="6" s="1"/>
  <c r="L14" i="6" s="1"/>
  <c r="H13" i="6"/>
  <c r="I13" i="6" s="1"/>
  <c r="J13" i="6" s="1"/>
  <c r="K13" i="6" s="1"/>
  <c r="L13" i="6" s="1"/>
  <c r="I12" i="6"/>
  <c r="J12" i="6" s="1"/>
  <c r="K12" i="6" s="1"/>
  <c r="L12" i="6" s="1"/>
  <c r="H12" i="6"/>
  <c r="J11" i="6"/>
  <c r="K11" i="6" s="1"/>
  <c r="L11" i="6" s="1"/>
  <c r="I11" i="6"/>
  <c r="H10" i="6"/>
  <c r="J218" i="5"/>
  <c r="K214" i="5"/>
  <c r="K213" i="5"/>
  <c r="L213" i="5" s="1"/>
  <c r="K212" i="5"/>
  <c r="K211" i="5"/>
  <c r="L211" i="5" s="1"/>
  <c r="K210" i="5"/>
  <c r="L209" i="5"/>
  <c r="M209" i="5" s="1"/>
  <c r="K209" i="5"/>
  <c r="K208" i="5"/>
  <c r="F188" i="5"/>
  <c r="I188" i="5" s="1"/>
  <c r="J188" i="5" s="1"/>
  <c r="K188" i="5" s="1"/>
  <c r="L188" i="5" s="1"/>
  <c r="M188" i="5" s="1"/>
  <c r="F187" i="5"/>
  <c r="I187" i="5" s="1"/>
  <c r="J187" i="5" s="1"/>
  <c r="K187" i="5" s="1"/>
  <c r="L187" i="5" s="1"/>
  <c r="M187" i="5" s="1"/>
  <c r="I186" i="5"/>
  <c r="J186" i="5" s="1"/>
  <c r="K186" i="5" s="1"/>
  <c r="L186" i="5" s="1"/>
  <c r="M186" i="5" s="1"/>
  <c r="F186" i="5"/>
  <c r="F185" i="5"/>
  <c r="I185" i="5" s="1"/>
  <c r="F171" i="5"/>
  <c r="F170" i="5"/>
  <c r="H169" i="5"/>
  <c r="F169" i="5"/>
  <c r="I169" i="5" s="1"/>
  <c r="J169" i="5" s="1"/>
  <c r="K169" i="5" s="1"/>
  <c r="L169" i="5" s="1"/>
  <c r="M169" i="5" s="1"/>
  <c r="I168" i="5"/>
  <c r="J168" i="5" s="1"/>
  <c r="K168" i="5" s="1"/>
  <c r="L168" i="5" s="1"/>
  <c r="M168" i="5" s="1"/>
  <c r="F168" i="5"/>
  <c r="H168" i="5" s="1"/>
  <c r="F167" i="5"/>
  <c r="I167" i="5" s="1"/>
  <c r="J167" i="5" s="1"/>
  <c r="K167" i="5" s="1"/>
  <c r="L167" i="5" s="1"/>
  <c r="M167" i="5" s="1"/>
  <c r="I166" i="5"/>
  <c r="J166" i="5" s="1"/>
  <c r="F166" i="5"/>
  <c r="H166" i="5" s="1"/>
  <c r="H154" i="5"/>
  <c r="G158" i="5" s="1"/>
  <c r="F153" i="5"/>
  <c r="I153" i="5" s="1"/>
  <c r="I152" i="5"/>
  <c r="J152" i="5" s="1"/>
  <c r="K152" i="5" s="1"/>
  <c r="L152" i="5" s="1"/>
  <c r="M152" i="5" s="1"/>
  <c r="F152" i="5"/>
  <c r="F151" i="5"/>
  <c r="I151" i="5" s="1"/>
  <c r="J151" i="5" s="1"/>
  <c r="K151" i="5" s="1"/>
  <c r="J139" i="5"/>
  <c r="K139" i="5" s="1"/>
  <c r="L139" i="5" s="1"/>
  <c r="M139" i="5" s="1"/>
  <c r="H139" i="5"/>
  <c r="I139" i="5" s="1"/>
  <c r="F135" i="5"/>
  <c r="I135" i="5" s="1"/>
  <c r="J135" i="5" s="1"/>
  <c r="K135" i="5" s="1"/>
  <c r="L135" i="5" s="1"/>
  <c r="M135" i="5" s="1"/>
  <c r="F134" i="5"/>
  <c r="I134" i="5" s="1"/>
  <c r="J134" i="5" s="1"/>
  <c r="K134" i="5" s="1"/>
  <c r="L134" i="5" s="1"/>
  <c r="M134" i="5" s="1"/>
  <c r="F133" i="5"/>
  <c r="F132" i="5"/>
  <c r="I132" i="5" s="1"/>
  <c r="J132" i="5" s="1"/>
  <c r="K132" i="5" s="1"/>
  <c r="L132" i="5" s="1"/>
  <c r="M132" i="5" s="1"/>
  <c r="F131" i="5"/>
  <c r="I131" i="5" s="1"/>
  <c r="J131" i="5" s="1"/>
  <c r="K131" i="5" s="1"/>
  <c r="L131" i="5" s="1"/>
  <c r="M131" i="5" s="1"/>
  <c r="F130" i="5"/>
  <c r="I130" i="5" s="1"/>
  <c r="F121" i="5"/>
  <c r="F120" i="5"/>
  <c r="F115" i="5"/>
  <c r="F114" i="5"/>
  <c r="F110" i="5"/>
  <c r="I110" i="5" s="1"/>
  <c r="J110" i="5" s="1"/>
  <c r="K110" i="5" s="1"/>
  <c r="L110" i="5" s="1"/>
  <c r="M110" i="5" s="1"/>
  <c r="F109" i="5"/>
  <c r="F108" i="5"/>
  <c r="I108" i="5" s="1"/>
  <c r="H107" i="5"/>
  <c r="F107" i="5"/>
  <c r="I107" i="5" s="1"/>
  <c r="J107" i="5" s="1"/>
  <c r="K107" i="5" s="1"/>
  <c r="L107" i="5" s="1"/>
  <c r="G98" i="5"/>
  <c r="F98" i="5"/>
  <c r="F97" i="5"/>
  <c r="F96" i="5"/>
  <c r="I93" i="5"/>
  <c r="H98" i="5" s="1"/>
  <c r="H93" i="5"/>
  <c r="F89" i="5"/>
  <c r="F88" i="5"/>
  <c r="H88" i="5" s="1"/>
  <c r="F84" i="5"/>
  <c r="F83" i="5"/>
  <c r="I83" i="5" s="1"/>
  <c r="J83" i="5" s="1"/>
  <c r="K83" i="5" s="1"/>
  <c r="L83" i="5" s="1"/>
  <c r="M83" i="5" s="1"/>
  <c r="H82" i="5"/>
  <c r="F82" i="5"/>
  <c r="I82" i="5" s="1"/>
  <c r="J82" i="5" s="1"/>
  <c r="K82" i="5" s="1"/>
  <c r="L82" i="5" s="1"/>
  <c r="M82" i="5" s="1"/>
  <c r="F81" i="5"/>
  <c r="F80" i="5"/>
  <c r="F79" i="5"/>
  <c r="H79" i="5" s="1"/>
  <c r="F69" i="5"/>
  <c r="F68" i="5"/>
  <c r="F63" i="5"/>
  <c r="I63" i="5" s="1"/>
  <c r="J63" i="5" s="1"/>
  <c r="K63" i="5" s="1"/>
  <c r="L63" i="5" s="1"/>
  <c r="M63" i="5" s="1"/>
  <c r="F62" i="5"/>
  <c r="I62" i="5" s="1"/>
  <c r="J62" i="5" s="1"/>
  <c r="K62" i="5" s="1"/>
  <c r="L62" i="5" s="1"/>
  <c r="M62" i="5" s="1"/>
  <c r="F61" i="5"/>
  <c r="I61" i="5" s="1"/>
  <c r="J61" i="5" s="1"/>
  <c r="K61" i="5" s="1"/>
  <c r="L61" i="5" s="1"/>
  <c r="M61" i="5" s="1"/>
  <c r="F60" i="5"/>
  <c r="I59" i="5"/>
  <c r="J59" i="5" s="1"/>
  <c r="F59" i="5"/>
  <c r="H59" i="5" s="1"/>
  <c r="F55" i="5"/>
  <c r="F54" i="5"/>
  <c r="H54" i="5" s="1"/>
  <c r="F53" i="5"/>
  <c r="H53" i="5" s="1"/>
  <c r="F52" i="5"/>
  <c r="F51" i="5"/>
  <c r="F50" i="5"/>
  <c r="H50" i="5" s="1"/>
  <c r="F33" i="5"/>
  <c r="F32" i="5"/>
  <c r="F31" i="5"/>
  <c r="H27" i="5"/>
  <c r="I27" i="5" s="1"/>
  <c r="J27" i="5" s="1"/>
  <c r="I33" i="5" s="1"/>
  <c r="F23" i="5"/>
  <c r="I23" i="5" s="1"/>
  <c r="J23" i="5" s="1"/>
  <c r="K23" i="5" s="1"/>
  <c r="L23" i="5" s="1"/>
  <c r="M23" i="5" s="1"/>
  <c r="F22" i="5"/>
  <c r="F21" i="5"/>
  <c r="I21" i="5" s="1"/>
  <c r="J21" i="5" s="1"/>
  <c r="K21" i="5" s="1"/>
  <c r="L21" i="5" s="1"/>
  <c r="M21" i="5" s="1"/>
  <c r="I20" i="5"/>
  <c r="J20" i="5" s="1"/>
  <c r="K20" i="5" s="1"/>
  <c r="L20" i="5" s="1"/>
  <c r="M20" i="5" s="1"/>
  <c r="F20" i="5"/>
  <c r="H20" i="5" s="1"/>
  <c r="F19" i="5"/>
  <c r="I19" i="5" s="1"/>
  <c r="J19" i="5" s="1"/>
  <c r="K19" i="5" s="1"/>
  <c r="L19" i="5" s="1"/>
  <c r="M19" i="5" s="1"/>
  <c r="F18" i="5"/>
  <c r="F14" i="5"/>
  <c r="I14" i="5" s="1"/>
  <c r="J14" i="5" s="1"/>
  <c r="K14" i="5" s="1"/>
  <c r="L14" i="5" s="1"/>
  <c r="M14" i="5" s="1"/>
  <c r="F13" i="5"/>
  <c r="F12" i="5"/>
  <c r="H12" i="5" s="1"/>
  <c r="F11" i="5"/>
  <c r="H11" i="5" s="1"/>
  <c r="F10" i="5"/>
  <c r="I10" i="5" s="1"/>
  <c r="J10" i="5" s="1"/>
  <c r="K10" i="5" s="1"/>
  <c r="E6" i="4"/>
  <c r="E8" i="4" s="1"/>
  <c r="F5" i="4"/>
  <c r="F4" i="4"/>
  <c r="F6" i="4" s="1"/>
  <c r="F3" i="4"/>
  <c r="I12" i="5" l="1"/>
  <c r="J12" i="5" s="1"/>
  <c r="K12" i="5" s="1"/>
  <c r="L12" i="5" s="1"/>
  <c r="M12" i="5" s="1"/>
  <c r="H21" i="5"/>
  <c r="I54" i="5"/>
  <c r="J54" i="5" s="1"/>
  <c r="K54" i="5" s="1"/>
  <c r="L54" i="5" s="1"/>
  <c r="M54" i="5" s="1"/>
  <c r="H83" i="5"/>
  <c r="H185" i="5"/>
  <c r="H108" i="5"/>
  <c r="I11" i="5"/>
  <c r="J11" i="5" s="1"/>
  <c r="K11" i="5" s="1"/>
  <c r="L11" i="5" s="1"/>
  <c r="M11" i="5" s="1"/>
  <c r="I53" i="5"/>
  <c r="J53" i="5" s="1"/>
  <c r="K53" i="5" s="1"/>
  <c r="L53" i="5" s="1"/>
  <c r="M53" i="5" s="1"/>
  <c r="H189" i="5"/>
  <c r="G192" i="5" s="1"/>
  <c r="H23" i="5"/>
  <c r="H63" i="5"/>
  <c r="H188" i="5"/>
  <c r="I133" i="6"/>
  <c r="J133" i="6" s="1"/>
  <c r="K133" i="6" s="1"/>
  <c r="I50" i="5"/>
  <c r="J50" i="5" s="1"/>
  <c r="H62" i="5"/>
  <c r="I88" i="5"/>
  <c r="J88" i="5" s="1"/>
  <c r="H134" i="5"/>
  <c r="H65" i="6"/>
  <c r="G70" i="6" s="1"/>
  <c r="H34" i="6"/>
  <c r="J28" i="6"/>
  <c r="K28" i="6" s="1"/>
  <c r="L214" i="6"/>
  <c r="M214" i="6" s="1"/>
  <c r="N214" i="6" s="1"/>
  <c r="G33" i="5"/>
  <c r="I79" i="5"/>
  <c r="J79" i="5" s="1"/>
  <c r="H192" i="6"/>
  <c r="G195" i="6" s="1"/>
  <c r="H10" i="5"/>
  <c r="H33" i="5"/>
  <c r="H131" i="5"/>
  <c r="H167" i="5"/>
  <c r="M211" i="5"/>
  <c r="N211" i="5" s="1"/>
  <c r="O211" i="5" s="1"/>
  <c r="H175" i="6"/>
  <c r="G179" i="6" s="1"/>
  <c r="J93" i="5"/>
  <c r="G146" i="6"/>
  <c r="I16" i="4"/>
  <c r="J16" i="4" s="1"/>
  <c r="G15" i="4"/>
  <c r="H15" i="4" s="1"/>
  <c r="I15" i="4" s="1"/>
  <c r="J15" i="4" s="1"/>
  <c r="G17" i="4"/>
  <c r="H17" i="4" s="1"/>
  <c r="I17" i="4" s="1"/>
  <c r="J17" i="4" s="1"/>
  <c r="J130" i="5"/>
  <c r="I34" i="6"/>
  <c r="H14" i="5"/>
  <c r="I22" i="5"/>
  <c r="J22" i="5" s="1"/>
  <c r="K22" i="5" s="1"/>
  <c r="L22" i="5" s="1"/>
  <c r="M22" i="5" s="1"/>
  <c r="H22" i="5"/>
  <c r="J108" i="5"/>
  <c r="K108" i="5" s="1"/>
  <c r="L108" i="5" s="1"/>
  <c r="M108" i="5" s="1"/>
  <c r="I133" i="5"/>
  <c r="J133" i="5" s="1"/>
  <c r="K133" i="5" s="1"/>
  <c r="L133" i="5" s="1"/>
  <c r="M133" i="5" s="1"/>
  <c r="H133" i="5"/>
  <c r="L151" i="5"/>
  <c r="I52" i="5"/>
  <c r="J52" i="5" s="1"/>
  <c r="K52" i="5" s="1"/>
  <c r="L52" i="5" s="1"/>
  <c r="M52" i="5" s="1"/>
  <c r="H52" i="5"/>
  <c r="M107" i="5"/>
  <c r="I81" i="5"/>
  <c r="J81" i="5" s="1"/>
  <c r="K81" i="5" s="1"/>
  <c r="L81" i="5" s="1"/>
  <c r="M81" i="5" s="1"/>
  <c r="H81" i="5"/>
  <c r="I115" i="5"/>
  <c r="J115" i="5" s="1"/>
  <c r="K115" i="5" s="1"/>
  <c r="L115" i="5" s="1"/>
  <c r="M115" i="5" s="1"/>
  <c r="H115" i="5"/>
  <c r="I171" i="5"/>
  <c r="J171" i="5" s="1"/>
  <c r="K171" i="5" s="1"/>
  <c r="L171" i="5" s="1"/>
  <c r="M171" i="5" s="1"/>
  <c r="H171" i="5"/>
  <c r="K59" i="5"/>
  <c r="L10" i="5"/>
  <c r="I13" i="5"/>
  <c r="J13" i="5" s="1"/>
  <c r="K13" i="5" s="1"/>
  <c r="L13" i="5" s="1"/>
  <c r="M13" i="5" s="1"/>
  <c r="H13" i="5"/>
  <c r="K50" i="5"/>
  <c r="K88" i="5"/>
  <c r="L214" i="5"/>
  <c r="M214" i="5" s="1"/>
  <c r="N214" i="5" s="1"/>
  <c r="O214" i="5" s="1"/>
  <c r="I80" i="5"/>
  <c r="J80" i="5" s="1"/>
  <c r="K80" i="5" s="1"/>
  <c r="L80" i="5" s="1"/>
  <c r="M80" i="5" s="1"/>
  <c r="H80" i="5"/>
  <c r="I114" i="5"/>
  <c r="H114" i="5"/>
  <c r="J153" i="5"/>
  <c r="K153" i="5" s="1"/>
  <c r="L153" i="5" s="1"/>
  <c r="M153" i="5" s="1"/>
  <c r="I154" i="5"/>
  <c r="H158" i="5" s="1"/>
  <c r="E228" i="5" s="1"/>
  <c r="E232" i="6" s="1"/>
  <c r="I55" i="5"/>
  <c r="J55" i="5" s="1"/>
  <c r="K55" i="5" s="1"/>
  <c r="L55" i="5" s="1"/>
  <c r="M55" i="5" s="1"/>
  <c r="H55" i="5"/>
  <c r="I84" i="5"/>
  <c r="J84" i="5" s="1"/>
  <c r="K84" i="5" s="1"/>
  <c r="L84" i="5" s="1"/>
  <c r="M84" i="5" s="1"/>
  <c r="H84" i="5"/>
  <c r="I89" i="5"/>
  <c r="H89" i="5"/>
  <c r="H90" i="5" s="1"/>
  <c r="G97" i="5" s="1"/>
  <c r="I18" i="5"/>
  <c r="H18" i="5"/>
  <c r="H19" i="5"/>
  <c r="K27" i="5"/>
  <c r="I109" i="5"/>
  <c r="J109" i="5" s="1"/>
  <c r="K109" i="5" s="1"/>
  <c r="L109" i="5" s="1"/>
  <c r="M109" i="5" s="1"/>
  <c r="H109" i="5"/>
  <c r="H110" i="5"/>
  <c r="K166" i="5"/>
  <c r="H25" i="6"/>
  <c r="G33" i="6" s="1"/>
  <c r="I19" i="6"/>
  <c r="I51" i="5"/>
  <c r="J51" i="5" s="1"/>
  <c r="K51" i="5" s="1"/>
  <c r="L51" i="5" s="1"/>
  <c r="M51" i="5" s="1"/>
  <c r="H51" i="5"/>
  <c r="H57" i="6"/>
  <c r="G69" i="6" s="1"/>
  <c r="I51" i="6"/>
  <c r="I60" i="5"/>
  <c r="J60" i="5" s="1"/>
  <c r="K60" i="5" s="1"/>
  <c r="L60" i="5" s="1"/>
  <c r="M60" i="5" s="1"/>
  <c r="H60" i="5"/>
  <c r="H61" i="5"/>
  <c r="N209" i="5"/>
  <c r="O209" i="5" s="1"/>
  <c r="I170" i="5"/>
  <c r="H170" i="5"/>
  <c r="K217" i="6"/>
  <c r="L217" i="6" s="1"/>
  <c r="M217" i="6" s="1"/>
  <c r="N217" i="6" s="1"/>
  <c r="H132" i="5"/>
  <c r="H135" i="5"/>
  <c r="I189" i="5"/>
  <c r="H192" i="5" s="1"/>
  <c r="E230" i="5" s="1"/>
  <c r="E234" i="6" s="1"/>
  <c r="J185" i="5"/>
  <c r="L210" i="5"/>
  <c r="M210" i="5" s="1"/>
  <c r="N210" i="5" s="1"/>
  <c r="O210" i="5" s="1"/>
  <c r="M213" i="5"/>
  <c r="N213" i="5" s="1"/>
  <c r="O213" i="5" s="1"/>
  <c r="H16" i="6"/>
  <c r="G32" i="6" s="1"/>
  <c r="I10" i="6"/>
  <c r="I96" i="6"/>
  <c r="G101" i="6"/>
  <c r="L215" i="6"/>
  <c r="M215" i="6" s="1"/>
  <c r="N215" i="6" s="1"/>
  <c r="L212" i="5"/>
  <c r="M212" i="5" s="1"/>
  <c r="N212" i="5" s="1"/>
  <c r="O212" i="5" s="1"/>
  <c r="J154" i="5"/>
  <c r="I158" i="5" s="1"/>
  <c r="K215" i="5"/>
  <c r="L208" i="5"/>
  <c r="H114" i="6"/>
  <c r="G123" i="6" s="1"/>
  <c r="I110" i="6"/>
  <c r="H119" i="6"/>
  <c r="G124" i="6" s="1"/>
  <c r="I117" i="6"/>
  <c r="J139" i="6"/>
  <c r="I146" i="6" s="1"/>
  <c r="I139" i="6"/>
  <c r="H146" i="6" s="1"/>
  <c r="F231" i="6" s="1"/>
  <c r="J154" i="6"/>
  <c r="I157" i="6"/>
  <c r="H161" i="6" s="1"/>
  <c r="F232" i="6" s="1"/>
  <c r="H157" i="6"/>
  <c r="G161" i="6" s="1"/>
  <c r="I192" i="6"/>
  <c r="H195" i="6" s="1"/>
  <c r="F234" i="6" s="1"/>
  <c r="J188" i="6"/>
  <c r="M211" i="6"/>
  <c r="K213" i="6"/>
  <c r="L213" i="6" s="1"/>
  <c r="M213" i="6" s="1"/>
  <c r="N213" i="6" s="1"/>
  <c r="G34" i="6"/>
  <c r="I65" i="6"/>
  <c r="H70" i="6" s="1"/>
  <c r="J60" i="6"/>
  <c r="H93" i="6"/>
  <c r="G100" i="6" s="1"/>
  <c r="I91" i="6"/>
  <c r="K169" i="6"/>
  <c r="J175" i="6"/>
  <c r="I179" i="6" s="1"/>
  <c r="H88" i="6"/>
  <c r="G99" i="6" s="1"/>
  <c r="I80" i="6"/>
  <c r="I175" i="6"/>
  <c r="H179" i="6" s="1"/>
  <c r="F233" i="6" s="1"/>
  <c r="J218" i="6"/>
  <c r="K212" i="6"/>
  <c r="K216" i="6"/>
  <c r="L216" i="6" s="1"/>
  <c r="M216" i="6" s="1"/>
  <c r="N216" i="6" s="1"/>
  <c r="F7" i="4"/>
  <c r="F8" i="4"/>
  <c r="E7" i="4"/>
  <c r="E9" i="4" s="1"/>
  <c r="E10" i="4" s="1"/>
  <c r="E11" i="4" s="1"/>
  <c r="G5" i="4"/>
  <c r="H5" i="4" s="1"/>
  <c r="I5" i="4" s="1"/>
  <c r="J5" i="4" s="1"/>
  <c r="G4" i="4"/>
  <c r="H4" i="4" s="1"/>
  <c r="I4" i="4" s="1"/>
  <c r="J4" i="4" s="1"/>
  <c r="G3" i="4"/>
  <c r="H111" i="5" l="1"/>
  <c r="G120" i="5" s="1"/>
  <c r="J15" i="5"/>
  <c r="I31" i="5" s="1"/>
  <c r="P214" i="5"/>
  <c r="H15" i="5"/>
  <c r="G31" i="5" s="1"/>
  <c r="O214" i="6"/>
  <c r="H56" i="5"/>
  <c r="G68" i="5" s="1"/>
  <c r="I111" i="5"/>
  <c r="H120" i="5" s="1"/>
  <c r="I98" i="5"/>
  <c r="K93" i="5"/>
  <c r="O216" i="6"/>
  <c r="G234" i="6"/>
  <c r="H234" i="6" s="1"/>
  <c r="H172" i="5"/>
  <c r="G176" i="5" s="1"/>
  <c r="H64" i="5"/>
  <c r="G69" i="5" s="1"/>
  <c r="P213" i="5"/>
  <c r="H116" i="5"/>
  <c r="G121" i="5" s="1"/>
  <c r="G122" i="5" s="1"/>
  <c r="K15" i="5"/>
  <c r="J31" i="5" s="1"/>
  <c r="I85" i="5"/>
  <c r="H96" i="5" s="1"/>
  <c r="P211" i="5"/>
  <c r="F9" i="4"/>
  <c r="F10" i="4" s="1"/>
  <c r="P210" i="5"/>
  <c r="H136" i="5"/>
  <c r="G143" i="5" s="1"/>
  <c r="J111" i="5"/>
  <c r="I120" i="5" s="1"/>
  <c r="K111" i="5"/>
  <c r="J120" i="5" s="1"/>
  <c r="I15" i="5"/>
  <c r="H31" i="5" s="1"/>
  <c r="I136" i="5"/>
  <c r="H143" i="5" s="1"/>
  <c r="E227" i="5" s="1"/>
  <c r="E231" i="6" s="1"/>
  <c r="K17" i="4"/>
  <c r="D7" i="7" s="1"/>
  <c r="K16" i="4"/>
  <c r="C7" i="7" s="1"/>
  <c r="K15" i="4"/>
  <c r="B7" i="7" s="1"/>
  <c r="I88" i="6"/>
  <c r="H99" i="6" s="1"/>
  <c r="J80" i="6"/>
  <c r="N211" i="6"/>
  <c r="O211" i="6" s="1"/>
  <c r="J189" i="5"/>
  <c r="I192" i="5" s="1"/>
  <c r="K185" i="5"/>
  <c r="I90" i="5"/>
  <c r="H97" i="5" s="1"/>
  <c r="J89" i="5"/>
  <c r="L154" i="5"/>
  <c r="K158" i="5" s="1"/>
  <c r="M151" i="5"/>
  <c r="M154" i="5" s="1"/>
  <c r="L158" i="5" s="1"/>
  <c r="G102" i="6"/>
  <c r="J157" i="6"/>
  <c r="I161" i="6" s="1"/>
  <c r="K154" i="6"/>
  <c r="J170" i="5"/>
  <c r="I172" i="5"/>
  <c r="H176" i="5" s="1"/>
  <c r="E229" i="5" s="1"/>
  <c r="E233" i="6" s="1"/>
  <c r="G233" i="6" s="1"/>
  <c r="H233" i="6" s="1"/>
  <c r="J85" i="5"/>
  <c r="I96" i="5" s="1"/>
  <c r="K79" i="5"/>
  <c r="H24" i="5"/>
  <c r="G32" i="5" s="1"/>
  <c r="J114" i="5"/>
  <c r="I116" i="5"/>
  <c r="H121" i="5" s="1"/>
  <c r="H122" i="5" s="1"/>
  <c r="E226" i="5" s="1"/>
  <c r="E230" i="6" s="1"/>
  <c r="J34" i="6"/>
  <c r="L28" i="6"/>
  <c r="K34" i="6" s="1"/>
  <c r="J65" i="6"/>
  <c r="I70" i="6" s="1"/>
  <c r="K60" i="6"/>
  <c r="O213" i="6"/>
  <c r="P212" i="5"/>
  <c r="H101" i="6"/>
  <c r="J96" i="6"/>
  <c r="O217" i="6"/>
  <c r="J51" i="6"/>
  <c r="I57" i="6"/>
  <c r="H69" i="6" s="1"/>
  <c r="H71" i="6" s="1"/>
  <c r="F228" i="6" s="1"/>
  <c r="C9" i="7" s="1"/>
  <c r="I25" i="6"/>
  <c r="H33" i="6" s="1"/>
  <c r="J19" i="6"/>
  <c r="I64" i="5"/>
  <c r="H69" i="5" s="1"/>
  <c r="I24" i="5"/>
  <c r="H32" i="5" s="1"/>
  <c r="H34" i="5" s="1"/>
  <c r="J18" i="5"/>
  <c r="G232" i="6"/>
  <c r="H232" i="6" s="1"/>
  <c r="H85" i="5"/>
  <c r="G96" i="5" s="1"/>
  <c r="K56" i="5"/>
  <c r="J68" i="5" s="1"/>
  <c r="L50" i="5"/>
  <c r="L59" i="5"/>
  <c r="K64" i="5"/>
  <c r="J69" i="5" s="1"/>
  <c r="M111" i="5"/>
  <c r="L120" i="5" s="1"/>
  <c r="K130" i="5"/>
  <c r="J136" i="5"/>
  <c r="I143" i="5" s="1"/>
  <c r="K218" i="6"/>
  <c r="L212" i="6"/>
  <c r="J91" i="6"/>
  <c r="I93" i="6"/>
  <c r="H100" i="6" s="1"/>
  <c r="G125" i="6"/>
  <c r="G35" i="6"/>
  <c r="L88" i="5"/>
  <c r="J192" i="6"/>
  <c r="I195" i="6" s="1"/>
  <c r="K188" i="6"/>
  <c r="J117" i="6"/>
  <c r="I119" i="6"/>
  <c r="H124" i="6" s="1"/>
  <c r="M208" i="5"/>
  <c r="L215" i="5"/>
  <c r="L166" i="5"/>
  <c r="L169" i="6"/>
  <c r="L175" i="6" s="1"/>
  <c r="K179" i="6" s="1"/>
  <c r="K175" i="6"/>
  <c r="J179" i="6" s="1"/>
  <c r="L179" i="6" s="1"/>
  <c r="K139" i="6"/>
  <c r="J146" i="6" s="1"/>
  <c r="L133" i="6"/>
  <c r="L139" i="6" s="1"/>
  <c r="K146" i="6" s="1"/>
  <c r="L146" i="6" s="1"/>
  <c r="I114" i="6"/>
  <c r="H123" i="6" s="1"/>
  <c r="H125" i="6" s="1"/>
  <c r="F230" i="6" s="1"/>
  <c r="J110" i="6"/>
  <c r="E231" i="5"/>
  <c r="E235" i="6" s="1"/>
  <c r="O215" i="6"/>
  <c r="J10" i="6"/>
  <c r="I16" i="6"/>
  <c r="H32" i="6" s="1"/>
  <c r="H35" i="6" s="1"/>
  <c r="P209" i="5"/>
  <c r="G71" i="6"/>
  <c r="J33" i="5"/>
  <c r="L27" i="5"/>
  <c r="I56" i="5"/>
  <c r="H68" i="5" s="1"/>
  <c r="J56" i="5"/>
  <c r="I68" i="5" s="1"/>
  <c r="L15" i="5"/>
  <c r="K31" i="5" s="1"/>
  <c r="M10" i="5"/>
  <c r="M15" i="5" s="1"/>
  <c r="L31" i="5" s="1"/>
  <c r="J64" i="5"/>
  <c r="I69" i="5" s="1"/>
  <c r="L111" i="5"/>
  <c r="K120" i="5" s="1"/>
  <c r="K154" i="5"/>
  <c r="J158" i="5" s="1"/>
  <c r="G231" i="6"/>
  <c r="H231" i="6" s="1"/>
  <c r="K5" i="4"/>
  <c r="H3" i="4"/>
  <c r="G6" i="4"/>
  <c r="K4" i="4"/>
  <c r="M120" i="5" l="1"/>
  <c r="G34" i="5"/>
  <c r="G70" i="5"/>
  <c r="G230" i="6"/>
  <c r="H230" i="6" s="1"/>
  <c r="H99" i="5"/>
  <c r="E225" i="5" s="1"/>
  <c r="E229" i="6" s="1"/>
  <c r="J98" i="5"/>
  <c r="L93" i="5"/>
  <c r="F7" i="7"/>
  <c r="M158" i="5"/>
  <c r="E223" i="5"/>
  <c r="J114" i="6"/>
  <c r="I123" i="6" s="1"/>
  <c r="I125" i="6" s="1"/>
  <c r="K110" i="6"/>
  <c r="K117" i="6"/>
  <c r="J119" i="6"/>
  <c r="I124" i="6" s="1"/>
  <c r="K65" i="6"/>
  <c r="J70" i="6" s="1"/>
  <c r="L70" i="6" s="1"/>
  <c r="L60" i="6"/>
  <c r="L65" i="6" s="1"/>
  <c r="K70" i="6" s="1"/>
  <c r="K89" i="5"/>
  <c r="J90" i="5"/>
  <c r="I97" i="5" s="1"/>
  <c r="K189" i="5"/>
  <c r="J192" i="5" s="1"/>
  <c r="L185" i="5"/>
  <c r="M27" i="5"/>
  <c r="L33" i="5" s="1"/>
  <c r="K33" i="5"/>
  <c r="K91" i="6"/>
  <c r="J93" i="6"/>
  <c r="I100" i="6" s="1"/>
  <c r="M59" i="5"/>
  <c r="M64" i="5" s="1"/>
  <c r="L69" i="5" s="1"/>
  <c r="L64" i="5"/>
  <c r="K69" i="5" s="1"/>
  <c r="K19" i="6"/>
  <c r="J25" i="6"/>
  <c r="I33" i="6" s="1"/>
  <c r="J116" i="5"/>
  <c r="I121" i="5" s="1"/>
  <c r="K114" i="5"/>
  <c r="J88" i="6"/>
  <c r="I99" i="6" s="1"/>
  <c r="K80" i="6"/>
  <c r="I70" i="5"/>
  <c r="N208" i="5"/>
  <c r="M215" i="5"/>
  <c r="M88" i="5"/>
  <c r="M212" i="6"/>
  <c r="L218" i="6"/>
  <c r="L56" i="5"/>
  <c r="K68" i="5" s="1"/>
  <c r="M50" i="5"/>
  <c r="M56" i="5" s="1"/>
  <c r="L68" i="5" s="1"/>
  <c r="J24" i="5"/>
  <c r="I32" i="5" s="1"/>
  <c r="I34" i="5" s="1"/>
  <c r="K18" i="5"/>
  <c r="K170" i="5"/>
  <c r="J172" i="5"/>
  <c r="I176" i="5" s="1"/>
  <c r="H102" i="6"/>
  <c r="F229" i="6" s="1"/>
  <c r="K10" i="6"/>
  <c r="J16" i="6"/>
  <c r="I32" i="6" s="1"/>
  <c r="D204" i="6"/>
  <c r="G99" i="5"/>
  <c r="J57" i="6"/>
  <c r="I69" i="6" s="1"/>
  <c r="K51" i="6"/>
  <c r="M31" i="5"/>
  <c r="L188" i="6"/>
  <c r="L192" i="6" s="1"/>
  <c r="K195" i="6" s="1"/>
  <c r="K192" i="6"/>
  <c r="J195" i="6" s="1"/>
  <c r="K136" i="5"/>
  <c r="J143" i="5" s="1"/>
  <c r="L130" i="5"/>
  <c r="H70" i="5"/>
  <c r="E224" i="5" s="1"/>
  <c r="E228" i="6" s="1"/>
  <c r="G228" i="6" s="1"/>
  <c r="H228" i="6" s="1"/>
  <c r="F227" i="6"/>
  <c r="G235" i="6"/>
  <c r="H235" i="6" s="1"/>
  <c r="M166" i="5"/>
  <c r="F235" i="6"/>
  <c r="E9" i="7" s="1"/>
  <c r="J70" i="5"/>
  <c r="I101" i="6"/>
  <c r="K96" i="6"/>
  <c r="K85" i="5"/>
  <c r="J96" i="5" s="1"/>
  <c r="L79" i="5"/>
  <c r="K157" i="6"/>
  <c r="J161" i="6" s="1"/>
  <c r="L154" i="6"/>
  <c r="L157" i="6" s="1"/>
  <c r="K161" i="6" s="1"/>
  <c r="G7" i="4"/>
  <c r="G9" i="4" s="1"/>
  <c r="G10" i="4" s="1"/>
  <c r="G8" i="4"/>
  <c r="I3" i="4"/>
  <c r="H6" i="4"/>
  <c r="K70" i="5" l="1"/>
  <c r="L161" i="6"/>
  <c r="F236" i="6"/>
  <c r="D9" i="7"/>
  <c r="M69" i="5"/>
  <c r="G229" i="6"/>
  <c r="H229" i="6" s="1"/>
  <c r="B9" i="7"/>
  <c r="E204" i="6"/>
  <c r="K221" i="6" s="1"/>
  <c r="L195" i="6"/>
  <c r="M93" i="5"/>
  <c r="K98" i="5"/>
  <c r="N215" i="5"/>
  <c r="O208" i="5"/>
  <c r="O215" i="5" s="1"/>
  <c r="L51" i="6"/>
  <c r="L57" i="6" s="1"/>
  <c r="K69" i="6" s="1"/>
  <c r="K71" i="6" s="1"/>
  <c r="K57" i="6"/>
  <c r="J69" i="6" s="1"/>
  <c r="J71" i="6" s="1"/>
  <c r="L170" i="5"/>
  <c r="K172" i="5"/>
  <c r="J176" i="5" s="1"/>
  <c r="K24" i="5"/>
  <c r="J32" i="5" s="1"/>
  <c r="L18" i="5"/>
  <c r="K88" i="6"/>
  <c r="J99" i="6" s="1"/>
  <c r="L99" i="6" s="1"/>
  <c r="L80" i="6"/>
  <c r="L88" i="6" s="1"/>
  <c r="K99" i="6" s="1"/>
  <c r="L89" i="5"/>
  <c r="K90" i="5"/>
  <c r="J97" i="5" s="1"/>
  <c r="J99" i="5" s="1"/>
  <c r="J101" i="6"/>
  <c r="L96" i="6"/>
  <c r="I71" i="6"/>
  <c r="J221" i="6"/>
  <c r="P208" i="5"/>
  <c r="P215" i="5" s="1"/>
  <c r="N212" i="6"/>
  <c r="N218" i="6" s="1"/>
  <c r="M218" i="6"/>
  <c r="I102" i="6"/>
  <c r="L19" i="6"/>
  <c r="L25" i="6" s="1"/>
  <c r="K33" i="6" s="1"/>
  <c r="K25" i="6"/>
  <c r="J33" i="6" s="1"/>
  <c r="K93" i="6"/>
  <c r="J100" i="6" s="1"/>
  <c r="L91" i="6"/>
  <c r="L93" i="6" s="1"/>
  <c r="K100" i="6" s="1"/>
  <c r="L100" i="6" s="1"/>
  <c r="L189" i="5"/>
  <c r="K192" i="5" s="1"/>
  <c r="M185" i="5"/>
  <c r="M189" i="5" s="1"/>
  <c r="L192" i="5" s="1"/>
  <c r="I99" i="5"/>
  <c r="K119" i="6"/>
  <c r="J124" i="6" s="1"/>
  <c r="L117" i="6"/>
  <c r="L119" i="6" s="1"/>
  <c r="K124" i="6" s="1"/>
  <c r="M68" i="5"/>
  <c r="M70" i="5" s="1"/>
  <c r="E227" i="6"/>
  <c r="E232" i="5"/>
  <c r="L85" i="5"/>
  <c r="K96" i="5" s="1"/>
  <c r="M79" i="5"/>
  <c r="M85" i="5" s="1"/>
  <c r="L96" i="5" s="1"/>
  <c r="K16" i="6"/>
  <c r="J32" i="6" s="1"/>
  <c r="L10" i="6"/>
  <c r="L16" i="6" s="1"/>
  <c r="K32" i="6" s="1"/>
  <c r="I122" i="5"/>
  <c r="L136" i="5"/>
  <c r="K143" i="5" s="1"/>
  <c r="M130" i="5"/>
  <c r="M136" i="5" s="1"/>
  <c r="L143" i="5" s="1"/>
  <c r="I35" i="6"/>
  <c r="L70" i="5"/>
  <c r="K116" i="5"/>
  <c r="J121" i="5" s="1"/>
  <c r="J122" i="5" s="1"/>
  <c r="L114" i="5"/>
  <c r="L110" i="6"/>
  <c r="L114" i="6" s="1"/>
  <c r="K123" i="6" s="1"/>
  <c r="K125" i="6" s="1"/>
  <c r="K114" i="6"/>
  <c r="J123" i="6" s="1"/>
  <c r="E201" i="5"/>
  <c r="H8" i="4"/>
  <c r="H7" i="4"/>
  <c r="H9" i="4" s="1"/>
  <c r="H10" i="4" s="1"/>
  <c r="J3" i="4"/>
  <c r="J6" i="4" s="1"/>
  <c r="I6" i="4"/>
  <c r="K3" i="4" l="1"/>
  <c r="K6" i="4" s="1"/>
  <c r="M143" i="5"/>
  <c r="L124" i="6"/>
  <c r="O212" i="6"/>
  <c r="O218" i="6" s="1"/>
  <c r="L69" i="6"/>
  <c r="L71" i="6" s="1"/>
  <c r="L98" i="5"/>
  <c r="M98" i="5"/>
  <c r="F9" i="7"/>
  <c r="F201" i="5"/>
  <c r="L218" i="5" s="1"/>
  <c r="J125" i="6"/>
  <c r="L125" i="6" s="1"/>
  <c r="M192" i="5"/>
  <c r="L33" i="6"/>
  <c r="F204" i="6"/>
  <c r="L123" i="6"/>
  <c r="M170" i="5"/>
  <c r="M172" i="5" s="1"/>
  <c r="L176" i="5" s="1"/>
  <c r="L172" i="5"/>
  <c r="K176" i="5" s="1"/>
  <c r="L116" i="5"/>
  <c r="K121" i="5" s="1"/>
  <c r="M114" i="5"/>
  <c r="M116" i="5" s="1"/>
  <c r="L121" i="5" s="1"/>
  <c r="L122" i="5" s="1"/>
  <c r="K35" i="6"/>
  <c r="L24" i="5"/>
  <c r="K32" i="5" s="1"/>
  <c r="K34" i="5" s="1"/>
  <c r="M18" i="5"/>
  <c r="M24" i="5" s="1"/>
  <c r="L32" i="5" s="1"/>
  <c r="L34" i="5" s="1"/>
  <c r="M89" i="5"/>
  <c r="M90" i="5" s="1"/>
  <c r="L97" i="5" s="1"/>
  <c r="L99" i="5" s="1"/>
  <c r="L90" i="5"/>
  <c r="K97" i="5" s="1"/>
  <c r="K99" i="5" s="1"/>
  <c r="M96" i="5"/>
  <c r="L101" i="6"/>
  <c r="L102" i="6" s="1"/>
  <c r="K101" i="6"/>
  <c r="K102" i="6" s="1"/>
  <c r="K218" i="5"/>
  <c r="L32" i="6"/>
  <c r="J35" i="6"/>
  <c r="G204" i="6" s="1"/>
  <c r="M221" i="6" s="1"/>
  <c r="E236" i="6"/>
  <c r="G227" i="6"/>
  <c r="J102" i="6"/>
  <c r="J34" i="5"/>
  <c r="K7" i="4"/>
  <c r="K8" i="4"/>
  <c r="I7" i="4"/>
  <c r="I8" i="4"/>
  <c r="J7" i="4"/>
  <c r="J8" i="4"/>
  <c r="M176" i="5" l="1"/>
  <c r="J9" i="4"/>
  <c r="J10" i="4" s="1"/>
  <c r="K9" i="4"/>
  <c r="K10" i="4" s="1"/>
  <c r="K11" i="4" s="1"/>
  <c r="I9" i="4"/>
  <c r="I10" i="4" s="1"/>
  <c r="L34" i="6"/>
  <c r="B13" i="7"/>
  <c r="C13" i="7"/>
  <c r="E13" i="7"/>
  <c r="D13" i="7"/>
  <c r="H227" i="6"/>
  <c r="G236" i="6"/>
  <c r="H236" i="6" s="1"/>
  <c r="H204" i="6"/>
  <c r="N221" i="6" s="1"/>
  <c r="L35" i="6"/>
  <c r="I201" i="5"/>
  <c r="O218" i="5" s="1"/>
  <c r="M32" i="5"/>
  <c r="M33" i="5" s="1"/>
  <c r="G201" i="5"/>
  <c r="M34" i="5"/>
  <c r="M97" i="5"/>
  <c r="M99" i="5" s="1"/>
  <c r="K122" i="5"/>
  <c r="M122" i="5" s="1"/>
  <c r="M121" i="5"/>
  <c r="L221" i="6"/>
  <c r="H201" i="5" l="1"/>
  <c r="N218" i="5" s="1"/>
  <c r="I204" i="6"/>
  <c r="O221" i="6" s="1"/>
  <c r="M218" i="5"/>
  <c r="J201" i="5" l="1"/>
  <c r="P218" i="5" s="1"/>
  <c r="H21" i="1"/>
  <c r="H19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H28" i="1"/>
  <c r="H29" i="1"/>
  <c r="H30" i="1"/>
  <c r="H31" i="1"/>
  <c r="H32" i="1"/>
  <c r="H33" i="1"/>
  <c r="G17" i="1"/>
  <c r="E10" i="1"/>
  <c r="I10" i="1" s="1"/>
  <c r="C40" i="1" l="1"/>
  <c r="I35" i="1"/>
  <c r="I36" i="1"/>
  <c r="H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2" i="1"/>
  <c r="H23" i="1"/>
  <c r="H24" i="1"/>
  <c r="H25" i="1"/>
  <c r="H26" i="1"/>
  <c r="H2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20" i="1"/>
  <c r="G22" i="1"/>
  <c r="G23" i="1"/>
  <c r="G24" i="1"/>
  <c r="G25" i="1"/>
  <c r="G26" i="1"/>
  <c r="G27" i="1"/>
  <c r="G34" i="1"/>
  <c r="G4" i="1"/>
  <c r="H35" i="1" l="1"/>
  <c r="B51" i="1" s="1"/>
  <c r="H40" i="1"/>
  <c r="C43" i="1"/>
  <c r="H43" i="1" s="1"/>
  <c r="B8" i="7" s="1"/>
  <c r="C44" i="1"/>
  <c r="H44" i="1" s="1"/>
  <c r="C8" i="7" s="1"/>
  <c r="C10" i="7" s="1"/>
  <c r="C45" i="1"/>
  <c r="H45" i="1" s="1"/>
  <c r="D8" i="7" s="1"/>
  <c r="D10" i="7" s="1"/>
  <c r="C46" i="1"/>
  <c r="H46" i="1" s="1"/>
  <c r="E8" i="7" s="1"/>
  <c r="E10" i="7" s="1"/>
  <c r="G35" i="1"/>
  <c r="H36" i="1"/>
  <c r="B52" i="1" s="1"/>
  <c r="C39" i="1"/>
  <c r="F8" i="7" l="1"/>
  <c r="B10" i="7"/>
  <c r="F10" i="7" s="1"/>
  <c r="D39" i="1"/>
  <c r="E39" i="1" s="1"/>
  <c r="F39" i="1" s="1"/>
  <c r="G39" i="1" s="1"/>
  <c r="H39" i="1" l="1"/>
  <c r="B53" i="1" s="1"/>
  <c r="B54" i="1" s="1"/>
</calcChain>
</file>

<file path=xl/comments1.xml><?xml version="1.0" encoding="utf-8"?>
<comments xmlns="http://schemas.openxmlformats.org/spreadsheetml/2006/main">
  <authors>
    <author>Molina, Leidy</author>
  </authors>
  <commentList>
    <comment ref="H9" authorId="0">
      <text>
        <r>
          <rPr>
            <sz val="8"/>
            <color indexed="81"/>
            <rFont val="Tahoma"/>
            <family val="2"/>
          </rPr>
          <t xml:space="preserve">Se está colocando la porción de los ultimós 4 meses del año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>
      <text>
        <r>
          <rPr>
            <sz val="8"/>
            <color indexed="81"/>
            <rFont val="Tahoma"/>
            <family val="2"/>
          </rPr>
          <t>Se está colocando el valor proporcional a la fecha de finalizacion del contrato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Molina, Leidy</author>
  </authors>
  <commentList>
    <comment ref="D54" authorId="0">
      <text>
        <r>
          <rPr>
            <sz val="9"/>
            <color indexed="81"/>
            <rFont val="Tahoma"/>
            <family val="2"/>
          </rPr>
          <t>Se cambio periodicidad a semestral. Antes estaba trimestral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4 monitoreos por $3.435.352  (se disminuye valor por que se realiza monitoreo con la logistica del  aguas superficiales trimestral)y 8 monitoreos por $4.114.352</t>
        </r>
      </text>
    </comment>
    <comment ref="F169" authorId="0">
      <text>
        <r>
          <rPr>
            <b/>
            <sz val="9"/>
            <color indexed="81"/>
            <rFont val="Tahoma"/>
            <family val="2"/>
          </rPr>
          <t>Se realizaran dos monitores por valor de 1.532.988 y 10 monitoreos por 2.910.388. Estos 2 monitoreos tienen menor costo dado que  se utilizará la logistica del monitoreo de aguas subterraneas.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Deloitte, Luisa Garzon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Deloitte, Luisa Garzon:</t>
        </r>
        <r>
          <rPr>
            <sz val="9"/>
            <color indexed="81"/>
            <rFont val="Tahoma"/>
            <family val="2"/>
          </rPr>
          <t xml:space="preserve">
Vr. Proyectos GT:     $1.664.000
$65.630.200
$79.171.400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Deloitte, Luisa Garzon:</t>
        </r>
        <r>
          <rPr>
            <sz val="9"/>
            <color indexed="81"/>
            <rFont val="Tahoma"/>
            <family val="2"/>
          </rPr>
          <t xml:space="preserve">
VR. PROYECTOS GT:
  15.208.400
  24.500.000
      432.600
185.580.400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Deloitte, Luisa Garzon:</t>
        </r>
        <r>
          <rPr>
            <sz val="9"/>
            <color indexed="81"/>
            <rFont val="Tahoma"/>
            <family val="2"/>
          </rPr>
          <t xml:space="preserve">
OAM       $29.706.112
SAMAN      $5.309.683
CORPO   $819.908.391</t>
        </r>
      </text>
    </comment>
  </commentList>
</comments>
</file>

<file path=xl/sharedStrings.xml><?xml version="1.0" encoding="utf-8"?>
<sst xmlns="http://schemas.openxmlformats.org/spreadsheetml/2006/main" count="1021" uniqueCount="245">
  <si>
    <t>Tabla 4. Gas Natural / GLP.</t>
  </si>
  <si>
    <t>Tabla 5. Análisis Fisicoquímico de Agua Formación</t>
  </si>
  <si>
    <t>Tabla 6. Caracterización de sólidos.</t>
  </si>
  <si>
    <t>Tabla 7. Química de superficie rompedor directo.</t>
  </si>
  <si>
    <t>Tabla 8. Química de superficie rompedor inverso.</t>
  </si>
  <si>
    <t>Tabla 9. Seguimiento Calidad Producción de Campo.</t>
  </si>
  <si>
    <t>Tabla 10. Compatibilidad Crudo – Producto químico.</t>
  </si>
  <si>
    <t>Tabla 13. Desplazamiento de núcleo básico.</t>
  </si>
  <si>
    <t>Tabla 14. Desplazamiento de núcleo especial.</t>
  </si>
  <si>
    <t>Tabla 15. Medición de Tasa Crítica.</t>
  </si>
  <si>
    <t>Tabla 16. Pozo Estratigráfico.</t>
  </si>
  <si>
    <t>Tabla 17. Producción de Pozo / Daño de Formación (sólidos).</t>
  </si>
  <si>
    <t>Tabla 18. Producción de Pozo / Daño de Formación (fluidos).</t>
  </si>
  <si>
    <r>
      <t xml:space="preserve">Tabla 19. Análisis de </t>
    </r>
    <r>
      <rPr>
        <i/>
        <sz val="11"/>
        <color rgb="FF000000"/>
        <rFont val="Arial"/>
        <family val="2"/>
      </rPr>
      <t>Scale</t>
    </r>
    <r>
      <rPr>
        <sz val="11"/>
        <color rgb="FF000000"/>
        <rFont val="Arial"/>
        <family val="2"/>
      </rPr>
      <t>.</t>
    </r>
  </si>
  <si>
    <t>Tabla 20. Pruebas compatibilidad con Formulaciones químicas</t>
  </si>
  <si>
    <t>Tabla 21. Desplazamiento de núcleo, prueba con Formulaciones químicas</t>
  </si>
  <si>
    <t>Tabla 22. Desplazamiento de núcleo, prueba con lodos.</t>
  </si>
  <si>
    <t>Tabla 23. Geología.</t>
  </si>
  <si>
    <t>Tabla 24. Geoquímica de Exploración.</t>
  </si>
  <si>
    <t>Tabla 25. Tomografía digitalización.</t>
  </si>
  <si>
    <t>Tabla 26. Tomografía interpretación.</t>
  </si>
  <si>
    <t>Tabla 27. Tomografía Cálculos.</t>
  </si>
  <si>
    <t>Tabla 28. Estudio preliminar de núcleos.</t>
  </si>
  <si>
    <t>Tabla 29. Estudio petrofísico de núcleos.</t>
  </si>
  <si>
    <t>Tabla 30. Estudio especializado de núcleos.</t>
  </si>
  <si>
    <t>Tabla 31. Quimioestratigrafía y Cronología.</t>
  </si>
  <si>
    <t>Tabla 11. Compatibilidad Agua – Producto químico.</t>
  </si>
  <si>
    <t>Tabla 12. Compatibilidad Sólido – Producto químico.</t>
  </si>
  <si>
    <t>Mes</t>
  </si>
  <si>
    <t>Laboratorio Ocelote (COP)</t>
  </si>
  <si>
    <t>Laboratorio LCN (COP)</t>
  </si>
  <si>
    <t>Laboratorio LH (COP)</t>
  </si>
  <si>
    <t>Total Pruebas especializadas y de exploración</t>
  </si>
  <si>
    <t>Paquetes de análisis</t>
  </si>
  <si>
    <t>EN EL CONTRATO C11 0018 NO SE CUENTA CON ESTE PAQUETE</t>
  </si>
  <si>
    <t>Tarifas Unitarias Contrato  C11 0018</t>
  </si>
  <si>
    <t>Tarifas Unitarias Proceso licitatorio  S14-1041</t>
  </si>
  <si>
    <t>Tarifas Unitarias Ronda Febrero de 2015</t>
  </si>
  <si>
    <t>Cantidad de Obra aproximada anual</t>
  </si>
  <si>
    <t>Costo total Contrato  C11 0018</t>
  </si>
  <si>
    <t>Costo total  Proceso licitatorio  S14-1041</t>
  </si>
  <si>
    <t>Costo total Ronda Febrero de 2015</t>
  </si>
  <si>
    <t>Año 1</t>
  </si>
  <si>
    <t>Año 2</t>
  </si>
  <si>
    <t>Año 3</t>
  </si>
  <si>
    <t>Año 4</t>
  </si>
  <si>
    <t>Año 5</t>
  </si>
  <si>
    <t>Costo licitación  S14-1041 (Se asume un 4% de incremento por IPC)</t>
  </si>
  <si>
    <t>Costo total Ronda Febrero de 2015 (Sin Incremento por concepto de IPC)</t>
  </si>
  <si>
    <t>Descuento Obtenido en el proceso licitatorio S14-1041</t>
  </si>
  <si>
    <t xml:space="preserve">Totales </t>
  </si>
  <si>
    <t>Descuento Adicional obtenido en la ronda - Febrero de 2015</t>
  </si>
  <si>
    <t>Descuento total</t>
  </si>
  <si>
    <t>Para laboratorio de química de producción: Disminución del 18% al 14% en el AIU</t>
  </si>
  <si>
    <t>Laboratorio de química de producción y pruebas especializadas</t>
  </si>
  <si>
    <t>Ambiental</t>
  </si>
  <si>
    <t>Total</t>
  </si>
  <si>
    <t>Ambiental para 5 años de contrato</t>
  </si>
  <si>
    <t>Tabla 1. Crude Assay Tipo I.</t>
  </si>
  <si>
    <t>Tabla 2. Crude Assay Tipo II.</t>
  </si>
  <si>
    <t>Tabla 3. Crude Assay Tipo III.</t>
  </si>
  <si>
    <t>Descuento por congelar tarifas (No aumento del IPC en los 5 años de contrato)</t>
  </si>
  <si>
    <t>Resumen de descuentos Obtenidos Pruebas especiales y laboratorio</t>
  </si>
  <si>
    <t>Cuantificación de beneficios Adicionales obtenidos</t>
  </si>
  <si>
    <t>Ahorro</t>
  </si>
  <si>
    <t>Totales</t>
  </si>
  <si>
    <t>AIU Inicial 18%</t>
  </si>
  <si>
    <t>AIU Ronda Febrero de 2015 14%</t>
  </si>
  <si>
    <t xml:space="preserve">Total Laboratorios </t>
  </si>
  <si>
    <t>Ahorro %</t>
  </si>
  <si>
    <t>%</t>
  </si>
  <si>
    <t>Pruebas especializadas Ocelote (Perforación, producción)</t>
  </si>
  <si>
    <t>Pruebas especializadas LH (Perforación, producción)</t>
  </si>
  <si>
    <t>Pruebas especializadas LCN  (Perforación, producción)</t>
  </si>
  <si>
    <t>Proyectos GT</t>
  </si>
  <si>
    <t>IPC Anual -Asumido</t>
  </si>
  <si>
    <t xml:space="preserve">PXQ Campo Cañada </t>
  </si>
  <si>
    <t>PROYECTO</t>
  </si>
  <si>
    <t>PERIODICIDAD</t>
  </si>
  <si>
    <t>MATRIZ</t>
  </si>
  <si>
    <t>VALOR UNITARIO</t>
  </si>
  <si>
    <t xml:space="preserve">Cantidad Anual </t>
  </si>
  <si>
    <t>Sep - Dic 2014</t>
  </si>
  <si>
    <t>Ene - Dic 2015</t>
  </si>
  <si>
    <t>Ene - Dic 2016</t>
  </si>
  <si>
    <t>Ene - Dic 2017</t>
  </si>
  <si>
    <t>Ene - Dic 2018</t>
  </si>
  <si>
    <t>Ene - Dic 2019</t>
  </si>
  <si>
    <t>Monitoreos Seguimiento Ambiental Campo</t>
  </si>
  <si>
    <t>Trimestral</t>
  </si>
  <si>
    <t>Aire</t>
  </si>
  <si>
    <t>NPS</t>
  </si>
  <si>
    <t>Semestral</t>
  </si>
  <si>
    <t>Agua Superficial</t>
  </si>
  <si>
    <t>ARD</t>
  </si>
  <si>
    <t>ARI</t>
  </si>
  <si>
    <t>TOTAL POR CADA AÑO</t>
  </si>
  <si>
    <t>VALOR UNITARIO POR POZO</t>
  </si>
  <si>
    <t>Campaña de perforación  - Pozos/Año</t>
  </si>
  <si>
    <t>Monitoreos  Perforación  Pozo</t>
  </si>
  <si>
    <t>Suelos</t>
  </si>
  <si>
    <t>Cortes de perforación</t>
  </si>
  <si>
    <t>Agua potable</t>
  </si>
  <si>
    <t>Cantidad</t>
  </si>
  <si>
    <t>Varios: Contingencias, Derrames, Quejas, Reclamos, Demandas y Sancioneas</t>
  </si>
  <si>
    <t xml:space="preserve">PRESUPUESTO ANUAL CAÑADA </t>
  </si>
  <si>
    <t>TOTAL 5 AÑOS</t>
  </si>
  <si>
    <t>TOTAL</t>
  </si>
  <si>
    <t>Los monitoreos a realizar cuando se perforan pozos en Cañada Norte son:</t>
  </si>
  <si>
    <t>-Monitoreo de suelos (Antes y después de irrigación del agua residual)</t>
  </si>
  <si>
    <t>-Agua Residual Domestica Mensual (por lo menos 2 por pozo)</t>
  </si>
  <si>
    <t>-Agua Residual Industrial Mensual (por lo menos 2 por pozo)</t>
  </si>
  <si>
    <t>-Cortes de perforación (uno por pozo)</t>
  </si>
  <si>
    <t>-Agua Potable (Mensual)</t>
  </si>
  <si>
    <t>-Monitoreo de Ruido durante las actividades de perforación</t>
  </si>
  <si>
    <t>Calidad de Aire durante actividades de construcción</t>
  </si>
  <si>
    <t>PXQ Campo HOCHA</t>
  </si>
  <si>
    <t>Anual</t>
  </si>
  <si>
    <t>Agua Superficial e Hidrobiologicos</t>
  </si>
  <si>
    <t>ARI/PIA</t>
  </si>
  <si>
    <t>Suelo</t>
  </si>
  <si>
    <t>Mensual</t>
  </si>
  <si>
    <t xml:space="preserve">Arena Lavadas </t>
  </si>
  <si>
    <t>PRESUPUESTO ANUAL HOCHA</t>
  </si>
  <si>
    <t>PXQ Campo OCELOTE</t>
  </si>
  <si>
    <t>Monitoreos Periodicos</t>
  </si>
  <si>
    <t>Agua Potable</t>
  </si>
  <si>
    <t xml:space="preserve">Semestral </t>
  </si>
  <si>
    <t>Aguas Subterraneas</t>
  </si>
  <si>
    <t>Fuentes Fijas</t>
  </si>
  <si>
    <t xml:space="preserve">Campaña de Perforacion </t>
  </si>
  <si>
    <t>PRESUPUESTO ANUAL OCELOTE</t>
  </si>
  <si>
    <t>PXQ Campo OCELOTE ESTE</t>
  </si>
  <si>
    <t>Agua Subterránea</t>
  </si>
  <si>
    <t>PRESUPUESTO ANUAL OCELOTE ESTE</t>
  </si>
  <si>
    <t>PXQ OAM</t>
  </si>
  <si>
    <t>OAM</t>
  </si>
  <si>
    <t>Medicion Niveles Aguas Subterraneas</t>
  </si>
  <si>
    <t xml:space="preserve">PERMISO Y USO DE RECURSOS </t>
  </si>
  <si>
    <t>PRESUPUESTO ANUAL OAM</t>
  </si>
  <si>
    <t>MONITOREOS PERIODICOS</t>
  </si>
  <si>
    <t>PXQ LINEA HOCHA MANGOS</t>
  </si>
  <si>
    <t>LHM</t>
  </si>
  <si>
    <t>Aguas Superficiales</t>
  </si>
  <si>
    <t>PRESUPUESTO ANUAL LÍNEA HOCHA - MANGOS</t>
  </si>
  <si>
    <t>PXQ OCELOTE PALMERAS</t>
  </si>
  <si>
    <t>Ocelote Palmeras</t>
  </si>
  <si>
    <t>Punto de Captación</t>
  </si>
  <si>
    <t>Agua subterranea</t>
  </si>
  <si>
    <t xml:space="preserve">PRESUPUESTO ANUAL </t>
  </si>
  <si>
    <t>PXQ Campo SAMÁN</t>
  </si>
  <si>
    <t>NSP</t>
  </si>
  <si>
    <t>TOTAL PROYECTO EN PRODUCCIÓN</t>
  </si>
  <si>
    <t>MONITOREO AMBIENTAL</t>
  </si>
  <si>
    <t>CANTIDAD</t>
  </si>
  <si>
    <t>DESCRIPCIÓN</t>
  </si>
  <si>
    <t>VALOR MUESTREO (MILLONES DE PESOS)</t>
  </si>
  <si>
    <t xml:space="preserve">PERFORACIÓN DE POZOS EXPLORACIÓN </t>
  </si>
  <si>
    <t>SAMÁN - CPO 17 - PERDICES - LL65 - CPO16 - CPO17</t>
  </si>
  <si>
    <t>EIA</t>
  </si>
  <si>
    <t>GUA 2, VIM 8, SAMÁN, CPO17 PRODUCCIÓN, CPO17WW, CPO16 SUR GÜEJAR, BLOQUES RONDA 2014</t>
  </si>
  <si>
    <t>PMA</t>
  </si>
  <si>
    <t>PLATAFORMA NUEVA (POZOS, ZODMES)</t>
  </si>
  <si>
    <t>SÍSMICA Y ESTRATIGRÁFICOS</t>
  </si>
  <si>
    <t>CPO17, VIM8, GUA2, BLOQUES RONDA 2014</t>
  </si>
  <si>
    <t>PERMISO DE USO DE RECURSOS</t>
  </si>
  <si>
    <t>ESTRATIGRÁFICOS, SÍSMICAS, BLOQUES RONDA 2014, OAM</t>
  </si>
  <si>
    <t>QUEJAS Y RECLAMOS</t>
  </si>
  <si>
    <t>PROMEDIO AL AÑO</t>
  </si>
  <si>
    <t>DEMANDAS Y SANCIONATORIOS</t>
  </si>
  <si>
    <t>TOTAL POR AÑO</t>
  </si>
  <si>
    <t>TOTAL PROYECTO</t>
  </si>
  <si>
    <t>Cuadro resumen</t>
  </si>
  <si>
    <t>Monitoreo Ambiental por Estudios  Ambientales</t>
  </si>
  <si>
    <t xml:space="preserve">TOTAL </t>
  </si>
  <si>
    <t>De acuerdo a la propuesta presentada por ANTEK, se Mantendran las tarifas que se relacionen en el contrato C15-0004, sin generar incremento del IPC para la línea de Monitoreos Ambientales, siempre y cuando se genere un contrato por un tiempo de 5 años.</t>
  </si>
  <si>
    <t>Agua Superficial e hidrobiologico</t>
  </si>
  <si>
    <t xml:space="preserve">Tarifas Iniciales </t>
  </si>
  <si>
    <t>Tarifas Finales negociadas</t>
  </si>
  <si>
    <t>Reduccion por Proyecto</t>
  </si>
  <si>
    <t xml:space="preserve">Porcentaje de Reducción </t>
  </si>
  <si>
    <t>Presupesto definitivo luego de la tercera ronda de negociación con el contratista Antek Contrato C15-0004</t>
  </si>
  <si>
    <t>Laboratorio de química de producción</t>
  </si>
  <si>
    <t>Pruebas especializadas de laboratorio</t>
  </si>
  <si>
    <t xml:space="preserve">M onitoreos ambientales </t>
  </si>
  <si>
    <t>Ocelote</t>
  </si>
  <si>
    <t>La Hocha</t>
  </si>
  <si>
    <t>La Cañada</t>
  </si>
  <si>
    <t>Corporativo</t>
  </si>
  <si>
    <t>Tarifas definitivas</t>
  </si>
  <si>
    <t>Total por Zona</t>
  </si>
  <si>
    <t>Total por línea</t>
  </si>
  <si>
    <t>Valor</t>
  </si>
  <si>
    <t>Vr. Ejecutado Contrato Inicialmente</t>
  </si>
  <si>
    <t>Vr. Comprometido OW</t>
  </si>
  <si>
    <t xml:space="preserve">Vr. Disponible </t>
  </si>
  <si>
    <t>SERVICIO</t>
  </si>
  <si>
    <t>Vr. Comprometido Orden de Trabajo</t>
  </si>
  <si>
    <t xml:space="preserve">Monitoreos ambientales </t>
  </si>
  <si>
    <t>Total ejecutado</t>
  </si>
  <si>
    <t>Saldo disponible</t>
  </si>
  <si>
    <t>Total Comprometido Ordenes Trabajo</t>
  </si>
  <si>
    <t>Pos.contrato sup.</t>
  </si>
  <si>
    <t>Texto breve</t>
  </si>
  <si>
    <t>PRUEBAS ESPECIALIZADAS OCELOTE PERF PRO</t>
  </si>
  <si>
    <t>MONITOREO AMBIENTAL PXQ LINEA HOCHA MANG</t>
  </si>
  <si>
    <t>MONITOREO AMBIENTAL PXQ OCELOTE PALMERAS</t>
  </si>
  <si>
    <t>MONITOREO AMBIENTAL PXQ SAMAN</t>
  </si>
  <si>
    <t>MONITOREO AMBIENTAL POR ESTUDIOS AMBIENT</t>
  </si>
  <si>
    <t>OTROSI No.1 PRUEBAS ESPECIALIZ OCELOTE</t>
  </si>
  <si>
    <t>OTROSI No.1 PRUEBAS ESPECIALIZ LA HOCHA</t>
  </si>
  <si>
    <t>OTROSI No.1 LABORATORIO OCELOTE</t>
  </si>
  <si>
    <t>OTROSI No.1 LABORATORIO LA HOCHA</t>
  </si>
  <si>
    <t>OTROSI No.1 MONITOREO AMBIENTAL LA HOCHA</t>
  </si>
  <si>
    <t>OTROSI No.1 MONITOREO AMBIENTAL OCELOTE</t>
  </si>
  <si>
    <t>PRUEBAS ESPECIALIZADAS LH PERF PROD</t>
  </si>
  <si>
    <t>OTROSI No.1 MONITOREO AMBIENTAL CORPORAT</t>
  </si>
  <si>
    <t>OTROSI No.1 PRUEBAS ESPECIALIZ CORPORATI</t>
  </si>
  <si>
    <t>OW S15-1643 LA CAÑADA CON SOCIOS PRUEBAS</t>
  </si>
  <si>
    <t>OW S15-1643 LA HOCHA SIN SOCIOS PRUEBAS</t>
  </si>
  <si>
    <t>OW S15-1643 OCELOTE SIN SOCIOS PRUEBAS E</t>
  </si>
  <si>
    <t>OW S15-1979 CORPORATIVO</t>
  </si>
  <si>
    <t>OW S15-1979 LA CAÑADA</t>
  </si>
  <si>
    <t>OW S15-1979 LA HOCHA</t>
  </si>
  <si>
    <t>OW S15-1979 OCELOTE</t>
  </si>
  <si>
    <t>PROYECTOS GT</t>
  </si>
  <si>
    <t>LABORATORIO OCELOTE</t>
  </si>
  <si>
    <t>LABORATORIO LH</t>
  </si>
  <si>
    <t>MONITOREO AMBIENTAL PXQ LA HOCGA</t>
  </si>
  <si>
    <t>MONITOREO AMBIENTAL PXQ OCELOTE</t>
  </si>
  <si>
    <t>MONITOREO AMBIENTAL PXQ OCELOTE ESTE</t>
  </si>
  <si>
    <t>MONITOREO AMBIENTAL PXQ OAM</t>
  </si>
  <si>
    <t>Grand Total</t>
  </si>
  <si>
    <t>EJECUCIÓN</t>
  </si>
  <si>
    <t>PRESUPUESTO</t>
  </si>
  <si>
    <t>SALDO</t>
  </si>
  <si>
    <t>PRUEBA</t>
  </si>
  <si>
    <t>TOTAL PRUEBA</t>
  </si>
  <si>
    <t>Valor aprobado Socios</t>
  </si>
  <si>
    <t xml:space="preserve">Valor Aprobado Comité </t>
  </si>
  <si>
    <t xml:space="preserve">C150004 </t>
  </si>
  <si>
    <t xml:space="preserve">Número de Orden de Trabajo </t>
  </si>
  <si>
    <t>S15-1643 - Miguel Lesmes</t>
  </si>
  <si>
    <t>S15-1979 - Diana Mallarino</t>
  </si>
  <si>
    <t xml:space="preserve">Presupuesto definitivo  Antek Contrato C15-0004 ( Para generar Ordenes de Trabajo)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</si>
</sst>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 &quot;$&quot;\ * #,##0.00_ ;_ &quot;$&quot;\ * \-#,##0.00_ ;_ &quot;$&quot;\ * &quot;-&quot;??_ ;_ @_ "/>
    <numFmt numFmtId="167" formatCode="_(&quot;₡&quot;* #,##0.00_);_(&quot;₡&quot;* \(#,##0.00\);_(&quot;₡&quot;* &quot;-&quot;??_);_(@_)"/>
    <numFmt numFmtId="168" formatCode="0.0"/>
    <numFmt numFmtId="169" formatCode="_([$€]* #.##0.00_);_([$€]* \(#.##0.00\);_([$€]* &quot;-&quot;??_);_(@_)"/>
    <numFmt numFmtId="170" formatCode="0.0%"/>
    <numFmt numFmtId="171" formatCode="_(&quot;$&quot;\ * #,##0_);_(&quot;$&quot;\ * \(#,##0\);_(&quot;$&quot;\ * &quot;-&quot;??_);_(@_)"/>
    <numFmt numFmtId="172" formatCode="_(* #,##0_);_(* \(#,##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imes New Roman"/>
      <family val="1"/>
    </font>
    <font>
      <sz val="12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20"/>
      <color theme="0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1F497D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rgb="FFCC3300"/>
      <name val="Trebuchet MS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color theme="1" tint="0.499984740745262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3" borderId="0" applyNumberFormat="0" applyBorder="0" applyAlignment="0" applyProtection="0"/>
    <xf numFmtId="0" fontId="7" fillId="0" borderId="2" applyNumberFormat="0" applyFill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9" fillId="0" borderId="0"/>
    <xf numFmtId="167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5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1" borderId="0" applyNumberFormat="0" applyBorder="0" applyAlignment="0" applyProtection="0"/>
    <xf numFmtId="0" fontId="12" fillId="5" borderId="0" applyNumberFormat="0" applyBorder="0" applyAlignment="0" applyProtection="0"/>
    <xf numFmtId="168" fontId="5" fillId="22" borderId="6">
      <alignment horizontal="center"/>
    </xf>
    <xf numFmtId="0" fontId="13" fillId="23" borderId="7" applyNumberFormat="0" applyAlignment="0" applyProtection="0"/>
    <xf numFmtId="0" fontId="14" fillId="24" borderId="8" applyNumberFormat="0" applyAlignment="0" applyProtection="0"/>
    <xf numFmtId="169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25" borderId="6">
      <alignment horizontal="left"/>
    </xf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7" applyNumberFormat="0" applyAlignment="0" applyProtection="0"/>
    <xf numFmtId="0" fontId="22" fillId="0" borderId="12" applyNumberFormat="0" applyFill="0" applyAlignment="0" applyProtection="0"/>
    <xf numFmtId="164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3" fillId="0" borderId="0"/>
    <xf numFmtId="0" fontId="1" fillId="0" borderId="0"/>
    <xf numFmtId="0" fontId="24" fillId="26" borderId="13" applyNumberFormat="0" applyFont="0" applyAlignment="0" applyProtection="0"/>
    <xf numFmtId="0" fontId="25" fillId="23" borderId="14" applyNumberFormat="0" applyAlignment="0" applyProtection="0"/>
    <xf numFmtId="9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324">
    <xf numFmtId="0" fontId="0" fillId="0" borderId="0" xfId="0"/>
    <xf numFmtId="0" fontId="4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165" fontId="4" fillId="28" borderId="15" xfId="0" applyNumberFormat="1" applyFont="1" applyFill="1" applyBorder="1" applyAlignment="1">
      <alignment horizontal="center" vertical="center"/>
    </xf>
    <xf numFmtId="0" fontId="4" fillId="28" borderId="15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/>
    <xf numFmtId="165" fontId="30" fillId="0" borderId="1" xfId="1" applyNumberFormat="1" applyFont="1" applyFill="1" applyBorder="1"/>
    <xf numFmtId="165" fontId="30" fillId="0" borderId="15" xfId="1" applyNumberFormat="1" applyFont="1" applyFill="1" applyBorder="1"/>
    <xf numFmtId="165" fontId="30" fillId="0" borderId="15" xfId="0" applyNumberFormat="1" applyFont="1" applyBorder="1"/>
    <xf numFmtId="165" fontId="31" fillId="0" borderId="1" xfId="1" applyNumberFormat="1" applyFont="1" applyFill="1" applyBorder="1"/>
    <xf numFmtId="165" fontId="31" fillId="0" borderId="15" xfId="1" applyNumberFormat="1" applyFont="1" applyFill="1" applyBorder="1"/>
    <xf numFmtId="165" fontId="30" fillId="0" borderId="15" xfId="1" applyNumberFormat="1" applyFont="1" applyFill="1" applyBorder="1" applyAlignment="1">
      <alignment vertical="center"/>
    </xf>
    <xf numFmtId="165" fontId="30" fillId="27" borderId="15" xfId="0" applyNumberFormat="1" applyFont="1" applyFill="1" applyBorder="1"/>
    <xf numFmtId="165" fontId="30" fillId="0" borderId="1" xfId="1" applyNumberFormat="1" applyFont="1" applyBorder="1"/>
    <xf numFmtId="165" fontId="30" fillId="0" borderId="15" xfId="1" applyNumberFormat="1" applyFont="1" applyBorder="1"/>
    <xf numFmtId="165" fontId="32" fillId="28" borderId="15" xfId="1" applyNumberFormat="1" applyFont="1" applyFill="1" applyBorder="1"/>
    <xf numFmtId="0" fontId="30" fillId="28" borderId="15" xfId="0" applyFont="1" applyFill="1" applyBorder="1"/>
    <xf numFmtId="165" fontId="30" fillId="28" borderId="15" xfId="0" applyNumberFormat="1" applyFont="1" applyFill="1" applyBorder="1"/>
    <xf numFmtId="0" fontId="30" fillId="0" borderId="15" xfId="0" applyFont="1" applyBorder="1"/>
    <xf numFmtId="0" fontId="30" fillId="0" borderId="15" xfId="0" applyFont="1" applyBorder="1" applyAlignment="1">
      <alignment horizontal="center"/>
    </xf>
    <xf numFmtId="0" fontId="30" fillId="0" borderId="15" xfId="0" applyFont="1" applyBorder="1" applyAlignment="1">
      <alignment horizontal="center" wrapText="1"/>
    </xf>
    <xf numFmtId="0" fontId="30" fillId="0" borderId="0" xfId="0" applyFont="1" applyAlignment="1">
      <alignment horizontal="center"/>
    </xf>
    <xf numFmtId="170" fontId="30" fillId="0" borderId="0" xfId="71" applyNumberFormat="1" applyFont="1"/>
    <xf numFmtId="0" fontId="30" fillId="0" borderId="0" xfId="0" applyFont="1" applyBorder="1"/>
    <xf numFmtId="165" fontId="30" fillId="0" borderId="0" xfId="0" applyNumberFormat="1" applyFont="1" applyBorder="1"/>
    <xf numFmtId="0" fontId="33" fillId="0" borderId="15" xfId="0" applyFont="1" applyBorder="1"/>
    <xf numFmtId="9" fontId="33" fillId="0" borderId="15" xfId="71" applyFont="1" applyBorder="1"/>
    <xf numFmtId="0" fontId="34" fillId="28" borderId="15" xfId="0" applyFont="1" applyFill="1" applyBorder="1"/>
    <xf numFmtId="9" fontId="34" fillId="28" borderId="15" xfId="0" applyNumberFormat="1" applyFont="1" applyFill="1" applyBorder="1"/>
    <xf numFmtId="165" fontId="37" fillId="0" borderId="1" xfId="1" applyNumberFormat="1" applyFont="1" applyFill="1" applyBorder="1" applyAlignment="1">
      <alignment vertical="center" wrapText="1"/>
    </xf>
    <xf numFmtId="0" fontId="4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left" vertical="center"/>
    </xf>
    <xf numFmtId="0" fontId="0" fillId="0" borderId="15" xfId="0" applyBorder="1"/>
    <xf numFmtId="165" fontId="0" fillId="0" borderId="15" xfId="1" applyNumberFormat="1" applyFont="1" applyBorder="1"/>
    <xf numFmtId="165" fontId="0" fillId="0" borderId="15" xfId="0" applyNumberFormat="1" applyBorder="1"/>
    <xf numFmtId="164" fontId="0" fillId="0" borderId="15" xfId="0" applyNumberFormat="1" applyBorder="1"/>
    <xf numFmtId="0" fontId="4" fillId="0" borderId="0" xfId="0" applyFont="1" applyFill="1" applyBorder="1" applyAlignment="1">
      <alignment horizontal="left" vertical="center"/>
    </xf>
    <xf numFmtId="9" fontId="0" fillId="0" borderId="0" xfId="71" applyFont="1"/>
    <xf numFmtId="9" fontId="0" fillId="0" borderId="15" xfId="71" applyFont="1" applyBorder="1"/>
    <xf numFmtId="0" fontId="0" fillId="30" borderId="15" xfId="0" applyFill="1" applyBorder="1"/>
    <xf numFmtId="165" fontId="0" fillId="30" borderId="15" xfId="1" applyNumberFormat="1" applyFont="1" applyFill="1" applyBorder="1"/>
    <xf numFmtId="165" fontId="0" fillId="30" borderId="15" xfId="0" applyNumberFormat="1" applyFill="1" applyBorder="1"/>
    <xf numFmtId="164" fontId="30" fillId="0" borderId="15" xfId="0" applyNumberFormat="1" applyFont="1" applyBorder="1"/>
    <xf numFmtId="0" fontId="38" fillId="31" borderId="0" xfId="0" applyFont="1" applyFill="1"/>
    <xf numFmtId="0" fontId="40" fillId="31" borderId="0" xfId="0" applyFont="1" applyFill="1" applyAlignment="1">
      <alignment horizontal="center"/>
    </xf>
    <xf numFmtId="0" fontId="41" fillId="31" borderId="0" xfId="0" applyFont="1" applyFill="1"/>
    <xf numFmtId="0" fontId="42" fillId="31" borderId="0" xfId="0" applyFont="1" applyFill="1"/>
    <xf numFmtId="0" fontId="38" fillId="0" borderId="0" xfId="0" applyFont="1"/>
    <xf numFmtId="9" fontId="38" fillId="31" borderId="0" xfId="0" applyNumberFormat="1" applyFont="1" applyFill="1" applyBorder="1" applyAlignment="1">
      <alignment horizontal="left" vertical="center"/>
    </xf>
    <xf numFmtId="0" fontId="39" fillId="31" borderId="0" xfId="0" applyFont="1" applyFill="1" applyBorder="1" applyAlignment="1">
      <alignment wrapText="1"/>
    </xf>
    <xf numFmtId="0" fontId="38" fillId="31" borderId="17" xfId="0" applyFont="1" applyFill="1" applyBorder="1"/>
    <xf numFmtId="0" fontId="38" fillId="31" borderId="18" xfId="0" applyFont="1" applyFill="1" applyBorder="1"/>
    <xf numFmtId="0" fontId="42" fillId="31" borderId="18" xfId="0" applyFont="1" applyFill="1" applyBorder="1"/>
    <xf numFmtId="0" fontId="42" fillId="31" borderId="19" xfId="0" applyFont="1" applyFill="1" applyBorder="1"/>
    <xf numFmtId="0" fontId="38" fillId="31" borderId="20" xfId="0" applyFont="1" applyFill="1" applyBorder="1"/>
    <xf numFmtId="0" fontId="42" fillId="31" borderId="21" xfId="0" applyFont="1" applyFill="1" applyBorder="1"/>
    <xf numFmtId="0" fontId="38" fillId="31" borderId="0" xfId="0" applyFont="1" applyFill="1" applyBorder="1"/>
    <xf numFmtId="0" fontId="42" fillId="31" borderId="0" xfId="0" applyFont="1" applyFill="1" applyBorder="1"/>
    <xf numFmtId="0" fontId="44" fillId="32" borderId="15" xfId="0" applyFont="1" applyFill="1" applyBorder="1" applyAlignment="1">
      <alignment horizontal="center" vertical="center" wrapText="1"/>
    </xf>
    <xf numFmtId="0" fontId="40" fillId="31" borderId="0" xfId="0" applyFont="1" applyFill="1" applyBorder="1" applyAlignment="1">
      <alignment horizontal="center" vertical="center" wrapText="1"/>
    </xf>
    <xf numFmtId="0" fontId="38" fillId="31" borderId="23" xfId="0" applyFont="1" applyFill="1" applyBorder="1" applyAlignment="1">
      <alignment horizontal="center" vertical="center" wrapText="1"/>
    </xf>
    <xf numFmtId="171" fontId="38" fillId="31" borderId="24" xfId="10" applyNumberFormat="1" applyFont="1" applyFill="1" applyBorder="1" applyAlignment="1">
      <alignment horizontal="center" vertical="center" wrapText="1"/>
    </xf>
    <xf numFmtId="172" fontId="38" fillId="31" borderId="24" xfId="72" applyNumberFormat="1" applyFont="1" applyFill="1" applyBorder="1" applyAlignment="1">
      <alignment horizontal="center" vertical="center" wrapText="1"/>
    </xf>
    <xf numFmtId="172" fontId="42" fillId="31" borderId="0" xfId="72" applyNumberFormat="1" applyFont="1" applyFill="1" applyBorder="1" applyAlignment="1">
      <alignment horizontal="center" vertical="center" wrapText="1"/>
    </xf>
    <xf numFmtId="172" fontId="42" fillId="31" borderId="0" xfId="0" applyNumberFormat="1" applyFont="1" applyFill="1"/>
    <xf numFmtId="0" fontId="38" fillId="31" borderId="24" xfId="0" applyFont="1" applyFill="1" applyBorder="1" applyAlignment="1">
      <alignment horizontal="center" vertical="center" wrapText="1"/>
    </xf>
    <xf numFmtId="0" fontId="38" fillId="31" borderId="27" xfId="0" applyFont="1" applyFill="1" applyBorder="1" applyAlignment="1">
      <alignment horizontal="center" vertical="center" wrapText="1"/>
    </xf>
    <xf numFmtId="0" fontId="39" fillId="31" borderId="0" xfId="0" applyFont="1" applyFill="1"/>
    <xf numFmtId="0" fontId="39" fillId="31" borderId="20" xfId="0" applyFont="1" applyFill="1" applyBorder="1"/>
    <xf numFmtId="171" fontId="39" fillId="33" borderId="15" xfId="0" applyNumberFormat="1" applyFont="1" applyFill="1" applyBorder="1"/>
    <xf numFmtId="171" fontId="40" fillId="33" borderId="15" xfId="0" applyNumberFormat="1" applyFont="1" applyFill="1" applyBorder="1"/>
    <xf numFmtId="171" fontId="40" fillId="31" borderId="0" xfId="0" applyNumberFormat="1" applyFont="1" applyFill="1" applyBorder="1"/>
    <xf numFmtId="171" fontId="42" fillId="31" borderId="21" xfId="0" applyNumberFormat="1" applyFont="1" applyFill="1" applyBorder="1"/>
    <xf numFmtId="0" fontId="40" fillId="31" borderId="0" xfId="0" applyFont="1" applyFill="1"/>
    <xf numFmtId="0" fontId="39" fillId="0" borderId="0" xfId="0" applyFont="1"/>
    <xf numFmtId="0" fontId="39" fillId="31" borderId="0" xfId="0" applyFont="1" applyFill="1" applyBorder="1" applyAlignment="1">
      <alignment horizontal="right"/>
    </xf>
    <xf numFmtId="171" fontId="39" fillId="31" borderId="0" xfId="0" applyNumberFormat="1" applyFont="1" applyFill="1" applyBorder="1"/>
    <xf numFmtId="0" fontId="40" fillId="31" borderId="21" xfId="0" applyFont="1" applyFill="1" applyBorder="1"/>
    <xf numFmtId="171" fontId="38" fillId="31" borderId="23" xfId="10" applyNumberFormat="1" applyFont="1" applyFill="1" applyBorder="1" applyAlignment="1">
      <alignment horizontal="right" vertical="center" wrapText="1"/>
    </xf>
    <xf numFmtId="171" fontId="42" fillId="31" borderId="0" xfId="10" applyNumberFormat="1" applyFont="1" applyFill="1" applyBorder="1" applyAlignment="1">
      <alignment horizontal="right" vertical="center" wrapText="1"/>
    </xf>
    <xf numFmtId="171" fontId="38" fillId="31" borderId="24" xfId="10" applyNumberFormat="1" applyFont="1" applyFill="1" applyBorder="1" applyAlignment="1">
      <alignment horizontal="right" vertical="center" wrapText="1"/>
    </xf>
    <xf numFmtId="171" fontId="38" fillId="31" borderId="27" xfId="10" applyNumberFormat="1" applyFont="1" applyFill="1" applyBorder="1" applyAlignment="1">
      <alignment horizontal="right" vertical="center" wrapText="1"/>
    </xf>
    <xf numFmtId="171" fontId="38" fillId="31" borderId="23" xfId="10" applyNumberFormat="1" applyFont="1" applyFill="1" applyBorder="1" applyAlignment="1">
      <alignment horizontal="left" vertical="center" wrapText="1"/>
    </xf>
    <xf numFmtId="0" fontId="38" fillId="31" borderId="23" xfId="10" applyNumberFormat="1" applyFont="1" applyFill="1" applyBorder="1" applyAlignment="1">
      <alignment horizontal="center" vertical="center" wrapText="1"/>
    </xf>
    <xf numFmtId="0" fontId="39" fillId="31" borderId="0" xfId="0" applyFont="1" applyFill="1" applyBorder="1"/>
    <xf numFmtId="0" fontId="44" fillId="32" borderId="15" xfId="0" applyFont="1" applyFill="1" applyBorder="1" applyAlignment="1">
      <alignment horizontal="center" vertical="center"/>
    </xf>
    <xf numFmtId="0" fontId="40" fillId="31" borderId="15" xfId="0" applyFont="1" applyFill="1" applyBorder="1" applyAlignment="1">
      <alignment horizontal="center" vertical="center" wrapText="1"/>
    </xf>
    <xf numFmtId="171" fontId="42" fillId="31" borderId="15" xfId="0" applyNumberFormat="1" applyFont="1" applyFill="1" applyBorder="1" applyAlignment="1">
      <alignment horizontal="center" vertical="center" wrapText="1"/>
    </xf>
    <xf numFmtId="171" fontId="42" fillId="31" borderId="15" xfId="0" applyNumberFormat="1" applyFont="1" applyFill="1" applyBorder="1" applyAlignment="1">
      <alignment horizontal="center" vertical="center"/>
    </xf>
    <xf numFmtId="171" fontId="40" fillId="31" borderId="15" xfId="0" applyNumberFormat="1" applyFont="1" applyFill="1" applyBorder="1" applyAlignment="1">
      <alignment horizontal="center" vertical="center" wrapText="1"/>
    </xf>
    <xf numFmtId="0" fontId="39" fillId="31" borderId="0" xfId="0" applyFont="1" applyFill="1" applyAlignment="1">
      <alignment horizontal="center" vertical="center"/>
    </xf>
    <xf numFmtId="0" fontId="39" fillId="31" borderId="20" xfId="0" applyFont="1" applyFill="1" applyBorder="1" applyAlignment="1">
      <alignment horizontal="center" vertical="center"/>
    </xf>
    <xf numFmtId="0" fontId="39" fillId="31" borderId="0" xfId="0" applyFont="1" applyFill="1" applyBorder="1" applyAlignment="1">
      <alignment horizontal="center" vertical="center"/>
    </xf>
    <xf numFmtId="0" fontId="39" fillId="33" borderId="15" xfId="0" applyFont="1" applyFill="1" applyBorder="1" applyAlignment="1">
      <alignment horizontal="center" vertical="center" wrapText="1"/>
    </xf>
    <xf numFmtId="171" fontId="39" fillId="27" borderId="15" xfId="0" applyNumberFormat="1" applyFont="1" applyFill="1" applyBorder="1" applyAlignment="1">
      <alignment vertical="center"/>
    </xf>
    <xf numFmtId="171" fontId="40" fillId="27" borderId="15" xfId="0" applyNumberFormat="1" applyFont="1" applyFill="1" applyBorder="1" applyAlignment="1">
      <alignment vertical="center"/>
    </xf>
    <xf numFmtId="0" fontId="40" fillId="31" borderId="21" xfId="0" applyFont="1" applyFill="1" applyBorder="1" applyAlignment="1">
      <alignment horizontal="center" vertical="center"/>
    </xf>
    <xf numFmtId="0" fontId="40" fillId="31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5" fillId="31" borderId="0" xfId="0" applyFont="1" applyFill="1" applyBorder="1" applyAlignment="1">
      <alignment vertical="center"/>
    </xf>
    <xf numFmtId="0" fontId="38" fillId="31" borderId="28" xfId="0" applyFont="1" applyFill="1" applyBorder="1"/>
    <xf numFmtId="0" fontId="45" fillId="31" borderId="29" xfId="0" applyFont="1" applyFill="1" applyBorder="1" applyAlignment="1">
      <alignment vertical="center"/>
    </xf>
    <xf numFmtId="0" fontId="38" fillId="31" borderId="29" xfId="0" applyFont="1" applyFill="1" applyBorder="1"/>
    <xf numFmtId="0" fontId="42" fillId="31" borderId="29" xfId="0" applyFont="1" applyFill="1" applyBorder="1"/>
    <xf numFmtId="0" fontId="42" fillId="31" borderId="30" xfId="0" applyFont="1" applyFill="1" applyBorder="1"/>
    <xf numFmtId="0" fontId="38" fillId="0" borderId="20" xfId="0" applyFont="1" applyFill="1" applyBorder="1"/>
    <xf numFmtId="0" fontId="38" fillId="0" borderId="0" xfId="0" applyFont="1" applyFill="1"/>
    <xf numFmtId="0" fontId="38" fillId="0" borderId="23" xfId="0" applyFont="1" applyFill="1" applyBorder="1" applyAlignment="1">
      <alignment horizontal="center" vertical="center" wrapText="1"/>
    </xf>
    <xf numFmtId="171" fontId="38" fillId="0" borderId="23" xfId="10" applyNumberFormat="1" applyFont="1" applyFill="1" applyBorder="1" applyAlignment="1">
      <alignment horizontal="right" vertical="center" wrapText="1"/>
    </xf>
    <xf numFmtId="0" fontId="38" fillId="0" borderId="24" xfId="0" applyFont="1" applyFill="1" applyBorder="1" applyAlignment="1">
      <alignment horizontal="center" vertical="center" wrapText="1"/>
    </xf>
    <xf numFmtId="171" fontId="38" fillId="0" borderId="24" xfId="10" applyNumberFormat="1" applyFont="1" applyFill="1" applyBorder="1" applyAlignment="1">
      <alignment horizontal="right" vertical="center" wrapText="1"/>
    </xf>
    <xf numFmtId="0" fontId="38" fillId="0" borderId="27" xfId="0" applyFont="1" applyFill="1" applyBorder="1" applyAlignment="1">
      <alignment horizontal="center" vertical="center" wrapText="1"/>
    </xf>
    <xf numFmtId="171" fontId="38" fillId="0" borderId="27" xfId="10" applyNumberFormat="1" applyFont="1" applyFill="1" applyBorder="1" applyAlignment="1">
      <alignment horizontal="right" vertical="center" wrapText="1"/>
    </xf>
    <xf numFmtId="0" fontId="42" fillId="31" borderId="15" xfId="0" applyFont="1" applyFill="1" applyBorder="1" applyAlignment="1">
      <alignment horizontal="center" vertical="center" wrapText="1"/>
    </xf>
    <xf numFmtId="0" fontId="39" fillId="33" borderId="15" xfId="0" applyFont="1" applyFill="1" applyBorder="1" applyAlignment="1">
      <alignment horizontal="center" wrapText="1"/>
    </xf>
    <xf numFmtId="172" fontId="38" fillId="0" borderId="24" xfId="72" applyNumberFormat="1" applyFont="1" applyFill="1" applyBorder="1" applyAlignment="1">
      <alignment horizontal="center" vertical="center" wrapText="1"/>
    </xf>
    <xf numFmtId="0" fontId="39" fillId="33" borderId="15" xfId="0" applyFont="1" applyFill="1" applyBorder="1" applyAlignment="1">
      <alignment wrapText="1"/>
    </xf>
    <xf numFmtId="172" fontId="42" fillId="31" borderId="0" xfId="72" applyNumberFormat="1" applyFont="1" applyFill="1"/>
    <xf numFmtId="0" fontId="38" fillId="31" borderId="0" xfId="0" applyFont="1" applyFill="1" applyBorder="1" applyAlignment="1">
      <alignment wrapText="1"/>
    </xf>
    <xf numFmtId="0" fontId="44" fillId="32" borderId="3" xfId="0" applyFont="1" applyFill="1" applyBorder="1" applyAlignment="1">
      <alignment horizontal="center" vertical="center"/>
    </xf>
    <xf numFmtId="0" fontId="40" fillId="31" borderId="0" xfId="0" applyFont="1" applyFill="1" applyBorder="1" applyAlignment="1">
      <alignment horizontal="center" vertical="center"/>
    </xf>
    <xf numFmtId="171" fontId="40" fillId="27" borderId="3" xfId="0" applyNumberFormat="1" applyFont="1" applyFill="1" applyBorder="1" applyAlignment="1">
      <alignment vertical="center"/>
    </xf>
    <xf numFmtId="171" fontId="40" fillId="31" borderId="0" xfId="0" applyNumberFormat="1" applyFont="1" applyFill="1" applyBorder="1" applyAlignment="1">
      <alignment vertical="center"/>
    </xf>
    <xf numFmtId="0" fontId="38" fillId="31" borderId="0" xfId="0" applyFont="1" applyFill="1" applyAlignment="1">
      <alignment vertical="center"/>
    </xf>
    <xf numFmtId="0" fontId="44" fillId="32" borderId="24" xfId="0" applyFont="1" applyFill="1" applyBorder="1" applyAlignment="1">
      <alignment vertical="center"/>
    </xf>
    <xf numFmtId="0" fontId="44" fillId="32" borderId="24" xfId="0" applyFont="1" applyFill="1" applyBorder="1" applyAlignment="1">
      <alignment vertical="center" wrapText="1"/>
    </xf>
    <xf numFmtId="0" fontId="42" fillId="31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31" borderId="24" xfId="10" applyNumberFormat="1" applyFont="1" applyFill="1" applyBorder="1" applyAlignment="1">
      <alignment horizontal="center" vertical="center"/>
    </xf>
    <xf numFmtId="171" fontId="38" fillId="31" borderId="24" xfId="10" applyNumberFormat="1" applyFont="1" applyFill="1" applyBorder="1" applyAlignment="1">
      <alignment vertical="center"/>
    </xf>
    <xf numFmtId="171" fontId="42" fillId="31" borderId="24" xfId="10" applyNumberFormat="1" applyFont="1" applyFill="1" applyBorder="1" applyAlignment="1">
      <alignment vertical="center"/>
    </xf>
    <xf numFmtId="0" fontId="38" fillId="31" borderId="24" xfId="0" applyFont="1" applyFill="1" applyBorder="1" applyAlignment="1">
      <alignment horizontal="center" vertical="center"/>
    </xf>
    <xf numFmtId="0" fontId="38" fillId="31" borderId="27" xfId="0" applyFont="1" applyFill="1" applyBorder="1" applyAlignment="1">
      <alignment horizontal="center" vertical="center"/>
    </xf>
    <xf numFmtId="171" fontId="38" fillId="31" borderId="27" xfId="10" applyNumberFormat="1" applyFont="1" applyFill="1" applyBorder="1" applyAlignment="1">
      <alignment vertical="center"/>
    </xf>
    <xf numFmtId="171" fontId="38" fillId="27" borderId="15" xfId="10" applyNumberFormat="1" applyFont="1" applyFill="1" applyBorder="1" applyAlignment="1">
      <alignment vertical="center"/>
    </xf>
    <xf numFmtId="0" fontId="44" fillId="32" borderId="24" xfId="0" applyFont="1" applyFill="1" applyBorder="1" applyAlignment="1">
      <alignment horizontal="center" vertical="center"/>
    </xf>
    <xf numFmtId="0" fontId="49" fillId="31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50" fillId="31" borderId="0" xfId="0" applyFont="1" applyFill="1" applyAlignment="1">
      <alignment horizontal="right" vertical="center"/>
    </xf>
    <xf numFmtId="171" fontId="49" fillId="27" borderId="15" xfId="10" applyNumberFormat="1" applyFont="1" applyFill="1" applyBorder="1" applyAlignment="1">
      <alignment vertical="center"/>
    </xf>
    <xf numFmtId="171" fontId="51" fillId="27" borderId="15" xfId="10" applyNumberFormat="1" applyFont="1" applyFill="1" applyBorder="1" applyAlignment="1">
      <alignment vertical="center"/>
    </xf>
    <xf numFmtId="0" fontId="51" fillId="31" borderId="0" xfId="0" applyFont="1" applyFill="1" applyAlignment="1">
      <alignment vertical="center"/>
    </xf>
    <xf numFmtId="0" fontId="35" fillId="31" borderId="0" xfId="0" applyFont="1" applyFill="1" applyBorder="1" applyAlignment="1">
      <alignment horizontal="center" vertical="center" wrapText="1"/>
    </xf>
    <xf numFmtId="171" fontId="38" fillId="31" borderId="15" xfId="0" applyNumberFormat="1" applyFont="1" applyFill="1" applyBorder="1"/>
    <xf numFmtId="171" fontId="38" fillId="31" borderId="0" xfId="0" applyNumberFormat="1" applyFont="1" applyFill="1" applyBorder="1"/>
    <xf numFmtId="171" fontId="50" fillId="29" borderId="15" xfId="0" applyNumberFormat="1" applyFont="1" applyFill="1" applyBorder="1"/>
    <xf numFmtId="171" fontId="50" fillId="31" borderId="0" xfId="0" applyNumberFormat="1" applyFont="1" applyFill="1" applyBorder="1"/>
    <xf numFmtId="10" fontId="38" fillId="31" borderId="0" xfId="71" applyNumberFormat="1" applyFont="1" applyFill="1" applyBorder="1"/>
    <xf numFmtId="43" fontId="38" fillId="31" borderId="0" xfId="0" applyNumberFormat="1" applyFont="1" applyFill="1" applyBorder="1"/>
    <xf numFmtId="172" fontId="38" fillId="31" borderId="0" xfId="72" applyNumberFormat="1" applyFont="1" applyFill="1" applyBorder="1"/>
    <xf numFmtId="9" fontId="39" fillId="34" borderId="37" xfId="0" applyNumberFormat="1" applyFont="1" applyFill="1" applyBorder="1" applyAlignment="1">
      <alignment horizontal="center" vertical="center"/>
    </xf>
    <xf numFmtId="172" fontId="42" fillId="31" borderId="21" xfId="0" applyNumberFormat="1" applyFont="1" applyFill="1" applyBorder="1"/>
    <xf numFmtId="171" fontId="42" fillId="31" borderId="0" xfId="0" applyNumberFormat="1" applyFont="1" applyFill="1" applyBorder="1"/>
    <xf numFmtId="0" fontId="40" fillId="31" borderId="0" xfId="0" applyFont="1" applyFill="1" applyBorder="1"/>
    <xf numFmtId="0" fontId="38" fillId="0" borderId="0" xfId="0" applyFont="1" applyBorder="1"/>
    <xf numFmtId="171" fontId="38" fillId="0" borderId="24" xfId="10" applyNumberFormat="1" applyFont="1" applyFill="1" applyBorder="1" applyAlignment="1">
      <alignment horizontal="center" vertical="center" wrapText="1"/>
    </xf>
    <xf numFmtId="0" fontId="56" fillId="32" borderId="16" xfId="0" applyFont="1" applyFill="1" applyBorder="1" applyAlignment="1">
      <alignment vertical="center" wrapText="1"/>
    </xf>
    <xf numFmtId="0" fontId="57" fillId="32" borderId="16" xfId="0" applyFont="1" applyFill="1" applyBorder="1" applyAlignment="1">
      <alignment horizontal="center" vertical="center" wrapText="1"/>
    </xf>
    <xf numFmtId="171" fontId="58" fillId="0" borderId="15" xfId="0" applyNumberFormat="1" applyFont="1" applyFill="1" applyBorder="1"/>
    <xf numFmtId="9" fontId="58" fillId="0" borderId="15" xfId="71" applyFont="1" applyFill="1" applyBorder="1"/>
    <xf numFmtId="171" fontId="59" fillId="29" borderId="15" xfId="0" applyNumberFormat="1" applyFont="1" applyFill="1" applyBorder="1"/>
    <xf numFmtId="10" fontId="59" fillId="29" borderId="15" xfId="71" applyNumberFormat="1" applyFont="1" applyFill="1" applyBorder="1"/>
    <xf numFmtId="10" fontId="38" fillId="31" borderId="0" xfId="71" applyNumberFormat="1" applyFont="1" applyFill="1"/>
    <xf numFmtId="165" fontId="0" fillId="0" borderId="0" xfId="1" applyNumberFormat="1" applyFont="1"/>
    <xf numFmtId="3" fontId="61" fillId="0" borderId="0" xfId="0" applyNumberFormat="1" applyFont="1"/>
    <xf numFmtId="165" fontId="2" fillId="0" borderId="15" xfId="0" applyNumberFormat="1" applyFont="1" applyBorder="1"/>
    <xf numFmtId="165" fontId="62" fillId="0" borderId="15" xfId="0" applyNumberFormat="1" applyFont="1" applyBorder="1"/>
    <xf numFmtId="165" fontId="2" fillId="0" borderId="0" xfId="0" applyNumberFormat="1" applyFont="1" applyFill="1" applyBorder="1"/>
    <xf numFmtId="0" fontId="0" fillId="0" borderId="0" xfId="0" applyBorder="1"/>
    <xf numFmtId="165" fontId="2" fillId="0" borderId="0" xfId="0" applyNumberFormat="1" applyFont="1" applyBorder="1"/>
    <xf numFmtId="165" fontId="62" fillId="0" borderId="0" xfId="0" applyNumberFormat="1" applyFont="1" applyBorder="1"/>
    <xf numFmtId="164" fontId="0" fillId="0" borderId="0" xfId="0" applyNumberFormat="1"/>
    <xf numFmtId="9" fontId="35" fillId="0" borderId="0" xfId="71" applyFont="1"/>
    <xf numFmtId="165" fontId="35" fillId="0" borderId="0" xfId="0" applyNumberFormat="1" applyFont="1"/>
    <xf numFmtId="0" fontId="35" fillId="0" borderId="0" xfId="0" applyFont="1"/>
    <xf numFmtId="0" fontId="0" fillId="35" borderId="15" xfId="0" applyFill="1" applyBorder="1"/>
    <xf numFmtId="0" fontId="2" fillId="35" borderId="15" xfId="0" applyFont="1" applyFill="1" applyBorder="1" applyAlignment="1">
      <alignment horizontal="center"/>
    </xf>
    <xf numFmtId="0" fontId="5" fillId="0" borderId="0" xfId="11"/>
    <xf numFmtId="172" fontId="5" fillId="0" borderId="0" xfId="72" applyNumberFormat="1" applyFont="1"/>
    <xf numFmtId="172" fontId="63" fillId="28" borderId="15" xfId="72" applyNumberFormat="1" applyFont="1" applyFill="1" applyBorder="1" applyAlignment="1">
      <alignment horizontal="center" vertical="center"/>
    </xf>
    <xf numFmtId="172" fontId="63" fillId="28" borderId="15" xfId="72" applyNumberFormat="1" applyFont="1" applyFill="1" applyBorder="1" applyAlignment="1">
      <alignment horizontal="center" vertical="center" wrapText="1"/>
    </xf>
    <xf numFmtId="172" fontId="63" fillId="36" borderId="15" xfId="72" applyNumberFormat="1" applyFont="1" applyFill="1" applyBorder="1" applyAlignment="1">
      <alignment horizontal="center" vertical="center"/>
    </xf>
    <xf numFmtId="172" fontId="63" fillId="36" borderId="15" xfId="72" applyNumberFormat="1" applyFont="1" applyFill="1" applyBorder="1" applyAlignment="1">
      <alignment horizontal="center" vertical="center" wrapText="1"/>
    </xf>
    <xf numFmtId="172" fontId="63" fillId="37" borderId="15" xfId="72" applyNumberFormat="1" applyFont="1" applyFill="1" applyBorder="1" applyAlignment="1">
      <alignment horizontal="center" vertical="center"/>
    </xf>
    <xf numFmtId="172" fontId="63" fillId="37" borderId="15" xfId="72" applyNumberFormat="1" applyFont="1" applyFill="1" applyBorder="1" applyAlignment="1">
      <alignment horizontal="center" vertical="center" wrapText="1"/>
    </xf>
    <xf numFmtId="0" fontId="5" fillId="0" borderId="0" xfId="11" applyFont="1"/>
    <xf numFmtId="172" fontId="5" fillId="0" borderId="15" xfId="72" applyNumberFormat="1" applyFont="1" applyBorder="1"/>
    <xf numFmtId="172" fontId="5" fillId="0" borderId="43" xfId="72" applyNumberFormat="1" applyFont="1" applyBorder="1"/>
    <xf numFmtId="172" fontId="5" fillId="0" borderId="44" xfId="72" applyNumberFormat="1" applyFont="1" applyBorder="1"/>
    <xf numFmtId="172" fontId="5" fillId="0" borderId="45" xfId="72" applyNumberFormat="1" applyFont="1" applyBorder="1"/>
    <xf numFmtId="172" fontId="5" fillId="0" borderId="46" xfId="72" applyNumberFormat="1" applyFont="1" applyBorder="1"/>
    <xf numFmtId="172" fontId="5" fillId="0" borderId="24" xfId="72" applyNumberFormat="1" applyFont="1" applyBorder="1"/>
    <xf numFmtId="3" fontId="5" fillId="0" borderId="24" xfId="11" applyNumberFormat="1" applyFont="1" applyBorder="1"/>
    <xf numFmtId="172" fontId="5" fillId="0" borderId="47" xfId="72" applyNumberFormat="1" applyFont="1" applyBorder="1"/>
    <xf numFmtId="172" fontId="63" fillId="33" borderId="44" xfId="72" applyNumberFormat="1" applyFont="1" applyFill="1" applyBorder="1" applyAlignment="1">
      <alignment horizontal="center" vertical="center" wrapText="1"/>
    </xf>
    <xf numFmtId="172" fontId="63" fillId="33" borderId="45" xfId="72" applyNumberFormat="1" applyFont="1" applyFill="1" applyBorder="1" applyAlignment="1">
      <alignment horizontal="center" vertical="center" wrapText="1"/>
    </xf>
    <xf numFmtId="3" fontId="5" fillId="0" borderId="44" xfId="11" applyNumberFormat="1" applyFont="1" applyBorder="1"/>
    <xf numFmtId="172" fontId="5" fillId="0" borderId="53" xfId="72" applyNumberFormat="1" applyFont="1" applyBorder="1"/>
    <xf numFmtId="172" fontId="5" fillId="0" borderId="27" xfId="72" applyNumberFormat="1" applyFont="1" applyBorder="1"/>
    <xf numFmtId="172" fontId="5" fillId="0" borderId="54" xfId="72" applyNumberFormat="1" applyFont="1" applyBorder="1"/>
    <xf numFmtId="3" fontId="5" fillId="0" borderId="27" xfId="11" applyNumberFormat="1" applyFont="1" applyBorder="1"/>
    <xf numFmtId="172" fontId="5" fillId="0" borderId="48" xfId="72" applyNumberFormat="1" applyFont="1" applyBorder="1"/>
    <xf numFmtId="172" fontId="5" fillId="0" borderId="49" xfId="72" applyNumberFormat="1" applyFont="1" applyBorder="1"/>
    <xf numFmtId="3" fontId="5" fillId="0" borderId="49" xfId="11" applyNumberFormat="1" applyFont="1" applyBorder="1"/>
    <xf numFmtId="172" fontId="5" fillId="0" borderId="50" xfId="72" applyNumberFormat="1" applyFont="1" applyBorder="1"/>
    <xf numFmtId="0" fontId="63" fillId="38" borderId="3" xfId="11" applyFont="1" applyFill="1" applyBorder="1"/>
    <xf numFmtId="172" fontId="63" fillId="38" borderId="55" xfId="72" applyNumberFormat="1" applyFont="1" applyFill="1" applyBorder="1"/>
    <xf numFmtId="172" fontId="63" fillId="38" borderId="56" xfId="72" applyNumberFormat="1" applyFont="1" applyFill="1" applyBorder="1"/>
    <xf numFmtId="172" fontId="63" fillId="38" borderId="57" xfId="72" applyNumberFormat="1" applyFont="1" applyFill="1" applyBorder="1"/>
    <xf numFmtId="172" fontId="63" fillId="38" borderId="15" xfId="72" applyNumberFormat="1" applyFont="1" applyFill="1" applyBorder="1"/>
    <xf numFmtId="172" fontId="5" fillId="0" borderId="0" xfId="11" applyNumberFormat="1" applyFont="1"/>
    <xf numFmtId="172" fontId="5" fillId="0" borderId="15" xfId="11" applyNumberFormat="1" applyFont="1" applyBorder="1"/>
    <xf numFmtId="172" fontId="63" fillId="38" borderId="15" xfId="11" applyNumberFormat="1" applyFont="1" applyFill="1" applyBorder="1"/>
    <xf numFmtId="3" fontId="5" fillId="0" borderId="0" xfId="11" applyNumberFormat="1"/>
    <xf numFmtId="0" fontId="63" fillId="38" borderId="15" xfId="11" applyFont="1" applyFill="1" applyBorder="1" applyAlignment="1">
      <alignment horizontal="center" vertical="center"/>
    </xf>
    <xf numFmtId="3" fontId="63" fillId="38" borderId="15" xfId="11" applyNumberFormat="1" applyFont="1" applyFill="1" applyBorder="1" applyAlignment="1">
      <alignment horizontal="center" vertical="center"/>
    </xf>
    <xf numFmtId="0" fontId="5" fillId="0" borderId="51" xfId="11" applyBorder="1"/>
    <xf numFmtId="3" fontId="5" fillId="0" borderId="51" xfId="11" applyNumberFormat="1" applyBorder="1"/>
    <xf numFmtId="0" fontId="5" fillId="0" borderId="58" xfId="11" applyBorder="1"/>
    <xf numFmtId="3" fontId="5" fillId="0" borderId="58" xfId="11" applyNumberFormat="1" applyBorder="1"/>
    <xf numFmtId="0" fontId="63" fillId="38" borderId="59" xfId="11" applyFont="1" applyFill="1" applyBorder="1"/>
    <xf numFmtId="172" fontId="63" fillId="38" borderId="59" xfId="72" applyNumberFormat="1" applyFont="1" applyFill="1" applyBorder="1"/>
    <xf numFmtId="3" fontId="63" fillId="38" borderId="59" xfId="11" applyNumberFormat="1" applyFont="1" applyFill="1" applyBorder="1"/>
    <xf numFmtId="0" fontId="65" fillId="31" borderId="0" xfId="11" applyFont="1" applyFill="1"/>
    <xf numFmtId="172" fontId="65" fillId="31" borderId="0" xfId="72" applyNumberFormat="1" applyFont="1" applyFill="1"/>
    <xf numFmtId="0" fontId="66" fillId="0" borderId="0" xfId="11" applyFont="1"/>
    <xf numFmtId="172" fontId="65" fillId="31" borderId="0" xfId="11" applyNumberFormat="1" applyFont="1" applyFill="1"/>
    <xf numFmtId="0" fontId="5" fillId="0" borderId="15" xfId="11" applyFont="1" applyBorder="1"/>
    <xf numFmtId="172" fontId="63" fillId="33" borderId="43" xfId="72" applyNumberFormat="1" applyFont="1" applyFill="1" applyBorder="1" applyAlignment="1">
      <alignment horizontal="center" vertical="center" wrapText="1"/>
    </xf>
    <xf numFmtId="165" fontId="4" fillId="28" borderId="15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50" fillId="0" borderId="16" xfId="0" applyFont="1" applyBorder="1" applyAlignment="1">
      <alignment horizontal="center"/>
    </xf>
    <xf numFmtId="0" fontId="39" fillId="31" borderId="3" xfId="0" applyFont="1" applyFill="1" applyBorder="1" applyAlignment="1">
      <alignment horizontal="right"/>
    </xf>
    <xf numFmtId="0" fontId="39" fillId="31" borderId="4" xfId="0" applyFont="1" applyFill="1" applyBorder="1" applyAlignment="1">
      <alignment horizontal="right"/>
    </xf>
    <xf numFmtId="0" fontId="39" fillId="31" borderId="5" xfId="0" applyFont="1" applyFill="1" applyBorder="1" applyAlignment="1">
      <alignment horizontal="right"/>
    </xf>
    <xf numFmtId="0" fontId="39" fillId="31" borderId="0" xfId="0" applyFont="1" applyFill="1" applyAlignment="1">
      <alignment horizontal="center"/>
    </xf>
    <xf numFmtId="0" fontId="2" fillId="31" borderId="0" xfId="0" applyFont="1" applyFill="1" applyBorder="1" applyAlignment="1">
      <alignment horizontal="center" vertical="center" wrapText="1"/>
    </xf>
    <xf numFmtId="0" fontId="43" fillId="31" borderId="0" xfId="0" applyFont="1" applyFill="1" applyBorder="1" applyAlignment="1">
      <alignment horizontal="left"/>
    </xf>
    <xf numFmtId="0" fontId="38" fillId="31" borderId="22" xfId="0" applyFont="1" applyFill="1" applyBorder="1" applyAlignment="1">
      <alignment horizontal="center" vertical="center" wrapText="1"/>
    </xf>
    <xf numFmtId="0" fontId="38" fillId="31" borderId="25" xfId="0" applyFont="1" applyFill="1" applyBorder="1" applyAlignment="1">
      <alignment horizontal="center" vertical="center" wrapText="1"/>
    </xf>
    <xf numFmtId="0" fontId="38" fillId="31" borderId="26" xfId="0" applyFont="1" applyFill="1" applyBorder="1" applyAlignment="1">
      <alignment horizontal="center" vertical="center" wrapText="1"/>
    </xf>
    <xf numFmtId="0" fontId="38" fillId="0" borderId="22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8" fillId="0" borderId="26" xfId="0" applyFont="1" applyFill="1" applyBorder="1" applyAlignment="1">
      <alignment horizontal="center" vertical="center" wrapText="1"/>
    </xf>
    <xf numFmtId="0" fontId="46" fillId="31" borderId="0" xfId="0" applyFont="1" applyFill="1" applyBorder="1" applyAlignment="1">
      <alignment horizontal="left"/>
    </xf>
    <xf numFmtId="0" fontId="47" fillId="31" borderId="0" xfId="0" applyFont="1" applyFill="1" applyBorder="1" applyAlignment="1">
      <alignment horizontal="left"/>
    </xf>
    <xf numFmtId="0" fontId="48" fillId="31" borderId="0" xfId="0" applyFont="1" applyFill="1" applyBorder="1" applyAlignment="1">
      <alignment horizontal="left"/>
    </xf>
    <xf numFmtId="0" fontId="38" fillId="31" borderId="31" xfId="0" applyFont="1" applyFill="1" applyBorder="1" applyAlignment="1">
      <alignment horizontal="center" vertical="center"/>
    </xf>
    <xf numFmtId="0" fontId="38" fillId="31" borderId="33" xfId="0" applyFont="1" applyFill="1" applyBorder="1" applyAlignment="1">
      <alignment horizontal="center" vertical="center"/>
    </xf>
    <xf numFmtId="171" fontId="38" fillId="31" borderId="24" xfId="0" applyNumberFormat="1" applyFont="1" applyFill="1" applyBorder="1" applyAlignment="1">
      <alignment horizontal="left" vertical="center" wrapText="1"/>
    </xf>
    <xf numFmtId="0" fontId="44" fillId="32" borderId="31" xfId="0" applyFont="1" applyFill="1" applyBorder="1" applyAlignment="1">
      <alignment horizontal="center" vertical="center"/>
    </xf>
    <xf numFmtId="0" fontId="44" fillId="32" borderId="32" xfId="0" applyFont="1" applyFill="1" applyBorder="1" applyAlignment="1">
      <alignment horizontal="center" vertical="center"/>
    </xf>
    <xf numFmtId="0" fontId="44" fillId="32" borderId="33" xfId="0" applyFont="1" applyFill="1" applyBorder="1" applyAlignment="1">
      <alignment horizontal="center" vertical="center"/>
    </xf>
    <xf numFmtId="0" fontId="38" fillId="31" borderId="31" xfId="0" applyFont="1" applyFill="1" applyBorder="1" applyAlignment="1">
      <alignment horizontal="left" vertical="center"/>
    </xf>
    <xf numFmtId="0" fontId="38" fillId="31" borderId="33" xfId="0" applyFont="1" applyFill="1" applyBorder="1" applyAlignment="1">
      <alignment horizontal="left" vertical="center"/>
    </xf>
    <xf numFmtId="171" fontId="38" fillId="31" borderId="27" xfId="0" applyNumberFormat="1" applyFont="1" applyFill="1" applyBorder="1" applyAlignment="1">
      <alignment horizontal="left" vertical="center" wrapText="1"/>
    </xf>
    <xf numFmtId="0" fontId="50" fillId="31" borderId="3" xfId="0" applyFont="1" applyFill="1" applyBorder="1" applyAlignment="1">
      <alignment horizontal="left" wrapText="1"/>
    </xf>
    <xf numFmtId="0" fontId="50" fillId="31" borderId="5" xfId="0" applyFont="1" applyFill="1" applyBorder="1" applyAlignment="1">
      <alignment horizontal="left" wrapText="1"/>
    </xf>
    <xf numFmtId="0" fontId="39" fillId="33" borderId="3" xfId="0" applyFont="1" applyFill="1" applyBorder="1" applyAlignment="1">
      <alignment horizontal="right" wrapText="1"/>
    </xf>
    <xf numFmtId="0" fontId="39" fillId="33" borderId="4" xfId="0" applyFont="1" applyFill="1" applyBorder="1" applyAlignment="1">
      <alignment horizontal="right" wrapText="1"/>
    </xf>
    <xf numFmtId="0" fontId="39" fillId="33" borderId="5" xfId="0" applyFont="1" applyFill="1" applyBorder="1" applyAlignment="1">
      <alignment horizontal="right" wrapText="1"/>
    </xf>
    <xf numFmtId="0" fontId="52" fillId="32" borderId="34" xfId="0" applyFont="1" applyFill="1" applyBorder="1" applyAlignment="1">
      <alignment horizontal="center" vertical="center"/>
    </xf>
    <xf numFmtId="0" fontId="52" fillId="32" borderId="35" xfId="0" applyFont="1" applyFill="1" applyBorder="1" applyAlignment="1">
      <alignment horizontal="center" vertical="center"/>
    </xf>
    <xf numFmtId="0" fontId="52" fillId="32" borderId="36" xfId="0" applyFont="1" applyFill="1" applyBorder="1" applyAlignment="1">
      <alignment horizontal="center" vertical="center"/>
    </xf>
    <xf numFmtId="0" fontId="38" fillId="31" borderId="15" xfId="0" applyFont="1" applyFill="1" applyBorder="1" applyAlignment="1">
      <alignment horizontal="left"/>
    </xf>
    <xf numFmtId="0" fontId="38" fillId="31" borderId="3" xfId="0" applyFont="1" applyFill="1" applyBorder="1" applyAlignment="1">
      <alignment horizontal="left" wrapText="1"/>
    </xf>
    <xf numFmtId="0" fontId="38" fillId="31" borderId="5" xfId="0" applyFont="1" applyFill="1" applyBorder="1" applyAlignment="1">
      <alignment horizontal="left" wrapText="1"/>
    </xf>
    <xf numFmtId="0" fontId="38" fillId="31" borderId="0" xfId="0" applyFont="1" applyFill="1" applyBorder="1" applyAlignment="1">
      <alignment horizontal="left"/>
    </xf>
    <xf numFmtId="0" fontId="50" fillId="31" borderId="0" xfId="0" applyFont="1" applyFill="1" applyBorder="1" applyAlignment="1">
      <alignment horizontal="left" wrapText="1"/>
    </xf>
    <xf numFmtId="172" fontId="38" fillId="31" borderId="38" xfId="72" applyNumberFormat="1" applyFont="1" applyFill="1" applyBorder="1" applyAlignment="1">
      <alignment horizontal="center" vertical="center" wrapText="1"/>
    </xf>
    <xf numFmtId="172" fontId="38" fillId="31" borderId="23" xfId="72" applyNumberFormat="1" applyFont="1" applyFill="1" applyBorder="1" applyAlignment="1">
      <alignment horizontal="center" vertical="center" wrapText="1"/>
    </xf>
    <xf numFmtId="0" fontId="38" fillId="31" borderId="20" xfId="0" applyFont="1" applyFill="1" applyBorder="1" applyAlignment="1">
      <alignment horizontal="left" vertical="center" wrapText="1"/>
    </xf>
    <xf numFmtId="0" fontId="38" fillId="31" borderId="0" xfId="0" applyFont="1" applyFill="1" applyAlignment="1">
      <alignment horizontal="left" vertical="center" wrapText="1"/>
    </xf>
    <xf numFmtId="171" fontId="38" fillId="31" borderId="38" xfId="10" applyNumberFormat="1" applyFont="1" applyFill="1" applyBorder="1" applyAlignment="1">
      <alignment horizontal="center" vertical="center" wrapText="1"/>
    </xf>
    <xf numFmtId="171" fontId="38" fillId="31" borderId="23" xfId="10" applyNumberFormat="1" applyFont="1" applyFill="1" applyBorder="1" applyAlignment="1">
      <alignment horizontal="center" vertical="center" wrapText="1"/>
    </xf>
    <xf numFmtId="0" fontId="38" fillId="31" borderId="38" xfId="0" applyFont="1" applyFill="1" applyBorder="1" applyAlignment="1">
      <alignment horizontal="center" vertical="center" wrapText="1"/>
    </xf>
    <xf numFmtId="0" fontId="38" fillId="31" borderId="23" xfId="0" applyFont="1" applyFill="1" applyBorder="1" applyAlignment="1">
      <alignment horizontal="center" vertical="center" wrapText="1"/>
    </xf>
    <xf numFmtId="171" fontId="38" fillId="31" borderId="39" xfId="10" applyNumberFormat="1" applyFont="1" applyFill="1" applyBorder="1" applyAlignment="1">
      <alignment horizontal="center" vertical="center" wrapText="1"/>
    </xf>
    <xf numFmtId="171" fontId="38" fillId="0" borderId="38" xfId="10" applyNumberFormat="1" applyFont="1" applyFill="1" applyBorder="1" applyAlignment="1">
      <alignment horizontal="center" vertical="center" wrapText="1"/>
    </xf>
    <xf numFmtId="171" fontId="38" fillId="0" borderId="39" xfId="10" applyNumberFormat="1" applyFont="1" applyFill="1" applyBorder="1" applyAlignment="1">
      <alignment horizontal="center" vertical="center" wrapText="1"/>
    </xf>
    <xf numFmtId="171" fontId="38" fillId="0" borderId="23" xfId="10" applyNumberFormat="1" applyFont="1" applyFill="1" applyBorder="1" applyAlignment="1">
      <alignment horizontal="center" vertical="center" wrapText="1"/>
    </xf>
    <xf numFmtId="0" fontId="38" fillId="31" borderId="39" xfId="0" applyFont="1" applyFill="1" applyBorder="1" applyAlignment="1">
      <alignment horizontal="center" vertical="center" wrapText="1"/>
    </xf>
    <xf numFmtId="171" fontId="38" fillId="31" borderId="40" xfId="10" applyNumberFormat="1" applyFont="1" applyFill="1" applyBorder="1" applyAlignment="1">
      <alignment horizontal="center" vertical="center" wrapText="1"/>
    </xf>
    <xf numFmtId="172" fontId="38" fillId="31" borderId="39" xfId="72" applyNumberFormat="1" applyFont="1" applyFill="1" applyBorder="1" applyAlignment="1">
      <alignment horizontal="center" vertical="center" wrapText="1"/>
    </xf>
    <xf numFmtId="172" fontId="38" fillId="31" borderId="40" xfId="72" applyNumberFormat="1" applyFont="1" applyFill="1" applyBorder="1" applyAlignment="1">
      <alignment horizontal="center" vertical="center" wrapText="1"/>
    </xf>
    <xf numFmtId="172" fontId="38" fillId="31" borderId="27" xfId="72" applyNumberFormat="1" applyFont="1" applyFill="1" applyBorder="1" applyAlignment="1">
      <alignment horizontal="center" vertical="center" wrapText="1"/>
    </xf>
    <xf numFmtId="0" fontId="38" fillId="31" borderId="27" xfId="0" applyFont="1" applyFill="1" applyBorder="1" applyAlignment="1">
      <alignment horizontal="center" vertical="center" wrapText="1"/>
    </xf>
    <xf numFmtId="0" fontId="38" fillId="31" borderId="40" xfId="0" applyFont="1" applyFill="1" applyBorder="1" applyAlignment="1">
      <alignment horizontal="center" vertical="center" wrapText="1"/>
    </xf>
    <xf numFmtId="0" fontId="58" fillId="31" borderId="15" xfId="0" applyFont="1" applyFill="1" applyBorder="1" applyAlignment="1">
      <alignment horizontal="left"/>
    </xf>
    <xf numFmtId="0" fontId="58" fillId="31" borderId="3" xfId="0" applyFont="1" applyFill="1" applyBorder="1" applyAlignment="1">
      <alignment horizontal="left" wrapText="1"/>
    </xf>
    <xf numFmtId="0" fontId="58" fillId="31" borderId="5" xfId="0" applyFont="1" applyFill="1" applyBorder="1" applyAlignment="1">
      <alignment horizontal="left" wrapText="1"/>
    </xf>
    <xf numFmtId="0" fontId="59" fillId="31" borderId="3" xfId="0" applyFont="1" applyFill="1" applyBorder="1" applyAlignment="1">
      <alignment horizontal="left" wrapText="1"/>
    </xf>
    <xf numFmtId="0" fontId="59" fillId="31" borderId="5" xfId="0" applyFont="1" applyFill="1" applyBorder="1" applyAlignment="1">
      <alignment horizontal="left" wrapText="1"/>
    </xf>
    <xf numFmtId="0" fontId="55" fillId="32" borderId="0" xfId="0" applyFont="1" applyFill="1" applyBorder="1" applyAlignment="1">
      <alignment horizontal="center" vertical="center" wrapText="1"/>
    </xf>
    <xf numFmtId="0" fontId="59" fillId="35" borderId="0" xfId="0" applyFont="1" applyFill="1" applyAlignment="1">
      <alignment horizontal="center"/>
    </xf>
    <xf numFmtId="172" fontId="63" fillId="38" borderId="41" xfId="72" applyNumberFormat="1" applyFont="1" applyFill="1" applyBorder="1" applyAlignment="1">
      <alignment horizontal="center" vertical="center" wrapText="1"/>
    </xf>
    <xf numFmtId="172" fontId="63" fillId="38" borderId="42" xfId="72" applyNumberFormat="1" applyFont="1" applyFill="1" applyBorder="1" applyAlignment="1">
      <alignment horizontal="center" vertical="center" wrapText="1"/>
    </xf>
    <xf numFmtId="172" fontId="63" fillId="38" borderId="41" xfId="72" applyNumberFormat="1" applyFont="1" applyFill="1" applyBorder="1" applyAlignment="1">
      <alignment horizontal="center" vertical="center"/>
    </xf>
    <xf numFmtId="172" fontId="63" fillId="38" borderId="42" xfId="72" applyNumberFormat="1" applyFont="1" applyFill="1" applyBorder="1" applyAlignment="1">
      <alignment horizontal="center" vertical="center"/>
    </xf>
    <xf numFmtId="0" fontId="64" fillId="0" borderId="3" xfId="11" applyFont="1" applyBorder="1" applyAlignment="1">
      <alignment horizontal="center" vertical="center"/>
    </xf>
    <xf numFmtId="0" fontId="64" fillId="0" borderId="4" xfId="11" applyFont="1" applyBorder="1" applyAlignment="1">
      <alignment horizontal="center" vertical="center"/>
    </xf>
    <xf numFmtId="0" fontId="64" fillId="0" borderId="5" xfId="11" applyFont="1" applyBorder="1" applyAlignment="1">
      <alignment horizontal="center" vertical="center"/>
    </xf>
    <xf numFmtId="172" fontId="63" fillId="33" borderId="3" xfId="72" applyNumberFormat="1" applyFont="1" applyFill="1" applyBorder="1" applyAlignment="1">
      <alignment horizontal="center" vertical="center"/>
    </xf>
    <xf numFmtId="172" fontId="63" fillId="33" borderId="4" xfId="72" applyNumberFormat="1" applyFont="1" applyFill="1" applyBorder="1" applyAlignment="1">
      <alignment horizontal="center" vertical="center"/>
    </xf>
    <xf numFmtId="172" fontId="63" fillId="33" borderId="5" xfId="72" applyNumberFormat="1" applyFont="1" applyFill="1" applyBorder="1" applyAlignment="1">
      <alignment horizontal="center" vertical="center"/>
    </xf>
    <xf numFmtId="172" fontId="63" fillId="28" borderId="3" xfId="72" applyNumberFormat="1" applyFont="1" applyFill="1" applyBorder="1" applyAlignment="1">
      <alignment horizontal="center" vertical="center"/>
    </xf>
    <xf numFmtId="172" fontId="63" fillId="28" borderId="4" xfId="72" applyNumberFormat="1" applyFont="1" applyFill="1" applyBorder="1" applyAlignment="1">
      <alignment horizontal="center" vertical="center"/>
    </xf>
    <xf numFmtId="172" fontId="63" fillId="28" borderId="5" xfId="72" applyNumberFormat="1" applyFont="1" applyFill="1" applyBorder="1" applyAlignment="1">
      <alignment horizontal="center" vertical="center"/>
    </xf>
    <xf numFmtId="172" fontId="63" fillId="37" borderId="3" xfId="72" applyNumberFormat="1" applyFont="1" applyFill="1" applyBorder="1" applyAlignment="1">
      <alignment horizontal="center" vertical="center"/>
    </xf>
    <xf numFmtId="172" fontId="63" fillId="37" borderId="4" xfId="72" applyNumberFormat="1" applyFont="1" applyFill="1" applyBorder="1" applyAlignment="1">
      <alignment horizontal="center" vertical="center"/>
    </xf>
    <xf numFmtId="172" fontId="63" fillId="37" borderId="5" xfId="72" applyNumberFormat="1" applyFont="1" applyFill="1" applyBorder="1" applyAlignment="1">
      <alignment horizontal="center" vertical="center"/>
    </xf>
    <xf numFmtId="172" fontId="63" fillId="36" borderId="4" xfId="72" applyNumberFormat="1" applyFont="1" applyFill="1" applyBorder="1" applyAlignment="1">
      <alignment horizontal="center" vertical="center"/>
    </xf>
    <xf numFmtId="172" fontId="63" fillId="36" borderId="5" xfId="72" applyNumberFormat="1" applyFont="1" applyFill="1" applyBorder="1" applyAlignment="1">
      <alignment horizontal="center" vertical="center"/>
    </xf>
    <xf numFmtId="0" fontId="63" fillId="30" borderId="34" xfId="11" applyFont="1" applyFill="1" applyBorder="1" applyAlignment="1">
      <alignment horizontal="center" vertical="center"/>
    </xf>
    <xf numFmtId="0" fontId="63" fillId="30" borderId="52" xfId="11" applyFont="1" applyFill="1" applyBorder="1" applyAlignment="1">
      <alignment horizontal="center" vertical="center"/>
    </xf>
  </cellXfs>
  <cellStyles count="74">
    <cellStyle name="20% - Accent1" xfId="23"/>
    <cellStyle name="20% - Accent2" xfId="24"/>
    <cellStyle name="20% - Accent3" xfId="25"/>
    <cellStyle name="20% - Accent4" xfId="26"/>
    <cellStyle name="20% - Accent5" xfId="27"/>
    <cellStyle name="20% - Accent6" xfId="28"/>
    <cellStyle name="40% - Accent1" xfId="29"/>
    <cellStyle name="40% - Accent2" xfId="30"/>
    <cellStyle name="40% - Accent3" xfId="31"/>
    <cellStyle name="40% - Accent4" xfId="32"/>
    <cellStyle name="40% - Accent5" xfId="33"/>
    <cellStyle name="40% - Accent6" xfId="34"/>
    <cellStyle name="60% - Accent1" xfId="35"/>
    <cellStyle name="60% - Accent2" xfId="36"/>
    <cellStyle name="60% - Accent3" xfId="37"/>
    <cellStyle name="60% - Accent4" xfId="38"/>
    <cellStyle name="60% - Accent5" xfId="39"/>
    <cellStyle name="60% - Accent6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ed Data 1d" xfId="48"/>
    <cellStyle name="Calculation" xfId="49"/>
    <cellStyle name="Check Cell" xfId="50"/>
    <cellStyle name="Comma" xfId="72" builtinId="3"/>
    <cellStyle name="Currency" xfId="1" builtinId="4"/>
    <cellStyle name="Euro" xfId="51"/>
    <cellStyle name="Explanatory Text" xfId="52"/>
    <cellStyle name="Good" xfId="53"/>
    <cellStyle name="Heading" xfId="54"/>
    <cellStyle name="Heading 1" xfId="55"/>
    <cellStyle name="Heading 2" xfId="56"/>
    <cellStyle name="Heading 3" xfId="57"/>
    <cellStyle name="Heading 4" xfId="58"/>
    <cellStyle name="Input" xfId="59"/>
    <cellStyle name="Linked Cell" xfId="60"/>
    <cellStyle name="Millares 2" xfId="8"/>
    <cellStyle name="Moneda 2" xfId="9"/>
    <cellStyle name="Moneda 2 2" xfId="61"/>
    <cellStyle name="Moneda 3" xfId="10"/>
    <cellStyle name="Moneda 3 2" xfId="62"/>
    <cellStyle name="Moneda 4" xfId="2"/>
    <cellStyle name="Moneda 4 2" xfId="63"/>
    <cellStyle name="Moneda 5" xfId="18"/>
    <cellStyle name="Moneda 5 2" xfId="21"/>
    <cellStyle name="Neutral 2" xfId="4"/>
    <cellStyle name="Normal" xfId="0" builtinId="0"/>
    <cellStyle name="Normal 2" xfId="6"/>
    <cellStyle name="Normal 2 2" xfId="11"/>
    <cellStyle name="Normal 2 2 2" xfId="65"/>
    <cellStyle name="Normal 2 3" xfId="14"/>
    <cellStyle name="Normal 2 3 2" xfId="22"/>
    <cellStyle name="Normal 2 4" xfId="64"/>
    <cellStyle name="Normal 3" xfId="12"/>
    <cellStyle name="Normal 3 2" xfId="16"/>
    <cellStyle name="Normal 4" xfId="13"/>
    <cellStyle name="Normal 4 2" xfId="20"/>
    <cellStyle name="Normal 5" xfId="7"/>
    <cellStyle name="Normal 6" xfId="15"/>
    <cellStyle name="Normal 7" xfId="3"/>
    <cellStyle name="Normal 8" xfId="17"/>
    <cellStyle name="Normal 9" xfId="73"/>
    <cellStyle name="Note" xfId="66"/>
    <cellStyle name="Output" xfId="67"/>
    <cellStyle name="Percent" xfId="71" builtinId="5"/>
    <cellStyle name="Porcentaje 2" xfId="19"/>
    <cellStyle name="Porcentual 2" xfId="68"/>
    <cellStyle name="Title" xfId="69"/>
    <cellStyle name="Total 2" xfId="5"/>
    <cellStyle name="Warning Text" xfId="7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33617</xdr:colOff>
      <xdr:row>56</xdr:row>
      <xdr:rowOff>56030</xdr:rowOff>
    </xdr:from>
    <xdr:to>
      <xdr:col>6</xdr:col>
      <xdr:colOff>1415143</xdr:colOff>
      <xdr:row>91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688" y="13799244"/>
          <a:ext cx="6837991" cy="623047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27215</xdr:colOff>
      <xdr:row>55</xdr:row>
      <xdr:rowOff>330651</xdr:rowOff>
    </xdr:from>
    <xdr:to>
      <xdr:col>18</xdr:col>
      <xdr:colOff>13607</xdr:colOff>
      <xdr:row>91</xdr:row>
      <xdr:rowOff>27212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4929" y="13733687"/>
          <a:ext cx="8409214" cy="63096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dy.molina/Desktop/Copia%20de%20Base%20presupuesto%202014%20ANTEK%20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GENERAL"/>
      <sheetName val="CUADRO FERNEY"/>
      <sheetName val="CUADRO GNRAL"/>
      <sheetName val="Hoja1 (2)"/>
      <sheetName val="Hoja1"/>
      <sheetName val="P &amp; E año completo"/>
      <sheetName val="Plan exploración 2015-2020"/>
      <sheetName val="Precio Monitore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>
            <v>58000000</v>
          </cell>
          <cell r="D4">
            <v>38000000</v>
          </cell>
          <cell r="E4">
            <v>50000000</v>
          </cell>
          <cell r="F4">
            <v>70000000</v>
          </cell>
          <cell r="H4">
            <v>99000000</v>
          </cell>
          <cell r="I4">
            <v>70000000</v>
          </cell>
          <cell r="J4">
            <v>58000000</v>
          </cell>
        </row>
        <row r="5">
          <cell r="D5">
            <v>22000000</v>
          </cell>
        </row>
        <row r="6">
          <cell r="C6">
            <v>3000000</v>
          </cell>
          <cell r="D6">
            <v>1600000</v>
          </cell>
          <cell r="E6">
            <v>1600000</v>
          </cell>
          <cell r="F6">
            <v>1600000</v>
          </cell>
          <cell r="G6">
            <v>3500000</v>
          </cell>
          <cell r="H6">
            <v>3000000</v>
          </cell>
          <cell r="I6">
            <v>4100000</v>
          </cell>
          <cell r="J6">
            <v>4000000</v>
          </cell>
        </row>
        <row r="7">
          <cell r="C7">
            <v>22850000</v>
          </cell>
          <cell r="D7">
            <v>39646088</v>
          </cell>
          <cell r="E7">
            <v>2400000</v>
          </cell>
          <cell r="F7">
            <v>2200000</v>
          </cell>
          <cell r="H7">
            <v>5500000</v>
          </cell>
          <cell r="I7">
            <v>22000000</v>
          </cell>
          <cell r="J7">
            <v>13000000</v>
          </cell>
        </row>
        <row r="8">
          <cell r="C8">
            <v>3500000</v>
          </cell>
          <cell r="D8">
            <v>250000</v>
          </cell>
          <cell r="F8">
            <v>200000</v>
          </cell>
          <cell r="G8">
            <v>1800000</v>
          </cell>
        </row>
        <row r="9">
          <cell r="C9">
            <v>3500000</v>
          </cell>
          <cell r="D9">
            <v>2181969</v>
          </cell>
          <cell r="I9">
            <v>1900000</v>
          </cell>
        </row>
        <row r="10">
          <cell r="D10">
            <v>1700000</v>
          </cell>
        </row>
        <row r="11">
          <cell r="I11">
            <v>7800000</v>
          </cell>
          <cell r="J11">
            <v>6000000</v>
          </cell>
        </row>
        <row r="13">
          <cell r="I13">
            <v>2000000</v>
          </cell>
        </row>
        <row r="14">
          <cell r="D14">
            <v>27000000</v>
          </cell>
          <cell r="E14">
            <v>4500000</v>
          </cell>
          <cell r="F14">
            <v>6000000</v>
          </cell>
          <cell r="G14">
            <v>19600000</v>
          </cell>
        </row>
        <row r="15">
          <cell r="G15">
            <v>1700000</v>
          </cell>
        </row>
        <row r="17">
          <cell r="F17">
            <v>2200000</v>
          </cell>
        </row>
        <row r="22">
          <cell r="E22">
            <v>55000000</v>
          </cell>
        </row>
        <row r="24">
          <cell r="C24">
            <v>4000000</v>
          </cell>
          <cell r="E24">
            <v>4000000</v>
          </cell>
        </row>
        <row r="26">
          <cell r="C26">
            <v>3500000</v>
          </cell>
          <cell r="I26">
            <v>3500000</v>
          </cell>
        </row>
        <row r="27">
          <cell r="C27">
            <v>3500000</v>
          </cell>
          <cell r="I27">
            <v>1900000</v>
          </cell>
        </row>
        <row r="28">
          <cell r="C28">
            <v>3000000</v>
          </cell>
          <cell r="I28">
            <v>3000000</v>
          </cell>
        </row>
        <row r="29">
          <cell r="C29">
            <v>3500000</v>
          </cell>
          <cell r="I29">
            <v>6000000</v>
          </cell>
        </row>
        <row r="30">
          <cell r="C30">
            <v>3500000</v>
          </cell>
          <cell r="I30">
            <v>3500000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0"/>
  <sheetViews>
    <sheetView zoomScaleNormal="100" zoomScaleSheetLayoutView="85" workbookViewId="0">
      <selection activeCell="C43" sqref="C43"/>
    </sheetView>
  </sheetViews>
  <sheetFormatPr defaultColWidth="11.42578125" defaultRowHeight="14.25" x14ac:dyDescent="0.2"/>
  <cols>
    <col min="1" max="1" width="83" style="10" customWidth="1"/>
    <col min="2" max="2" width="6.85546875" style="10" bestFit="1" customWidth="1"/>
    <col min="3" max="3" width="29.7109375" style="10" customWidth="1"/>
    <col min="4" max="4" width="31.28515625" style="10" customWidth="1"/>
    <col min="5" max="5" width="28.140625" style="10" bestFit="1" customWidth="1"/>
    <col min="6" max="6" width="22.42578125" style="10" customWidth="1"/>
    <col min="7" max="7" width="21.42578125" style="10" customWidth="1"/>
    <col min="8" max="8" width="23.5703125" style="10" customWidth="1"/>
    <col min="9" max="9" width="23.42578125" style="10" customWidth="1"/>
    <col min="10" max="16384" width="11.42578125" style="10"/>
  </cols>
  <sheetData>
    <row r="2" spans="1:9" ht="25.5" x14ac:dyDescent="0.35">
      <c r="A2" s="8"/>
      <c r="B2" s="8"/>
      <c r="C2" s="9"/>
    </row>
    <row r="3" spans="1:9" ht="54" x14ac:dyDescent="0.2">
      <c r="A3" s="2" t="s">
        <v>33</v>
      </c>
      <c r="B3" s="3"/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</row>
    <row r="4" spans="1:9" x14ac:dyDescent="0.2">
      <c r="A4" s="1" t="s">
        <v>58</v>
      </c>
      <c r="B4" s="35"/>
      <c r="C4" s="11">
        <v>2832466</v>
      </c>
      <c r="D4" s="12">
        <v>2826000</v>
      </c>
      <c r="E4" s="12">
        <v>2741220</v>
      </c>
      <c r="F4" s="4">
        <v>5</v>
      </c>
      <c r="G4" s="13">
        <f t="shared" ref="G4:G18" si="0">C4*F4</f>
        <v>14162330</v>
      </c>
      <c r="H4" s="13">
        <f t="shared" ref="H4:H27" si="1">D4*F4</f>
        <v>14130000</v>
      </c>
      <c r="I4" s="13">
        <f>E4*F4</f>
        <v>13706100</v>
      </c>
    </row>
    <row r="5" spans="1:9" x14ac:dyDescent="0.2">
      <c r="A5" s="1" t="s">
        <v>59</v>
      </c>
      <c r="B5" s="35"/>
      <c r="C5" s="11">
        <v>23653701.271200005</v>
      </c>
      <c r="D5" s="12">
        <v>12000000</v>
      </c>
      <c r="E5" s="12">
        <v>11640000</v>
      </c>
      <c r="F5" s="4">
        <v>5</v>
      </c>
      <c r="G5" s="13">
        <f t="shared" si="0"/>
        <v>118268506.35600002</v>
      </c>
      <c r="H5" s="13">
        <f t="shared" si="1"/>
        <v>60000000</v>
      </c>
      <c r="I5" s="13">
        <f t="shared" ref="I5:I34" si="2">E5*F5</f>
        <v>58200000</v>
      </c>
    </row>
    <row r="6" spans="1:9" x14ac:dyDescent="0.2">
      <c r="A6" s="1" t="s">
        <v>60</v>
      </c>
      <c r="B6" s="35"/>
      <c r="C6" s="11">
        <v>39951600</v>
      </c>
      <c r="D6" s="12">
        <v>25000000</v>
      </c>
      <c r="E6" s="12">
        <v>24250000</v>
      </c>
      <c r="F6" s="4">
        <v>5</v>
      </c>
      <c r="G6" s="13">
        <f t="shared" si="0"/>
        <v>199758000</v>
      </c>
      <c r="H6" s="13">
        <f t="shared" si="1"/>
        <v>125000000</v>
      </c>
      <c r="I6" s="13">
        <f t="shared" si="2"/>
        <v>121250000</v>
      </c>
    </row>
    <row r="7" spans="1:9" x14ac:dyDescent="0.2">
      <c r="A7" s="1" t="s">
        <v>0</v>
      </c>
      <c r="B7" s="35"/>
      <c r="C7" s="11">
        <v>212522.02400000003</v>
      </c>
      <c r="D7" s="12">
        <v>213000</v>
      </c>
      <c r="E7" s="12">
        <v>206610</v>
      </c>
      <c r="F7" s="4">
        <v>40</v>
      </c>
      <c r="G7" s="13">
        <f t="shared" si="0"/>
        <v>8500880.9600000009</v>
      </c>
      <c r="H7" s="13">
        <f t="shared" si="1"/>
        <v>8520000</v>
      </c>
      <c r="I7" s="13">
        <f t="shared" si="2"/>
        <v>8264400</v>
      </c>
    </row>
    <row r="8" spans="1:9" x14ac:dyDescent="0.2">
      <c r="A8" s="1" t="s">
        <v>1</v>
      </c>
      <c r="B8" s="35"/>
      <c r="C8" s="14">
        <v>603900.11151250009</v>
      </c>
      <c r="D8" s="15">
        <v>531000</v>
      </c>
      <c r="E8" s="12">
        <v>515070</v>
      </c>
      <c r="F8" s="4">
        <v>150</v>
      </c>
      <c r="G8" s="13">
        <f t="shared" si="0"/>
        <v>90585016.726875007</v>
      </c>
      <c r="H8" s="13">
        <f t="shared" si="1"/>
        <v>79650000</v>
      </c>
      <c r="I8" s="13">
        <f t="shared" si="2"/>
        <v>77260500</v>
      </c>
    </row>
    <row r="9" spans="1:9" x14ac:dyDescent="0.2">
      <c r="A9" s="1" t="s">
        <v>2</v>
      </c>
      <c r="B9" s="35"/>
      <c r="C9" s="11">
        <v>5047398.07</v>
      </c>
      <c r="D9" s="12">
        <v>3117000</v>
      </c>
      <c r="E9" s="12">
        <v>3023490</v>
      </c>
      <c r="F9" s="4">
        <v>150</v>
      </c>
      <c r="G9" s="13">
        <f t="shared" si="0"/>
        <v>757109710.5</v>
      </c>
      <c r="H9" s="13">
        <f t="shared" si="1"/>
        <v>467550000</v>
      </c>
      <c r="I9" s="13">
        <f t="shared" si="2"/>
        <v>453523500</v>
      </c>
    </row>
    <row r="10" spans="1:9" x14ac:dyDescent="0.2">
      <c r="A10" s="1" t="s">
        <v>3</v>
      </c>
      <c r="B10" s="35"/>
      <c r="C10" s="11">
        <v>1168000</v>
      </c>
      <c r="D10" s="12">
        <v>1000000</v>
      </c>
      <c r="E10" s="12">
        <f>776000+194000</f>
        <v>970000</v>
      </c>
      <c r="F10" s="4">
        <v>15</v>
      </c>
      <c r="G10" s="13">
        <f t="shared" si="0"/>
        <v>17520000</v>
      </c>
      <c r="H10" s="13">
        <f t="shared" si="1"/>
        <v>15000000</v>
      </c>
      <c r="I10" s="13">
        <f t="shared" si="2"/>
        <v>14550000</v>
      </c>
    </row>
    <row r="11" spans="1:9" x14ac:dyDescent="0.2">
      <c r="A11" s="1" t="s">
        <v>4</v>
      </c>
      <c r="B11" s="35"/>
      <c r="C11" s="11">
        <v>1168000</v>
      </c>
      <c r="D11" s="12">
        <v>1100000</v>
      </c>
      <c r="E11" s="12">
        <v>1067000</v>
      </c>
      <c r="F11" s="4">
        <v>15</v>
      </c>
      <c r="G11" s="13">
        <f t="shared" si="0"/>
        <v>17520000</v>
      </c>
      <c r="H11" s="13">
        <f t="shared" si="1"/>
        <v>16500000</v>
      </c>
      <c r="I11" s="13">
        <f t="shared" si="2"/>
        <v>16005000</v>
      </c>
    </row>
    <row r="12" spans="1:9" x14ac:dyDescent="0.2">
      <c r="A12" s="1" t="s">
        <v>5</v>
      </c>
      <c r="B12" s="35"/>
      <c r="C12" s="14">
        <v>1785450.6541300002</v>
      </c>
      <c r="D12" s="12">
        <v>1651000</v>
      </c>
      <c r="E12" s="12">
        <v>1601470</v>
      </c>
      <c r="F12" s="4">
        <v>15</v>
      </c>
      <c r="G12" s="13">
        <f t="shared" si="0"/>
        <v>26781759.811950002</v>
      </c>
      <c r="H12" s="13">
        <f t="shared" si="1"/>
        <v>24765000</v>
      </c>
      <c r="I12" s="13">
        <f t="shared" si="2"/>
        <v>24022050</v>
      </c>
    </row>
    <row r="13" spans="1:9" x14ac:dyDescent="0.2">
      <c r="A13" s="1" t="s">
        <v>6</v>
      </c>
      <c r="B13" s="35"/>
      <c r="C13" s="11">
        <v>850088.09600000014</v>
      </c>
      <c r="D13" s="12">
        <v>1280000</v>
      </c>
      <c r="E13" s="12">
        <v>1241600</v>
      </c>
      <c r="F13" s="4">
        <v>30</v>
      </c>
      <c r="G13" s="13">
        <f t="shared" si="0"/>
        <v>25502642.880000003</v>
      </c>
      <c r="H13" s="13">
        <f t="shared" si="1"/>
        <v>38400000</v>
      </c>
      <c r="I13" s="13">
        <f t="shared" si="2"/>
        <v>37248000</v>
      </c>
    </row>
    <row r="14" spans="1:9" x14ac:dyDescent="0.2">
      <c r="A14" s="1" t="s">
        <v>26</v>
      </c>
      <c r="B14" s="35"/>
      <c r="C14" s="14">
        <v>603900.11151250009</v>
      </c>
      <c r="D14" s="12">
        <v>531000</v>
      </c>
      <c r="E14" s="12">
        <v>515070</v>
      </c>
      <c r="F14" s="4">
        <v>30</v>
      </c>
      <c r="G14" s="13">
        <f t="shared" si="0"/>
        <v>18117003.345375001</v>
      </c>
      <c r="H14" s="13">
        <f t="shared" si="1"/>
        <v>15930000</v>
      </c>
      <c r="I14" s="13">
        <f t="shared" si="2"/>
        <v>15452100</v>
      </c>
    </row>
    <row r="15" spans="1:9" x14ac:dyDescent="0.2">
      <c r="A15" s="1" t="s">
        <v>27</v>
      </c>
      <c r="B15" s="35"/>
      <c r="C15" s="11">
        <v>2304000</v>
      </c>
      <c r="D15" s="12">
        <v>1217000</v>
      </c>
      <c r="E15" s="12">
        <v>1180490</v>
      </c>
      <c r="F15" s="4">
        <v>30</v>
      </c>
      <c r="G15" s="13">
        <f t="shared" si="0"/>
        <v>69120000</v>
      </c>
      <c r="H15" s="13">
        <f t="shared" si="1"/>
        <v>36510000</v>
      </c>
      <c r="I15" s="13">
        <f t="shared" si="2"/>
        <v>35414700</v>
      </c>
    </row>
    <row r="16" spans="1:9" x14ac:dyDescent="0.2">
      <c r="A16" s="1" t="s">
        <v>7</v>
      </c>
      <c r="B16" s="35"/>
      <c r="C16" s="11">
        <v>3875000</v>
      </c>
      <c r="D16" s="12">
        <v>3548000</v>
      </c>
      <c r="E16" s="12">
        <v>3441560</v>
      </c>
      <c r="F16" s="4">
        <v>8</v>
      </c>
      <c r="G16" s="13">
        <f t="shared" si="0"/>
        <v>31000000</v>
      </c>
      <c r="H16" s="13">
        <f t="shared" si="1"/>
        <v>28384000</v>
      </c>
      <c r="I16" s="13">
        <f t="shared" si="2"/>
        <v>27532480</v>
      </c>
    </row>
    <row r="17" spans="1:9" x14ac:dyDescent="0.2">
      <c r="A17" s="1" t="s">
        <v>8</v>
      </c>
      <c r="B17" s="35"/>
      <c r="C17" s="11">
        <v>38725000</v>
      </c>
      <c r="D17" s="12">
        <v>26675000</v>
      </c>
      <c r="E17" s="12">
        <v>25874750</v>
      </c>
      <c r="F17" s="4">
        <v>8</v>
      </c>
      <c r="G17" s="13">
        <f t="shared" si="0"/>
        <v>309800000</v>
      </c>
      <c r="H17" s="13">
        <f t="shared" si="1"/>
        <v>213400000</v>
      </c>
      <c r="I17" s="13">
        <f t="shared" si="2"/>
        <v>206998000</v>
      </c>
    </row>
    <row r="18" spans="1:9" x14ac:dyDescent="0.2">
      <c r="A18" s="1" t="s">
        <v>9</v>
      </c>
      <c r="B18" s="35"/>
      <c r="C18" s="11">
        <v>15366000</v>
      </c>
      <c r="D18" s="12">
        <v>15000000</v>
      </c>
      <c r="E18" s="12">
        <v>14550000</v>
      </c>
      <c r="F18" s="4">
        <v>8</v>
      </c>
      <c r="G18" s="13">
        <f t="shared" si="0"/>
        <v>122928000</v>
      </c>
      <c r="H18" s="13">
        <f t="shared" si="1"/>
        <v>120000000</v>
      </c>
      <c r="I18" s="13">
        <f t="shared" si="2"/>
        <v>116400000</v>
      </c>
    </row>
    <row r="19" spans="1:9" ht="38.25" x14ac:dyDescent="0.2">
      <c r="A19" s="1" t="s">
        <v>10</v>
      </c>
      <c r="B19" s="35"/>
      <c r="C19" s="34" t="s">
        <v>34</v>
      </c>
      <c r="D19" s="16">
        <v>1840000</v>
      </c>
      <c r="E19" s="12">
        <v>1784800</v>
      </c>
      <c r="F19" s="4">
        <v>8</v>
      </c>
      <c r="G19" s="17"/>
      <c r="H19" s="13">
        <f t="shared" si="1"/>
        <v>14720000</v>
      </c>
      <c r="I19" s="13">
        <f t="shared" si="2"/>
        <v>14278400</v>
      </c>
    </row>
    <row r="20" spans="1:9" x14ac:dyDescent="0.2">
      <c r="A20" s="1" t="s">
        <v>11</v>
      </c>
      <c r="B20" s="35"/>
      <c r="C20" s="11">
        <v>3646800</v>
      </c>
      <c r="D20" s="12">
        <v>2520000</v>
      </c>
      <c r="E20" s="12">
        <v>2444400</v>
      </c>
      <c r="F20" s="5">
        <v>15</v>
      </c>
      <c r="G20" s="13">
        <f>C20*F20</f>
        <v>54702000</v>
      </c>
      <c r="H20" s="13">
        <f t="shared" si="1"/>
        <v>37800000</v>
      </c>
      <c r="I20" s="13">
        <f t="shared" si="2"/>
        <v>36666000</v>
      </c>
    </row>
    <row r="21" spans="1:9" ht="38.25" x14ac:dyDescent="0.2">
      <c r="A21" s="1" t="s">
        <v>12</v>
      </c>
      <c r="B21" s="35"/>
      <c r="C21" s="34" t="s">
        <v>34</v>
      </c>
      <c r="D21" s="12">
        <v>4273000</v>
      </c>
      <c r="E21" s="12">
        <v>4144810</v>
      </c>
      <c r="F21" s="4">
        <v>15</v>
      </c>
      <c r="G21" s="13"/>
      <c r="H21" s="13">
        <f t="shared" si="1"/>
        <v>64095000</v>
      </c>
      <c r="I21" s="13">
        <f t="shared" si="2"/>
        <v>62172150</v>
      </c>
    </row>
    <row r="22" spans="1:9" x14ac:dyDescent="0.2">
      <c r="A22" s="1" t="s">
        <v>13</v>
      </c>
      <c r="B22" s="35"/>
      <c r="C22" s="11">
        <v>1806437.2040000001</v>
      </c>
      <c r="D22" s="12">
        <v>1979000</v>
      </c>
      <c r="E22" s="12">
        <v>1919630</v>
      </c>
      <c r="F22" s="4">
        <v>15</v>
      </c>
      <c r="G22" s="13">
        <f t="shared" ref="G22:G27" si="3">C22*F22</f>
        <v>27096558.060000002</v>
      </c>
      <c r="H22" s="13">
        <f t="shared" si="1"/>
        <v>29685000</v>
      </c>
      <c r="I22" s="13">
        <f t="shared" si="2"/>
        <v>28794450</v>
      </c>
    </row>
    <row r="23" spans="1:9" x14ac:dyDescent="0.2">
      <c r="A23" s="1" t="s">
        <v>14</v>
      </c>
      <c r="B23" s="35"/>
      <c r="C23" s="11">
        <v>13711594</v>
      </c>
      <c r="D23" s="12">
        <v>5830000</v>
      </c>
      <c r="E23" s="12">
        <v>5655100</v>
      </c>
      <c r="F23" s="4">
        <v>20</v>
      </c>
      <c r="G23" s="13">
        <f t="shared" si="3"/>
        <v>274231880</v>
      </c>
      <c r="H23" s="13">
        <f t="shared" si="1"/>
        <v>116600000</v>
      </c>
      <c r="I23" s="13">
        <f t="shared" si="2"/>
        <v>113102000</v>
      </c>
    </row>
    <row r="24" spans="1:9" x14ac:dyDescent="0.2">
      <c r="A24" s="1" t="s">
        <v>15</v>
      </c>
      <c r="B24" s="35"/>
      <c r="C24" s="11">
        <v>30732000</v>
      </c>
      <c r="D24" s="12">
        <v>28000000</v>
      </c>
      <c r="E24" s="12">
        <v>27160000</v>
      </c>
      <c r="F24" s="4">
        <v>10</v>
      </c>
      <c r="G24" s="13">
        <f t="shared" si="3"/>
        <v>307320000</v>
      </c>
      <c r="H24" s="13">
        <f t="shared" si="1"/>
        <v>280000000</v>
      </c>
      <c r="I24" s="13">
        <f t="shared" si="2"/>
        <v>271600000</v>
      </c>
    </row>
    <row r="25" spans="1:9" x14ac:dyDescent="0.2">
      <c r="A25" s="1" t="s">
        <v>16</v>
      </c>
      <c r="B25" s="35"/>
      <c r="C25" s="18">
        <v>30732000</v>
      </c>
      <c r="D25" s="19">
        <v>28000000</v>
      </c>
      <c r="E25" s="12">
        <v>27160000</v>
      </c>
      <c r="F25" s="4">
        <v>5</v>
      </c>
      <c r="G25" s="13">
        <f t="shared" si="3"/>
        <v>153660000</v>
      </c>
      <c r="H25" s="13">
        <f t="shared" si="1"/>
        <v>140000000</v>
      </c>
      <c r="I25" s="13">
        <f t="shared" si="2"/>
        <v>135800000</v>
      </c>
    </row>
    <row r="26" spans="1:9" x14ac:dyDescent="0.2">
      <c r="A26" s="1" t="s">
        <v>17</v>
      </c>
      <c r="B26" s="35"/>
      <c r="C26" s="11">
        <v>38020000</v>
      </c>
      <c r="D26" s="12">
        <v>38420000</v>
      </c>
      <c r="E26" s="12">
        <v>37267400</v>
      </c>
      <c r="F26" s="4">
        <v>4</v>
      </c>
      <c r="G26" s="13">
        <f t="shared" si="3"/>
        <v>152080000</v>
      </c>
      <c r="H26" s="13">
        <f t="shared" si="1"/>
        <v>153680000</v>
      </c>
      <c r="I26" s="13">
        <f t="shared" si="2"/>
        <v>149069600</v>
      </c>
    </row>
    <row r="27" spans="1:9" x14ac:dyDescent="0.2">
      <c r="A27" s="1" t="s">
        <v>18</v>
      </c>
      <c r="B27" s="35"/>
      <c r="C27" s="11">
        <v>10299721</v>
      </c>
      <c r="D27" s="12">
        <v>22340500</v>
      </c>
      <c r="E27" s="12">
        <v>21670285</v>
      </c>
      <c r="F27" s="4">
        <v>4</v>
      </c>
      <c r="G27" s="13">
        <f t="shared" si="3"/>
        <v>41198884</v>
      </c>
      <c r="H27" s="13">
        <f t="shared" si="1"/>
        <v>89362000</v>
      </c>
      <c r="I27" s="13">
        <f t="shared" si="2"/>
        <v>86681140</v>
      </c>
    </row>
    <row r="28" spans="1:9" ht="38.25" x14ac:dyDescent="0.2">
      <c r="A28" s="1" t="s">
        <v>19</v>
      </c>
      <c r="B28" s="35"/>
      <c r="C28" s="34" t="s">
        <v>34</v>
      </c>
      <c r="D28" s="12">
        <v>180000</v>
      </c>
      <c r="E28" s="12">
        <v>174600</v>
      </c>
      <c r="F28" s="4">
        <v>4</v>
      </c>
      <c r="G28" s="17"/>
      <c r="H28" s="13">
        <f t="shared" ref="H28:H33" si="4">D28*F28</f>
        <v>720000</v>
      </c>
      <c r="I28" s="13">
        <f t="shared" si="2"/>
        <v>698400</v>
      </c>
    </row>
    <row r="29" spans="1:9" ht="38.25" x14ac:dyDescent="0.2">
      <c r="A29" s="1" t="s">
        <v>20</v>
      </c>
      <c r="B29" s="35"/>
      <c r="C29" s="34" t="s">
        <v>34</v>
      </c>
      <c r="D29" s="12">
        <v>260000</v>
      </c>
      <c r="E29" s="12">
        <v>252200</v>
      </c>
      <c r="F29" s="4">
        <v>4</v>
      </c>
      <c r="G29" s="17"/>
      <c r="H29" s="13">
        <f t="shared" si="4"/>
        <v>1040000</v>
      </c>
      <c r="I29" s="13">
        <f t="shared" si="2"/>
        <v>1008800</v>
      </c>
    </row>
    <row r="30" spans="1:9" ht="38.25" x14ac:dyDescent="0.2">
      <c r="A30" s="1" t="s">
        <v>21</v>
      </c>
      <c r="B30" s="35"/>
      <c r="C30" s="34" t="s">
        <v>34</v>
      </c>
      <c r="D30" s="12">
        <v>54140000</v>
      </c>
      <c r="E30" s="12">
        <v>52515800</v>
      </c>
      <c r="F30" s="4">
        <v>3</v>
      </c>
      <c r="G30" s="17"/>
      <c r="H30" s="13">
        <f t="shared" si="4"/>
        <v>162420000</v>
      </c>
      <c r="I30" s="13">
        <f t="shared" si="2"/>
        <v>157547400</v>
      </c>
    </row>
    <row r="31" spans="1:9" ht="38.25" x14ac:dyDescent="0.2">
      <c r="A31" s="1" t="s">
        <v>22</v>
      </c>
      <c r="B31" s="35"/>
      <c r="C31" s="34" t="s">
        <v>34</v>
      </c>
      <c r="D31" s="12">
        <v>320000</v>
      </c>
      <c r="E31" s="12">
        <v>310400</v>
      </c>
      <c r="F31" s="4">
        <v>4</v>
      </c>
      <c r="G31" s="17"/>
      <c r="H31" s="13">
        <f t="shared" si="4"/>
        <v>1280000</v>
      </c>
      <c r="I31" s="13">
        <f t="shared" si="2"/>
        <v>1241600</v>
      </c>
    </row>
    <row r="32" spans="1:9" ht="38.25" x14ac:dyDescent="0.2">
      <c r="A32" s="1" t="s">
        <v>23</v>
      </c>
      <c r="B32" s="35"/>
      <c r="C32" s="34" t="s">
        <v>34</v>
      </c>
      <c r="D32" s="12">
        <v>4755000</v>
      </c>
      <c r="E32" s="12">
        <v>4612350</v>
      </c>
      <c r="F32" s="4">
        <v>4</v>
      </c>
      <c r="G32" s="17"/>
      <c r="H32" s="13">
        <f t="shared" si="4"/>
        <v>19020000</v>
      </c>
      <c r="I32" s="13">
        <f t="shared" si="2"/>
        <v>18449400</v>
      </c>
    </row>
    <row r="33" spans="1:12" ht="38.25" x14ac:dyDescent="0.2">
      <c r="A33" s="1" t="s">
        <v>24</v>
      </c>
      <c r="B33" s="35"/>
      <c r="C33" s="34" t="s">
        <v>34</v>
      </c>
      <c r="D33" s="12">
        <v>35812000</v>
      </c>
      <c r="E33" s="12">
        <v>34737640</v>
      </c>
      <c r="F33" s="4">
        <v>3</v>
      </c>
      <c r="G33" s="17"/>
      <c r="H33" s="13">
        <f t="shared" si="4"/>
        <v>107436000</v>
      </c>
      <c r="I33" s="13">
        <f t="shared" si="2"/>
        <v>104212920</v>
      </c>
    </row>
    <row r="34" spans="1:12" x14ac:dyDescent="0.2">
      <c r="A34" s="1" t="s">
        <v>25</v>
      </c>
      <c r="B34" s="35"/>
      <c r="C34" s="11">
        <v>21600000</v>
      </c>
      <c r="D34" s="12">
        <v>23100000</v>
      </c>
      <c r="E34" s="12">
        <v>22407000</v>
      </c>
      <c r="F34" s="4">
        <v>4</v>
      </c>
      <c r="G34" s="13">
        <f>C34*F34</f>
        <v>86400000</v>
      </c>
      <c r="H34" s="13">
        <f>D34*F34</f>
        <v>92400000</v>
      </c>
      <c r="I34" s="13">
        <f t="shared" si="2"/>
        <v>89628000</v>
      </c>
    </row>
    <row r="35" spans="1:12" x14ac:dyDescent="0.2">
      <c r="A35" s="236" t="s">
        <v>50</v>
      </c>
      <c r="B35" s="6"/>
      <c r="C35" s="7"/>
      <c r="D35" s="20"/>
      <c r="E35" s="20"/>
      <c r="F35" s="21"/>
      <c r="G35" s="22">
        <f>SUM(G4:G18,G20:G27,G34)</f>
        <v>2923363172.6402001</v>
      </c>
      <c r="H35" s="22">
        <f>SUM(H4:H18,H20:H27,H34)</f>
        <v>2267361000</v>
      </c>
      <c r="I35" s="22">
        <f>SUM(I4:I18,I20:I27,I34)</f>
        <v>2199340170</v>
      </c>
    </row>
    <row r="36" spans="1:12" x14ac:dyDescent="0.2">
      <c r="A36" s="236"/>
      <c r="B36" s="6"/>
      <c r="C36" s="22"/>
      <c r="D36" s="21"/>
      <c r="E36" s="21"/>
      <c r="F36" s="21"/>
      <c r="G36" s="21"/>
      <c r="H36" s="22">
        <f>SUM(H4:H34)</f>
        <v>2573997000</v>
      </c>
      <c r="I36" s="22">
        <f>SUM(I4:I34)</f>
        <v>2496777090</v>
      </c>
    </row>
    <row r="38" spans="1:12" x14ac:dyDescent="0.2">
      <c r="A38" s="23"/>
      <c r="B38" s="23"/>
      <c r="C38" s="24" t="s">
        <v>42</v>
      </c>
      <c r="D38" s="24" t="s">
        <v>43</v>
      </c>
      <c r="E38" s="24" t="s">
        <v>44</v>
      </c>
      <c r="F38" s="24" t="s">
        <v>45</v>
      </c>
      <c r="G38" s="24" t="s">
        <v>46</v>
      </c>
      <c r="H38" s="25" t="s">
        <v>56</v>
      </c>
      <c r="I38" s="26"/>
    </row>
    <row r="39" spans="1:12" x14ac:dyDescent="0.2">
      <c r="A39" s="23" t="s">
        <v>47</v>
      </c>
      <c r="B39" s="23"/>
      <c r="C39" s="13">
        <f>SUM(H4:H34)</f>
        <v>2573997000</v>
      </c>
      <c r="D39" s="13">
        <f>C39*1.04</f>
        <v>2676956880</v>
      </c>
      <c r="E39" s="13">
        <f>D39*1.04</f>
        <v>2784035155.2000003</v>
      </c>
      <c r="F39" s="13">
        <f>E39*1.04</f>
        <v>2895396561.4080005</v>
      </c>
      <c r="G39" s="13">
        <f>F39*1.04</f>
        <v>3011212423.8643208</v>
      </c>
      <c r="H39" s="13">
        <f>SUM(C39:G39)</f>
        <v>13941598020.472322</v>
      </c>
    </row>
    <row r="40" spans="1:12" x14ac:dyDescent="0.2">
      <c r="A40" s="23" t="s">
        <v>48</v>
      </c>
      <c r="B40" s="23"/>
      <c r="C40" s="13">
        <f>SUM(I4:I34)</f>
        <v>2496777090</v>
      </c>
      <c r="D40" s="13">
        <v>2496777090</v>
      </c>
      <c r="E40" s="13">
        <v>2496777090</v>
      </c>
      <c r="F40" s="13">
        <v>2496777090</v>
      </c>
      <c r="G40" s="13">
        <v>2496777090</v>
      </c>
      <c r="H40" s="13">
        <f>SUM(C40:G40)</f>
        <v>12483885450</v>
      </c>
      <c r="I40" s="27"/>
    </row>
    <row r="41" spans="1:12" x14ac:dyDescent="0.2">
      <c r="A41" s="28"/>
      <c r="B41" s="28"/>
      <c r="C41" s="29"/>
      <c r="D41" s="29"/>
      <c r="E41" s="29"/>
      <c r="F41" s="29"/>
      <c r="G41" s="29"/>
      <c r="H41" s="29"/>
      <c r="I41" s="27"/>
    </row>
    <row r="42" spans="1:12" customFormat="1" ht="15" x14ac:dyDescent="0.25">
      <c r="A42" s="46" t="s">
        <v>32</v>
      </c>
      <c r="B42" s="46"/>
      <c r="C42" s="46" t="s">
        <v>70</v>
      </c>
      <c r="D42" s="46"/>
      <c r="E42" s="46"/>
      <c r="F42" s="47"/>
      <c r="G42" s="47"/>
      <c r="H42" s="47"/>
      <c r="I42" s="48"/>
      <c r="J42" s="48"/>
      <c r="K42" s="48"/>
      <c r="L42" s="41"/>
    </row>
    <row r="43" spans="1:12" customFormat="1" ht="15" x14ac:dyDescent="0.25">
      <c r="A43" s="38" t="s">
        <v>71</v>
      </c>
      <c r="B43" s="45">
        <v>0.44</v>
      </c>
      <c r="C43" s="49">
        <f>$C$40*B43</f>
        <v>1098581919.5999999</v>
      </c>
      <c r="D43" s="42">
        <v>1098581919.5999999</v>
      </c>
      <c r="E43" s="42">
        <v>1098581919.5999999</v>
      </c>
      <c r="F43" s="42">
        <v>1098581919.5999999</v>
      </c>
      <c r="G43" s="42">
        <v>1098581919.5999999</v>
      </c>
      <c r="H43" s="40">
        <f>SUM(C43:G43)</f>
        <v>5492909598</v>
      </c>
      <c r="I43" s="40"/>
      <c r="J43" s="40"/>
      <c r="K43" s="40"/>
      <c r="L43" s="42"/>
    </row>
    <row r="44" spans="1:12" customFormat="1" ht="15" x14ac:dyDescent="0.25">
      <c r="A44" s="38" t="s">
        <v>72</v>
      </c>
      <c r="B44" s="45">
        <v>0.15</v>
      </c>
      <c r="C44" s="49">
        <f t="shared" ref="C44:C46" si="5">$C$40*B44</f>
        <v>374516563.5</v>
      </c>
      <c r="D44" s="42">
        <v>374516563.5</v>
      </c>
      <c r="E44" s="42">
        <v>374516563.5</v>
      </c>
      <c r="F44" s="42">
        <v>374516563.5</v>
      </c>
      <c r="G44" s="42">
        <v>374516563.5</v>
      </c>
      <c r="H44" s="40">
        <f t="shared" ref="H44:H46" si="6">SUM(C44:G44)</f>
        <v>1872582817.5</v>
      </c>
      <c r="I44" s="40"/>
      <c r="J44" s="40"/>
      <c r="K44" s="40"/>
      <c r="L44" s="42"/>
    </row>
    <row r="45" spans="1:12" customFormat="1" ht="15" x14ac:dyDescent="0.25">
      <c r="A45" s="38" t="s">
        <v>73</v>
      </c>
      <c r="B45" s="45">
        <v>0.09</v>
      </c>
      <c r="C45" s="49">
        <f t="shared" si="5"/>
        <v>224709938.09999999</v>
      </c>
      <c r="D45" s="42">
        <v>224709938.09999999</v>
      </c>
      <c r="E45" s="42">
        <v>224709938.09999999</v>
      </c>
      <c r="F45" s="42">
        <v>224709938.09999999</v>
      </c>
      <c r="G45" s="42">
        <v>224709938.09999999</v>
      </c>
      <c r="H45" s="40">
        <f t="shared" si="6"/>
        <v>1123549690.5</v>
      </c>
      <c r="I45" s="40"/>
      <c r="J45" s="40"/>
      <c r="K45" s="40"/>
      <c r="L45" s="42"/>
    </row>
    <row r="46" spans="1:12" customFormat="1" ht="15" x14ac:dyDescent="0.25">
      <c r="A46" s="38" t="s">
        <v>74</v>
      </c>
      <c r="B46" s="45">
        <v>0.32</v>
      </c>
      <c r="C46" s="49">
        <f t="shared" si="5"/>
        <v>798968668.80000007</v>
      </c>
      <c r="D46" s="42">
        <v>798968668.80000007</v>
      </c>
      <c r="E46" s="42">
        <v>798968668.80000007</v>
      </c>
      <c r="F46" s="42">
        <v>798968668.80000007</v>
      </c>
      <c r="G46" s="42">
        <v>798968668.80000007</v>
      </c>
      <c r="H46" s="40">
        <f t="shared" si="6"/>
        <v>3994843344.0000005</v>
      </c>
      <c r="I46" s="40"/>
      <c r="J46" s="40"/>
      <c r="K46" s="40"/>
      <c r="L46" s="42"/>
    </row>
    <row r="47" spans="1:12" x14ac:dyDescent="0.2">
      <c r="A47" s="28"/>
      <c r="B47" s="28"/>
      <c r="C47" s="29"/>
      <c r="D47" s="29"/>
      <c r="E47" s="29"/>
      <c r="F47" s="29"/>
      <c r="G47" s="29"/>
      <c r="H47" s="29"/>
      <c r="I47" s="27"/>
    </row>
    <row r="48" spans="1:12" x14ac:dyDescent="0.2">
      <c r="A48" s="28"/>
      <c r="B48" s="28"/>
      <c r="C48" s="29"/>
      <c r="D48" s="29"/>
      <c r="E48" s="29"/>
      <c r="F48" s="29"/>
      <c r="G48" s="29"/>
      <c r="H48" s="29"/>
      <c r="I48" s="27"/>
    </row>
    <row r="50" spans="1:18" ht="20.25" x14ac:dyDescent="0.3">
      <c r="A50" s="238" t="s">
        <v>62</v>
      </c>
      <c r="B50" s="238"/>
      <c r="C50" s="238"/>
    </row>
    <row r="51" spans="1:18" ht="15" x14ac:dyDescent="0.2">
      <c r="A51" s="30" t="s">
        <v>49</v>
      </c>
      <c r="B51" s="31">
        <f>1-(H35/G35)</f>
        <v>0.22439982099375622</v>
      </c>
    </row>
    <row r="52" spans="1:18" ht="15" x14ac:dyDescent="0.2">
      <c r="A52" s="30" t="s">
        <v>51</v>
      </c>
      <c r="B52" s="31">
        <f>1-(I36/H36)</f>
        <v>3.0000000000000027E-2</v>
      </c>
    </row>
    <row r="53" spans="1:18" ht="15" x14ac:dyDescent="0.2">
      <c r="A53" s="30" t="s">
        <v>61</v>
      </c>
      <c r="B53" s="31">
        <f>1-(H40/H39)</f>
        <v>0.10455849955878571</v>
      </c>
    </row>
    <row r="54" spans="1:18" ht="18" x14ac:dyDescent="0.25">
      <c r="A54" s="32" t="s">
        <v>52</v>
      </c>
      <c r="B54" s="33">
        <f>SUM(B51:B53)</f>
        <v>0.35895832055254195</v>
      </c>
    </row>
    <row r="56" spans="1:18" ht="25.5" x14ac:dyDescent="0.35">
      <c r="A56" s="30" t="s">
        <v>53</v>
      </c>
      <c r="B56" s="30"/>
      <c r="C56" s="33">
        <v>0.04</v>
      </c>
      <c r="D56" s="237" t="s">
        <v>55</v>
      </c>
      <c r="E56" s="237"/>
      <c r="F56" s="237"/>
      <c r="G56" s="237"/>
      <c r="I56" s="237" t="s">
        <v>54</v>
      </c>
      <c r="J56" s="237"/>
      <c r="K56" s="237"/>
      <c r="L56" s="237"/>
      <c r="M56" s="237"/>
      <c r="N56" s="237"/>
      <c r="O56" s="237"/>
      <c r="P56" s="237"/>
      <c r="Q56" s="237"/>
      <c r="R56" s="237"/>
    </row>
    <row r="58" spans="1:18" ht="20.25" x14ac:dyDescent="0.3">
      <c r="A58" s="239" t="s">
        <v>63</v>
      </c>
      <c r="B58" s="239"/>
      <c r="C58" s="239"/>
    </row>
    <row r="59" spans="1:18" x14ac:dyDescent="0.2">
      <c r="A59" s="23" t="s">
        <v>57</v>
      </c>
      <c r="B59" s="23"/>
      <c r="C59" s="13">
        <v>1860000000</v>
      </c>
    </row>
    <row r="60" spans="1:18" x14ac:dyDescent="0.2">
      <c r="A60" s="23" t="s">
        <v>54</v>
      </c>
      <c r="B60" s="23"/>
      <c r="C60" s="13">
        <v>750000000</v>
      </c>
    </row>
  </sheetData>
  <mergeCells count="5">
    <mergeCell ref="A35:A36"/>
    <mergeCell ref="D56:G56"/>
    <mergeCell ref="I56:R56"/>
    <mergeCell ref="A50:C50"/>
    <mergeCell ref="A58:C58"/>
  </mergeCells>
  <pageMargins left="0.70866141732283472" right="0.70866141732283472" top="0.74803149606299213" bottom="0.74803149606299213" header="0.31496062992125984" footer="0.31496062992125984"/>
  <pageSetup scale="51" orientation="landscape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E11" sqref="E11"/>
    </sheetView>
  </sheetViews>
  <sheetFormatPr defaultColWidth="11.42578125" defaultRowHeight="15" x14ac:dyDescent="0.25"/>
  <cols>
    <col min="5" max="5" width="13.5703125" bestFit="1" customWidth="1"/>
    <col min="6" max="11" width="15.140625" bestFit="1" customWidth="1"/>
  </cols>
  <sheetData>
    <row r="2" spans="1:11" x14ac:dyDescent="0.25">
      <c r="A2" s="35"/>
      <c r="B2" s="4"/>
      <c r="C2" s="35"/>
      <c r="D2" s="35"/>
      <c r="E2" s="36" t="s">
        <v>28</v>
      </c>
      <c r="F2" s="36" t="s">
        <v>42</v>
      </c>
      <c r="G2" s="36" t="s">
        <v>43</v>
      </c>
      <c r="H2" s="36" t="s">
        <v>44</v>
      </c>
      <c r="I2" s="36" t="s">
        <v>45</v>
      </c>
      <c r="J2" s="36" t="s">
        <v>46</v>
      </c>
      <c r="K2" s="37" t="s">
        <v>65</v>
      </c>
    </row>
    <row r="3" spans="1:11" x14ac:dyDescent="0.25">
      <c r="A3" s="38" t="s">
        <v>29</v>
      </c>
      <c r="B3" s="39"/>
      <c r="C3" s="39"/>
      <c r="D3" s="39"/>
      <c r="E3" s="40">
        <v>45000000</v>
      </c>
      <c r="F3" s="40">
        <f>E3*12</f>
        <v>540000000</v>
      </c>
      <c r="G3" s="40">
        <f>F3*1.05</f>
        <v>567000000</v>
      </c>
      <c r="H3" s="41">
        <f>G3*1.05</f>
        <v>595350000</v>
      </c>
      <c r="I3" s="41">
        <f t="shared" ref="I3:J5" si="0">H3*1.05</f>
        <v>625117500</v>
      </c>
      <c r="J3" s="41">
        <f t="shared" si="0"/>
        <v>656373375</v>
      </c>
      <c r="K3" s="41">
        <f>SUM(F3:J3)</f>
        <v>2983840875</v>
      </c>
    </row>
    <row r="4" spans="1:11" x14ac:dyDescent="0.25">
      <c r="A4" s="38" t="s">
        <v>31</v>
      </c>
      <c r="B4" s="39"/>
      <c r="C4" s="39"/>
      <c r="D4" s="39"/>
      <c r="E4" s="40">
        <v>28000000</v>
      </c>
      <c r="F4" s="40">
        <f t="shared" ref="F4:F5" si="1">E4*12</f>
        <v>336000000</v>
      </c>
      <c r="G4" s="40">
        <f t="shared" ref="G4:G5" si="2">F4*1.05</f>
        <v>352800000</v>
      </c>
      <c r="H4" s="41">
        <f>G4*1.05</f>
        <v>370440000</v>
      </c>
      <c r="I4" s="41">
        <f t="shared" si="0"/>
        <v>388962000</v>
      </c>
      <c r="J4" s="41">
        <f t="shared" si="0"/>
        <v>408410100</v>
      </c>
      <c r="K4" s="41">
        <f t="shared" ref="K4:K5" si="3">SUM(F4:J4)</f>
        <v>1856612100</v>
      </c>
    </row>
    <row r="5" spans="1:11" x14ac:dyDescent="0.25">
      <c r="A5" s="38" t="s">
        <v>30</v>
      </c>
      <c r="B5" s="39"/>
      <c r="C5" s="39"/>
      <c r="D5" s="39"/>
      <c r="E5" s="40">
        <v>23000000</v>
      </c>
      <c r="F5" s="40">
        <f t="shared" si="1"/>
        <v>276000000</v>
      </c>
      <c r="G5" s="40">
        <f t="shared" si="2"/>
        <v>289800000</v>
      </c>
      <c r="H5" s="41">
        <f>G5*1.05</f>
        <v>304290000</v>
      </c>
      <c r="I5" s="41">
        <f t="shared" si="0"/>
        <v>319504500</v>
      </c>
      <c r="J5" s="41">
        <f t="shared" si="0"/>
        <v>335479725</v>
      </c>
      <c r="K5" s="41">
        <f t="shared" si="3"/>
        <v>1525074225</v>
      </c>
    </row>
    <row r="6" spans="1:11" x14ac:dyDescent="0.25">
      <c r="A6" s="39" t="s">
        <v>68</v>
      </c>
      <c r="B6" s="39"/>
      <c r="C6" s="39"/>
      <c r="D6" s="39"/>
      <c r="E6" s="41">
        <f>SUM(E3:E5)</f>
        <v>96000000</v>
      </c>
      <c r="F6" s="41">
        <f t="shared" ref="F6:J6" si="4">SUM(F3:F5)</f>
        <v>1152000000</v>
      </c>
      <c r="G6" s="41">
        <f t="shared" si="4"/>
        <v>1209600000</v>
      </c>
      <c r="H6" s="41">
        <f t="shared" si="4"/>
        <v>1270080000</v>
      </c>
      <c r="I6" s="41">
        <f t="shared" si="4"/>
        <v>1333584000</v>
      </c>
      <c r="J6" s="41">
        <f t="shared" si="4"/>
        <v>1400263200</v>
      </c>
      <c r="K6" s="41">
        <f>SUM(K3:K5)</f>
        <v>6365527200</v>
      </c>
    </row>
    <row r="7" spans="1:11" x14ac:dyDescent="0.25">
      <c r="A7" s="38" t="s">
        <v>66</v>
      </c>
      <c r="B7" s="39"/>
      <c r="C7" s="39"/>
      <c r="D7" s="39"/>
      <c r="E7" s="41">
        <f>E6*18%</f>
        <v>17280000</v>
      </c>
      <c r="F7" s="41">
        <f t="shared" ref="F7:K7" si="5">F6*18%</f>
        <v>207360000</v>
      </c>
      <c r="G7" s="41">
        <f t="shared" si="5"/>
        <v>217728000</v>
      </c>
      <c r="H7" s="41">
        <f t="shared" si="5"/>
        <v>228614400</v>
      </c>
      <c r="I7" s="41">
        <f t="shared" si="5"/>
        <v>240045120</v>
      </c>
      <c r="J7" s="41">
        <f t="shared" si="5"/>
        <v>252047376</v>
      </c>
      <c r="K7" s="41">
        <f t="shared" si="5"/>
        <v>1145794896</v>
      </c>
    </row>
    <row r="8" spans="1:11" x14ac:dyDescent="0.25">
      <c r="A8" s="38" t="s">
        <v>67</v>
      </c>
      <c r="B8" s="39"/>
      <c r="C8" s="39"/>
      <c r="D8" s="39"/>
      <c r="E8" s="41">
        <f>E6*14%</f>
        <v>13440000.000000002</v>
      </c>
      <c r="F8" s="41">
        <f t="shared" ref="F8:K8" si="6">F6*14%</f>
        <v>161280000.00000003</v>
      </c>
      <c r="G8" s="41">
        <f t="shared" si="6"/>
        <v>169344000.00000003</v>
      </c>
      <c r="H8" s="41">
        <f t="shared" si="6"/>
        <v>177811200.00000003</v>
      </c>
      <c r="I8" s="41">
        <f t="shared" si="6"/>
        <v>186701760.00000003</v>
      </c>
      <c r="J8" s="41">
        <f t="shared" si="6"/>
        <v>196036848.00000003</v>
      </c>
      <c r="K8" s="41">
        <f t="shared" si="6"/>
        <v>891173808.00000012</v>
      </c>
    </row>
    <row r="9" spans="1:11" x14ac:dyDescent="0.25">
      <c r="A9" s="38" t="s">
        <v>64</v>
      </c>
      <c r="B9" s="39"/>
      <c r="C9" s="39"/>
      <c r="D9" s="39"/>
      <c r="E9" s="41">
        <f>E7-E8</f>
        <v>3839999.9999999981</v>
      </c>
      <c r="F9" s="41">
        <f>F7-F8</f>
        <v>46079999.99999997</v>
      </c>
      <c r="G9" s="41">
        <f t="shared" ref="G9:J9" si="7">G7-G8</f>
        <v>48383999.99999997</v>
      </c>
      <c r="H9" s="41">
        <f t="shared" si="7"/>
        <v>50803199.99999997</v>
      </c>
      <c r="I9" s="41">
        <f t="shared" si="7"/>
        <v>53343359.99999997</v>
      </c>
      <c r="J9" s="41">
        <f t="shared" si="7"/>
        <v>56010527.99999997</v>
      </c>
      <c r="K9" s="41">
        <f>K7-K8</f>
        <v>254621087.99999988</v>
      </c>
    </row>
    <row r="10" spans="1:11" x14ac:dyDescent="0.25">
      <c r="E10" s="41">
        <f>E6-E9</f>
        <v>92160000</v>
      </c>
      <c r="F10" s="41">
        <f t="shared" ref="F10:K10" si="8">F6-F9</f>
        <v>1105920000</v>
      </c>
      <c r="G10" s="41">
        <f t="shared" si="8"/>
        <v>1161216000</v>
      </c>
      <c r="H10" s="41">
        <f t="shared" si="8"/>
        <v>1219276800</v>
      </c>
      <c r="I10" s="41">
        <f t="shared" si="8"/>
        <v>1280240640</v>
      </c>
      <c r="J10" s="41">
        <f t="shared" si="8"/>
        <v>1344252672</v>
      </c>
      <c r="K10" s="41">
        <f t="shared" si="8"/>
        <v>6110906112</v>
      </c>
    </row>
    <row r="11" spans="1:11" x14ac:dyDescent="0.25">
      <c r="A11" s="43" t="s">
        <v>69</v>
      </c>
      <c r="E11" s="44">
        <f>1-(E10/E6)</f>
        <v>4.0000000000000036E-2</v>
      </c>
      <c r="F11" s="44"/>
      <c r="G11" s="44"/>
      <c r="H11" s="44"/>
      <c r="I11" s="44"/>
      <c r="J11" s="44"/>
      <c r="K11" s="44">
        <f t="shared" ref="K11" si="9">1-(K10/K6)</f>
        <v>4.0000000000000036E-2</v>
      </c>
    </row>
    <row r="14" spans="1:11" ht="18.75" x14ac:dyDescent="0.3">
      <c r="A14" s="240" t="s">
        <v>189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</row>
    <row r="15" spans="1:11" x14ac:dyDescent="0.25">
      <c r="A15" s="38" t="s">
        <v>29</v>
      </c>
      <c r="B15" s="39"/>
      <c r="C15" s="39"/>
      <c r="D15" s="39"/>
      <c r="E15" s="40">
        <f>E3-(E3*4%)</f>
        <v>43200000</v>
      </c>
      <c r="F15" s="40">
        <f>E15*12</f>
        <v>518400000</v>
      </c>
      <c r="G15" s="40">
        <f>F15*1.05</f>
        <v>544320000</v>
      </c>
      <c r="H15" s="41">
        <f>G15*1.05</f>
        <v>571536000</v>
      </c>
      <c r="I15" s="41">
        <f t="shared" ref="I15:I17" si="10">H15*1.05</f>
        <v>600112800</v>
      </c>
      <c r="J15" s="41">
        <f t="shared" ref="J15:J17" si="11">I15*1.05</f>
        <v>630118440</v>
      </c>
      <c r="K15" s="41">
        <f>SUM(F15:J15)</f>
        <v>2864487240</v>
      </c>
    </row>
    <row r="16" spans="1:11" x14ac:dyDescent="0.25">
      <c r="A16" s="38" t="s">
        <v>31</v>
      </c>
      <c r="B16" s="39"/>
      <c r="C16" s="39"/>
      <c r="D16" s="39"/>
      <c r="E16" s="40">
        <f t="shared" ref="E16:E17" si="12">E4-(E4*4%)</f>
        <v>26880000</v>
      </c>
      <c r="F16" s="40">
        <f t="shared" ref="F16:F17" si="13">E16*12</f>
        <v>322560000</v>
      </c>
      <c r="G16" s="40">
        <f t="shared" ref="G16:G17" si="14">F16*1.05</f>
        <v>338688000</v>
      </c>
      <c r="H16" s="41">
        <f>G16*1.05</f>
        <v>355622400</v>
      </c>
      <c r="I16" s="41">
        <f t="shared" si="10"/>
        <v>373403520</v>
      </c>
      <c r="J16" s="41">
        <f t="shared" si="11"/>
        <v>392073696</v>
      </c>
      <c r="K16" s="41">
        <f t="shared" ref="K16:K17" si="15">SUM(F16:J16)</f>
        <v>1782347616</v>
      </c>
    </row>
    <row r="17" spans="1:11" x14ac:dyDescent="0.25">
      <c r="A17" s="38" t="s">
        <v>30</v>
      </c>
      <c r="B17" s="39"/>
      <c r="C17" s="39"/>
      <c r="D17" s="39"/>
      <c r="E17" s="40">
        <f t="shared" si="12"/>
        <v>22080000</v>
      </c>
      <c r="F17" s="40">
        <f t="shared" si="13"/>
        <v>264960000</v>
      </c>
      <c r="G17" s="40">
        <f t="shared" si="14"/>
        <v>278208000</v>
      </c>
      <c r="H17" s="41">
        <f>G17*1.05</f>
        <v>292118400</v>
      </c>
      <c r="I17" s="41">
        <f t="shared" si="10"/>
        <v>306724320</v>
      </c>
      <c r="J17" s="41">
        <f t="shared" si="11"/>
        <v>322060536</v>
      </c>
      <c r="K17" s="41">
        <f t="shared" si="15"/>
        <v>1464071256</v>
      </c>
    </row>
  </sheetData>
  <mergeCells count="1">
    <mergeCell ref="A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248"/>
  <sheetViews>
    <sheetView topLeftCell="A202" zoomScale="80" zoomScaleNormal="80" workbookViewId="0">
      <selection activeCell="E232" sqref="E232"/>
    </sheetView>
  </sheetViews>
  <sheetFormatPr defaultColWidth="11.42578125" defaultRowHeight="12.75" x14ac:dyDescent="0.2"/>
  <cols>
    <col min="1" max="1" width="3.85546875" style="50" customWidth="1"/>
    <col min="2" max="2" width="4" style="50" customWidth="1"/>
    <col min="3" max="3" width="14.7109375" style="50" customWidth="1"/>
    <col min="4" max="4" width="17.28515625" style="50" customWidth="1"/>
    <col min="5" max="5" width="21.7109375" style="50" customWidth="1"/>
    <col min="6" max="6" width="25.28515625" style="50" customWidth="1"/>
    <col min="7" max="7" width="15.7109375" style="50" customWidth="1"/>
    <col min="8" max="8" width="16.5703125" style="50" customWidth="1"/>
    <col min="9" max="9" width="18.42578125" style="50" customWidth="1"/>
    <col min="10" max="10" width="21.7109375" style="50" customWidth="1"/>
    <col min="11" max="11" width="19.42578125" style="50" customWidth="1"/>
    <col min="12" max="12" width="21.7109375" style="50" bestFit="1" customWidth="1"/>
    <col min="13" max="14" width="21.7109375" style="53" bestFit="1" customWidth="1"/>
    <col min="15" max="15" width="21.28515625" style="53" customWidth="1"/>
    <col min="16" max="16" width="23.140625" style="53" bestFit="1" customWidth="1"/>
    <col min="17" max="17" width="20.5703125" style="53" customWidth="1"/>
    <col min="18" max="18" width="12.85546875" style="53" customWidth="1"/>
    <col min="19" max="19" width="11.42578125" style="53"/>
    <col min="20" max="35" width="11.42578125" style="50"/>
    <col min="36" max="16384" width="11.42578125" style="54"/>
  </cols>
  <sheetData>
    <row r="2" spans="1:37" x14ac:dyDescent="0.2"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51"/>
      <c r="N2" s="52"/>
    </row>
    <row r="4" spans="1:37" ht="27" customHeight="1" x14ac:dyDescent="0.2">
      <c r="B4" s="245" t="s">
        <v>75</v>
      </c>
      <c r="C4" s="245"/>
      <c r="D4" s="55">
        <v>0.05</v>
      </c>
    </row>
    <row r="5" spans="1:37" ht="11.25" customHeight="1" thickBot="1" x14ac:dyDescent="0.25">
      <c r="C5" s="56"/>
      <c r="D5" s="55"/>
    </row>
    <row r="6" spans="1:37" x14ac:dyDescent="0.2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59"/>
      <c r="O6" s="60"/>
    </row>
    <row r="7" spans="1:37" ht="21" x14ac:dyDescent="0.35">
      <c r="B7" s="61"/>
      <c r="C7" s="246" t="s">
        <v>76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62"/>
    </row>
    <row r="8" spans="1:37" x14ac:dyDescent="0.2">
      <c r="B8" s="61"/>
      <c r="C8" s="63"/>
      <c r="D8" s="63"/>
      <c r="E8" s="63"/>
      <c r="F8" s="63"/>
      <c r="G8" s="63"/>
      <c r="H8" s="63"/>
      <c r="I8" s="63"/>
      <c r="J8" s="63"/>
      <c r="K8" s="63"/>
      <c r="L8" s="63"/>
      <c r="M8" s="64"/>
      <c r="N8" s="64"/>
      <c r="O8" s="62"/>
    </row>
    <row r="9" spans="1:37" ht="33" customHeight="1" x14ac:dyDescent="0.2">
      <c r="B9" s="61"/>
      <c r="C9" s="65" t="s">
        <v>77</v>
      </c>
      <c r="D9" s="65" t="s">
        <v>78</v>
      </c>
      <c r="E9" s="65" t="s">
        <v>79</v>
      </c>
      <c r="F9" s="65" t="s">
        <v>80</v>
      </c>
      <c r="G9" s="65" t="s">
        <v>81</v>
      </c>
      <c r="H9" s="65" t="s">
        <v>82</v>
      </c>
      <c r="I9" s="65" t="s">
        <v>83</v>
      </c>
      <c r="J9" s="65" t="s">
        <v>84</v>
      </c>
      <c r="K9" s="65" t="s">
        <v>85</v>
      </c>
      <c r="L9" s="65" t="s">
        <v>86</v>
      </c>
      <c r="M9" s="65" t="s">
        <v>87</v>
      </c>
      <c r="N9" s="66"/>
      <c r="O9" s="62"/>
      <c r="AJ9" s="50"/>
      <c r="AK9" s="50"/>
    </row>
    <row r="10" spans="1:37" ht="12.75" customHeight="1" x14ac:dyDescent="0.2">
      <c r="B10" s="61"/>
      <c r="C10" s="247" t="s">
        <v>88</v>
      </c>
      <c r="D10" s="67" t="s">
        <v>89</v>
      </c>
      <c r="E10" s="67" t="s">
        <v>90</v>
      </c>
      <c r="F10" s="68">
        <f>+'[1]Precio Monitoreos'!C4</f>
        <v>58000000</v>
      </c>
      <c r="G10" s="67">
        <v>4</v>
      </c>
      <c r="H10" s="69">
        <f>+F10*1</f>
        <v>58000000</v>
      </c>
      <c r="I10" s="69">
        <f>+G10*F10*(1+$D$4)</f>
        <v>243600000</v>
      </c>
      <c r="J10" s="69">
        <f>+I10*(1+$D$4)</f>
        <v>255780000</v>
      </c>
      <c r="K10" s="69">
        <f>+J10*(1+$D$4)</f>
        <v>268569000</v>
      </c>
      <c r="L10" s="69">
        <f>+K10*(1+$D$4)</f>
        <v>281997450</v>
      </c>
      <c r="M10" s="69">
        <f>+L10*(1+$D$4)</f>
        <v>296097322.5</v>
      </c>
      <c r="N10" s="70"/>
      <c r="O10" s="62"/>
      <c r="P10" s="71"/>
      <c r="Q10" s="71"/>
      <c r="AJ10" s="50"/>
      <c r="AK10" s="50"/>
    </row>
    <row r="11" spans="1:37" ht="12.75" customHeight="1" x14ac:dyDescent="0.2">
      <c r="B11" s="61"/>
      <c r="C11" s="248"/>
      <c r="D11" s="72" t="s">
        <v>89</v>
      </c>
      <c r="E11" s="72" t="s">
        <v>91</v>
      </c>
      <c r="F11" s="68">
        <f>+'[1]Precio Monitoreos'!C6</f>
        <v>3000000</v>
      </c>
      <c r="G11" s="67">
        <v>4</v>
      </c>
      <c r="H11" s="69">
        <f t="shared" ref="H11:H14" si="0">+F11*1</f>
        <v>3000000</v>
      </c>
      <c r="I11" s="69">
        <f>+G11*F11*(1+$D$4)</f>
        <v>12600000</v>
      </c>
      <c r="J11" s="69">
        <f t="shared" ref="J11:M14" si="1">+I11*(1+$D$4)</f>
        <v>13230000</v>
      </c>
      <c r="K11" s="69">
        <f t="shared" si="1"/>
        <v>13891500</v>
      </c>
      <c r="L11" s="69">
        <f t="shared" si="1"/>
        <v>14586075</v>
      </c>
      <c r="M11" s="69">
        <f t="shared" si="1"/>
        <v>15315378.75</v>
      </c>
      <c r="N11" s="70"/>
      <c r="O11" s="62"/>
      <c r="Q11" s="71"/>
      <c r="AJ11" s="50"/>
      <c r="AK11" s="50"/>
    </row>
    <row r="12" spans="1:37" x14ac:dyDescent="0.2">
      <c r="B12" s="61"/>
      <c r="C12" s="248"/>
      <c r="D12" s="72" t="s">
        <v>92</v>
      </c>
      <c r="E12" s="72" t="s">
        <v>93</v>
      </c>
      <c r="F12" s="68">
        <f>+'[1]Precio Monitoreos'!C7</f>
        <v>22850000</v>
      </c>
      <c r="G12" s="67">
        <v>2</v>
      </c>
      <c r="H12" s="69">
        <f>+F12*0</f>
        <v>0</v>
      </c>
      <c r="I12" s="69">
        <f>+G12*F12*(1+$D$4)</f>
        <v>47985000</v>
      </c>
      <c r="J12" s="69">
        <f t="shared" si="1"/>
        <v>50384250</v>
      </c>
      <c r="K12" s="69">
        <f t="shared" si="1"/>
        <v>52903462.5</v>
      </c>
      <c r="L12" s="69">
        <f t="shared" si="1"/>
        <v>55548635.625</v>
      </c>
      <c r="M12" s="69">
        <f t="shared" si="1"/>
        <v>58326067.40625</v>
      </c>
      <c r="N12" s="70"/>
      <c r="O12" s="62"/>
      <c r="Q12" s="71"/>
      <c r="AJ12" s="50"/>
      <c r="AK12" s="50"/>
    </row>
    <row r="13" spans="1:37" x14ac:dyDescent="0.2">
      <c r="B13" s="61"/>
      <c r="C13" s="248"/>
      <c r="D13" s="72" t="s">
        <v>89</v>
      </c>
      <c r="E13" s="72" t="s">
        <v>94</v>
      </c>
      <c r="F13" s="68">
        <f>+'[1]Precio Monitoreos'!C8</f>
        <v>3500000</v>
      </c>
      <c r="G13" s="67">
        <v>4</v>
      </c>
      <c r="H13" s="69">
        <f t="shared" si="0"/>
        <v>3500000</v>
      </c>
      <c r="I13" s="69">
        <f>+G13*F13*(1+$D$4)</f>
        <v>14700000</v>
      </c>
      <c r="J13" s="69">
        <f t="shared" si="1"/>
        <v>15435000</v>
      </c>
      <c r="K13" s="69">
        <f t="shared" si="1"/>
        <v>16206750</v>
      </c>
      <c r="L13" s="69">
        <f t="shared" si="1"/>
        <v>17017087.5</v>
      </c>
      <c r="M13" s="69">
        <f t="shared" si="1"/>
        <v>17867941.875</v>
      </c>
      <c r="N13" s="70"/>
      <c r="O13" s="62"/>
      <c r="Q13" s="71"/>
      <c r="AJ13" s="50"/>
      <c r="AK13" s="50"/>
    </row>
    <row r="14" spans="1:37" x14ac:dyDescent="0.2">
      <c r="B14" s="61"/>
      <c r="C14" s="249"/>
      <c r="D14" s="73" t="s">
        <v>89</v>
      </c>
      <c r="E14" s="73" t="s">
        <v>95</v>
      </c>
      <c r="F14" s="68">
        <f>+'[1]Precio Monitoreos'!C9</f>
        <v>3500000</v>
      </c>
      <c r="G14" s="67">
        <v>4</v>
      </c>
      <c r="H14" s="69">
        <f t="shared" si="0"/>
        <v>3500000</v>
      </c>
      <c r="I14" s="69">
        <f>+G14*F14*(1+$D$4)</f>
        <v>14700000</v>
      </c>
      <c r="J14" s="69">
        <f t="shared" si="1"/>
        <v>15435000</v>
      </c>
      <c r="K14" s="69">
        <f t="shared" si="1"/>
        <v>16206750</v>
      </c>
      <c r="L14" s="69">
        <f t="shared" si="1"/>
        <v>17017087.5</v>
      </c>
      <c r="M14" s="69">
        <f t="shared" si="1"/>
        <v>17867941.875</v>
      </c>
      <c r="N14" s="70"/>
      <c r="O14" s="62"/>
      <c r="Q14" s="71"/>
      <c r="AJ14" s="50"/>
      <c r="AK14" s="50"/>
    </row>
    <row r="15" spans="1:37" s="81" customFormat="1" x14ac:dyDescent="0.2">
      <c r="A15" s="74"/>
      <c r="B15" s="75"/>
      <c r="C15" s="241" t="s">
        <v>96</v>
      </c>
      <c r="D15" s="242"/>
      <c r="E15" s="242"/>
      <c r="F15" s="242"/>
      <c r="G15" s="243"/>
      <c r="H15" s="76">
        <f>SUM(H10:H14)</f>
        <v>68000000</v>
      </c>
      <c r="I15" s="76">
        <f>SUM(I10:I14)</f>
        <v>333585000</v>
      </c>
      <c r="J15" s="76">
        <f>SUM(J10:J14)</f>
        <v>350264250</v>
      </c>
      <c r="K15" s="76">
        <f t="shared" ref="K15:M15" si="2">SUM(K10:K14)</f>
        <v>367777462.5</v>
      </c>
      <c r="L15" s="76">
        <f t="shared" si="2"/>
        <v>386166335.625</v>
      </c>
      <c r="M15" s="77">
        <f t="shared" si="2"/>
        <v>405474652.40625</v>
      </c>
      <c r="N15" s="78"/>
      <c r="O15" s="79"/>
      <c r="P15" s="80"/>
      <c r="Q15" s="80"/>
      <c r="R15" s="80"/>
      <c r="S15" s="80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</row>
    <row r="16" spans="1:37" s="81" customFormat="1" x14ac:dyDescent="0.2">
      <c r="A16" s="74"/>
      <c r="B16" s="75"/>
      <c r="C16" s="82"/>
      <c r="D16" s="82"/>
      <c r="E16" s="82"/>
      <c r="F16" s="82"/>
      <c r="G16" s="82"/>
      <c r="H16" s="83"/>
      <c r="I16" s="83"/>
      <c r="J16" s="83"/>
      <c r="K16" s="83"/>
      <c r="L16" s="83"/>
      <c r="M16" s="78"/>
      <c r="N16" s="78"/>
      <c r="O16" s="84"/>
      <c r="P16" s="80"/>
      <c r="Q16" s="80"/>
      <c r="R16" s="80"/>
      <c r="S16" s="80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</row>
    <row r="17" spans="1:35" ht="38.25" x14ac:dyDescent="0.2">
      <c r="B17" s="61"/>
      <c r="C17" s="65" t="s">
        <v>77</v>
      </c>
      <c r="D17" s="65" t="s">
        <v>78</v>
      </c>
      <c r="E17" s="65" t="s">
        <v>79</v>
      </c>
      <c r="F17" s="65" t="s">
        <v>97</v>
      </c>
      <c r="G17" s="65" t="s">
        <v>98</v>
      </c>
      <c r="H17" s="65" t="s">
        <v>82</v>
      </c>
      <c r="I17" s="65" t="s">
        <v>83</v>
      </c>
      <c r="J17" s="65" t="s">
        <v>84</v>
      </c>
      <c r="K17" s="65" t="s">
        <v>85</v>
      </c>
      <c r="L17" s="65" t="s">
        <v>86</v>
      </c>
      <c r="M17" s="65" t="s">
        <v>87</v>
      </c>
      <c r="N17" s="66"/>
      <c r="O17" s="84"/>
    </row>
    <row r="18" spans="1:35" ht="12.75" customHeight="1" x14ac:dyDescent="0.2">
      <c r="B18" s="61"/>
      <c r="C18" s="247" t="s">
        <v>99</v>
      </c>
      <c r="D18" s="67">
        <v>2</v>
      </c>
      <c r="E18" s="67" t="s">
        <v>100</v>
      </c>
      <c r="F18" s="85">
        <f>+'[1]Precio Monitoreos'!C29</f>
        <v>3500000</v>
      </c>
      <c r="G18" s="67">
        <v>4</v>
      </c>
      <c r="H18" s="85">
        <f>+F18*1*D18</f>
        <v>7000000</v>
      </c>
      <c r="I18" s="85">
        <f>+F18*G18*D18*(1+$D$4)</f>
        <v>29400000</v>
      </c>
      <c r="J18" s="85">
        <f>I18*(1+$D$4)</f>
        <v>30870000</v>
      </c>
      <c r="K18" s="85">
        <f>J18*(1+$D$4)</f>
        <v>32413500</v>
      </c>
      <c r="L18" s="85">
        <f>K18*(1+$D$4)</f>
        <v>34034175</v>
      </c>
      <c r="M18" s="85">
        <f>L18*(1+$D$4)</f>
        <v>35735883.75</v>
      </c>
      <c r="N18" s="86"/>
      <c r="O18" s="84"/>
    </row>
    <row r="19" spans="1:35" x14ac:dyDescent="0.2">
      <c r="B19" s="61"/>
      <c r="C19" s="248"/>
      <c r="D19" s="72">
        <v>1</v>
      </c>
      <c r="E19" s="72" t="s">
        <v>101</v>
      </c>
      <c r="F19" s="87">
        <f>+'[1]Precio Monitoreos'!C30</f>
        <v>3500000</v>
      </c>
      <c r="G19" s="67">
        <v>4</v>
      </c>
      <c r="H19" s="85">
        <f t="shared" ref="H19:H23" si="3">+F19*1*D19</f>
        <v>3500000</v>
      </c>
      <c r="I19" s="85">
        <f t="shared" ref="I19:I23" si="4">+F19*G19*D19*(1+$D$4)</f>
        <v>14700000</v>
      </c>
      <c r="J19" s="85">
        <f t="shared" ref="J19:M23" si="5">I19*(1+$D$4)</f>
        <v>15435000</v>
      </c>
      <c r="K19" s="85">
        <f t="shared" si="5"/>
        <v>16206750</v>
      </c>
      <c r="L19" s="85">
        <f t="shared" si="5"/>
        <v>17017087.5</v>
      </c>
      <c r="M19" s="85">
        <f t="shared" si="5"/>
        <v>17867941.875</v>
      </c>
      <c r="N19" s="86"/>
      <c r="O19" s="84"/>
    </row>
    <row r="20" spans="1:35" x14ac:dyDescent="0.2">
      <c r="B20" s="61"/>
      <c r="C20" s="248"/>
      <c r="D20" s="72">
        <v>2</v>
      </c>
      <c r="E20" s="72" t="s">
        <v>102</v>
      </c>
      <c r="F20" s="87">
        <f>+'[1]Precio Monitoreos'!C28</f>
        <v>3000000</v>
      </c>
      <c r="G20" s="67">
        <v>4</v>
      </c>
      <c r="H20" s="85">
        <f t="shared" si="3"/>
        <v>6000000</v>
      </c>
      <c r="I20" s="85">
        <f t="shared" si="4"/>
        <v>25200000</v>
      </c>
      <c r="J20" s="85">
        <f t="shared" si="5"/>
        <v>26460000</v>
      </c>
      <c r="K20" s="85">
        <f t="shared" si="5"/>
        <v>27783000</v>
      </c>
      <c r="L20" s="85">
        <f t="shared" si="5"/>
        <v>29172150</v>
      </c>
      <c r="M20" s="85">
        <f t="shared" si="5"/>
        <v>30630757.5</v>
      </c>
      <c r="N20" s="86"/>
      <c r="O20" s="84"/>
    </row>
    <row r="21" spans="1:35" x14ac:dyDescent="0.2">
      <c r="B21" s="61"/>
      <c r="C21" s="248"/>
      <c r="D21" s="72">
        <v>1</v>
      </c>
      <c r="E21" s="72" t="s">
        <v>91</v>
      </c>
      <c r="F21" s="87">
        <f>+'[1]Precio Monitoreos'!C24</f>
        <v>4000000</v>
      </c>
      <c r="G21" s="67">
        <v>4</v>
      </c>
      <c r="H21" s="85">
        <f t="shared" si="3"/>
        <v>4000000</v>
      </c>
      <c r="I21" s="85">
        <f t="shared" si="4"/>
        <v>16800000</v>
      </c>
      <c r="J21" s="85">
        <f t="shared" si="5"/>
        <v>17640000</v>
      </c>
      <c r="K21" s="85">
        <f t="shared" si="5"/>
        <v>18522000</v>
      </c>
      <c r="L21" s="85">
        <f t="shared" si="5"/>
        <v>19448100</v>
      </c>
      <c r="M21" s="85">
        <f t="shared" si="5"/>
        <v>20420505</v>
      </c>
      <c r="N21" s="86"/>
      <c r="O21" s="84"/>
    </row>
    <row r="22" spans="1:35" x14ac:dyDescent="0.2">
      <c r="B22" s="61"/>
      <c r="C22" s="248"/>
      <c r="D22" s="72">
        <v>2</v>
      </c>
      <c r="E22" s="72" t="s">
        <v>94</v>
      </c>
      <c r="F22" s="87">
        <f>+'[1]Precio Monitoreos'!C26</f>
        <v>3500000</v>
      </c>
      <c r="G22" s="67">
        <v>4</v>
      </c>
      <c r="H22" s="85">
        <f t="shared" si="3"/>
        <v>7000000</v>
      </c>
      <c r="I22" s="85">
        <f t="shared" si="4"/>
        <v>29400000</v>
      </c>
      <c r="J22" s="85">
        <f t="shared" si="5"/>
        <v>30870000</v>
      </c>
      <c r="K22" s="85">
        <f t="shared" si="5"/>
        <v>32413500</v>
      </c>
      <c r="L22" s="85">
        <f t="shared" si="5"/>
        <v>34034175</v>
      </c>
      <c r="M22" s="85">
        <f t="shared" si="5"/>
        <v>35735883.75</v>
      </c>
      <c r="N22" s="86"/>
      <c r="O22" s="84"/>
    </row>
    <row r="23" spans="1:35" x14ac:dyDescent="0.2">
      <c r="B23" s="61"/>
      <c r="C23" s="249"/>
      <c r="D23" s="73">
        <v>2</v>
      </c>
      <c r="E23" s="73" t="s">
        <v>95</v>
      </c>
      <c r="F23" s="88">
        <f>+'[1]Precio Monitoreos'!C27</f>
        <v>3500000</v>
      </c>
      <c r="G23" s="67">
        <v>4</v>
      </c>
      <c r="H23" s="85">
        <f t="shared" si="3"/>
        <v>7000000</v>
      </c>
      <c r="I23" s="85">
        <f t="shared" si="4"/>
        <v>29400000</v>
      </c>
      <c r="J23" s="85">
        <f t="shared" si="5"/>
        <v>30870000</v>
      </c>
      <c r="K23" s="85">
        <f t="shared" si="5"/>
        <v>32413500</v>
      </c>
      <c r="L23" s="85">
        <f t="shared" si="5"/>
        <v>34034175</v>
      </c>
      <c r="M23" s="85">
        <f t="shared" si="5"/>
        <v>35735883.75</v>
      </c>
      <c r="N23" s="86"/>
      <c r="O23" s="84"/>
    </row>
    <row r="24" spans="1:35" s="81" customFormat="1" x14ac:dyDescent="0.2">
      <c r="A24" s="74"/>
      <c r="B24" s="75"/>
      <c r="C24" s="241" t="s">
        <v>96</v>
      </c>
      <c r="D24" s="242"/>
      <c r="E24" s="242"/>
      <c r="F24" s="242"/>
      <c r="G24" s="243"/>
      <c r="H24" s="76">
        <f t="shared" ref="H24:M24" si="6">SUM(H18:H23)</f>
        <v>34500000</v>
      </c>
      <c r="I24" s="76">
        <f t="shared" si="6"/>
        <v>144900000</v>
      </c>
      <c r="J24" s="76">
        <f t="shared" si="6"/>
        <v>152145000</v>
      </c>
      <c r="K24" s="76">
        <f t="shared" si="6"/>
        <v>159752250</v>
      </c>
      <c r="L24" s="76">
        <f t="shared" si="6"/>
        <v>167739862.5</v>
      </c>
      <c r="M24" s="77">
        <f t="shared" si="6"/>
        <v>176126855.625</v>
      </c>
      <c r="N24" s="78"/>
      <c r="O24" s="84"/>
      <c r="P24" s="80"/>
      <c r="Q24" s="80"/>
      <c r="R24" s="80"/>
      <c r="S24" s="80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</row>
    <row r="25" spans="1:35" x14ac:dyDescent="0.2">
      <c r="B25" s="61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4"/>
      <c r="N25" s="64"/>
      <c r="O25" s="62"/>
    </row>
    <row r="26" spans="1:35" ht="25.5" x14ac:dyDescent="0.2">
      <c r="B26" s="61"/>
      <c r="C26" s="63"/>
      <c r="D26" s="63"/>
      <c r="E26" s="65" t="s">
        <v>77</v>
      </c>
      <c r="F26" s="65" t="s">
        <v>103</v>
      </c>
      <c r="G26" s="65" t="s">
        <v>97</v>
      </c>
      <c r="H26" s="65" t="s">
        <v>82</v>
      </c>
      <c r="I26" s="65" t="s">
        <v>83</v>
      </c>
      <c r="J26" s="65" t="s">
        <v>84</v>
      </c>
      <c r="K26" s="65" t="s">
        <v>85</v>
      </c>
      <c r="L26" s="65" t="s">
        <v>86</v>
      </c>
      <c r="M26" s="65" t="s">
        <v>87</v>
      </c>
      <c r="N26" s="66"/>
      <c r="O26" s="84"/>
    </row>
    <row r="27" spans="1:35" ht="47.25" customHeight="1" x14ac:dyDescent="0.2">
      <c r="B27" s="61"/>
      <c r="C27" s="63"/>
      <c r="D27" s="63"/>
      <c r="E27" s="89" t="s">
        <v>104</v>
      </c>
      <c r="F27" s="90">
        <v>2</v>
      </c>
      <c r="G27" s="85">
        <v>20000000</v>
      </c>
      <c r="H27" s="85">
        <f>+G27*F27</f>
        <v>40000000</v>
      </c>
      <c r="I27" s="85">
        <f>+H27*(1+$D$4)</f>
        <v>42000000</v>
      </c>
      <c r="J27" s="85">
        <f t="shared" ref="J27:M27" si="7">+I27*(1+$D$4)</f>
        <v>44100000</v>
      </c>
      <c r="K27" s="85">
        <f t="shared" si="7"/>
        <v>46305000</v>
      </c>
      <c r="L27" s="85">
        <f t="shared" si="7"/>
        <v>48620250</v>
      </c>
      <c r="M27" s="85">
        <f t="shared" si="7"/>
        <v>51051262.5</v>
      </c>
      <c r="N27" s="86"/>
      <c r="O27" s="84"/>
    </row>
    <row r="28" spans="1:35" x14ac:dyDescent="0.2">
      <c r="B28" s="61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4"/>
      <c r="N28" s="64"/>
      <c r="O28" s="62"/>
    </row>
    <row r="29" spans="1:35" x14ac:dyDescent="0.2">
      <c r="B29" s="61"/>
      <c r="C29" s="91" t="s">
        <v>105</v>
      </c>
      <c r="D29" s="63"/>
      <c r="E29" s="63"/>
      <c r="F29" s="63"/>
      <c r="G29" s="63"/>
      <c r="H29" s="63"/>
      <c r="I29" s="63"/>
      <c r="J29" s="63"/>
      <c r="K29" s="63"/>
      <c r="L29" s="63"/>
      <c r="M29" s="64"/>
      <c r="N29" s="64"/>
      <c r="O29" s="62"/>
    </row>
    <row r="30" spans="1:35" x14ac:dyDescent="0.2">
      <c r="B30" s="61"/>
      <c r="C30" s="63"/>
      <c r="D30" s="63"/>
      <c r="E30" s="63"/>
      <c r="F30" s="65" t="s">
        <v>77</v>
      </c>
      <c r="G30" s="65" t="s">
        <v>82</v>
      </c>
      <c r="H30" s="65" t="s">
        <v>83</v>
      </c>
      <c r="I30" s="65" t="s">
        <v>84</v>
      </c>
      <c r="J30" s="65" t="s">
        <v>85</v>
      </c>
      <c r="K30" s="65" t="s">
        <v>86</v>
      </c>
      <c r="L30" s="65" t="s">
        <v>87</v>
      </c>
      <c r="M30" s="92" t="s">
        <v>106</v>
      </c>
      <c r="N30" s="64"/>
      <c r="O30" s="62"/>
      <c r="AI30" s="54"/>
    </row>
    <row r="31" spans="1:35" ht="25.5" x14ac:dyDescent="0.2">
      <c r="B31" s="61"/>
      <c r="C31" s="63"/>
      <c r="D31" s="63"/>
      <c r="E31" s="63"/>
      <c r="F31" s="93" t="str">
        <f>+C10</f>
        <v>Monitoreos Seguimiento Ambiental Campo</v>
      </c>
      <c r="G31" s="94">
        <f>+H15</f>
        <v>68000000</v>
      </c>
      <c r="H31" s="94">
        <f t="shared" ref="H31:L31" si="8">+I15</f>
        <v>333585000</v>
      </c>
      <c r="I31" s="94">
        <f t="shared" si="8"/>
        <v>350264250</v>
      </c>
      <c r="J31" s="94">
        <f t="shared" si="8"/>
        <v>367777462.5</v>
      </c>
      <c r="K31" s="94">
        <f t="shared" si="8"/>
        <v>386166335.625</v>
      </c>
      <c r="L31" s="94">
        <f t="shared" si="8"/>
        <v>405474652.40625</v>
      </c>
      <c r="M31" s="95">
        <f>SUM(G31:L31)</f>
        <v>1911267700.53125</v>
      </c>
      <c r="N31" s="64"/>
      <c r="O31" s="62"/>
      <c r="AI31" s="54"/>
    </row>
    <row r="32" spans="1:35" x14ac:dyDescent="0.2">
      <c r="B32" s="61"/>
      <c r="C32" s="63"/>
      <c r="D32" s="63"/>
      <c r="E32" s="63"/>
      <c r="F32" s="93" t="str">
        <f>+C18</f>
        <v>Monitoreos  Perforación  Pozo</v>
      </c>
      <c r="G32" s="94">
        <f>+H24</f>
        <v>34500000</v>
      </c>
      <c r="H32" s="94">
        <f t="shared" ref="H32:L32" si="9">+I24</f>
        <v>144900000</v>
      </c>
      <c r="I32" s="94">
        <f t="shared" si="9"/>
        <v>152145000</v>
      </c>
      <c r="J32" s="94">
        <f t="shared" si="9"/>
        <v>159752250</v>
      </c>
      <c r="K32" s="94">
        <f t="shared" si="9"/>
        <v>167739862.5</v>
      </c>
      <c r="L32" s="94">
        <f t="shared" si="9"/>
        <v>176126855.625</v>
      </c>
      <c r="M32" s="95">
        <f>SUM(G32:L32)</f>
        <v>835163968.125</v>
      </c>
      <c r="N32" s="64"/>
      <c r="O32" s="62"/>
      <c r="AI32" s="54"/>
    </row>
    <row r="33" spans="1:36" ht="38.25" x14ac:dyDescent="0.2">
      <c r="B33" s="61"/>
      <c r="C33" s="63"/>
      <c r="D33" s="63"/>
      <c r="E33" s="63"/>
      <c r="F33" s="96" t="str">
        <f>+E27</f>
        <v>Varios: Contingencias, Derrames, Quejas, Reclamos, Demandas y Sancioneas</v>
      </c>
      <c r="G33" s="94">
        <f>+H27</f>
        <v>40000000</v>
      </c>
      <c r="H33" s="94">
        <f t="shared" ref="H33:L33" si="10">+I27</f>
        <v>42000000</v>
      </c>
      <c r="I33" s="94">
        <f t="shared" si="10"/>
        <v>44100000</v>
      </c>
      <c r="J33" s="94">
        <f t="shared" si="10"/>
        <v>46305000</v>
      </c>
      <c r="K33" s="94">
        <f t="shared" si="10"/>
        <v>48620250</v>
      </c>
      <c r="L33" s="94">
        <f t="shared" si="10"/>
        <v>51051262.5</v>
      </c>
      <c r="M33" s="94">
        <f>SUM(M31:M32)</f>
        <v>2746431668.65625</v>
      </c>
      <c r="N33" s="64"/>
      <c r="O33" s="62"/>
      <c r="AI33" s="54"/>
    </row>
    <row r="34" spans="1:36" s="105" customFormat="1" x14ac:dyDescent="0.2">
      <c r="A34" s="97"/>
      <c r="B34" s="98"/>
      <c r="C34" s="99"/>
      <c r="D34" s="99"/>
      <c r="E34" s="99"/>
      <c r="F34" s="100" t="s">
        <v>107</v>
      </c>
      <c r="G34" s="101">
        <f>SUM(G31:G33)</f>
        <v>142500000</v>
      </c>
      <c r="H34" s="101">
        <f t="shared" ref="H34:L34" si="11">SUM(H31:H33)</f>
        <v>520485000</v>
      </c>
      <c r="I34" s="101">
        <f t="shared" si="11"/>
        <v>546509250</v>
      </c>
      <c r="J34" s="101">
        <f t="shared" si="11"/>
        <v>573834712.5</v>
      </c>
      <c r="K34" s="101">
        <f t="shared" si="11"/>
        <v>602526448.125</v>
      </c>
      <c r="L34" s="101">
        <f t="shared" si="11"/>
        <v>632652770.53125</v>
      </c>
      <c r="M34" s="102">
        <f>SUM(G34:L34)</f>
        <v>3018508181.15625</v>
      </c>
      <c r="N34" s="64"/>
      <c r="O34" s="103"/>
      <c r="P34" s="104"/>
      <c r="Q34" s="104"/>
      <c r="R34" s="104"/>
      <c r="S34" s="104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</row>
    <row r="35" spans="1:36" x14ac:dyDescent="0.2">
      <c r="B35" s="61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4"/>
      <c r="N35" s="64"/>
      <c r="O35" s="62"/>
      <c r="AJ35" s="50"/>
    </row>
    <row r="36" spans="1:36" x14ac:dyDescent="0.2">
      <c r="B36" s="61"/>
      <c r="C36" s="106" t="s">
        <v>108</v>
      </c>
      <c r="D36" s="63"/>
      <c r="E36" s="63"/>
      <c r="F36" s="63"/>
      <c r="G36" s="63"/>
      <c r="H36" s="63"/>
      <c r="I36" s="63"/>
      <c r="J36" s="63"/>
      <c r="K36" s="63"/>
      <c r="L36" s="63"/>
      <c r="M36" s="64"/>
      <c r="N36" s="64"/>
      <c r="O36" s="62"/>
    </row>
    <row r="37" spans="1:36" x14ac:dyDescent="0.2">
      <c r="B37" s="61"/>
      <c r="C37" s="106"/>
      <c r="D37" s="63"/>
      <c r="E37" s="63"/>
      <c r="F37" s="63"/>
      <c r="G37" s="63"/>
      <c r="H37" s="63"/>
      <c r="I37" s="63"/>
      <c r="J37" s="63"/>
      <c r="K37" s="63"/>
      <c r="L37" s="63"/>
      <c r="M37" s="64"/>
      <c r="N37" s="64"/>
      <c r="O37" s="62"/>
    </row>
    <row r="38" spans="1:36" x14ac:dyDescent="0.2">
      <c r="B38" s="61"/>
      <c r="C38" s="106" t="s">
        <v>109</v>
      </c>
      <c r="D38" s="63"/>
      <c r="E38" s="63"/>
      <c r="F38" s="63"/>
      <c r="G38" s="63"/>
      <c r="H38" s="63"/>
      <c r="I38" s="63"/>
      <c r="J38" s="63"/>
      <c r="K38" s="63"/>
      <c r="L38" s="63"/>
      <c r="M38" s="64"/>
      <c r="N38" s="64"/>
      <c r="O38" s="62"/>
    </row>
    <row r="39" spans="1:36" x14ac:dyDescent="0.2">
      <c r="B39" s="61"/>
      <c r="C39" s="106" t="s">
        <v>110</v>
      </c>
      <c r="D39" s="63"/>
      <c r="E39" s="63"/>
      <c r="F39" s="63"/>
      <c r="G39" s="63"/>
      <c r="H39" s="63"/>
      <c r="I39" s="63"/>
      <c r="J39" s="63"/>
      <c r="K39" s="63"/>
      <c r="L39" s="63"/>
      <c r="M39" s="64"/>
      <c r="N39" s="64"/>
      <c r="O39" s="62"/>
    </row>
    <row r="40" spans="1:36" x14ac:dyDescent="0.2">
      <c r="B40" s="61"/>
      <c r="C40" s="106" t="s">
        <v>111</v>
      </c>
      <c r="D40" s="63"/>
      <c r="E40" s="63"/>
      <c r="F40" s="63"/>
      <c r="G40" s="63"/>
      <c r="H40" s="63"/>
      <c r="I40" s="63"/>
      <c r="J40" s="63"/>
      <c r="K40" s="63"/>
      <c r="L40" s="63"/>
      <c r="M40" s="64"/>
      <c r="N40" s="64"/>
      <c r="O40" s="62"/>
    </row>
    <row r="41" spans="1:36" x14ac:dyDescent="0.2">
      <c r="B41" s="61"/>
      <c r="C41" s="106" t="s">
        <v>112</v>
      </c>
      <c r="D41" s="63"/>
      <c r="E41" s="63"/>
      <c r="F41" s="63"/>
      <c r="G41" s="63"/>
      <c r="H41" s="63"/>
      <c r="I41" s="63"/>
      <c r="J41" s="63"/>
      <c r="K41" s="63"/>
      <c r="L41" s="63"/>
      <c r="M41" s="64"/>
      <c r="N41" s="64"/>
      <c r="O41" s="62"/>
    </row>
    <row r="42" spans="1:36" x14ac:dyDescent="0.2">
      <c r="B42" s="61"/>
      <c r="C42" s="106" t="s">
        <v>113</v>
      </c>
      <c r="D42" s="63"/>
      <c r="E42" s="63"/>
      <c r="F42" s="63"/>
      <c r="G42" s="63"/>
      <c r="H42" s="63"/>
      <c r="I42" s="63"/>
      <c r="J42" s="63"/>
      <c r="K42" s="63"/>
      <c r="L42" s="63"/>
      <c r="M42" s="64"/>
      <c r="N42" s="64"/>
      <c r="O42" s="62"/>
    </row>
    <row r="43" spans="1:36" x14ac:dyDescent="0.2">
      <c r="B43" s="61"/>
      <c r="C43" s="106" t="s">
        <v>114</v>
      </c>
      <c r="D43" s="63"/>
      <c r="E43" s="63"/>
      <c r="F43" s="63"/>
      <c r="G43" s="63"/>
      <c r="H43" s="63"/>
      <c r="I43" s="63"/>
      <c r="J43" s="63"/>
      <c r="K43" s="63"/>
      <c r="L43" s="63"/>
      <c r="M43" s="64"/>
      <c r="N43" s="64"/>
      <c r="O43" s="62"/>
    </row>
    <row r="44" spans="1:36" ht="20.25" customHeight="1" thickBot="1" x14ac:dyDescent="0.25">
      <c r="B44" s="107"/>
      <c r="C44" s="108" t="s">
        <v>115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10"/>
      <c r="N44" s="110"/>
      <c r="O44" s="111"/>
    </row>
    <row r="45" spans="1:36" ht="13.5" thickBot="1" x14ac:dyDescent="0.25"/>
    <row r="46" spans="1:36" x14ac:dyDescent="0.2"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9"/>
      <c r="O46" s="60"/>
    </row>
    <row r="47" spans="1:36" ht="21" x14ac:dyDescent="0.35">
      <c r="B47" s="61"/>
      <c r="C47" s="246" t="s">
        <v>116</v>
      </c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62"/>
    </row>
    <row r="48" spans="1:36" x14ac:dyDescent="0.2">
      <c r="B48" s="61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4"/>
      <c r="N48" s="64"/>
      <c r="O48" s="62"/>
    </row>
    <row r="49" spans="2:27" x14ac:dyDescent="0.2">
      <c r="B49" s="61"/>
      <c r="C49" s="65" t="s">
        <v>77</v>
      </c>
      <c r="D49" s="65" t="s">
        <v>78</v>
      </c>
      <c r="E49" s="65" t="s">
        <v>79</v>
      </c>
      <c r="F49" s="65" t="s">
        <v>80</v>
      </c>
      <c r="G49" s="65" t="s">
        <v>81</v>
      </c>
      <c r="H49" s="65" t="s">
        <v>82</v>
      </c>
      <c r="I49" s="65" t="s">
        <v>83</v>
      </c>
      <c r="J49" s="65" t="s">
        <v>84</v>
      </c>
      <c r="K49" s="65" t="s">
        <v>85</v>
      </c>
      <c r="L49" s="65" t="s">
        <v>86</v>
      </c>
      <c r="M49" s="65" t="s">
        <v>87</v>
      </c>
      <c r="N49" s="66"/>
      <c r="O49" s="62"/>
    </row>
    <row r="50" spans="2:27" x14ac:dyDescent="0.2">
      <c r="B50" s="61"/>
      <c r="C50" s="247" t="s">
        <v>88</v>
      </c>
      <c r="D50" s="67" t="s">
        <v>117</v>
      </c>
      <c r="E50" s="67" t="s">
        <v>90</v>
      </c>
      <c r="F50" s="69">
        <f>+'[1]Precio Monitoreos'!I4</f>
        <v>70000000</v>
      </c>
      <c r="G50" s="67">
        <v>1</v>
      </c>
      <c r="H50" s="69">
        <f t="shared" ref="H50:H55" si="12">+F50*1</f>
        <v>70000000</v>
      </c>
      <c r="I50" s="69">
        <f t="shared" ref="I50:I55" si="13">+G50*F50*(1+$D$4)</f>
        <v>73500000</v>
      </c>
      <c r="J50" s="69">
        <f>+I50*(1+$D$4)</f>
        <v>77175000</v>
      </c>
      <c r="K50" s="69">
        <f>+J50*(1+$D$4)</f>
        <v>81033750</v>
      </c>
      <c r="L50" s="69">
        <f>+K50*(1+$D$4)</f>
        <v>85085437.5</v>
      </c>
      <c r="M50" s="69">
        <f>+L50*(1+$D$4)</f>
        <v>89339709.375</v>
      </c>
      <c r="N50" s="70"/>
      <c r="O50" s="62"/>
    </row>
    <row r="51" spans="2:27" x14ac:dyDescent="0.2">
      <c r="B51" s="61"/>
      <c r="C51" s="248"/>
      <c r="D51" s="72" t="s">
        <v>117</v>
      </c>
      <c r="E51" s="72" t="s">
        <v>91</v>
      </c>
      <c r="F51" s="69">
        <f>+'[1]Precio Monitoreos'!I6</f>
        <v>4100000</v>
      </c>
      <c r="G51" s="67">
        <v>1</v>
      </c>
      <c r="H51" s="69">
        <f t="shared" si="12"/>
        <v>4100000</v>
      </c>
      <c r="I51" s="69">
        <f t="shared" si="13"/>
        <v>4305000</v>
      </c>
      <c r="J51" s="69">
        <f>+I51*(1+$D$4)</f>
        <v>4520250</v>
      </c>
      <c r="K51" s="69">
        <f t="shared" ref="K51:M55" si="14">+J51*(1+$D$4)</f>
        <v>4746262.5</v>
      </c>
      <c r="L51" s="69">
        <f t="shared" si="14"/>
        <v>4983575.625</v>
      </c>
      <c r="M51" s="69">
        <f t="shared" si="14"/>
        <v>5232754.40625</v>
      </c>
      <c r="N51" s="70"/>
      <c r="O51" s="62"/>
    </row>
    <row r="52" spans="2:27" ht="28.5" customHeight="1" x14ac:dyDescent="0.2">
      <c r="B52" s="61"/>
      <c r="C52" s="248"/>
      <c r="D52" s="72" t="s">
        <v>92</v>
      </c>
      <c r="E52" s="72" t="s">
        <v>118</v>
      </c>
      <c r="F52" s="69">
        <f>+'[1]Precio Monitoreos'!I7</f>
        <v>22000000</v>
      </c>
      <c r="G52" s="67">
        <v>2</v>
      </c>
      <c r="H52" s="69">
        <f t="shared" si="12"/>
        <v>22000000</v>
      </c>
      <c r="I52" s="69">
        <f t="shared" si="13"/>
        <v>46200000</v>
      </c>
      <c r="J52" s="69">
        <f>+I52*(1+$D$4)</f>
        <v>48510000</v>
      </c>
      <c r="K52" s="69">
        <f t="shared" si="14"/>
        <v>50935500</v>
      </c>
      <c r="L52" s="69">
        <f t="shared" si="14"/>
        <v>53482275</v>
      </c>
      <c r="M52" s="69">
        <f t="shared" si="14"/>
        <v>56156388.75</v>
      </c>
      <c r="N52" s="70"/>
      <c r="O52" s="62"/>
    </row>
    <row r="53" spans="2:27" x14ac:dyDescent="0.2">
      <c r="B53" s="61"/>
      <c r="C53" s="248"/>
      <c r="D53" s="73" t="s">
        <v>89</v>
      </c>
      <c r="E53" s="73" t="s">
        <v>119</v>
      </c>
      <c r="F53" s="69">
        <f>+'[1]Precio Monitoreos'!I9</f>
        <v>1900000</v>
      </c>
      <c r="G53" s="67">
        <v>4</v>
      </c>
      <c r="H53" s="69">
        <f t="shared" si="12"/>
        <v>1900000</v>
      </c>
      <c r="I53" s="69">
        <f t="shared" si="13"/>
        <v>7980000</v>
      </c>
      <c r="J53" s="69">
        <f t="shared" ref="J53" si="15">+I53*(1+$D$4)</f>
        <v>8379000</v>
      </c>
      <c r="K53" s="69">
        <f t="shared" si="14"/>
        <v>8797950</v>
      </c>
      <c r="L53" s="69">
        <f t="shared" si="14"/>
        <v>9237847.5</v>
      </c>
      <c r="M53" s="69">
        <f t="shared" si="14"/>
        <v>9699739.875</v>
      </c>
      <c r="N53" s="70"/>
      <c r="O53" s="62"/>
    </row>
    <row r="54" spans="2:27" x14ac:dyDescent="0.2">
      <c r="B54" s="61"/>
      <c r="C54" s="248"/>
      <c r="D54" s="73" t="s">
        <v>89</v>
      </c>
      <c r="E54" s="73" t="s">
        <v>120</v>
      </c>
      <c r="F54" s="69">
        <f>+'[1]Precio Monitoreos'!I11</f>
        <v>7800000</v>
      </c>
      <c r="G54" s="67">
        <v>4</v>
      </c>
      <c r="H54" s="69">
        <f t="shared" si="12"/>
        <v>7800000</v>
      </c>
      <c r="I54" s="69">
        <f t="shared" si="13"/>
        <v>32760000</v>
      </c>
      <c r="J54" s="69">
        <f>+I54*(1+$D$4)</f>
        <v>34398000</v>
      </c>
      <c r="K54" s="69">
        <f t="shared" si="14"/>
        <v>36117900</v>
      </c>
      <c r="L54" s="69">
        <f t="shared" si="14"/>
        <v>37923795</v>
      </c>
      <c r="M54" s="69">
        <f t="shared" si="14"/>
        <v>39819984.75</v>
      </c>
      <c r="N54" s="70"/>
      <c r="O54" s="62"/>
    </row>
    <row r="55" spans="2:27" s="113" customFormat="1" x14ac:dyDescent="0.2">
      <c r="B55" s="112"/>
      <c r="C55" s="249"/>
      <c r="D55" s="73" t="s">
        <v>121</v>
      </c>
      <c r="E55" s="73" t="s">
        <v>122</v>
      </c>
      <c r="F55" s="69">
        <f>+'[1]Precio Monitoreos'!I13</f>
        <v>2000000</v>
      </c>
      <c r="G55" s="67">
        <v>12</v>
      </c>
      <c r="H55" s="69">
        <f t="shared" si="12"/>
        <v>2000000</v>
      </c>
      <c r="I55" s="69">
        <f t="shared" si="13"/>
        <v>25200000</v>
      </c>
      <c r="J55" s="69">
        <f t="shared" ref="J55" si="16">+I55*(1+$D$4)</f>
        <v>26460000</v>
      </c>
      <c r="K55" s="69">
        <f t="shared" si="14"/>
        <v>27783000</v>
      </c>
      <c r="L55" s="69">
        <f t="shared" si="14"/>
        <v>29172150</v>
      </c>
      <c r="M55" s="69">
        <f t="shared" si="14"/>
        <v>30630757.5</v>
      </c>
      <c r="N55" s="70"/>
      <c r="O55" s="62"/>
      <c r="P55" s="53"/>
      <c r="Q55" s="53"/>
      <c r="R55" s="53"/>
      <c r="S55" s="53"/>
      <c r="T55" s="50"/>
      <c r="U55" s="50"/>
      <c r="V55" s="50"/>
      <c r="W55" s="50"/>
      <c r="X55" s="50"/>
      <c r="Y55" s="50"/>
      <c r="Z55" s="50"/>
      <c r="AA55" s="50"/>
    </row>
    <row r="56" spans="2:27" x14ac:dyDescent="0.2">
      <c r="B56" s="75"/>
      <c r="C56" s="241" t="s">
        <v>96</v>
      </c>
      <c r="D56" s="242"/>
      <c r="E56" s="242"/>
      <c r="F56" s="242"/>
      <c r="G56" s="243"/>
      <c r="H56" s="76">
        <f t="shared" ref="H56:L56" si="17">SUM(H50:H55)</f>
        <v>107800000</v>
      </c>
      <c r="I56" s="76">
        <f t="shared" si="17"/>
        <v>189945000</v>
      </c>
      <c r="J56" s="76">
        <f t="shared" si="17"/>
        <v>199442250</v>
      </c>
      <c r="K56" s="76">
        <f t="shared" si="17"/>
        <v>209414362.5</v>
      </c>
      <c r="L56" s="76">
        <f t="shared" si="17"/>
        <v>219885080.625</v>
      </c>
      <c r="M56" s="77">
        <f>SUM(M50:M55)</f>
        <v>230879334.65625</v>
      </c>
      <c r="N56" s="78"/>
      <c r="O56" s="79"/>
    </row>
    <row r="57" spans="2:27" x14ac:dyDescent="0.2">
      <c r="B57" s="75"/>
      <c r="C57" s="82"/>
      <c r="D57" s="82"/>
      <c r="E57" s="82"/>
      <c r="F57" s="82"/>
      <c r="G57" s="82"/>
      <c r="H57" s="83"/>
      <c r="I57" s="83"/>
      <c r="J57" s="83"/>
      <c r="K57" s="83"/>
      <c r="L57" s="83"/>
      <c r="M57" s="78"/>
      <c r="N57" s="78"/>
      <c r="O57" s="84"/>
    </row>
    <row r="58" spans="2:27" ht="38.25" x14ac:dyDescent="0.2">
      <c r="B58" s="61"/>
      <c r="C58" s="65" t="s">
        <v>77</v>
      </c>
      <c r="D58" s="65" t="s">
        <v>78</v>
      </c>
      <c r="E58" s="65" t="s">
        <v>79</v>
      </c>
      <c r="F58" s="65" t="s">
        <v>97</v>
      </c>
      <c r="G58" s="65" t="s">
        <v>98</v>
      </c>
      <c r="H58" s="65" t="s">
        <v>82</v>
      </c>
      <c r="I58" s="65" t="s">
        <v>83</v>
      </c>
      <c r="J58" s="65" t="s">
        <v>84</v>
      </c>
      <c r="K58" s="65" t="s">
        <v>85</v>
      </c>
      <c r="L58" s="65" t="s">
        <v>86</v>
      </c>
      <c r="M58" s="65" t="s">
        <v>87</v>
      </c>
      <c r="N58" s="66"/>
      <c r="O58" s="84"/>
    </row>
    <row r="59" spans="2:27" ht="12.75" customHeight="1" x14ac:dyDescent="0.2">
      <c r="B59" s="61"/>
      <c r="C59" s="250" t="s">
        <v>99</v>
      </c>
      <c r="D59" s="114">
        <v>2</v>
      </c>
      <c r="E59" s="114" t="s">
        <v>100</v>
      </c>
      <c r="F59" s="115">
        <f>+'[1]Precio Monitoreos'!I29</f>
        <v>6000000</v>
      </c>
      <c r="G59" s="67">
        <v>3</v>
      </c>
      <c r="H59" s="85">
        <f>+F59*1*D59</f>
        <v>12000000</v>
      </c>
      <c r="I59" s="85">
        <f>+D59*F59*G59*(1+$D$4)</f>
        <v>37800000</v>
      </c>
      <c r="J59" s="85">
        <f>+(I59*$D$4)+I59</f>
        <v>39690000</v>
      </c>
      <c r="K59" s="85">
        <f t="shared" ref="K59:M59" si="18">+(J59*$D$4)+J59</f>
        <v>41674500</v>
      </c>
      <c r="L59" s="85">
        <f t="shared" si="18"/>
        <v>43758225</v>
      </c>
      <c r="M59" s="85">
        <f t="shared" si="18"/>
        <v>45946136.25</v>
      </c>
      <c r="N59" s="86"/>
      <c r="O59" s="84"/>
    </row>
    <row r="60" spans="2:27" x14ac:dyDescent="0.2">
      <c r="B60" s="61"/>
      <c r="C60" s="251"/>
      <c r="D60" s="116">
        <v>1</v>
      </c>
      <c r="E60" s="116" t="s">
        <v>101</v>
      </c>
      <c r="F60" s="117">
        <f>+'[1]Precio Monitoreos'!I30</f>
        <v>3500000</v>
      </c>
      <c r="G60" s="67">
        <v>3</v>
      </c>
      <c r="H60" s="85">
        <f t="shared" ref="H60:H63" si="19">+F60*1*D60</f>
        <v>3500000</v>
      </c>
      <c r="I60" s="85">
        <f t="shared" ref="I60:I63" si="20">+D60*F60*G60*(1+$D$4)</f>
        <v>11025000</v>
      </c>
      <c r="J60" s="85">
        <f t="shared" ref="J60:M63" si="21">+(I60*$D$4)+I60</f>
        <v>11576250</v>
      </c>
      <c r="K60" s="85">
        <f t="shared" si="21"/>
        <v>12155062.5</v>
      </c>
      <c r="L60" s="85">
        <f t="shared" si="21"/>
        <v>12762815.625</v>
      </c>
      <c r="M60" s="85">
        <f t="shared" si="21"/>
        <v>13400956.40625</v>
      </c>
      <c r="N60" s="86"/>
      <c r="O60" s="84"/>
    </row>
    <row r="61" spans="2:27" x14ac:dyDescent="0.2">
      <c r="B61" s="61"/>
      <c r="C61" s="251"/>
      <c r="D61" s="116">
        <v>1</v>
      </c>
      <c r="E61" s="116" t="s">
        <v>102</v>
      </c>
      <c r="F61" s="117">
        <f>+'[1]Precio Monitoreos'!I28</f>
        <v>3000000</v>
      </c>
      <c r="G61" s="67">
        <v>3</v>
      </c>
      <c r="H61" s="85">
        <f t="shared" si="19"/>
        <v>3000000</v>
      </c>
      <c r="I61" s="85">
        <f t="shared" si="20"/>
        <v>9450000</v>
      </c>
      <c r="J61" s="85">
        <f t="shared" si="21"/>
        <v>9922500</v>
      </c>
      <c r="K61" s="85">
        <f t="shared" si="21"/>
        <v>10418625</v>
      </c>
      <c r="L61" s="85">
        <f t="shared" si="21"/>
        <v>10939556.25</v>
      </c>
      <c r="M61" s="85">
        <f t="shared" si="21"/>
        <v>11486534.0625</v>
      </c>
      <c r="N61" s="86"/>
      <c r="O61" s="84"/>
    </row>
    <row r="62" spans="2:27" x14ac:dyDescent="0.2">
      <c r="B62" s="61"/>
      <c r="C62" s="251"/>
      <c r="D62" s="116">
        <v>2</v>
      </c>
      <c r="E62" s="116" t="s">
        <v>94</v>
      </c>
      <c r="F62" s="117">
        <f>+'[1]Precio Monitoreos'!I26</f>
        <v>3500000</v>
      </c>
      <c r="G62" s="67">
        <v>3</v>
      </c>
      <c r="H62" s="85">
        <f t="shared" si="19"/>
        <v>7000000</v>
      </c>
      <c r="I62" s="85">
        <f t="shared" si="20"/>
        <v>22050000</v>
      </c>
      <c r="J62" s="85">
        <f t="shared" si="21"/>
        <v>23152500</v>
      </c>
      <c r="K62" s="85">
        <f t="shared" si="21"/>
        <v>24310125</v>
      </c>
      <c r="L62" s="85">
        <f t="shared" si="21"/>
        <v>25525631.25</v>
      </c>
      <c r="M62" s="85">
        <f t="shared" si="21"/>
        <v>26801912.8125</v>
      </c>
      <c r="N62" s="86"/>
      <c r="O62" s="84"/>
    </row>
    <row r="63" spans="2:27" x14ac:dyDescent="0.2">
      <c r="B63" s="61"/>
      <c r="C63" s="252"/>
      <c r="D63" s="118">
        <v>2</v>
      </c>
      <c r="E63" s="118" t="s">
        <v>95</v>
      </c>
      <c r="F63" s="119">
        <f>+'[1]Precio Monitoreos'!I27</f>
        <v>1900000</v>
      </c>
      <c r="G63" s="67">
        <v>3</v>
      </c>
      <c r="H63" s="85">
        <f t="shared" si="19"/>
        <v>3800000</v>
      </c>
      <c r="I63" s="85">
        <f t="shared" si="20"/>
        <v>11970000</v>
      </c>
      <c r="J63" s="85">
        <f t="shared" si="21"/>
        <v>12568500</v>
      </c>
      <c r="K63" s="85">
        <f t="shared" si="21"/>
        <v>13196925</v>
      </c>
      <c r="L63" s="85">
        <f t="shared" si="21"/>
        <v>13856771.25</v>
      </c>
      <c r="M63" s="85">
        <f t="shared" si="21"/>
        <v>14549609.8125</v>
      </c>
      <c r="N63" s="86"/>
      <c r="O63" s="84"/>
    </row>
    <row r="64" spans="2:27" x14ac:dyDescent="0.2">
      <c r="B64" s="75"/>
      <c r="C64" s="241" t="s">
        <v>96</v>
      </c>
      <c r="D64" s="242"/>
      <c r="E64" s="242"/>
      <c r="F64" s="242"/>
      <c r="G64" s="243"/>
      <c r="H64" s="76">
        <f t="shared" ref="H64:M64" si="22">SUM(H59:H63)</f>
        <v>29300000</v>
      </c>
      <c r="I64" s="76">
        <f t="shared" si="22"/>
        <v>92295000</v>
      </c>
      <c r="J64" s="76">
        <f t="shared" si="22"/>
        <v>96909750</v>
      </c>
      <c r="K64" s="76">
        <f t="shared" si="22"/>
        <v>101755237.5</v>
      </c>
      <c r="L64" s="76">
        <f t="shared" si="22"/>
        <v>106842999.375</v>
      </c>
      <c r="M64" s="77">
        <f t="shared" si="22"/>
        <v>112185149.34375</v>
      </c>
      <c r="N64" s="78"/>
      <c r="O64" s="84"/>
    </row>
    <row r="65" spans="2:15" x14ac:dyDescent="0.2">
      <c r="B65" s="61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4"/>
      <c r="N65" s="64"/>
      <c r="O65" s="62"/>
    </row>
    <row r="66" spans="2:15" x14ac:dyDescent="0.2">
      <c r="B66" s="61"/>
      <c r="C66" s="54"/>
      <c r="D66" s="63"/>
      <c r="E66" s="63"/>
      <c r="F66" s="63"/>
      <c r="G66" s="63"/>
      <c r="H66" s="63"/>
      <c r="I66" s="63"/>
      <c r="J66" s="63"/>
      <c r="K66" s="63"/>
      <c r="L66" s="63"/>
      <c r="M66" s="64"/>
      <c r="N66" s="64"/>
      <c r="O66" s="62"/>
    </row>
    <row r="67" spans="2:15" x14ac:dyDescent="0.2">
      <c r="B67" s="61"/>
      <c r="C67" s="91" t="s">
        <v>123</v>
      </c>
      <c r="D67" s="63"/>
      <c r="E67" s="63"/>
      <c r="F67" s="65" t="s">
        <v>77</v>
      </c>
      <c r="G67" s="65" t="s">
        <v>82</v>
      </c>
      <c r="H67" s="65" t="s">
        <v>83</v>
      </c>
      <c r="I67" s="65" t="s">
        <v>84</v>
      </c>
      <c r="J67" s="65" t="s">
        <v>85</v>
      </c>
      <c r="K67" s="65" t="s">
        <v>86</v>
      </c>
      <c r="L67" s="65" t="s">
        <v>87</v>
      </c>
      <c r="M67" s="92" t="s">
        <v>106</v>
      </c>
      <c r="N67" s="64"/>
      <c r="O67" s="62"/>
    </row>
    <row r="68" spans="2:15" ht="25.5" x14ac:dyDescent="0.2">
      <c r="B68" s="61"/>
      <c r="C68" s="91"/>
      <c r="D68" s="63"/>
      <c r="E68" s="63"/>
      <c r="F68" s="120" t="str">
        <f>+C50</f>
        <v>Monitoreos Seguimiento Ambiental Campo</v>
      </c>
      <c r="G68" s="94">
        <f t="shared" ref="G68:L68" si="23">+H56</f>
        <v>107800000</v>
      </c>
      <c r="H68" s="94">
        <f t="shared" si="23"/>
        <v>189945000</v>
      </c>
      <c r="I68" s="94">
        <f t="shared" si="23"/>
        <v>199442250</v>
      </c>
      <c r="J68" s="94">
        <f t="shared" si="23"/>
        <v>209414362.5</v>
      </c>
      <c r="K68" s="94">
        <f t="shared" si="23"/>
        <v>219885080.625</v>
      </c>
      <c r="L68" s="94">
        <f t="shared" si="23"/>
        <v>230879334.65625</v>
      </c>
      <c r="M68" s="95">
        <f>SUM(G68:L68)</f>
        <v>1157366027.78125</v>
      </c>
      <c r="N68" s="64"/>
      <c r="O68" s="62"/>
    </row>
    <row r="69" spans="2:15" x14ac:dyDescent="0.2">
      <c r="B69" s="61"/>
      <c r="C69" s="91"/>
      <c r="D69" s="63"/>
      <c r="E69" s="63"/>
      <c r="F69" s="120" t="str">
        <f>+C59</f>
        <v>Monitoreos  Perforación  Pozo</v>
      </c>
      <c r="G69" s="94">
        <f t="shared" ref="G69:L69" si="24">+H64</f>
        <v>29300000</v>
      </c>
      <c r="H69" s="94">
        <f t="shared" si="24"/>
        <v>92295000</v>
      </c>
      <c r="I69" s="94">
        <f t="shared" si="24"/>
        <v>96909750</v>
      </c>
      <c r="J69" s="94">
        <f t="shared" si="24"/>
        <v>101755237.5</v>
      </c>
      <c r="K69" s="94">
        <f t="shared" si="24"/>
        <v>106842999.375</v>
      </c>
      <c r="L69" s="94">
        <f t="shared" si="24"/>
        <v>112185149.34375</v>
      </c>
      <c r="M69" s="95">
        <f>SUM(G69:L69)</f>
        <v>539288136.21875</v>
      </c>
      <c r="N69" s="64"/>
      <c r="O69" s="62"/>
    </row>
    <row r="70" spans="2:15" x14ac:dyDescent="0.2">
      <c r="B70" s="98"/>
      <c r="C70" s="99"/>
      <c r="D70" s="99"/>
      <c r="E70" s="99"/>
      <c r="F70" s="121" t="s">
        <v>107</v>
      </c>
      <c r="G70" s="101">
        <f>SUM(G68:G69)</f>
        <v>137100000</v>
      </c>
      <c r="H70" s="101">
        <f t="shared" ref="H70:M70" si="25">SUM(H68:H69)</f>
        <v>282240000</v>
      </c>
      <c r="I70" s="101">
        <f t="shared" si="25"/>
        <v>296352000</v>
      </c>
      <c r="J70" s="101">
        <f t="shared" si="25"/>
        <v>311169600</v>
      </c>
      <c r="K70" s="101">
        <f t="shared" si="25"/>
        <v>326728080</v>
      </c>
      <c r="L70" s="101">
        <f t="shared" si="25"/>
        <v>343064484</v>
      </c>
      <c r="M70" s="101">
        <f t="shared" si="25"/>
        <v>1696654164</v>
      </c>
      <c r="N70" s="64"/>
      <c r="O70" s="103"/>
    </row>
    <row r="71" spans="2:15" x14ac:dyDescent="0.2">
      <c r="B71" s="61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4"/>
      <c r="N71" s="64"/>
      <c r="O71" s="62"/>
    </row>
    <row r="72" spans="2:15" x14ac:dyDescent="0.2">
      <c r="B72" s="61"/>
      <c r="C72" s="106"/>
      <c r="D72" s="63"/>
      <c r="E72" s="63"/>
      <c r="F72" s="63"/>
      <c r="G72" s="63"/>
      <c r="H72" s="63"/>
      <c r="I72" s="63"/>
      <c r="J72" s="63"/>
      <c r="K72" s="63"/>
      <c r="L72" s="63"/>
      <c r="M72" s="64"/>
      <c r="N72" s="64"/>
      <c r="O72" s="62"/>
    </row>
    <row r="73" spans="2:15" ht="13.5" thickBot="1" x14ac:dyDescent="0.25">
      <c r="B73" s="107"/>
      <c r="C73" s="108"/>
      <c r="D73" s="109"/>
      <c r="E73" s="109"/>
      <c r="F73" s="109"/>
      <c r="G73" s="109"/>
      <c r="H73" s="109"/>
      <c r="I73" s="109"/>
      <c r="J73" s="109"/>
      <c r="K73" s="109"/>
      <c r="L73" s="109"/>
      <c r="M73" s="110"/>
      <c r="N73" s="110"/>
      <c r="O73" s="111"/>
    </row>
    <row r="74" spans="2:15" ht="13.5" thickBot="1" x14ac:dyDescent="0.25"/>
    <row r="75" spans="2:15" x14ac:dyDescent="0.2">
      <c r="B75" s="57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9"/>
      <c r="N75" s="59"/>
      <c r="O75" s="60"/>
    </row>
    <row r="76" spans="2:15" ht="23.25" x14ac:dyDescent="0.35">
      <c r="B76" s="61"/>
      <c r="C76" s="253" t="s">
        <v>124</v>
      </c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62"/>
    </row>
    <row r="77" spans="2:15" x14ac:dyDescent="0.2">
      <c r="B77" s="61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4"/>
      <c r="N77" s="64"/>
      <c r="O77" s="62"/>
    </row>
    <row r="78" spans="2:15" x14ac:dyDescent="0.2">
      <c r="B78" s="61"/>
      <c r="C78" s="65" t="s">
        <v>77</v>
      </c>
      <c r="D78" s="65" t="s">
        <v>78</v>
      </c>
      <c r="E78" s="65" t="s">
        <v>79</v>
      </c>
      <c r="F78" s="65" t="s">
        <v>80</v>
      </c>
      <c r="G78" s="65" t="s">
        <v>81</v>
      </c>
      <c r="H78" s="65" t="s">
        <v>82</v>
      </c>
      <c r="I78" s="65" t="s">
        <v>83</v>
      </c>
      <c r="J78" s="65" t="s">
        <v>84</v>
      </c>
      <c r="K78" s="65" t="s">
        <v>85</v>
      </c>
      <c r="L78" s="65" t="s">
        <v>86</v>
      </c>
      <c r="M78" s="65" t="s">
        <v>87</v>
      </c>
      <c r="N78" s="66"/>
      <c r="O78" s="62"/>
    </row>
    <row r="79" spans="2:15" ht="12.75" customHeight="1" x14ac:dyDescent="0.2">
      <c r="B79" s="61"/>
      <c r="C79" s="247" t="s">
        <v>125</v>
      </c>
      <c r="D79" s="72" t="s">
        <v>121</v>
      </c>
      <c r="E79" s="72" t="s">
        <v>94</v>
      </c>
      <c r="F79" s="122">
        <f>+'[1]Precio Monitoreos'!D8</f>
        <v>250000</v>
      </c>
      <c r="G79" s="67">
        <v>12</v>
      </c>
      <c r="H79" s="69">
        <f>+F79*4</f>
        <v>1000000</v>
      </c>
      <c r="I79" s="69">
        <f>+G79*F79*(1+$D$4)</f>
        <v>3150000</v>
      </c>
      <c r="J79" s="69">
        <f>+I79*(1+$D$4)</f>
        <v>3307500</v>
      </c>
      <c r="K79" s="69">
        <f t="shared" ref="K79:M84" si="26">+J79*(1+$D$4)</f>
        <v>3472875</v>
      </c>
      <c r="L79" s="69">
        <f t="shared" si="26"/>
        <v>3646518.75</v>
      </c>
      <c r="M79" s="69">
        <f t="shared" si="26"/>
        <v>3828844.6875</v>
      </c>
      <c r="N79" s="70"/>
      <c r="O79" s="62"/>
    </row>
    <row r="80" spans="2:15" ht="15" customHeight="1" x14ac:dyDescent="0.2">
      <c r="B80" s="61"/>
      <c r="C80" s="248"/>
      <c r="D80" s="72" t="s">
        <v>121</v>
      </c>
      <c r="E80" s="72" t="s">
        <v>95</v>
      </c>
      <c r="F80" s="122">
        <f>+'[1]Precio Monitoreos'!D9</f>
        <v>2181969</v>
      </c>
      <c r="G80" s="67">
        <v>12</v>
      </c>
      <c r="H80" s="69">
        <f>+F80*4</f>
        <v>8727876</v>
      </c>
      <c r="I80" s="69">
        <f>+G80*F80*(1+$D$4)</f>
        <v>27492809.400000002</v>
      </c>
      <c r="J80" s="69">
        <f>+I80*(1+$D$4)</f>
        <v>28867449.870000005</v>
      </c>
      <c r="K80" s="69">
        <f t="shared" si="26"/>
        <v>30310822.363500006</v>
      </c>
      <c r="L80" s="69">
        <f t="shared" si="26"/>
        <v>31826363.481675006</v>
      </c>
      <c r="M80" s="69">
        <f t="shared" si="26"/>
        <v>33417681.655758757</v>
      </c>
      <c r="N80" s="70"/>
      <c r="O80" s="62"/>
    </row>
    <row r="81" spans="2:15" ht="15" customHeight="1" x14ac:dyDescent="0.2">
      <c r="B81" s="61"/>
      <c r="C81" s="248"/>
      <c r="D81" s="72" t="s">
        <v>89</v>
      </c>
      <c r="E81" s="72" t="s">
        <v>93</v>
      </c>
      <c r="F81" s="122">
        <f>+'[1]Precio Monitoreos'!D7</f>
        <v>39646088</v>
      </c>
      <c r="G81" s="67">
        <v>4</v>
      </c>
      <c r="H81" s="69">
        <f>+(F81/12)*5</f>
        <v>16519203.333333332</v>
      </c>
      <c r="I81" s="69">
        <f>+G81*F81*(1+$D$4)</f>
        <v>166513569.59999999</v>
      </c>
      <c r="J81" s="69">
        <f t="shared" ref="J81" si="27">+I81*(1+$D$4)</f>
        <v>174839248.08000001</v>
      </c>
      <c r="K81" s="69">
        <f t="shared" si="26"/>
        <v>183581210.48400003</v>
      </c>
      <c r="L81" s="69">
        <f t="shared" si="26"/>
        <v>192760271.00820005</v>
      </c>
      <c r="M81" s="69">
        <f t="shared" si="26"/>
        <v>202398284.55861005</v>
      </c>
      <c r="N81" s="70"/>
      <c r="O81" s="62"/>
    </row>
    <row r="82" spans="2:15" ht="15" customHeight="1" x14ac:dyDescent="0.2">
      <c r="B82" s="61"/>
      <c r="C82" s="248"/>
      <c r="D82" s="72" t="s">
        <v>121</v>
      </c>
      <c r="E82" s="72" t="s">
        <v>126</v>
      </c>
      <c r="F82" s="122">
        <f>+'[1]Precio Monitoreos'!D10</f>
        <v>1700000</v>
      </c>
      <c r="G82" s="67">
        <v>12</v>
      </c>
      <c r="H82" s="69">
        <f>+F82*1</f>
        <v>1700000</v>
      </c>
      <c r="I82" s="69">
        <f t="shared" ref="I82:I84" si="28">+G82*F82*(1+$D$4)</f>
        <v>21420000</v>
      </c>
      <c r="J82" s="69">
        <f>+I82*(1+$D$4)</f>
        <v>22491000</v>
      </c>
      <c r="K82" s="69">
        <f t="shared" si="26"/>
        <v>23615550</v>
      </c>
      <c r="L82" s="69">
        <f t="shared" si="26"/>
        <v>24796327.5</v>
      </c>
      <c r="M82" s="69">
        <f t="shared" si="26"/>
        <v>26036143.875</v>
      </c>
      <c r="N82" s="70"/>
      <c r="O82" s="62"/>
    </row>
    <row r="83" spans="2:15" ht="15" customHeight="1" x14ac:dyDescent="0.2">
      <c r="B83" s="61"/>
      <c r="C83" s="248"/>
      <c r="D83" s="72" t="s">
        <v>127</v>
      </c>
      <c r="E83" s="72" t="s">
        <v>128</v>
      </c>
      <c r="F83" s="122">
        <f>+'[1]Precio Monitoreos'!D14</f>
        <v>27000000</v>
      </c>
      <c r="G83" s="67">
        <v>2</v>
      </c>
      <c r="H83" s="69">
        <f>+F83*1</f>
        <v>27000000</v>
      </c>
      <c r="I83" s="69">
        <f t="shared" si="28"/>
        <v>56700000</v>
      </c>
      <c r="J83" s="69">
        <f>+I83*(1+$D$4)</f>
        <v>59535000</v>
      </c>
      <c r="K83" s="69">
        <f t="shared" si="26"/>
        <v>62511750</v>
      </c>
      <c r="L83" s="69">
        <f t="shared" si="26"/>
        <v>65637337.5</v>
      </c>
      <c r="M83" s="69">
        <f t="shared" si="26"/>
        <v>68919204.375</v>
      </c>
      <c r="N83" s="70"/>
      <c r="O83" s="62"/>
    </row>
    <row r="84" spans="2:15" ht="15" customHeight="1" x14ac:dyDescent="0.2">
      <c r="B84" s="61"/>
      <c r="C84" s="249"/>
      <c r="D84" s="73" t="s">
        <v>89</v>
      </c>
      <c r="E84" s="73" t="s">
        <v>129</v>
      </c>
      <c r="F84" s="69">
        <f>+'[1]Precio Monitoreos'!D5</f>
        <v>22000000</v>
      </c>
      <c r="G84" s="67">
        <v>4</v>
      </c>
      <c r="H84" s="69">
        <f>+(F84/12)*5</f>
        <v>9166666.666666666</v>
      </c>
      <c r="I84" s="69">
        <f t="shared" si="28"/>
        <v>92400000</v>
      </c>
      <c r="J84" s="69">
        <f>+I84*(1+$D$4)</f>
        <v>97020000</v>
      </c>
      <c r="K84" s="69">
        <f t="shared" si="26"/>
        <v>101871000</v>
      </c>
      <c r="L84" s="69">
        <f t="shared" si="26"/>
        <v>106964550</v>
      </c>
      <c r="M84" s="69">
        <f t="shared" si="26"/>
        <v>112312777.5</v>
      </c>
      <c r="N84" s="70"/>
      <c r="O84" s="62"/>
    </row>
    <row r="85" spans="2:15" x14ac:dyDescent="0.2">
      <c r="B85" s="75"/>
      <c r="C85" s="241" t="s">
        <v>96</v>
      </c>
      <c r="D85" s="242"/>
      <c r="E85" s="242"/>
      <c r="F85" s="242"/>
      <c r="G85" s="243"/>
      <c r="H85" s="76">
        <f t="shared" ref="H85:M85" si="29">SUM(H79:H84)</f>
        <v>64113745.999999993</v>
      </c>
      <c r="I85" s="76">
        <f t="shared" si="29"/>
        <v>367676379</v>
      </c>
      <c r="J85" s="76">
        <f t="shared" si="29"/>
        <v>386060197.95000005</v>
      </c>
      <c r="K85" s="76">
        <f t="shared" si="29"/>
        <v>405363207.84750003</v>
      </c>
      <c r="L85" s="76">
        <f t="shared" si="29"/>
        <v>425631368.23987508</v>
      </c>
      <c r="M85" s="77">
        <f t="shared" si="29"/>
        <v>446912936.65186882</v>
      </c>
      <c r="N85" s="78"/>
      <c r="O85" s="79"/>
    </row>
    <row r="86" spans="2:15" x14ac:dyDescent="0.2">
      <c r="B86" s="75"/>
      <c r="C86" s="82"/>
      <c r="D86" s="82"/>
      <c r="E86" s="82"/>
      <c r="F86" s="82"/>
      <c r="G86" s="82"/>
      <c r="H86" s="83"/>
      <c r="I86" s="83"/>
      <c r="J86" s="83"/>
      <c r="K86" s="83"/>
      <c r="L86" s="83"/>
      <c r="M86" s="78"/>
      <c r="N86" s="78"/>
      <c r="O86" s="84"/>
    </row>
    <row r="87" spans="2:15" ht="38.25" x14ac:dyDescent="0.2">
      <c r="B87" s="61"/>
      <c r="C87" s="65" t="s">
        <v>77</v>
      </c>
      <c r="D87" s="65" t="s">
        <v>78</v>
      </c>
      <c r="E87" s="65" t="s">
        <v>79</v>
      </c>
      <c r="F87" s="65" t="s">
        <v>97</v>
      </c>
      <c r="G87" s="65" t="s">
        <v>98</v>
      </c>
      <c r="H87" s="65" t="s">
        <v>82</v>
      </c>
      <c r="I87" s="65" t="s">
        <v>83</v>
      </c>
      <c r="J87" s="65" t="s">
        <v>84</v>
      </c>
      <c r="K87" s="65" t="s">
        <v>85</v>
      </c>
      <c r="L87" s="65" t="s">
        <v>86</v>
      </c>
      <c r="M87" s="65" t="s">
        <v>87</v>
      </c>
      <c r="N87" s="66"/>
      <c r="O87" s="84"/>
    </row>
    <row r="88" spans="2:15" ht="12.75" customHeight="1" x14ac:dyDescent="0.2">
      <c r="B88" s="61"/>
      <c r="C88" s="247" t="s">
        <v>130</v>
      </c>
      <c r="D88" s="67">
        <v>1</v>
      </c>
      <c r="E88" s="67" t="s">
        <v>90</v>
      </c>
      <c r="F88" s="85">
        <f>+'[1]Precio Monitoreos'!D4</f>
        <v>38000000</v>
      </c>
      <c r="G88" s="67">
        <v>15</v>
      </c>
      <c r="H88" s="85">
        <f>+F88*5</f>
        <v>190000000</v>
      </c>
      <c r="I88" s="85">
        <f>+D88*F88*G88*(1+$D$4)</f>
        <v>598500000</v>
      </c>
      <c r="J88" s="85">
        <f>+I88*(1+$D$4)</f>
        <v>628425000</v>
      </c>
      <c r="K88" s="85">
        <f t="shared" ref="K88:M89" si="30">+J88*(1+$D$4)</f>
        <v>659846250</v>
      </c>
      <c r="L88" s="85">
        <f t="shared" si="30"/>
        <v>692838562.5</v>
      </c>
      <c r="M88" s="85">
        <f t="shared" si="30"/>
        <v>727480490.625</v>
      </c>
      <c r="N88" s="86"/>
      <c r="O88" s="84"/>
    </row>
    <row r="89" spans="2:15" x14ac:dyDescent="0.2">
      <c r="B89" s="61"/>
      <c r="C89" s="249"/>
      <c r="D89" s="72">
        <v>1</v>
      </c>
      <c r="E89" s="72" t="s">
        <v>91</v>
      </c>
      <c r="F89" s="87">
        <f>+'[1]Precio Monitoreos'!D6</f>
        <v>1600000</v>
      </c>
      <c r="G89" s="67">
        <v>15</v>
      </c>
      <c r="H89" s="85">
        <f>+F89*5</f>
        <v>8000000</v>
      </c>
      <c r="I89" s="85">
        <f>+D89*F89*G89*(1+$D$4)</f>
        <v>25200000</v>
      </c>
      <c r="J89" s="85">
        <f>+I89*(1+$D$4)</f>
        <v>26460000</v>
      </c>
      <c r="K89" s="85">
        <f t="shared" si="30"/>
        <v>27783000</v>
      </c>
      <c r="L89" s="85">
        <f t="shared" si="30"/>
        <v>29172150</v>
      </c>
      <c r="M89" s="85">
        <f t="shared" si="30"/>
        <v>30630757.5</v>
      </c>
      <c r="N89" s="86"/>
      <c r="O89" s="84"/>
    </row>
    <row r="90" spans="2:15" x14ac:dyDescent="0.2">
      <c r="B90" s="75"/>
      <c r="C90" s="241" t="s">
        <v>96</v>
      </c>
      <c r="D90" s="242"/>
      <c r="E90" s="242"/>
      <c r="F90" s="242"/>
      <c r="G90" s="243"/>
      <c r="H90" s="76">
        <f t="shared" ref="H90:M90" si="31">SUM(H88:H89)</f>
        <v>198000000</v>
      </c>
      <c r="I90" s="76">
        <f t="shared" si="31"/>
        <v>623700000</v>
      </c>
      <c r="J90" s="76">
        <f t="shared" si="31"/>
        <v>654885000</v>
      </c>
      <c r="K90" s="76">
        <f t="shared" si="31"/>
        <v>687629250</v>
      </c>
      <c r="L90" s="76">
        <f t="shared" si="31"/>
        <v>722010712.5</v>
      </c>
      <c r="M90" s="77">
        <f t="shared" si="31"/>
        <v>758111248.125</v>
      </c>
      <c r="N90" s="78"/>
      <c r="O90" s="84"/>
    </row>
    <row r="91" spans="2:15" x14ac:dyDescent="0.2">
      <c r="B91" s="6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4"/>
      <c r="N91" s="64"/>
      <c r="O91" s="62"/>
    </row>
    <row r="92" spans="2:15" ht="25.5" x14ac:dyDescent="0.2">
      <c r="B92" s="61"/>
      <c r="C92" s="63"/>
      <c r="D92" s="63"/>
      <c r="E92" s="65" t="s">
        <v>77</v>
      </c>
      <c r="F92" s="65" t="s">
        <v>78</v>
      </c>
      <c r="G92" s="65" t="s">
        <v>97</v>
      </c>
      <c r="H92" s="65" t="s">
        <v>82</v>
      </c>
      <c r="I92" s="65" t="s">
        <v>83</v>
      </c>
      <c r="J92" s="65" t="s">
        <v>84</v>
      </c>
      <c r="K92" s="65" t="s">
        <v>85</v>
      </c>
      <c r="L92" s="65" t="s">
        <v>86</v>
      </c>
      <c r="M92" s="65" t="s">
        <v>87</v>
      </c>
      <c r="N92" s="66"/>
      <c r="O92" s="84"/>
    </row>
    <row r="93" spans="2:15" ht="47.25" customHeight="1" x14ac:dyDescent="0.2">
      <c r="B93" s="61"/>
      <c r="C93" s="63"/>
      <c r="D93" s="63"/>
      <c r="E93" s="89" t="s">
        <v>104</v>
      </c>
      <c r="F93" s="90">
        <v>2</v>
      </c>
      <c r="G93" s="85">
        <v>20000000</v>
      </c>
      <c r="H93" s="85">
        <f>+G93*F93</f>
        <v>40000000</v>
      </c>
      <c r="I93" s="85">
        <f>+H93*(1+$D$4)</f>
        <v>42000000</v>
      </c>
      <c r="J93" s="85">
        <f t="shared" ref="J93:M93" si="32">+I93*(1+$D$4)</f>
        <v>44100000</v>
      </c>
      <c r="K93" s="85">
        <f t="shared" si="32"/>
        <v>46305000</v>
      </c>
      <c r="L93" s="85">
        <f t="shared" si="32"/>
        <v>48620250</v>
      </c>
      <c r="M93" s="85">
        <f t="shared" si="32"/>
        <v>51051262.5</v>
      </c>
      <c r="N93" s="86"/>
      <c r="O93" s="84"/>
    </row>
    <row r="94" spans="2:15" x14ac:dyDescent="0.2">
      <c r="B94" s="61"/>
      <c r="C94" s="91"/>
      <c r="D94" s="63"/>
      <c r="E94" s="63"/>
      <c r="F94" s="63"/>
      <c r="G94" s="63"/>
      <c r="H94" s="63"/>
      <c r="I94" s="63"/>
      <c r="J94" s="63"/>
      <c r="K94" s="63"/>
      <c r="L94" s="63"/>
      <c r="M94" s="64"/>
      <c r="N94" s="64"/>
      <c r="O94" s="62"/>
    </row>
    <row r="95" spans="2:15" x14ac:dyDescent="0.2">
      <c r="B95" s="61"/>
      <c r="C95" s="91" t="s">
        <v>131</v>
      </c>
      <c r="D95" s="63"/>
      <c r="E95" s="63"/>
      <c r="F95" s="65" t="s">
        <v>77</v>
      </c>
      <c r="G95" s="65" t="s">
        <v>82</v>
      </c>
      <c r="H95" s="65" t="s">
        <v>83</v>
      </c>
      <c r="I95" s="65" t="s">
        <v>84</v>
      </c>
      <c r="J95" s="65" t="s">
        <v>85</v>
      </c>
      <c r="K95" s="65" t="s">
        <v>86</v>
      </c>
      <c r="L95" s="65" t="s">
        <v>87</v>
      </c>
      <c r="M95" s="92" t="s">
        <v>106</v>
      </c>
      <c r="O95" s="62"/>
    </row>
    <row r="96" spans="2:15" x14ac:dyDescent="0.2">
      <c r="B96" s="61"/>
      <c r="C96" s="91"/>
      <c r="D96" s="63"/>
      <c r="E96" s="63"/>
      <c r="F96" s="120" t="str">
        <f>+C79</f>
        <v>Monitoreos Periodicos</v>
      </c>
      <c r="G96" s="94">
        <f t="shared" ref="G96:L96" si="33">+H85</f>
        <v>64113745.999999993</v>
      </c>
      <c r="H96" s="94">
        <f t="shared" si="33"/>
        <v>367676379</v>
      </c>
      <c r="I96" s="94">
        <f t="shared" si="33"/>
        <v>386060197.95000005</v>
      </c>
      <c r="J96" s="94">
        <f t="shared" si="33"/>
        <v>405363207.84750003</v>
      </c>
      <c r="K96" s="94">
        <f t="shared" si="33"/>
        <v>425631368.23987508</v>
      </c>
      <c r="L96" s="94">
        <f t="shared" si="33"/>
        <v>446912936.65186882</v>
      </c>
      <c r="M96" s="95">
        <f>SUM(G96:L96)</f>
        <v>2095757835.689244</v>
      </c>
      <c r="O96" s="62"/>
    </row>
    <row r="97" spans="2:15" x14ac:dyDescent="0.2">
      <c r="B97" s="61"/>
      <c r="C97" s="91"/>
      <c r="D97" s="63"/>
      <c r="E97" s="63"/>
      <c r="F97" s="120" t="str">
        <f>+C88</f>
        <v xml:space="preserve">Campaña de Perforacion </v>
      </c>
      <c r="G97" s="94">
        <f t="shared" ref="G97:L97" si="34">+H90</f>
        <v>198000000</v>
      </c>
      <c r="H97" s="94">
        <f t="shared" si="34"/>
        <v>623700000</v>
      </c>
      <c r="I97" s="94">
        <f t="shared" si="34"/>
        <v>654885000</v>
      </c>
      <c r="J97" s="94">
        <f t="shared" si="34"/>
        <v>687629250</v>
      </c>
      <c r="K97" s="94">
        <f t="shared" si="34"/>
        <v>722010712.5</v>
      </c>
      <c r="L97" s="94">
        <f t="shared" si="34"/>
        <v>758111248.125</v>
      </c>
      <c r="M97" s="95">
        <f t="shared" ref="M97" si="35">SUM(G97:L97)</f>
        <v>3644336210.625</v>
      </c>
      <c r="O97" s="62"/>
    </row>
    <row r="98" spans="2:15" ht="59.25" customHeight="1" x14ac:dyDescent="0.2">
      <c r="B98" s="61"/>
      <c r="C98" s="91"/>
      <c r="D98" s="63"/>
      <c r="E98" s="63"/>
      <c r="F98" s="94" t="str">
        <f>+E93</f>
        <v>Varios: Contingencias, Derrames, Quejas, Reclamos, Demandas y Sancioneas</v>
      </c>
      <c r="G98" s="94">
        <f>+H93</f>
        <v>40000000</v>
      </c>
      <c r="H98" s="94">
        <f t="shared" ref="H98:L98" si="36">+I93</f>
        <v>42000000</v>
      </c>
      <c r="I98" s="94">
        <f t="shared" si="36"/>
        <v>44100000</v>
      </c>
      <c r="J98" s="94">
        <f t="shared" si="36"/>
        <v>46305000</v>
      </c>
      <c r="K98" s="94">
        <f t="shared" si="36"/>
        <v>48620250</v>
      </c>
      <c r="L98" s="94">
        <f t="shared" si="36"/>
        <v>51051262.5</v>
      </c>
      <c r="M98" s="94">
        <f t="shared" ref="M98" si="37">+M93</f>
        <v>51051262.5</v>
      </c>
      <c r="O98" s="62"/>
    </row>
    <row r="99" spans="2:15" x14ac:dyDescent="0.2">
      <c r="B99" s="98"/>
      <c r="C99" s="99"/>
      <c r="D99" s="99"/>
      <c r="E99" s="99"/>
      <c r="F99" s="123" t="s">
        <v>107</v>
      </c>
      <c r="G99" s="101">
        <f>SUM(G96:G98)</f>
        <v>302113746</v>
      </c>
      <c r="H99" s="101">
        <f t="shared" ref="H99:M99" si="38">SUM(H96:H98)</f>
        <v>1033376379</v>
      </c>
      <c r="I99" s="101">
        <f t="shared" si="38"/>
        <v>1085045197.95</v>
      </c>
      <c r="J99" s="101">
        <f t="shared" si="38"/>
        <v>1139297457.8475001</v>
      </c>
      <c r="K99" s="101">
        <f t="shared" si="38"/>
        <v>1196262330.7398751</v>
      </c>
      <c r="L99" s="101">
        <f t="shared" si="38"/>
        <v>1256075447.2768688</v>
      </c>
      <c r="M99" s="102">
        <f t="shared" si="38"/>
        <v>5791145308.8142443</v>
      </c>
      <c r="O99" s="103"/>
    </row>
    <row r="100" spans="2:15" x14ac:dyDescent="0.2">
      <c r="B100" s="61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4"/>
      <c r="N100" s="64"/>
      <c r="O100" s="62"/>
    </row>
    <row r="101" spans="2:15" ht="13.5" thickBot="1" x14ac:dyDescent="0.25">
      <c r="B101" s="107"/>
      <c r="C101" s="108"/>
      <c r="D101" s="109"/>
      <c r="E101" s="109"/>
      <c r="F101" s="109"/>
      <c r="G101" s="109"/>
      <c r="H101" s="109"/>
      <c r="I101" s="109"/>
      <c r="J101" s="109"/>
      <c r="K101" s="109"/>
      <c r="L101" s="109"/>
      <c r="M101" s="110"/>
      <c r="N101" s="110"/>
      <c r="O101" s="111"/>
    </row>
    <row r="102" spans="2:15" ht="13.5" thickBot="1" x14ac:dyDescent="0.25"/>
    <row r="103" spans="2:15" x14ac:dyDescent="0.2">
      <c r="B103" s="57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9"/>
      <c r="N103" s="59"/>
      <c r="O103" s="60"/>
    </row>
    <row r="104" spans="2:15" ht="26.25" x14ac:dyDescent="0.4">
      <c r="B104" s="61"/>
      <c r="C104" s="254" t="s">
        <v>132</v>
      </c>
      <c r="D104" s="254"/>
      <c r="E104" s="254"/>
      <c r="F104" s="254"/>
      <c r="G104" s="254"/>
      <c r="H104" s="254"/>
      <c r="I104" s="254"/>
      <c r="J104" s="254"/>
      <c r="K104" s="254"/>
      <c r="L104" s="254"/>
      <c r="M104" s="254"/>
      <c r="N104" s="254"/>
      <c r="O104" s="62"/>
    </row>
    <row r="105" spans="2:15" x14ac:dyDescent="0.2">
      <c r="B105" s="61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4"/>
      <c r="N105" s="64"/>
      <c r="O105" s="62"/>
    </row>
    <row r="106" spans="2:15" x14ac:dyDescent="0.2">
      <c r="B106" s="61"/>
      <c r="C106" s="65" t="s">
        <v>77</v>
      </c>
      <c r="D106" s="65" t="s">
        <v>78</v>
      </c>
      <c r="E106" s="65" t="s">
        <v>79</v>
      </c>
      <c r="F106" s="65" t="s">
        <v>80</v>
      </c>
      <c r="G106" s="65" t="s">
        <v>81</v>
      </c>
      <c r="H106" s="65" t="s">
        <v>82</v>
      </c>
      <c r="I106" s="65" t="s">
        <v>83</v>
      </c>
      <c r="J106" s="65" t="s">
        <v>84</v>
      </c>
      <c r="K106" s="65" t="s">
        <v>85</v>
      </c>
      <c r="L106" s="65" t="s">
        <v>86</v>
      </c>
      <c r="M106" s="65" t="s">
        <v>87</v>
      </c>
      <c r="N106" s="66"/>
      <c r="O106" s="62"/>
    </row>
    <row r="107" spans="2:15" ht="12.75" customHeight="1" x14ac:dyDescent="0.2">
      <c r="B107" s="61"/>
      <c r="C107" s="247" t="s">
        <v>125</v>
      </c>
      <c r="D107" s="72" t="s">
        <v>92</v>
      </c>
      <c r="E107" s="72" t="s">
        <v>93</v>
      </c>
      <c r="F107" s="69">
        <f>+'[1]Precio Monitoreos'!E7</f>
        <v>2400000</v>
      </c>
      <c r="G107" s="67">
        <v>2</v>
      </c>
      <c r="H107" s="69">
        <f>+F107*4</f>
        <v>9600000</v>
      </c>
      <c r="I107" s="69">
        <f>+G107*F107*(1+$D$4)</f>
        <v>5040000</v>
      </c>
      <c r="J107" s="69">
        <f>+I107*(1+$D$4)</f>
        <v>5292000</v>
      </c>
      <c r="K107" s="69">
        <f t="shared" ref="K107:M110" si="39">+J107*(1+$D$4)</f>
        <v>5556600</v>
      </c>
      <c r="L107" s="69">
        <f t="shared" si="39"/>
        <v>5834430</v>
      </c>
      <c r="M107" s="69">
        <f t="shared" si="39"/>
        <v>6126151.5</v>
      </c>
      <c r="N107" s="70"/>
      <c r="O107" s="62"/>
    </row>
    <row r="108" spans="2:15" ht="23.25" customHeight="1" x14ac:dyDescent="0.2">
      <c r="B108" s="61"/>
      <c r="C108" s="248"/>
      <c r="D108" s="72" t="s">
        <v>92</v>
      </c>
      <c r="E108" s="72" t="s">
        <v>133</v>
      </c>
      <c r="F108" s="69">
        <f>+'[1]Precio Monitoreos'!E14</f>
        <v>4500000</v>
      </c>
      <c r="G108" s="67">
        <v>2</v>
      </c>
      <c r="H108" s="69">
        <f>+F108*4</f>
        <v>18000000</v>
      </c>
      <c r="I108" s="69">
        <f>+G108*F108*(1+$D$4)</f>
        <v>9450000</v>
      </c>
      <c r="J108" s="69">
        <f>+I108*(1+$D$4)</f>
        <v>9922500</v>
      </c>
      <c r="K108" s="69">
        <f t="shared" si="39"/>
        <v>10418625</v>
      </c>
      <c r="L108" s="69">
        <f t="shared" si="39"/>
        <v>10939556.25</v>
      </c>
      <c r="M108" s="69">
        <f t="shared" si="39"/>
        <v>11486534.0625</v>
      </c>
      <c r="N108" s="70"/>
      <c r="O108" s="62"/>
    </row>
    <row r="109" spans="2:15" x14ac:dyDescent="0.2">
      <c r="B109" s="61"/>
      <c r="C109" s="248"/>
      <c r="D109" s="72" t="s">
        <v>92</v>
      </c>
      <c r="E109" s="72" t="s">
        <v>90</v>
      </c>
      <c r="F109" s="69">
        <f>+'[1]Precio Monitoreos'!E4</f>
        <v>50000000</v>
      </c>
      <c r="G109" s="67">
        <v>2</v>
      </c>
      <c r="H109" s="69">
        <f>+(F109/12)*5</f>
        <v>20833333.333333332</v>
      </c>
      <c r="I109" s="69">
        <f>+G109*F109*(1+$D$4)</f>
        <v>105000000</v>
      </c>
      <c r="J109" s="69">
        <f t="shared" ref="J109" si="40">+I109*(1+$D$4)</f>
        <v>110250000</v>
      </c>
      <c r="K109" s="69">
        <f t="shared" si="39"/>
        <v>115762500</v>
      </c>
      <c r="L109" s="69">
        <f t="shared" si="39"/>
        <v>121550625</v>
      </c>
      <c r="M109" s="69">
        <f t="shared" si="39"/>
        <v>127628156.25</v>
      </c>
      <c r="N109" s="70"/>
      <c r="O109" s="62"/>
    </row>
    <row r="110" spans="2:15" x14ac:dyDescent="0.2">
      <c r="B110" s="61"/>
      <c r="C110" s="249"/>
      <c r="D110" s="72" t="s">
        <v>92</v>
      </c>
      <c r="E110" s="72" t="s">
        <v>91</v>
      </c>
      <c r="F110" s="69">
        <f>+'[1]Precio Monitoreos'!E6</f>
        <v>1600000</v>
      </c>
      <c r="G110" s="67">
        <v>2</v>
      </c>
      <c r="H110" s="69">
        <f>+F110*1</f>
        <v>1600000</v>
      </c>
      <c r="I110" s="69">
        <f>+G110*F110*(1+$D$4)</f>
        <v>3360000</v>
      </c>
      <c r="J110" s="69">
        <f>+I110*(1+$D$4)</f>
        <v>3528000</v>
      </c>
      <c r="K110" s="69">
        <f t="shared" si="39"/>
        <v>3704400</v>
      </c>
      <c r="L110" s="69">
        <f t="shared" si="39"/>
        <v>3889620</v>
      </c>
      <c r="M110" s="69">
        <f t="shared" si="39"/>
        <v>4084101</v>
      </c>
      <c r="N110" s="70"/>
      <c r="O110" s="62"/>
    </row>
    <row r="111" spans="2:15" x14ac:dyDescent="0.2">
      <c r="B111" s="75"/>
      <c r="C111" s="241" t="s">
        <v>96</v>
      </c>
      <c r="D111" s="242"/>
      <c r="E111" s="242"/>
      <c r="F111" s="242"/>
      <c r="G111" s="243"/>
      <c r="H111" s="76">
        <f t="shared" ref="H111:M111" si="41">SUM(H107:H110)</f>
        <v>50033333.333333328</v>
      </c>
      <c r="I111" s="76">
        <f t="shared" si="41"/>
        <v>122850000</v>
      </c>
      <c r="J111" s="76">
        <f t="shared" si="41"/>
        <v>128992500</v>
      </c>
      <c r="K111" s="76">
        <f t="shared" si="41"/>
        <v>135442125</v>
      </c>
      <c r="L111" s="76">
        <f t="shared" si="41"/>
        <v>142214231.25</v>
      </c>
      <c r="M111" s="77">
        <f t="shared" si="41"/>
        <v>149324942.8125</v>
      </c>
      <c r="N111" s="78"/>
      <c r="O111" s="79"/>
    </row>
    <row r="112" spans="2:15" x14ac:dyDescent="0.2">
      <c r="B112" s="75"/>
      <c r="C112" s="82"/>
      <c r="D112" s="82"/>
      <c r="E112" s="82"/>
      <c r="F112" s="82"/>
      <c r="G112" s="82"/>
      <c r="H112" s="83"/>
      <c r="I112" s="83"/>
      <c r="J112" s="83"/>
      <c r="K112" s="83"/>
      <c r="L112" s="83"/>
      <c r="M112" s="78"/>
      <c r="N112" s="78"/>
      <c r="O112" s="84"/>
    </row>
    <row r="113" spans="2:15" ht="38.25" x14ac:dyDescent="0.2">
      <c r="B113" s="61"/>
      <c r="C113" s="65" t="s">
        <v>77</v>
      </c>
      <c r="D113" s="65" t="s">
        <v>78</v>
      </c>
      <c r="E113" s="65" t="s">
        <v>79</v>
      </c>
      <c r="F113" s="65" t="s">
        <v>97</v>
      </c>
      <c r="G113" s="65" t="s">
        <v>98</v>
      </c>
      <c r="H113" s="65" t="s">
        <v>82</v>
      </c>
      <c r="I113" s="65" t="s">
        <v>83</v>
      </c>
      <c r="J113" s="65" t="s">
        <v>84</v>
      </c>
      <c r="K113" s="65" t="s">
        <v>85</v>
      </c>
      <c r="L113" s="65" t="s">
        <v>86</v>
      </c>
      <c r="M113" s="65" t="s">
        <v>87</v>
      </c>
      <c r="N113" s="66"/>
      <c r="O113" s="84"/>
    </row>
    <row r="114" spans="2:15" ht="12.75" customHeight="1" x14ac:dyDescent="0.2">
      <c r="B114" s="61"/>
      <c r="C114" s="247" t="s">
        <v>130</v>
      </c>
      <c r="D114" s="67">
        <v>1</v>
      </c>
      <c r="E114" s="67" t="s">
        <v>90</v>
      </c>
      <c r="F114" s="85">
        <f>+'[1]Precio Monitoreos'!E22</f>
        <v>55000000</v>
      </c>
      <c r="G114" s="114">
        <v>1</v>
      </c>
      <c r="H114" s="85">
        <f>+F114*1</f>
        <v>55000000</v>
      </c>
      <c r="I114" s="85">
        <f>+D114*F114*G114*(1+$D$4)</f>
        <v>57750000</v>
      </c>
      <c r="J114" s="85">
        <f>+(I114*$D$4)+I114</f>
        <v>60637500</v>
      </c>
      <c r="K114" s="85">
        <f>+(J114*$D$4)+J114</f>
        <v>63669375</v>
      </c>
      <c r="L114" s="85">
        <f t="shared" ref="L114:M115" si="42">+(K114*$D$4)+K114</f>
        <v>66852843.75</v>
      </c>
      <c r="M114" s="85">
        <f t="shared" si="42"/>
        <v>70195485.9375</v>
      </c>
      <c r="N114" s="86"/>
      <c r="O114" s="84"/>
    </row>
    <row r="115" spans="2:15" x14ac:dyDescent="0.2">
      <c r="B115" s="61"/>
      <c r="C115" s="249"/>
      <c r="D115" s="72">
        <v>1</v>
      </c>
      <c r="E115" s="72" t="s">
        <v>91</v>
      </c>
      <c r="F115" s="87">
        <f>+'[1]Precio Monitoreos'!E24</f>
        <v>4000000</v>
      </c>
      <c r="G115" s="114">
        <v>1</v>
      </c>
      <c r="H115" s="85">
        <f>+F115*1</f>
        <v>4000000</v>
      </c>
      <c r="I115" s="85">
        <f>+D115*F115*G115*(1+$D$4)</f>
        <v>4200000</v>
      </c>
      <c r="J115" s="85">
        <f t="shared" ref="J115" si="43">+(I115*$D$4)+I115</f>
        <v>4410000</v>
      </c>
      <c r="K115" s="85">
        <f>+(J115*$D$4)+J115</f>
        <v>4630500</v>
      </c>
      <c r="L115" s="85">
        <f t="shared" si="42"/>
        <v>4862025</v>
      </c>
      <c r="M115" s="85">
        <f t="shared" si="42"/>
        <v>5105126.25</v>
      </c>
      <c r="N115" s="86"/>
      <c r="O115" s="84"/>
    </row>
    <row r="116" spans="2:15" x14ac:dyDescent="0.2">
      <c r="B116" s="75"/>
      <c r="C116" s="241" t="s">
        <v>96</v>
      </c>
      <c r="D116" s="242"/>
      <c r="E116" s="242"/>
      <c r="F116" s="242"/>
      <c r="G116" s="243"/>
      <c r="H116" s="76">
        <f t="shared" ref="H116:M116" si="44">SUM(H114:H115)</f>
        <v>59000000</v>
      </c>
      <c r="I116" s="76">
        <f t="shared" si="44"/>
        <v>61950000</v>
      </c>
      <c r="J116" s="76">
        <f t="shared" si="44"/>
        <v>65047500</v>
      </c>
      <c r="K116" s="76">
        <f t="shared" si="44"/>
        <v>68299875</v>
      </c>
      <c r="L116" s="76">
        <f t="shared" si="44"/>
        <v>71714868.75</v>
      </c>
      <c r="M116" s="77">
        <f t="shared" si="44"/>
        <v>75300612.1875</v>
      </c>
      <c r="N116" s="78"/>
      <c r="O116" s="84"/>
    </row>
    <row r="117" spans="2:15" x14ac:dyDescent="0.2">
      <c r="B117" s="61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4"/>
      <c r="N117" s="64"/>
      <c r="O117" s="62"/>
    </row>
    <row r="118" spans="2:15" x14ac:dyDescent="0.2">
      <c r="B118" s="61"/>
      <c r="C118" s="91" t="s">
        <v>134</v>
      </c>
      <c r="D118" s="63"/>
      <c r="E118" s="63"/>
      <c r="F118" s="99"/>
      <c r="G118" s="63"/>
      <c r="H118" s="63"/>
      <c r="I118" s="63"/>
      <c r="J118" s="63"/>
      <c r="K118" s="63"/>
      <c r="L118" s="63"/>
      <c r="M118" s="64"/>
      <c r="N118" s="64"/>
      <c r="O118" s="62"/>
    </row>
    <row r="119" spans="2:15" x14ac:dyDescent="0.2">
      <c r="B119" s="61"/>
      <c r="C119" s="63"/>
      <c r="D119" s="63"/>
      <c r="E119" s="63"/>
      <c r="F119" s="65" t="s">
        <v>77</v>
      </c>
      <c r="G119" s="65" t="s">
        <v>82</v>
      </c>
      <c r="H119" s="65" t="s">
        <v>83</v>
      </c>
      <c r="I119" s="65" t="s">
        <v>84</v>
      </c>
      <c r="J119" s="65" t="s">
        <v>85</v>
      </c>
      <c r="K119" s="65" t="s">
        <v>86</v>
      </c>
      <c r="L119" s="65" t="s">
        <v>87</v>
      </c>
      <c r="M119" s="92" t="s">
        <v>106</v>
      </c>
      <c r="N119" s="86"/>
      <c r="O119" s="62"/>
    </row>
    <row r="120" spans="2:15" x14ac:dyDescent="0.2">
      <c r="B120" s="61"/>
      <c r="C120" s="63"/>
      <c r="D120" s="63"/>
      <c r="E120" s="63"/>
      <c r="F120" s="120" t="str">
        <f>+C107</f>
        <v>Monitoreos Periodicos</v>
      </c>
      <c r="G120" s="94">
        <f>+H111</f>
        <v>50033333.333333328</v>
      </c>
      <c r="H120" s="94">
        <f t="shared" ref="H120:L120" si="45">+I111</f>
        <v>122850000</v>
      </c>
      <c r="I120" s="94">
        <f t="shared" si="45"/>
        <v>128992500</v>
      </c>
      <c r="J120" s="94">
        <f t="shared" si="45"/>
        <v>135442125</v>
      </c>
      <c r="K120" s="94">
        <f t="shared" si="45"/>
        <v>142214231.25</v>
      </c>
      <c r="L120" s="94">
        <f t="shared" si="45"/>
        <v>149324942.8125</v>
      </c>
      <c r="M120" s="95">
        <f>SUM(G120:L120)</f>
        <v>728857132.39583325</v>
      </c>
      <c r="N120" s="86"/>
      <c r="O120" s="62"/>
    </row>
    <row r="121" spans="2:15" x14ac:dyDescent="0.2">
      <c r="B121" s="61"/>
      <c r="C121" s="63"/>
      <c r="D121" s="63"/>
      <c r="E121" s="63"/>
      <c r="F121" s="120" t="str">
        <f>+C114</f>
        <v xml:space="preserve">Campaña de Perforacion </v>
      </c>
      <c r="G121" s="94">
        <f>+H116</f>
        <v>59000000</v>
      </c>
      <c r="H121" s="94">
        <f t="shared" ref="H121:L121" si="46">+I116</f>
        <v>61950000</v>
      </c>
      <c r="I121" s="94">
        <f t="shared" si="46"/>
        <v>65047500</v>
      </c>
      <c r="J121" s="94">
        <f t="shared" si="46"/>
        <v>68299875</v>
      </c>
      <c r="K121" s="94">
        <f t="shared" si="46"/>
        <v>71714868.75</v>
      </c>
      <c r="L121" s="94">
        <f t="shared" si="46"/>
        <v>75300612.1875</v>
      </c>
      <c r="M121" s="95">
        <f>SUM(G121:L121)</f>
        <v>401312855.9375</v>
      </c>
      <c r="N121" s="86"/>
      <c r="O121" s="62"/>
    </row>
    <row r="122" spans="2:15" x14ac:dyDescent="0.2">
      <c r="B122" s="98"/>
      <c r="C122" s="99"/>
      <c r="D122" s="99"/>
      <c r="E122" s="99"/>
      <c r="F122" s="123" t="s">
        <v>107</v>
      </c>
      <c r="G122" s="101">
        <f>SUM(G120:G121)</f>
        <v>109033333.33333333</v>
      </c>
      <c r="H122" s="101">
        <f t="shared" ref="H122:L122" si="47">SUM(H120:H121)</f>
        <v>184800000</v>
      </c>
      <c r="I122" s="101">
        <f t="shared" si="47"/>
        <v>194040000</v>
      </c>
      <c r="J122" s="101">
        <f t="shared" si="47"/>
        <v>203742000</v>
      </c>
      <c r="K122" s="101">
        <f t="shared" si="47"/>
        <v>213929100</v>
      </c>
      <c r="L122" s="101">
        <f t="shared" si="47"/>
        <v>224625555</v>
      </c>
      <c r="M122" s="102">
        <f>SUM(G122:L122)</f>
        <v>1130169988.3333333</v>
      </c>
      <c r="N122" s="86"/>
      <c r="O122" s="103"/>
    </row>
    <row r="123" spans="2:15" x14ac:dyDescent="0.2">
      <c r="B123" s="61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4"/>
      <c r="N123" s="64"/>
      <c r="O123" s="62"/>
    </row>
    <row r="124" spans="2:15" ht="13.5" thickBot="1" x14ac:dyDescent="0.25">
      <c r="B124" s="107"/>
      <c r="C124" s="108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/>
      <c r="N124" s="110"/>
      <c r="O124" s="111"/>
    </row>
    <row r="125" spans="2:15" ht="13.5" thickBot="1" x14ac:dyDescent="0.25"/>
    <row r="126" spans="2:15" x14ac:dyDescent="0.2">
      <c r="B126" s="57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9"/>
      <c r="N126" s="59"/>
      <c r="O126" s="60"/>
    </row>
    <row r="127" spans="2:15" ht="31.5" x14ac:dyDescent="0.5">
      <c r="B127" s="61"/>
      <c r="C127" s="255" t="s">
        <v>135</v>
      </c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62"/>
    </row>
    <row r="128" spans="2:15" x14ac:dyDescent="0.2">
      <c r="B128" s="61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4"/>
      <c r="N128" s="64"/>
      <c r="O128" s="62"/>
    </row>
    <row r="129" spans="2:18" x14ac:dyDescent="0.2">
      <c r="B129" s="61"/>
      <c r="C129" s="65" t="s">
        <v>77</v>
      </c>
      <c r="D129" s="65" t="s">
        <v>78</v>
      </c>
      <c r="E129" s="65" t="s">
        <v>79</v>
      </c>
      <c r="F129" s="65" t="s">
        <v>80</v>
      </c>
      <c r="G129" s="65" t="s">
        <v>81</v>
      </c>
      <c r="H129" s="65" t="s">
        <v>82</v>
      </c>
      <c r="I129" s="65" t="s">
        <v>83</v>
      </c>
      <c r="J129" s="65" t="s">
        <v>84</v>
      </c>
      <c r="K129" s="65" t="s">
        <v>85</v>
      </c>
      <c r="L129" s="65" t="s">
        <v>86</v>
      </c>
      <c r="M129" s="65" t="s">
        <v>87</v>
      </c>
      <c r="N129" s="66"/>
      <c r="O129" s="62"/>
    </row>
    <row r="130" spans="2:18" x14ac:dyDescent="0.2">
      <c r="B130" s="61"/>
      <c r="C130" s="247" t="s">
        <v>136</v>
      </c>
      <c r="D130" s="72" t="s">
        <v>117</v>
      </c>
      <c r="E130" s="72" t="s">
        <v>128</v>
      </c>
      <c r="F130" s="69">
        <f>+'[1]Precio Monitoreos'!G15</f>
        <v>1700000</v>
      </c>
      <c r="G130" s="67">
        <v>1</v>
      </c>
      <c r="H130" s="69">
        <v>0</v>
      </c>
      <c r="I130" s="69">
        <f t="shared" ref="I130:I135" si="48">+G130*F130*(1+$D$4)</f>
        <v>1785000</v>
      </c>
      <c r="J130" s="69">
        <f>+I130*(1+$D$4)</f>
        <v>1874250</v>
      </c>
      <c r="K130" s="69">
        <f t="shared" ref="K130:M135" si="49">+J130*(1+$D$4)</f>
        <v>1967962.5</v>
      </c>
      <c r="L130" s="69">
        <f t="shared" si="49"/>
        <v>2066360.625</v>
      </c>
      <c r="M130" s="69">
        <f t="shared" si="49"/>
        <v>2169678.65625</v>
      </c>
      <c r="N130" s="70"/>
      <c r="O130" s="62"/>
    </row>
    <row r="131" spans="2:18" x14ac:dyDescent="0.2">
      <c r="B131" s="61"/>
      <c r="C131" s="248"/>
      <c r="D131" s="72" t="s">
        <v>92</v>
      </c>
      <c r="E131" s="72" t="s">
        <v>94</v>
      </c>
      <c r="F131" s="69">
        <f>+'[1]Precio Monitoreos'!G8</f>
        <v>1800000</v>
      </c>
      <c r="G131" s="67">
        <v>2</v>
      </c>
      <c r="H131" s="69">
        <f>+F131*1</f>
        <v>1800000</v>
      </c>
      <c r="I131" s="69">
        <f t="shared" si="48"/>
        <v>3780000</v>
      </c>
      <c r="J131" s="69">
        <f>+I131*(1+$D$4)</f>
        <v>3969000</v>
      </c>
      <c r="K131" s="69">
        <f t="shared" si="49"/>
        <v>4167450</v>
      </c>
      <c r="L131" s="69">
        <f t="shared" si="49"/>
        <v>4375822.5</v>
      </c>
      <c r="M131" s="69">
        <f t="shared" si="49"/>
        <v>4594613.625</v>
      </c>
      <c r="N131" s="70"/>
      <c r="O131" s="62"/>
      <c r="R131" s="124"/>
    </row>
    <row r="132" spans="2:18" x14ac:dyDescent="0.2">
      <c r="B132" s="61"/>
      <c r="C132" s="248"/>
      <c r="D132" s="72" t="s">
        <v>117</v>
      </c>
      <c r="E132" s="72" t="s">
        <v>94</v>
      </c>
      <c r="F132" s="69">
        <f>+'[1]Precio Monitoreos'!G8</f>
        <v>1800000</v>
      </c>
      <c r="G132" s="67">
        <v>1</v>
      </c>
      <c r="H132" s="69">
        <f>+F132*1</f>
        <v>1800000</v>
      </c>
      <c r="I132" s="69">
        <f t="shared" si="48"/>
        <v>1890000</v>
      </c>
      <c r="J132" s="69">
        <f>+I132*(1+$D$4)</f>
        <v>1984500</v>
      </c>
      <c r="K132" s="69">
        <f t="shared" si="49"/>
        <v>2083725</v>
      </c>
      <c r="L132" s="69">
        <f t="shared" si="49"/>
        <v>2187911.25</v>
      </c>
      <c r="M132" s="69">
        <f t="shared" si="49"/>
        <v>2297306.8125</v>
      </c>
      <c r="N132" s="70"/>
      <c r="O132" s="62"/>
      <c r="R132" s="124"/>
    </row>
    <row r="133" spans="2:18" ht="25.5" x14ac:dyDescent="0.2">
      <c r="B133" s="61"/>
      <c r="C133" s="248"/>
      <c r="D133" s="72" t="s">
        <v>121</v>
      </c>
      <c r="E133" s="72" t="s">
        <v>137</v>
      </c>
      <c r="F133" s="69">
        <f>+'[1]Precio Monitoreos'!G14</f>
        <v>19600000</v>
      </c>
      <c r="G133" s="67">
        <v>12</v>
      </c>
      <c r="H133" s="69">
        <f>+F133*5</f>
        <v>98000000</v>
      </c>
      <c r="I133" s="69">
        <f t="shared" si="48"/>
        <v>246960000</v>
      </c>
      <c r="J133" s="69">
        <f t="shared" ref="J133:J134" si="50">+I133*(1+$D$4)</f>
        <v>259308000</v>
      </c>
      <c r="K133" s="69">
        <f t="shared" si="49"/>
        <v>272273400</v>
      </c>
      <c r="L133" s="69">
        <f t="shared" si="49"/>
        <v>285887070</v>
      </c>
      <c r="M133" s="69">
        <f t="shared" si="49"/>
        <v>300181423.5</v>
      </c>
      <c r="N133" s="70"/>
      <c r="O133" s="62"/>
      <c r="R133" s="124"/>
    </row>
    <row r="134" spans="2:18" ht="25.5" x14ac:dyDescent="0.2">
      <c r="B134" s="61"/>
      <c r="C134" s="248"/>
      <c r="D134" s="72" t="s">
        <v>121</v>
      </c>
      <c r="E134" s="72" t="s">
        <v>137</v>
      </c>
      <c r="F134" s="69">
        <f>+'[1]Precio Monitoreos'!G14</f>
        <v>19600000</v>
      </c>
      <c r="G134" s="67">
        <v>12</v>
      </c>
      <c r="H134" s="69">
        <f>+F134*5</f>
        <v>98000000</v>
      </c>
      <c r="I134" s="69">
        <f t="shared" si="48"/>
        <v>246960000</v>
      </c>
      <c r="J134" s="69">
        <f t="shared" si="50"/>
        <v>259308000</v>
      </c>
      <c r="K134" s="69">
        <f t="shared" si="49"/>
        <v>272273400</v>
      </c>
      <c r="L134" s="69">
        <f t="shared" si="49"/>
        <v>285887070</v>
      </c>
      <c r="M134" s="69">
        <f t="shared" si="49"/>
        <v>300181423.5</v>
      </c>
      <c r="N134" s="70"/>
      <c r="O134" s="62"/>
      <c r="R134" s="124"/>
    </row>
    <row r="135" spans="2:18" x14ac:dyDescent="0.2">
      <c r="B135" s="61"/>
      <c r="C135" s="249"/>
      <c r="D135" s="72" t="s">
        <v>117</v>
      </c>
      <c r="E135" s="72" t="s">
        <v>91</v>
      </c>
      <c r="F135" s="69">
        <f>+'[1]Precio Monitoreos'!G6</f>
        <v>3500000</v>
      </c>
      <c r="G135" s="67">
        <v>1</v>
      </c>
      <c r="H135" s="69">
        <f>+F135*1</f>
        <v>3500000</v>
      </c>
      <c r="I135" s="69">
        <f t="shared" si="48"/>
        <v>3675000</v>
      </c>
      <c r="J135" s="69">
        <f>+I135*(1+$D$4)</f>
        <v>3858750</v>
      </c>
      <c r="K135" s="69">
        <f t="shared" si="49"/>
        <v>4051687.5</v>
      </c>
      <c r="L135" s="69">
        <f t="shared" si="49"/>
        <v>4254271.875</v>
      </c>
      <c r="M135" s="69">
        <f t="shared" si="49"/>
        <v>4466985.46875</v>
      </c>
      <c r="N135" s="70"/>
      <c r="O135" s="62"/>
      <c r="R135" s="124"/>
    </row>
    <row r="136" spans="2:18" x14ac:dyDescent="0.2">
      <c r="B136" s="75"/>
      <c r="C136" s="241" t="s">
        <v>96</v>
      </c>
      <c r="D136" s="242"/>
      <c r="E136" s="242"/>
      <c r="F136" s="242"/>
      <c r="G136" s="243"/>
      <c r="H136" s="76">
        <f t="shared" ref="H136:M136" si="51">SUM(H130:H135)</f>
        <v>203100000</v>
      </c>
      <c r="I136" s="76">
        <f t="shared" si="51"/>
        <v>505050000</v>
      </c>
      <c r="J136" s="76">
        <f t="shared" si="51"/>
        <v>530302500</v>
      </c>
      <c r="K136" s="76">
        <f t="shared" si="51"/>
        <v>556817625</v>
      </c>
      <c r="L136" s="76">
        <f t="shared" si="51"/>
        <v>584658506.25</v>
      </c>
      <c r="M136" s="77">
        <f t="shared" si="51"/>
        <v>613891431.5625</v>
      </c>
      <c r="N136" s="78"/>
      <c r="O136" s="79"/>
      <c r="R136" s="124"/>
    </row>
    <row r="137" spans="2:18" x14ac:dyDescent="0.2">
      <c r="B137" s="75"/>
      <c r="C137" s="82"/>
      <c r="D137" s="82"/>
      <c r="E137" s="82"/>
      <c r="F137" s="82"/>
      <c r="G137" s="82"/>
      <c r="H137" s="83"/>
      <c r="I137" s="83"/>
      <c r="J137" s="83"/>
      <c r="K137" s="83"/>
      <c r="L137" s="83"/>
      <c r="M137" s="78"/>
      <c r="N137" s="78"/>
      <c r="O137" s="84"/>
      <c r="R137" s="124"/>
    </row>
    <row r="138" spans="2:18" ht="25.5" x14ac:dyDescent="0.2">
      <c r="B138" s="61"/>
      <c r="C138" s="63"/>
      <c r="D138" s="63"/>
      <c r="E138" s="65" t="s">
        <v>77</v>
      </c>
      <c r="F138" s="65" t="s">
        <v>78</v>
      </c>
      <c r="G138" s="65" t="s">
        <v>97</v>
      </c>
      <c r="H138" s="65" t="s">
        <v>82</v>
      </c>
      <c r="I138" s="65" t="s">
        <v>83</v>
      </c>
      <c r="J138" s="65" t="s">
        <v>84</v>
      </c>
      <c r="K138" s="65" t="s">
        <v>85</v>
      </c>
      <c r="L138" s="65" t="s">
        <v>86</v>
      </c>
      <c r="M138" s="65" t="s">
        <v>87</v>
      </c>
      <c r="N138" s="66"/>
      <c r="O138" s="84"/>
      <c r="R138" s="124"/>
    </row>
    <row r="139" spans="2:18" ht="33.75" customHeight="1" x14ac:dyDescent="0.2">
      <c r="B139" s="61"/>
      <c r="C139" s="63"/>
      <c r="D139" s="63"/>
      <c r="E139" s="89" t="s">
        <v>138</v>
      </c>
      <c r="F139" s="90">
        <v>2</v>
      </c>
      <c r="G139" s="85">
        <v>11000000</v>
      </c>
      <c r="H139" s="85">
        <f>+G139*F139</f>
        <v>22000000</v>
      </c>
      <c r="I139" s="85">
        <f>+H139*(1+$D$4)</f>
        <v>23100000</v>
      </c>
      <c r="J139" s="85">
        <f t="shared" ref="J139:M139" si="52">+I139*(1+$D$4)</f>
        <v>24255000</v>
      </c>
      <c r="K139" s="85">
        <f t="shared" si="52"/>
        <v>25467750</v>
      </c>
      <c r="L139" s="85">
        <f t="shared" si="52"/>
        <v>26741137.5</v>
      </c>
      <c r="M139" s="85">
        <f t="shared" si="52"/>
        <v>28078194.375</v>
      </c>
      <c r="N139" s="86"/>
      <c r="O139" s="84"/>
    </row>
    <row r="140" spans="2:18" x14ac:dyDescent="0.2">
      <c r="B140" s="61"/>
      <c r="C140" s="125"/>
      <c r="D140" s="63"/>
      <c r="E140" s="63"/>
      <c r="F140" s="63"/>
      <c r="G140" s="63"/>
      <c r="H140" s="63"/>
      <c r="I140" s="63"/>
      <c r="J140" s="63"/>
      <c r="K140" s="63"/>
      <c r="L140" s="63"/>
      <c r="M140" s="64"/>
      <c r="N140" s="64"/>
      <c r="O140" s="62"/>
    </row>
    <row r="141" spans="2:18" x14ac:dyDescent="0.2">
      <c r="B141" s="61"/>
      <c r="C141" s="91" t="s">
        <v>139</v>
      </c>
      <c r="D141" s="63"/>
      <c r="E141" s="63"/>
      <c r="F141" s="63"/>
      <c r="G141" s="63"/>
      <c r="H141" s="63"/>
      <c r="I141" s="63"/>
      <c r="J141" s="63"/>
      <c r="K141" s="63"/>
      <c r="L141" s="63"/>
      <c r="M141" s="64"/>
      <c r="N141" s="64"/>
      <c r="O141" s="62"/>
    </row>
    <row r="142" spans="2:18" x14ac:dyDescent="0.2">
      <c r="B142" s="61"/>
      <c r="C142" s="63"/>
      <c r="D142" s="63"/>
      <c r="E142" s="63"/>
      <c r="F142" s="65" t="s">
        <v>77</v>
      </c>
      <c r="G142" s="65" t="s">
        <v>82</v>
      </c>
      <c r="H142" s="65" t="s">
        <v>83</v>
      </c>
      <c r="I142" s="65" t="s">
        <v>84</v>
      </c>
      <c r="J142" s="65" t="s">
        <v>85</v>
      </c>
      <c r="K142" s="65" t="s">
        <v>86</v>
      </c>
      <c r="L142" s="65" t="s">
        <v>87</v>
      </c>
      <c r="M142" s="126" t="s">
        <v>106</v>
      </c>
      <c r="N142" s="127"/>
      <c r="O142" s="62"/>
    </row>
    <row r="143" spans="2:18" x14ac:dyDescent="0.2">
      <c r="B143" s="98"/>
      <c r="C143" s="99"/>
      <c r="D143" s="99"/>
      <c r="E143" s="99"/>
      <c r="F143" s="123" t="s">
        <v>140</v>
      </c>
      <c r="G143" s="101">
        <f>+H136+H139</f>
        <v>225100000</v>
      </c>
      <c r="H143" s="101">
        <f>+I136+I139</f>
        <v>528150000</v>
      </c>
      <c r="I143" s="101">
        <f>+J136+J139</f>
        <v>554557500</v>
      </c>
      <c r="J143" s="101">
        <f t="shared" ref="J143:L143" si="53">+K136+K139</f>
        <v>582285375</v>
      </c>
      <c r="K143" s="101">
        <f t="shared" si="53"/>
        <v>611399643.75</v>
      </c>
      <c r="L143" s="101">
        <f t="shared" si="53"/>
        <v>641969625.9375</v>
      </c>
      <c r="M143" s="128">
        <f>SUM(G143:L143)</f>
        <v>3143462144.6875</v>
      </c>
      <c r="N143" s="129"/>
      <c r="O143" s="103"/>
    </row>
    <row r="144" spans="2:18" x14ac:dyDescent="0.2">
      <c r="B144" s="61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4"/>
      <c r="N144" s="64"/>
      <c r="O144" s="62"/>
    </row>
    <row r="145" spans="2:15" ht="13.5" thickBot="1" x14ac:dyDescent="0.25">
      <c r="B145" s="107"/>
      <c r="C145" s="108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/>
      <c r="N145" s="110"/>
      <c r="O145" s="111"/>
    </row>
    <row r="146" spans="2:15" ht="13.5" thickBot="1" x14ac:dyDescent="0.25"/>
    <row r="147" spans="2:15" x14ac:dyDescent="0.2">
      <c r="B147" s="57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9"/>
      <c r="N147" s="59"/>
      <c r="O147" s="60"/>
    </row>
    <row r="148" spans="2:15" ht="26.25" x14ac:dyDescent="0.4">
      <c r="B148" s="61"/>
      <c r="C148" s="254" t="s">
        <v>141</v>
      </c>
      <c r="D148" s="254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62"/>
    </row>
    <row r="149" spans="2:15" x14ac:dyDescent="0.2">
      <c r="B149" s="61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4"/>
      <c r="N149" s="64"/>
      <c r="O149" s="62"/>
    </row>
    <row r="150" spans="2:15" x14ac:dyDescent="0.2">
      <c r="B150" s="61"/>
      <c r="C150" s="65" t="s">
        <v>77</v>
      </c>
      <c r="D150" s="65" t="s">
        <v>78</v>
      </c>
      <c r="E150" s="65" t="s">
        <v>79</v>
      </c>
      <c r="F150" s="65" t="s">
        <v>80</v>
      </c>
      <c r="G150" s="65" t="s">
        <v>81</v>
      </c>
      <c r="H150" s="65" t="s">
        <v>82</v>
      </c>
      <c r="I150" s="65" t="s">
        <v>83</v>
      </c>
      <c r="J150" s="65" t="s">
        <v>84</v>
      </c>
      <c r="K150" s="65" t="s">
        <v>85</v>
      </c>
      <c r="L150" s="65" t="s">
        <v>86</v>
      </c>
      <c r="M150" s="65" t="s">
        <v>87</v>
      </c>
      <c r="N150" s="66"/>
      <c r="O150" s="62"/>
    </row>
    <row r="151" spans="2:15" x14ac:dyDescent="0.2">
      <c r="B151" s="61"/>
      <c r="C151" s="247" t="s">
        <v>142</v>
      </c>
      <c r="D151" s="72" t="s">
        <v>117</v>
      </c>
      <c r="E151" s="72" t="s">
        <v>90</v>
      </c>
      <c r="F151" s="69">
        <f>+'[1]Precio Monitoreos'!H4</f>
        <v>99000000</v>
      </c>
      <c r="G151" s="67">
        <v>1</v>
      </c>
      <c r="H151" s="69">
        <v>0</v>
      </c>
      <c r="I151" s="69">
        <f>+G151*F151*(1+$D$4)</f>
        <v>103950000</v>
      </c>
      <c r="J151" s="69">
        <f>+I151*(1+$D$4)</f>
        <v>109147500</v>
      </c>
      <c r="K151" s="69">
        <f t="shared" ref="K151:M153" si="54">+J151*(1+$D$4)</f>
        <v>114604875</v>
      </c>
      <c r="L151" s="69">
        <f t="shared" si="54"/>
        <v>120335118.75</v>
      </c>
      <c r="M151" s="69">
        <f t="shared" si="54"/>
        <v>126351874.6875</v>
      </c>
      <c r="N151" s="70"/>
      <c r="O151" s="62"/>
    </row>
    <row r="152" spans="2:15" x14ac:dyDescent="0.2">
      <c r="B152" s="61"/>
      <c r="C152" s="248"/>
      <c r="D152" s="72" t="s">
        <v>117</v>
      </c>
      <c r="E152" s="72" t="s">
        <v>91</v>
      </c>
      <c r="F152" s="69">
        <f>+'[1]Precio Monitoreos'!H6</f>
        <v>3000000</v>
      </c>
      <c r="G152" s="67">
        <v>1</v>
      </c>
      <c r="H152" s="69">
        <v>0</v>
      </c>
      <c r="I152" s="69">
        <f>+G152*F152*(1+$D$4)</f>
        <v>3150000</v>
      </c>
      <c r="J152" s="69">
        <f>+I152*(1+$D$4)</f>
        <v>3307500</v>
      </c>
      <c r="K152" s="69">
        <f t="shared" si="54"/>
        <v>3472875</v>
      </c>
      <c r="L152" s="69">
        <f t="shared" si="54"/>
        <v>3646518.75</v>
      </c>
      <c r="M152" s="69">
        <f t="shared" si="54"/>
        <v>3828844.6875</v>
      </c>
      <c r="N152" s="70"/>
      <c r="O152" s="62"/>
    </row>
    <row r="153" spans="2:15" x14ac:dyDescent="0.2">
      <c r="B153" s="61"/>
      <c r="C153" s="249"/>
      <c r="D153" s="72">
        <v>1</v>
      </c>
      <c r="E153" s="72" t="s">
        <v>143</v>
      </c>
      <c r="F153" s="69">
        <f>+'[1]Precio Monitoreos'!H7</f>
        <v>5500000</v>
      </c>
      <c r="G153" s="67">
        <v>3</v>
      </c>
      <c r="H153" s="69"/>
      <c r="I153" s="69">
        <f>+G153*F153*(1+$D$4)</f>
        <v>17325000</v>
      </c>
      <c r="J153" s="69">
        <f t="shared" ref="J153" si="55">+I153*(1+$D$4)</f>
        <v>18191250</v>
      </c>
      <c r="K153" s="69">
        <f t="shared" si="54"/>
        <v>19100812.5</v>
      </c>
      <c r="L153" s="69">
        <f t="shared" si="54"/>
        <v>20055853.125</v>
      </c>
      <c r="M153" s="69">
        <f t="shared" si="54"/>
        <v>21058645.78125</v>
      </c>
      <c r="N153" s="70"/>
      <c r="O153" s="62"/>
    </row>
    <row r="154" spans="2:15" x14ac:dyDescent="0.2">
      <c r="B154" s="75"/>
      <c r="C154" s="241" t="s">
        <v>96</v>
      </c>
      <c r="D154" s="242"/>
      <c r="E154" s="242"/>
      <c r="F154" s="242"/>
      <c r="G154" s="243"/>
      <c r="H154" s="76">
        <f t="shared" ref="H154:M154" si="56">SUM(H151:H153)</f>
        <v>0</v>
      </c>
      <c r="I154" s="76">
        <f t="shared" si="56"/>
        <v>124425000</v>
      </c>
      <c r="J154" s="76">
        <f t="shared" si="56"/>
        <v>130646250</v>
      </c>
      <c r="K154" s="76">
        <f t="shared" si="56"/>
        <v>137178562.5</v>
      </c>
      <c r="L154" s="76">
        <f t="shared" si="56"/>
        <v>144037490.625</v>
      </c>
      <c r="M154" s="77">
        <f t="shared" si="56"/>
        <v>151239365.15625</v>
      </c>
      <c r="N154" s="78"/>
      <c r="O154" s="79"/>
    </row>
    <row r="155" spans="2:15" x14ac:dyDescent="0.2">
      <c r="B155" s="75"/>
      <c r="C155" s="82"/>
      <c r="D155" s="82"/>
      <c r="E155" s="82"/>
      <c r="F155" s="82"/>
      <c r="G155" s="82"/>
      <c r="H155" s="83"/>
      <c r="I155" s="83"/>
      <c r="J155" s="83"/>
      <c r="K155" s="83"/>
      <c r="L155" s="83"/>
      <c r="M155" s="78"/>
      <c r="N155" s="78"/>
      <c r="O155" s="84"/>
    </row>
    <row r="156" spans="2:15" x14ac:dyDescent="0.2">
      <c r="B156" s="61"/>
      <c r="C156" s="91" t="s">
        <v>144</v>
      </c>
      <c r="D156" s="63"/>
      <c r="E156" s="63"/>
      <c r="F156" s="63"/>
      <c r="G156" s="63"/>
      <c r="H156" s="63"/>
      <c r="I156" s="63"/>
      <c r="J156" s="63"/>
      <c r="K156" s="63"/>
      <c r="L156" s="63"/>
      <c r="M156" s="64"/>
      <c r="N156" s="64"/>
      <c r="O156" s="62"/>
    </row>
    <row r="157" spans="2:15" x14ac:dyDescent="0.2">
      <c r="B157" s="61"/>
      <c r="C157" s="63"/>
      <c r="D157" s="63"/>
      <c r="E157" s="63"/>
      <c r="F157" s="65" t="s">
        <v>77</v>
      </c>
      <c r="G157" s="65" t="s">
        <v>82</v>
      </c>
      <c r="H157" s="65" t="s">
        <v>83</v>
      </c>
      <c r="I157" s="65" t="s">
        <v>84</v>
      </c>
      <c r="J157" s="65" t="s">
        <v>85</v>
      </c>
      <c r="K157" s="65" t="s">
        <v>86</v>
      </c>
      <c r="L157" s="65" t="s">
        <v>87</v>
      </c>
      <c r="M157" s="126" t="s">
        <v>106</v>
      </c>
      <c r="N157" s="127"/>
      <c r="O157" s="62"/>
    </row>
    <row r="158" spans="2:15" x14ac:dyDescent="0.2">
      <c r="B158" s="98"/>
      <c r="C158" s="99"/>
      <c r="D158" s="99"/>
      <c r="E158" s="99"/>
      <c r="F158" s="123" t="s">
        <v>125</v>
      </c>
      <c r="G158" s="101">
        <f>+H154</f>
        <v>0</v>
      </c>
      <c r="H158" s="101">
        <f t="shared" ref="H158:L158" si="57">+I154</f>
        <v>124425000</v>
      </c>
      <c r="I158" s="101">
        <f t="shared" si="57"/>
        <v>130646250</v>
      </c>
      <c r="J158" s="101">
        <f t="shared" si="57"/>
        <v>137178562.5</v>
      </c>
      <c r="K158" s="101">
        <f t="shared" si="57"/>
        <v>144037490.625</v>
      </c>
      <c r="L158" s="101">
        <f t="shared" si="57"/>
        <v>151239365.15625</v>
      </c>
      <c r="M158" s="128">
        <f>SUM(G158:L158)</f>
        <v>687526668.28125</v>
      </c>
      <c r="N158" s="129"/>
      <c r="O158" s="103"/>
    </row>
    <row r="159" spans="2:15" x14ac:dyDescent="0.2">
      <c r="B159" s="61"/>
      <c r="C159" s="106"/>
      <c r="D159" s="63"/>
      <c r="E159" s="63"/>
      <c r="F159" s="63"/>
      <c r="G159" s="63"/>
      <c r="H159" s="63"/>
      <c r="I159" s="63"/>
      <c r="J159" s="63"/>
      <c r="K159" s="63"/>
      <c r="L159" s="63"/>
      <c r="M159" s="64"/>
      <c r="N159" s="64"/>
      <c r="O159" s="62"/>
    </row>
    <row r="160" spans="2:15" ht="13.5" thickBot="1" x14ac:dyDescent="0.25">
      <c r="B160" s="107"/>
      <c r="C160" s="108"/>
      <c r="D160" s="109"/>
      <c r="E160" s="109"/>
      <c r="F160" s="109"/>
      <c r="G160" s="109"/>
      <c r="H160" s="109"/>
      <c r="I160" s="109"/>
      <c r="J160" s="109"/>
      <c r="K160" s="109"/>
      <c r="L160" s="109"/>
      <c r="M160" s="110"/>
      <c r="N160" s="110"/>
      <c r="O160" s="111"/>
    </row>
    <row r="161" spans="2:20" ht="13.5" thickBot="1" x14ac:dyDescent="0.25">
      <c r="T161" s="53"/>
    </row>
    <row r="162" spans="2:20" x14ac:dyDescent="0.2">
      <c r="B162" s="57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9"/>
      <c r="N162" s="59"/>
      <c r="O162" s="60"/>
      <c r="T162" s="53"/>
    </row>
    <row r="163" spans="2:20" ht="23.25" x14ac:dyDescent="0.35">
      <c r="B163" s="61"/>
      <c r="C163" s="253" t="s">
        <v>145</v>
      </c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62"/>
      <c r="T163" s="53"/>
    </row>
    <row r="164" spans="2:20" x14ac:dyDescent="0.2">
      <c r="B164" s="61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4"/>
      <c r="N164" s="64"/>
      <c r="O164" s="62"/>
      <c r="T164" s="53"/>
    </row>
    <row r="165" spans="2:20" x14ac:dyDescent="0.2">
      <c r="B165" s="61"/>
      <c r="C165" s="65" t="s">
        <v>77</v>
      </c>
      <c r="D165" s="65" t="s">
        <v>78</v>
      </c>
      <c r="E165" s="65" t="s">
        <v>79</v>
      </c>
      <c r="F165" s="65" t="s">
        <v>80</v>
      </c>
      <c r="G165" s="65" t="s">
        <v>81</v>
      </c>
      <c r="H165" s="65" t="s">
        <v>82</v>
      </c>
      <c r="I165" s="65" t="s">
        <v>83</v>
      </c>
      <c r="J165" s="65" t="s">
        <v>84</v>
      </c>
      <c r="K165" s="65" t="s">
        <v>85</v>
      </c>
      <c r="L165" s="65" t="s">
        <v>86</v>
      </c>
      <c r="M165" s="65" t="s">
        <v>87</v>
      </c>
      <c r="N165" s="66"/>
      <c r="O165" s="62"/>
      <c r="T165" s="53"/>
    </row>
    <row r="166" spans="2:20" ht="12.75" customHeight="1" x14ac:dyDescent="0.2">
      <c r="B166" s="61"/>
      <c r="C166" s="247" t="s">
        <v>146</v>
      </c>
      <c r="D166" s="72" t="s">
        <v>121</v>
      </c>
      <c r="E166" s="72" t="s">
        <v>93</v>
      </c>
      <c r="F166" s="69">
        <f>+'[1]Precio Monitoreos'!F7</f>
        <v>2200000</v>
      </c>
      <c r="G166" s="67">
        <v>12</v>
      </c>
      <c r="H166" s="69">
        <f>+F166*5</f>
        <v>11000000</v>
      </c>
      <c r="I166" s="69">
        <f t="shared" ref="I166:I171" si="58">+G166*F166*(1+$D$4)</f>
        <v>27720000</v>
      </c>
      <c r="J166" s="69">
        <f>+I166*(1+$D$4)</f>
        <v>29106000</v>
      </c>
      <c r="K166" s="69">
        <f t="shared" ref="K166:M171" si="59">+J166*(1+$D$4)</f>
        <v>30561300</v>
      </c>
      <c r="L166" s="69">
        <f t="shared" si="59"/>
        <v>32089365</v>
      </c>
      <c r="M166" s="69">
        <f t="shared" si="59"/>
        <v>33693833.25</v>
      </c>
      <c r="N166" s="70"/>
      <c r="O166" s="62"/>
      <c r="T166" s="53"/>
    </row>
    <row r="167" spans="2:20" x14ac:dyDescent="0.2">
      <c r="B167" s="61"/>
      <c r="C167" s="248"/>
      <c r="D167" s="72" t="s">
        <v>92</v>
      </c>
      <c r="E167" s="72" t="s">
        <v>147</v>
      </c>
      <c r="F167" s="69">
        <f>+'[1]Precio Monitoreos'!F17</f>
        <v>2200000</v>
      </c>
      <c r="G167" s="67">
        <v>2</v>
      </c>
      <c r="H167" s="69">
        <f>+F167*1</f>
        <v>2200000</v>
      </c>
      <c r="I167" s="69">
        <f t="shared" si="58"/>
        <v>4620000</v>
      </c>
      <c r="J167" s="69">
        <f t="shared" ref="J167:J171" si="60">+I167*(1+$D$4)</f>
        <v>4851000</v>
      </c>
      <c r="K167" s="69">
        <f t="shared" si="59"/>
        <v>5093550</v>
      </c>
      <c r="L167" s="69">
        <f t="shared" si="59"/>
        <v>5348227.5</v>
      </c>
      <c r="M167" s="69">
        <f t="shared" si="59"/>
        <v>5615638.875</v>
      </c>
      <c r="N167" s="70"/>
      <c r="O167" s="62"/>
      <c r="T167" s="53"/>
    </row>
    <row r="168" spans="2:20" x14ac:dyDescent="0.2">
      <c r="B168" s="61"/>
      <c r="C168" s="248"/>
      <c r="D168" s="72" t="s">
        <v>121</v>
      </c>
      <c r="E168" s="72" t="s">
        <v>94</v>
      </c>
      <c r="F168" s="69">
        <f>+'[1]Precio Monitoreos'!F8</f>
        <v>200000</v>
      </c>
      <c r="G168" s="67">
        <v>12</v>
      </c>
      <c r="H168" s="69">
        <f>+F168*5</f>
        <v>1000000</v>
      </c>
      <c r="I168" s="69">
        <f t="shared" si="58"/>
        <v>2520000</v>
      </c>
      <c r="J168" s="69">
        <f t="shared" si="60"/>
        <v>2646000</v>
      </c>
      <c r="K168" s="69">
        <f t="shared" si="59"/>
        <v>2778300</v>
      </c>
      <c r="L168" s="69">
        <f t="shared" si="59"/>
        <v>2917215</v>
      </c>
      <c r="M168" s="69">
        <f t="shared" si="59"/>
        <v>3063075.75</v>
      </c>
      <c r="N168" s="70"/>
      <c r="O168" s="62"/>
      <c r="T168" s="53"/>
    </row>
    <row r="169" spans="2:20" ht="27" customHeight="1" x14ac:dyDescent="0.2">
      <c r="B169" s="61"/>
      <c r="C169" s="248"/>
      <c r="D169" s="72" t="s">
        <v>117</v>
      </c>
      <c r="E169" s="72" t="s">
        <v>148</v>
      </c>
      <c r="F169" s="69">
        <f>+'[1]Precio Monitoreos'!F14</f>
        <v>6000000</v>
      </c>
      <c r="G169" s="67">
        <v>1</v>
      </c>
      <c r="H169" s="69">
        <f>+'[1]Precio Monitoreos'!F14</f>
        <v>6000000</v>
      </c>
      <c r="I169" s="69">
        <f t="shared" si="58"/>
        <v>6300000</v>
      </c>
      <c r="J169" s="69">
        <f t="shared" si="60"/>
        <v>6615000</v>
      </c>
      <c r="K169" s="69">
        <f t="shared" si="59"/>
        <v>6945750</v>
      </c>
      <c r="L169" s="69">
        <f t="shared" si="59"/>
        <v>7293037.5</v>
      </c>
      <c r="M169" s="69">
        <f t="shared" si="59"/>
        <v>7657689.375</v>
      </c>
      <c r="N169" s="70"/>
      <c r="O169" s="62"/>
      <c r="T169" s="53"/>
    </row>
    <row r="170" spans="2:20" x14ac:dyDescent="0.2">
      <c r="B170" s="61"/>
      <c r="C170" s="248"/>
      <c r="D170" s="72" t="s">
        <v>92</v>
      </c>
      <c r="E170" s="72" t="s">
        <v>91</v>
      </c>
      <c r="F170" s="69">
        <f>+'[1]Precio Monitoreos'!F6</f>
        <v>1600000</v>
      </c>
      <c r="G170" s="67">
        <v>2</v>
      </c>
      <c r="H170" s="69">
        <f t="shared" ref="H170:H171" si="61">+(F170/12)*5</f>
        <v>666666.66666666674</v>
      </c>
      <c r="I170" s="69">
        <f t="shared" si="58"/>
        <v>3360000</v>
      </c>
      <c r="J170" s="69">
        <f t="shared" si="60"/>
        <v>3528000</v>
      </c>
      <c r="K170" s="69">
        <f t="shared" si="59"/>
        <v>3704400</v>
      </c>
      <c r="L170" s="69">
        <f t="shared" si="59"/>
        <v>3889620</v>
      </c>
      <c r="M170" s="69">
        <f t="shared" si="59"/>
        <v>4084101</v>
      </c>
      <c r="N170" s="70"/>
      <c r="O170" s="62"/>
      <c r="T170" s="53"/>
    </row>
    <row r="171" spans="2:20" x14ac:dyDescent="0.2">
      <c r="B171" s="61"/>
      <c r="C171" s="249"/>
      <c r="D171" s="72" t="s">
        <v>92</v>
      </c>
      <c r="E171" s="72" t="s">
        <v>90</v>
      </c>
      <c r="F171" s="69">
        <f>+'[1]Precio Monitoreos'!F4</f>
        <v>70000000</v>
      </c>
      <c r="G171" s="67">
        <v>2</v>
      </c>
      <c r="H171" s="69">
        <f t="shared" si="61"/>
        <v>29166666.666666664</v>
      </c>
      <c r="I171" s="69">
        <f t="shared" si="58"/>
        <v>147000000</v>
      </c>
      <c r="J171" s="69">
        <f t="shared" si="60"/>
        <v>154350000</v>
      </c>
      <c r="K171" s="69">
        <f t="shared" si="59"/>
        <v>162067500</v>
      </c>
      <c r="L171" s="69">
        <f t="shared" si="59"/>
        <v>170170875</v>
      </c>
      <c r="M171" s="69">
        <f t="shared" si="59"/>
        <v>178679418.75</v>
      </c>
      <c r="N171" s="70"/>
      <c r="O171" s="62"/>
      <c r="T171" s="53"/>
    </row>
    <row r="172" spans="2:20" x14ac:dyDescent="0.2">
      <c r="B172" s="75"/>
      <c r="C172" s="241" t="s">
        <v>96</v>
      </c>
      <c r="D172" s="242"/>
      <c r="E172" s="242"/>
      <c r="F172" s="242"/>
      <c r="G172" s="243"/>
      <c r="H172" s="76">
        <f t="shared" ref="H172:M172" si="62">SUM(H166:H171)</f>
        <v>50033333.333333328</v>
      </c>
      <c r="I172" s="76">
        <f t="shared" si="62"/>
        <v>191520000</v>
      </c>
      <c r="J172" s="76">
        <f t="shared" si="62"/>
        <v>201096000</v>
      </c>
      <c r="K172" s="76">
        <f t="shared" si="62"/>
        <v>211150800</v>
      </c>
      <c r="L172" s="76">
        <f t="shared" si="62"/>
        <v>221708340</v>
      </c>
      <c r="M172" s="77">
        <f t="shared" si="62"/>
        <v>232793757</v>
      </c>
      <c r="N172" s="78"/>
      <c r="O172" s="79"/>
      <c r="T172" s="53"/>
    </row>
    <row r="173" spans="2:20" x14ac:dyDescent="0.2">
      <c r="B173" s="75"/>
      <c r="C173" s="82"/>
      <c r="D173" s="82"/>
      <c r="E173" s="82"/>
      <c r="F173" s="82"/>
      <c r="G173" s="82"/>
      <c r="H173" s="83"/>
      <c r="I173" s="83"/>
      <c r="J173" s="83"/>
      <c r="K173" s="83"/>
      <c r="L173" s="83"/>
      <c r="M173" s="78"/>
      <c r="N173" s="78"/>
      <c r="O173" s="84"/>
      <c r="T173" s="53"/>
    </row>
    <row r="174" spans="2:20" x14ac:dyDescent="0.2">
      <c r="B174" s="61"/>
      <c r="C174" s="91" t="s">
        <v>149</v>
      </c>
      <c r="D174" s="63"/>
      <c r="E174" s="63"/>
      <c r="F174" s="63"/>
      <c r="G174" s="63"/>
      <c r="H174" s="63"/>
      <c r="I174" s="63"/>
      <c r="J174" s="63"/>
      <c r="K174" s="63"/>
      <c r="L174" s="63"/>
      <c r="M174" s="64"/>
      <c r="N174" s="64"/>
      <c r="O174" s="62"/>
      <c r="T174" s="53"/>
    </row>
    <row r="175" spans="2:20" x14ac:dyDescent="0.2">
      <c r="B175" s="61"/>
      <c r="C175" s="63"/>
      <c r="D175" s="63"/>
      <c r="E175" s="63"/>
      <c r="F175" s="65" t="s">
        <v>77</v>
      </c>
      <c r="G175" s="65" t="s">
        <v>82</v>
      </c>
      <c r="H175" s="65" t="s">
        <v>83</v>
      </c>
      <c r="I175" s="65" t="s">
        <v>84</v>
      </c>
      <c r="J175" s="65" t="s">
        <v>85</v>
      </c>
      <c r="K175" s="65" t="s">
        <v>86</v>
      </c>
      <c r="L175" s="65" t="s">
        <v>87</v>
      </c>
      <c r="M175" s="126" t="s">
        <v>106</v>
      </c>
      <c r="N175" s="127"/>
      <c r="O175" s="62"/>
      <c r="T175" s="53"/>
    </row>
    <row r="176" spans="2:20" x14ac:dyDescent="0.2">
      <c r="B176" s="98"/>
      <c r="C176" s="99"/>
      <c r="D176" s="99"/>
      <c r="E176" s="99"/>
      <c r="F176" s="123" t="s">
        <v>125</v>
      </c>
      <c r="G176" s="101">
        <f>+H172</f>
        <v>50033333.333333328</v>
      </c>
      <c r="H176" s="101">
        <f>+I172</f>
        <v>191520000</v>
      </c>
      <c r="I176" s="101">
        <f t="shared" ref="I176:L176" si="63">+J172</f>
        <v>201096000</v>
      </c>
      <c r="J176" s="101">
        <f t="shared" si="63"/>
        <v>211150800</v>
      </c>
      <c r="K176" s="101">
        <f t="shared" si="63"/>
        <v>221708340</v>
      </c>
      <c r="L176" s="101">
        <f t="shared" si="63"/>
        <v>232793757</v>
      </c>
      <c r="M176" s="128">
        <f>SUM(G176:L176)</f>
        <v>1108302230.3333333</v>
      </c>
      <c r="N176" s="129"/>
      <c r="O176" s="103"/>
      <c r="T176" s="53"/>
    </row>
    <row r="177" spans="2:15" x14ac:dyDescent="0.2">
      <c r="B177" s="61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4"/>
      <c r="N177" s="64"/>
      <c r="O177" s="62"/>
    </row>
    <row r="178" spans="2:15" ht="13.5" thickBot="1" x14ac:dyDescent="0.25">
      <c r="B178" s="107"/>
      <c r="C178" s="108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/>
      <c r="N178" s="110"/>
      <c r="O178" s="111"/>
    </row>
    <row r="180" spans="2:15" ht="13.5" thickBot="1" x14ac:dyDescent="0.25"/>
    <row r="181" spans="2:15" x14ac:dyDescent="0.2">
      <c r="B181" s="57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9"/>
      <c r="N181" s="59"/>
      <c r="O181" s="60"/>
    </row>
    <row r="182" spans="2:15" ht="26.25" x14ac:dyDescent="0.4">
      <c r="B182" s="61"/>
      <c r="C182" s="254" t="s">
        <v>150</v>
      </c>
      <c r="D182" s="254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62"/>
    </row>
    <row r="183" spans="2:15" x14ac:dyDescent="0.2">
      <c r="B183" s="61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4"/>
      <c r="N183" s="64"/>
      <c r="O183" s="62"/>
    </row>
    <row r="184" spans="2:15" x14ac:dyDescent="0.2">
      <c r="B184" s="61"/>
      <c r="C184" s="65" t="s">
        <v>77</v>
      </c>
      <c r="D184" s="65" t="s">
        <v>78</v>
      </c>
      <c r="E184" s="65" t="s">
        <v>79</v>
      </c>
      <c r="F184" s="65" t="s">
        <v>80</v>
      </c>
      <c r="G184" s="65" t="s">
        <v>81</v>
      </c>
      <c r="H184" s="65" t="s">
        <v>82</v>
      </c>
      <c r="I184" s="65" t="s">
        <v>83</v>
      </c>
      <c r="J184" s="65" t="s">
        <v>84</v>
      </c>
      <c r="K184" s="65" t="s">
        <v>85</v>
      </c>
      <c r="L184" s="65" t="s">
        <v>86</v>
      </c>
      <c r="M184" s="65" t="s">
        <v>87</v>
      </c>
      <c r="N184" s="66"/>
      <c r="O184" s="62"/>
    </row>
    <row r="185" spans="2:15" ht="12.75" customHeight="1" x14ac:dyDescent="0.2">
      <c r="B185" s="61"/>
      <c r="C185" s="247" t="s">
        <v>125</v>
      </c>
      <c r="D185" s="72" t="s">
        <v>92</v>
      </c>
      <c r="E185" s="72" t="s">
        <v>120</v>
      </c>
      <c r="F185" s="69">
        <f>+'[1]Precio Monitoreos'!J11</f>
        <v>6000000</v>
      </c>
      <c r="G185" s="67">
        <v>2</v>
      </c>
      <c r="H185" s="69">
        <f>+F185*4</f>
        <v>24000000</v>
      </c>
      <c r="I185" s="69">
        <f>+G185*F185*(1+$D$4)</f>
        <v>12600000</v>
      </c>
      <c r="J185" s="69">
        <f>+I185*(1+$D$4)</f>
        <v>13230000</v>
      </c>
      <c r="K185" s="69">
        <f t="shared" ref="K185:M188" si="64">+J185*(1+$D$4)</f>
        <v>13891500</v>
      </c>
      <c r="L185" s="69">
        <f t="shared" si="64"/>
        <v>14586075</v>
      </c>
      <c r="M185" s="69">
        <f t="shared" si="64"/>
        <v>15315378.75</v>
      </c>
      <c r="N185" s="70"/>
      <c r="O185" s="62"/>
    </row>
    <row r="186" spans="2:15" ht="12.75" customHeight="1" x14ac:dyDescent="0.2">
      <c r="B186" s="61"/>
      <c r="C186" s="248"/>
      <c r="D186" s="72" t="s">
        <v>117</v>
      </c>
      <c r="E186" s="72" t="s">
        <v>90</v>
      </c>
      <c r="F186" s="69">
        <f>+'[1]Precio Monitoreos'!J4</f>
        <v>58000000</v>
      </c>
      <c r="G186" s="67">
        <v>1</v>
      </c>
      <c r="H186" s="69">
        <v>0</v>
      </c>
      <c r="I186" s="69">
        <f>+G186*F186*(1+$D$4)</f>
        <v>60900000</v>
      </c>
      <c r="J186" s="69">
        <f>+I186*(1+$D$4)</f>
        <v>63945000</v>
      </c>
      <c r="K186" s="69">
        <f>+J186*(1+$D$4)</f>
        <v>67142250</v>
      </c>
      <c r="L186" s="69">
        <f t="shared" si="64"/>
        <v>70499362.5</v>
      </c>
      <c r="M186" s="69">
        <f t="shared" si="64"/>
        <v>74024330.625</v>
      </c>
      <c r="N186" s="70"/>
      <c r="O186" s="62"/>
    </row>
    <row r="187" spans="2:15" ht="12.75" customHeight="1" x14ac:dyDescent="0.2">
      <c r="B187" s="61"/>
      <c r="C187" s="248"/>
      <c r="D187" s="72" t="s">
        <v>117</v>
      </c>
      <c r="E187" s="72" t="s">
        <v>151</v>
      </c>
      <c r="F187" s="69">
        <f>+'[1]Precio Monitoreos'!J6</f>
        <v>4000000</v>
      </c>
      <c r="G187" s="67">
        <v>1</v>
      </c>
      <c r="H187" s="69">
        <v>1</v>
      </c>
      <c r="I187" s="69">
        <f>+G187*F187*(1+$D$4)</f>
        <v>4200000</v>
      </c>
      <c r="J187" s="69">
        <f>+I187*(1+$D$4)</f>
        <v>4410000</v>
      </c>
      <c r="K187" s="69">
        <f>+J187*(1+$D$4)</f>
        <v>4630500</v>
      </c>
      <c r="L187" s="69">
        <f t="shared" si="64"/>
        <v>4862025</v>
      </c>
      <c r="M187" s="69">
        <f t="shared" si="64"/>
        <v>5105126.25</v>
      </c>
      <c r="N187" s="70"/>
      <c r="O187" s="62"/>
    </row>
    <row r="188" spans="2:15" ht="23.25" customHeight="1" x14ac:dyDescent="0.2">
      <c r="B188" s="61"/>
      <c r="C188" s="248"/>
      <c r="D188" s="72" t="s">
        <v>92</v>
      </c>
      <c r="E188" s="72" t="s">
        <v>143</v>
      </c>
      <c r="F188" s="69">
        <f>+'[1]Precio Monitoreos'!J7</f>
        <v>13000000</v>
      </c>
      <c r="G188" s="67">
        <v>2</v>
      </c>
      <c r="H188" s="69">
        <f>+F188*4</f>
        <v>52000000</v>
      </c>
      <c r="I188" s="69">
        <f>+G188*F188*(1+$D$4)</f>
        <v>27300000</v>
      </c>
      <c r="J188" s="69">
        <f>+I188*(1+$D$4)</f>
        <v>28665000</v>
      </c>
      <c r="K188" s="69">
        <f t="shared" si="64"/>
        <v>30098250</v>
      </c>
      <c r="L188" s="69">
        <f t="shared" si="64"/>
        <v>31603162.5</v>
      </c>
      <c r="M188" s="69">
        <f t="shared" si="64"/>
        <v>33183320.625</v>
      </c>
      <c r="N188" s="70"/>
      <c r="O188" s="62"/>
    </row>
    <row r="189" spans="2:15" x14ac:dyDescent="0.2">
      <c r="B189" s="75"/>
      <c r="C189" s="241" t="s">
        <v>96</v>
      </c>
      <c r="D189" s="242"/>
      <c r="E189" s="242"/>
      <c r="F189" s="242"/>
      <c r="G189" s="243"/>
      <c r="H189" s="76">
        <f t="shared" ref="H189:M189" si="65">SUM(H185:H188)</f>
        <v>76000001</v>
      </c>
      <c r="I189" s="76">
        <f t="shared" si="65"/>
        <v>105000000</v>
      </c>
      <c r="J189" s="76">
        <f t="shared" si="65"/>
        <v>110250000</v>
      </c>
      <c r="K189" s="76">
        <f t="shared" si="65"/>
        <v>115762500</v>
      </c>
      <c r="L189" s="76">
        <f t="shared" si="65"/>
        <v>121550625</v>
      </c>
      <c r="M189" s="77">
        <f t="shared" si="65"/>
        <v>127628156.25</v>
      </c>
      <c r="N189" s="78"/>
      <c r="O189" s="79"/>
    </row>
    <row r="190" spans="2:15" x14ac:dyDescent="0.2">
      <c r="B190" s="75"/>
      <c r="C190" s="82"/>
      <c r="D190" s="82"/>
      <c r="E190" s="82"/>
      <c r="F190" s="82"/>
      <c r="G190" s="82"/>
      <c r="H190" s="83"/>
      <c r="I190" s="83"/>
      <c r="J190" s="83"/>
      <c r="K190" s="83"/>
      <c r="L190" s="83"/>
      <c r="M190" s="78"/>
      <c r="N190" s="78"/>
      <c r="O190" s="84"/>
    </row>
    <row r="191" spans="2:15" x14ac:dyDescent="0.2">
      <c r="B191" s="61"/>
      <c r="C191" s="63"/>
      <c r="D191" s="63"/>
      <c r="E191" s="63"/>
      <c r="F191" s="65" t="s">
        <v>77</v>
      </c>
      <c r="G191" s="65" t="s">
        <v>82</v>
      </c>
      <c r="H191" s="65" t="s">
        <v>83</v>
      </c>
      <c r="I191" s="65" t="s">
        <v>84</v>
      </c>
      <c r="J191" s="65" t="s">
        <v>85</v>
      </c>
      <c r="K191" s="65" t="s">
        <v>86</v>
      </c>
      <c r="L191" s="65" t="s">
        <v>87</v>
      </c>
      <c r="M191" s="126" t="s">
        <v>106</v>
      </c>
      <c r="N191" s="127"/>
      <c r="O191" s="62"/>
    </row>
    <row r="192" spans="2:15" x14ac:dyDescent="0.2">
      <c r="B192" s="98"/>
      <c r="C192" s="99"/>
      <c r="D192" s="99"/>
      <c r="E192" s="99"/>
      <c r="F192" s="123" t="s">
        <v>125</v>
      </c>
      <c r="G192" s="101">
        <f>+H189</f>
        <v>76000001</v>
      </c>
      <c r="H192" s="101">
        <f t="shared" ref="H192:L192" si="66">+I189</f>
        <v>105000000</v>
      </c>
      <c r="I192" s="101">
        <f t="shared" si="66"/>
        <v>110250000</v>
      </c>
      <c r="J192" s="101">
        <f t="shared" si="66"/>
        <v>115762500</v>
      </c>
      <c r="K192" s="101">
        <f t="shared" si="66"/>
        <v>121550625</v>
      </c>
      <c r="L192" s="101">
        <f t="shared" si="66"/>
        <v>127628156.25</v>
      </c>
      <c r="M192" s="128">
        <f>SUM(G192:L192)</f>
        <v>656191282.25</v>
      </c>
      <c r="N192" s="129"/>
      <c r="O192" s="103"/>
    </row>
    <row r="193" spans="1:34" x14ac:dyDescent="0.2">
      <c r="B193" s="61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4"/>
      <c r="N193" s="64"/>
      <c r="O193" s="62"/>
    </row>
    <row r="194" spans="1:34" ht="13.5" thickBot="1" x14ac:dyDescent="0.25">
      <c r="B194" s="107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/>
      <c r="N194" s="110"/>
      <c r="O194" s="111"/>
    </row>
    <row r="197" spans="1:34" ht="13.5" thickBot="1" x14ac:dyDescent="0.25"/>
    <row r="198" spans="1:34" x14ac:dyDescent="0.2">
      <c r="B198" s="57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9"/>
      <c r="N198" s="59"/>
      <c r="O198" s="60"/>
    </row>
    <row r="199" spans="1:34" x14ac:dyDescent="0.2">
      <c r="B199" s="61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4"/>
      <c r="N199" s="64"/>
      <c r="O199" s="62"/>
    </row>
    <row r="200" spans="1:34" x14ac:dyDescent="0.2">
      <c r="B200" s="61"/>
      <c r="C200" s="65" t="s">
        <v>77</v>
      </c>
      <c r="D200" s="65" t="s">
        <v>82</v>
      </c>
      <c r="E200" s="65" t="s">
        <v>83</v>
      </c>
      <c r="F200" s="65" t="s">
        <v>84</v>
      </c>
      <c r="G200" s="65" t="s">
        <v>85</v>
      </c>
      <c r="H200" s="65" t="s">
        <v>86</v>
      </c>
      <c r="I200" s="65" t="s">
        <v>87</v>
      </c>
      <c r="J200" s="92" t="s">
        <v>106</v>
      </c>
      <c r="K200" s="63"/>
      <c r="L200" s="63"/>
      <c r="M200" s="64"/>
      <c r="N200" s="64"/>
      <c r="O200" s="62"/>
    </row>
    <row r="201" spans="1:34" ht="38.25" x14ac:dyDescent="0.2">
      <c r="B201" s="61"/>
      <c r="C201" s="123" t="s">
        <v>152</v>
      </c>
      <c r="D201" s="101">
        <v>0</v>
      </c>
      <c r="E201" s="101">
        <f t="shared" ref="E201:I201" si="67">+H34+H70+H99+H122+H143+H158+H176+H192</f>
        <v>2969996379</v>
      </c>
      <c r="F201" s="101">
        <f t="shared" si="67"/>
        <v>3118496197.9499998</v>
      </c>
      <c r="G201" s="101">
        <f t="shared" si="67"/>
        <v>3274421007.8474998</v>
      </c>
      <c r="H201" s="101">
        <f t="shared" si="67"/>
        <v>3438142058.2398748</v>
      </c>
      <c r="I201" s="101">
        <f t="shared" si="67"/>
        <v>3610049161.1518688</v>
      </c>
      <c r="J201" s="101">
        <f>SUM(D201:I201)</f>
        <v>16411104804.189245</v>
      </c>
      <c r="K201" s="63"/>
      <c r="L201" s="63"/>
      <c r="M201" s="64"/>
      <c r="N201" s="64"/>
      <c r="O201" s="62"/>
    </row>
    <row r="202" spans="1:34" x14ac:dyDescent="0.2">
      <c r="B202" s="6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4"/>
      <c r="N202" s="64"/>
      <c r="O202" s="62"/>
    </row>
    <row r="203" spans="1:34" ht="13.5" thickBot="1" x14ac:dyDescent="0.25">
      <c r="B203" s="107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10"/>
      <c r="N203" s="110"/>
      <c r="O203" s="111"/>
    </row>
    <row r="207" spans="1:34" s="134" customFormat="1" ht="32.25" customHeight="1" x14ac:dyDescent="0.25">
      <c r="A207" s="130"/>
      <c r="B207" s="130"/>
      <c r="C207" s="131" t="s">
        <v>153</v>
      </c>
      <c r="D207" s="131"/>
      <c r="E207" s="131" t="s">
        <v>154</v>
      </c>
      <c r="F207" s="259" t="s">
        <v>155</v>
      </c>
      <c r="G207" s="260"/>
      <c r="H207" s="261"/>
      <c r="I207" s="132" t="s">
        <v>156</v>
      </c>
      <c r="J207" s="131" t="s">
        <v>82</v>
      </c>
      <c r="K207" s="131" t="s">
        <v>83</v>
      </c>
      <c r="L207" s="131" t="s">
        <v>84</v>
      </c>
      <c r="M207" s="131" t="s">
        <v>85</v>
      </c>
      <c r="N207" s="131" t="s">
        <v>86</v>
      </c>
      <c r="O207" s="131" t="s">
        <v>87</v>
      </c>
      <c r="P207" s="131" t="s">
        <v>106</v>
      </c>
      <c r="Q207" s="133"/>
      <c r="R207" s="133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</row>
    <row r="208" spans="1:34" s="134" customFormat="1" ht="21.75" customHeight="1" x14ac:dyDescent="0.25">
      <c r="A208" s="130"/>
      <c r="B208" s="130"/>
      <c r="C208" s="256" t="s">
        <v>157</v>
      </c>
      <c r="D208" s="257"/>
      <c r="E208" s="135">
        <v>6</v>
      </c>
      <c r="F208" s="258" t="s">
        <v>158</v>
      </c>
      <c r="G208" s="258"/>
      <c r="H208" s="258"/>
      <c r="I208" s="136">
        <v>180000000</v>
      </c>
      <c r="J208" s="136"/>
      <c r="K208" s="136">
        <f>+I208*E208*(1+$D$4)</f>
        <v>1134000000</v>
      </c>
      <c r="L208" s="136">
        <f>+K208*(1+$D$4)</f>
        <v>1190700000</v>
      </c>
      <c r="M208" s="136">
        <f t="shared" ref="M208:O208" si="68">+L208*(1+$D$4)</f>
        <v>1250235000</v>
      </c>
      <c r="N208" s="136">
        <f t="shared" si="68"/>
        <v>1312746750</v>
      </c>
      <c r="O208" s="136">
        <f t="shared" si="68"/>
        <v>1378384087.5</v>
      </c>
      <c r="P208" s="137">
        <f>SUM(K208:O208)</f>
        <v>6266065837.5</v>
      </c>
      <c r="Q208" s="133"/>
      <c r="R208" s="133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30"/>
    </row>
    <row r="209" spans="1:35" s="134" customFormat="1" x14ac:dyDescent="0.25">
      <c r="A209" s="130"/>
      <c r="B209" s="130"/>
      <c r="C209" s="262" t="s">
        <v>159</v>
      </c>
      <c r="D209" s="263"/>
      <c r="E209" s="138">
        <v>6</v>
      </c>
      <c r="F209" s="258" t="s">
        <v>160</v>
      </c>
      <c r="G209" s="258"/>
      <c r="H209" s="258"/>
      <c r="I209" s="136">
        <v>120000000</v>
      </c>
      <c r="J209" s="136"/>
      <c r="K209" s="136">
        <f t="shared" ref="K209:K214" si="69">+I209*E209*(1+$D$4)</f>
        <v>756000000</v>
      </c>
      <c r="L209" s="136">
        <f t="shared" ref="L209:O214" si="70">+K209*(1+$D$4)</f>
        <v>793800000</v>
      </c>
      <c r="M209" s="136">
        <f t="shared" si="70"/>
        <v>833490000</v>
      </c>
      <c r="N209" s="136">
        <f t="shared" si="70"/>
        <v>875164500</v>
      </c>
      <c r="O209" s="136">
        <f t="shared" si="70"/>
        <v>918922725</v>
      </c>
      <c r="P209" s="137">
        <f t="shared" ref="P209:P214" si="71">SUM(K209:O209)</f>
        <v>4177377225</v>
      </c>
      <c r="Q209" s="133"/>
      <c r="R209" s="133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</row>
    <row r="210" spans="1:35" s="134" customFormat="1" x14ac:dyDescent="0.25">
      <c r="A210" s="130"/>
      <c r="B210" s="130"/>
      <c r="C210" s="262" t="s">
        <v>161</v>
      </c>
      <c r="D210" s="263"/>
      <c r="E210" s="138">
        <v>8</v>
      </c>
      <c r="F210" s="258" t="s">
        <v>162</v>
      </c>
      <c r="G210" s="258"/>
      <c r="H210" s="258"/>
      <c r="I210" s="136">
        <v>80000000</v>
      </c>
      <c r="J210" s="136"/>
      <c r="K210" s="136">
        <f t="shared" si="69"/>
        <v>672000000</v>
      </c>
      <c r="L210" s="136">
        <f t="shared" si="70"/>
        <v>705600000</v>
      </c>
      <c r="M210" s="136">
        <f t="shared" si="70"/>
        <v>740880000</v>
      </c>
      <c r="N210" s="136">
        <f t="shared" si="70"/>
        <v>777924000</v>
      </c>
      <c r="O210" s="136">
        <f t="shared" si="70"/>
        <v>816820200</v>
      </c>
      <c r="P210" s="137">
        <f t="shared" si="71"/>
        <v>3713224200</v>
      </c>
      <c r="Q210" s="133"/>
      <c r="R210" s="133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</row>
    <row r="211" spans="1:35" s="134" customFormat="1" x14ac:dyDescent="0.25">
      <c r="A211" s="130"/>
      <c r="B211" s="130"/>
      <c r="C211" s="262" t="s">
        <v>163</v>
      </c>
      <c r="D211" s="263"/>
      <c r="E211" s="138">
        <v>3</v>
      </c>
      <c r="F211" s="258" t="s">
        <v>164</v>
      </c>
      <c r="G211" s="258"/>
      <c r="H211" s="258"/>
      <c r="I211" s="136">
        <v>44000000</v>
      </c>
      <c r="J211" s="136"/>
      <c r="K211" s="136">
        <f t="shared" si="69"/>
        <v>138600000</v>
      </c>
      <c r="L211" s="136">
        <f t="shared" si="70"/>
        <v>145530000</v>
      </c>
      <c r="M211" s="136">
        <f t="shared" si="70"/>
        <v>152806500</v>
      </c>
      <c r="N211" s="136">
        <f t="shared" si="70"/>
        <v>160446825</v>
      </c>
      <c r="O211" s="136">
        <f t="shared" si="70"/>
        <v>168469166.25</v>
      </c>
      <c r="P211" s="137">
        <f t="shared" si="71"/>
        <v>765852491.25</v>
      </c>
      <c r="Q211" s="133"/>
      <c r="R211" s="133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30"/>
    </row>
    <row r="212" spans="1:35" s="134" customFormat="1" x14ac:dyDescent="0.25">
      <c r="A212" s="130"/>
      <c r="B212" s="130"/>
      <c r="C212" s="262" t="s">
        <v>165</v>
      </c>
      <c r="D212" s="263"/>
      <c r="E212" s="138">
        <v>3</v>
      </c>
      <c r="F212" s="258" t="s">
        <v>166</v>
      </c>
      <c r="G212" s="258"/>
      <c r="H212" s="258"/>
      <c r="I212" s="136">
        <v>11000000</v>
      </c>
      <c r="J212" s="136"/>
      <c r="K212" s="136">
        <f t="shared" si="69"/>
        <v>34650000</v>
      </c>
      <c r="L212" s="136">
        <f t="shared" si="70"/>
        <v>36382500</v>
      </c>
      <c r="M212" s="136">
        <f t="shared" si="70"/>
        <v>38201625</v>
      </c>
      <c r="N212" s="136">
        <f t="shared" si="70"/>
        <v>40111706.25</v>
      </c>
      <c r="O212" s="136">
        <f t="shared" si="70"/>
        <v>42117291.5625</v>
      </c>
      <c r="P212" s="137">
        <f t="shared" si="71"/>
        <v>191463122.8125</v>
      </c>
      <c r="Q212" s="133"/>
      <c r="R212" s="133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  <c r="AH212" s="130"/>
    </row>
    <row r="213" spans="1:35" s="134" customFormat="1" x14ac:dyDescent="0.25">
      <c r="A213" s="130"/>
      <c r="B213" s="130"/>
      <c r="C213" s="262" t="s">
        <v>167</v>
      </c>
      <c r="D213" s="263"/>
      <c r="E213" s="138">
        <v>4</v>
      </c>
      <c r="F213" s="258" t="s">
        <v>168</v>
      </c>
      <c r="G213" s="258"/>
      <c r="H213" s="258"/>
      <c r="I213" s="136">
        <v>8000000</v>
      </c>
      <c r="J213" s="136"/>
      <c r="K213" s="136">
        <f t="shared" si="69"/>
        <v>33600000</v>
      </c>
      <c r="L213" s="136">
        <f t="shared" si="70"/>
        <v>35280000</v>
      </c>
      <c r="M213" s="136">
        <f t="shared" si="70"/>
        <v>37044000</v>
      </c>
      <c r="N213" s="136">
        <f t="shared" si="70"/>
        <v>38896200</v>
      </c>
      <c r="O213" s="136">
        <f t="shared" si="70"/>
        <v>40841010</v>
      </c>
      <c r="P213" s="137">
        <f t="shared" si="71"/>
        <v>185661210</v>
      </c>
      <c r="Q213" s="133"/>
      <c r="R213" s="133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</row>
    <row r="214" spans="1:35" s="134" customFormat="1" x14ac:dyDescent="0.25">
      <c r="A214" s="130"/>
      <c r="B214" s="130"/>
      <c r="C214" s="262" t="s">
        <v>169</v>
      </c>
      <c r="D214" s="263"/>
      <c r="E214" s="139">
        <v>1</v>
      </c>
      <c r="F214" s="264" t="s">
        <v>168</v>
      </c>
      <c r="G214" s="264"/>
      <c r="H214" s="264"/>
      <c r="I214" s="140">
        <v>25000000</v>
      </c>
      <c r="J214" s="136"/>
      <c r="K214" s="136">
        <f t="shared" si="69"/>
        <v>26250000</v>
      </c>
      <c r="L214" s="136">
        <f t="shared" si="70"/>
        <v>27562500</v>
      </c>
      <c r="M214" s="136">
        <f t="shared" si="70"/>
        <v>28940625</v>
      </c>
      <c r="N214" s="136">
        <f t="shared" si="70"/>
        <v>30387656.25</v>
      </c>
      <c r="O214" s="136">
        <f t="shared" si="70"/>
        <v>31907039.0625</v>
      </c>
      <c r="P214" s="137">
        <f t="shared" si="71"/>
        <v>145047820.3125</v>
      </c>
      <c r="Q214" s="133"/>
      <c r="R214" s="133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</row>
    <row r="215" spans="1:35" s="134" customFormat="1" ht="15" customHeight="1" x14ac:dyDescent="0.2">
      <c r="A215" s="130"/>
      <c r="B215" s="130"/>
      <c r="C215" s="267" t="s">
        <v>170</v>
      </c>
      <c r="D215" s="268"/>
      <c r="E215" s="268"/>
      <c r="F215" s="268"/>
      <c r="G215" s="268"/>
      <c r="H215" s="268"/>
      <c r="I215" s="269"/>
      <c r="J215" s="141">
        <v>0</v>
      </c>
      <c r="K215" s="141">
        <f t="shared" ref="K215:O215" si="72">SUM(K208:K214)</f>
        <v>2795100000</v>
      </c>
      <c r="L215" s="141">
        <f t="shared" si="72"/>
        <v>2934855000</v>
      </c>
      <c r="M215" s="141">
        <f t="shared" si="72"/>
        <v>3081597750</v>
      </c>
      <c r="N215" s="141">
        <f t="shared" si="72"/>
        <v>3235677637.5</v>
      </c>
      <c r="O215" s="141">
        <f t="shared" si="72"/>
        <v>3397461519.375</v>
      </c>
      <c r="P215" s="141">
        <f>SUM(P208:P214)</f>
        <v>15444691906.875</v>
      </c>
      <c r="Q215" s="133"/>
      <c r="R215" s="133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</row>
    <row r="216" spans="1:35" s="134" customFormat="1" x14ac:dyDescent="0.25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3"/>
      <c r="N216" s="133"/>
      <c r="O216" s="133"/>
      <c r="P216" s="133"/>
      <c r="Q216" s="133"/>
      <c r="R216" s="133"/>
      <c r="S216" s="133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  <c r="AH216" s="130"/>
      <c r="AI216" s="130"/>
    </row>
    <row r="217" spans="1:35" s="134" customFormat="1" ht="24" customHeight="1" x14ac:dyDescent="0.25">
      <c r="A217" s="130"/>
      <c r="B217" s="130"/>
      <c r="C217" s="130"/>
      <c r="D217" s="130"/>
      <c r="E217" s="130"/>
      <c r="F217" s="130"/>
      <c r="G217" s="130"/>
      <c r="H217" s="130"/>
      <c r="I217" s="130"/>
      <c r="J217" s="142" t="s">
        <v>82</v>
      </c>
      <c r="K217" s="142" t="s">
        <v>83</v>
      </c>
      <c r="L217" s="142" t="s">
        <v>84</v>
      </c>
      <c r="M217" s="142" t="s">
        <v>85</v>
      </c>
      <c r="N217" s="142" t="s">
        <v>86</v>
      </c>
      <c r="O217" s="142" t="s">
        <v>87</v>
      </c>
      <c r="P217" s="142" t="s">
        <v>106</v>
      </c>
      <c r="Q217" s="133"/>
      <c r="R217" s="133"/>
      <c r="S217" s="133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130"/>
      <c r="AI217" s="130"/>
    </row>
    <row r="218" spans="1:35" s="144" customFormat="1" ht="18.75" x14ac:dyDescent="0.25">
      <c r="A218" s="143"/>
      <c r="B218" s="143"/>
      <c r="D218" s="143"/>
      <c r="E218" s="143"/>
      <c r="F218" s="143"/>
      <c r="G218" s="143"/>
      <c r="H218" s="143"/>
      <c r="I218" s="145" t="s">
        <v>171</v>
      </c>
      <c r="J218" s="146">
        <f>+J215+D201</f>
        <v>0</v>
      </c>
      <c r="K218" s="146">
        <f t="shared" ref="K218:O218" si="73">+K215+E201</f>
        <v>5765096379</v>
      </c>
      <c r="L218" s="146">
        <f t="shared" si="73"/>
        <v>6053351197.9499998</v>
      </c>
      <c r="M218" s="146">
        <f t="shared" si="73"/>
        <v>6356018757.8474998</v>
      </c>
      <c r="N218" s="146">
        <f t="shared" si="73"/>
        <v>6673819695.7398748</v>
      </c>
      <c r="O218" s="146">
        <f t="shared" si="73"/>
        <v>7007510680.5268688</v>
      </c>
      <c r="P218" s="147">
        <f>+P215+J201</f>
        <v>31855796711.064247</v>
      </c>
      <c r="Q218" s="148"/>
      <c r="R218" s="148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</row>
    <row r="219" spans="1:35" ht="18.75" x14ac:dyDescent="0.2">
      <c r="I219" s="143"/>
    </row>
    <row r="222" spans="1:35" ht="21" x14ac:dyDescent="0.2">
      <c r="C222" s="270" t="s">
        <v>172</v>
      </c>
      <c r="D222" s="271"/>
      <c r="E222" s="272"/>
      <c r="F222" s="149"/>
      <c r="G222" s="63"/>
      <c r="H222" s="63"/>
      <c r="I222" s="63"/>
      <c r="J222" s="63"/>
      <c r="L222" s="53"/>
      <c r="S222" s="50"/>
      <c r="AI222" s="54"/>
    </row>
    <row r="223" spans="1:35" x14ac:dyDescent="0.2">
      <c r="C223" s="273" t="s">
        <v>76</v>
      </c>
      <c r="D223" s="273"/>
      <c r="E223" s="150">
        <f>+H34</f>
        <v>520485000</v>
      </c>
      <c r="F223" s="151"/>
      <c r="G223" s="63"/>
      <c r="H223" s="151"/>
      <c r="I223" s="63"/>
      <c r="J223" s="63"/>
      <c r="L223" s="53"/>
      <c r="S223" s="50"/>
      <c r="AI223" s="54"/>
    </row>
    <row r="224" spans="1:35" x14ac:dyDescent="0.2">
      <c r="C224" s="273" t="s">
        <v>116</v>
      </c>
      <c r="D224" s="273"/>
      <c r="E224" s="150">
        <f>+H70</f>
        <v>282240000</v>
      </c>
      <c r="F224" s="151"/>
      <c r="G224" s="63"/>
      <c r="H224" s="151"/>
      <c r="I224" s="63"/>
      <c r="J224" s="63"/>
      <c r="L224" s="53"/>
      <c r="S224" s="50"/>
      <c r="AI224" s="54"/>
    </row>
    <row r="225" spans="3:35" x14ac:dyDescent="0.2">
      <c r="C225" s="273" t="s">
        <v>124</v>
      </c>
      <c r="D225" s="273"/>
      <c r="E225" s="150">
        <f>+H99</f>
        <v>1033376379</v>
      </c>
      <c r="F225" s="151"/>
      <c r="G225" s="63"/>
      <c r="H225" s="151"/>
      <c r="I225" s="63"/>
      <c r="J225" s="63"/>
      <c r="L225" s="53"/>
      <c r="S225" s="50"/>
      <c r="AI225" s="54"/>
    </row>
    <row r="226" spans="3:35" x14ac:dyDescent="0.2">
      <c r="C226" s="273" t="s">
        <v>132</v>
      </c>
      <c r="D226" s="273"/>
      <c r="E226" s="150">
        <f>+H122</f>
        <v>184800000</v>
      </c>
      <c r="F226" s="151"/>
      <c r="G226" s="63"/>
      <c r="H226" s="151"/>
      <c r="I226" s="63"/>
      <c r="J226" s="63"/>
      <c r="L226" s="53"/>
      <c r="S226" s="50"/>
      <c r="AI226" s="54"/>
    </row>
    <row r="227" spans="3:35" x14ac:dyDescent="0.2">
      <c r="C227" s="273" t="s">
        <v>135</v>
      </c>
      <c r="D227" s="273"/>
      <c r="E227" s="150">
        <f>+H143</f>
        <v>528150000</v>
      </c>
      <c r="F227" s="151"/>
      <c r="G227" s="63"/>
      <c r="H227" s="151"/>
      <c r="I227" s="63"/>
      <c r="J227" s="63"/>
      <c r="L227" s="53"/>
      <c r="S227" s="50"/>
      <c r="AI227" s="54"/>
    </row>
    <row r="228" spans="3:35" x14ac:dyDescent="0.2">
      <c r="C228" s="273" t="s">
        <v>141</v>
      </c>
      <c r="D228" s="273"/>
      <c r="E228" s="150">
        <f>+H158</f>
        <v>124425000</v>
      </c>
      <c r="F228" s="151"/>
      <c r="G228" s="63"/>
      <c r="H228" s="151"/>
      <c r="I228" s="63"/>
      <c r="J228" s="63"/>
      <c r="L228" s="53"/>
      <c r="S228" s="50"/>
      <c r="AI228" s="54"/>
    </row>
    <row r="229" spans="3:35" x14ac:dyDescent="0.2">
      <c r="C229" s="273" t="s">
        <v>145</v>
      </c>
      <c r="D229" s="273"/>
      <c r="E229" s="150">
        <f>+H176</f>
        <v>191520000</v>
      </c>
      <c r="F229" s="151"/>
      <c r="G229" s="63"/>
      <c r="H229" s="151"/>
      <c r="I229" s="63"/>
      <c r="J229" s="63"/>
      <c r="L229" s="53"/>
      <c r="S229" s="50"/>
      <c r="AI229" s="54"/>
    </row>
    <row r="230" spans="3:35" x14ac:dyDescent="0.2">
      <c r="C230" s="273" t="s">
        <v>150</v>
      </c>
      <c r="D230" s="273"/>
      <c r="E230" s="150">
        <f>+H192</f>
        <v>105000000</v>
      </c>
      <c r="F230" s="151"/>
      <c r="G230" s="63"/>
      <c r="H230" s="151"/>
      <c r="I230" s="151"/>
      <c r="J230" s="63"/>
      <c r="L230" s="53"/>
      <c r="S230" s="50"/>
      <c r="AI230" s="54"/>
    </row>
    <row r="231" spans="3:35" x14ac:dyDescent="0.2">
      <c r="C231" s="274" t="s">
        <v>173</v>
      </c>
      <c r="D231" s="275"/>
      <c r="E231" s="150">
        <f>+K215</f>
        <v>2795100000</v>
      </c>
      <c r="F231" s="151"/>
      <c r="G231" s="63"/>
      <c r="H231" s="151"/>
      <c r="I231" s="151"/>
      <c r="J231" s="63"/>
      <c r="L231" s="53"/>
      <c r="S231" s="50"/>
      <c r="AI231" s="54"/>
    </row>
    <row r="232" spans="3:35" ht="18.75" x14ac:dyDescent="0.3">
      <c r="C232" s="265" t="s">
        <v>174</v>
      </c>
      <c r="D232" s="266"/>
      <c r="E232" s="152">
        <f>SUM(E223:E231)</f>
        <v>5765096379</v>
      </c>
      <c r="F232" s="153"/>
      <c r="G232" s="63"/>
      <c r="H232" s="151"/>
      <c r="I232" s="63"/>
      <c r="J232" s="63"/>
      <c r="L232" s="53"/>
      <c r="S232" s="50"/>
      <c r="AI232" s="54"/>
    </row>
    <row r="233" spans="3:35" x14ac:dyDescent="0.2">
      <c r="F233" s="154"/>
      <c r="G233" s="63"/>
      <c r="H233" s="63"/>
      <c r="I233" s="63"/>
      <c r="J233" s="63"/>
    </row>
    <row r="234" spans="3:35" x14ac:dyDescent="0.2">
      <c r="F234" s="154"/>
      <c r="G234" s="155"/>
      <c r="H234" s="63"/>
      <c r="I234" s="63"/>
      <c r="J234" s="63"/>
    </row>
    <row r="237" spans="3:35" x14ac:dyDescent="0.2">
      <c r="C237" s="63"/>
      <c r="D237" s="63"/>
      <c r="E237" s="63"/>
      <c r="F237" s="63"/>
      <c r="G237" s="63"/>
      <c r="H237" s="63"/>
      <c r="I237" s="63"/>
    </row>
    <row r="238" spans="3:35" x14ac:dyDescent="0.2">
      <c r="C238" s="276"/>
      <c r="D238" s="276"/>
      <c r="E238" s="151"/>
      <c r="F238" s="156"/>
      <c r="G238" s="63"/>
      <c r="H238" s="63"/>
      <c r="I238" s="63"/>
    </row>
    <row r="239" spans="3:35" x14ac:dyDescent="0.2">
      <c r="C239" s="276"/>
      <c r="D239" s="276"/>
      <c r="E239" s="151"/>
      <c r="F239" s="156"/>
      <c r="G239" s="63"/>
      <c r="H239" s="63"/>
      <c r="I239" s="63"/>
    </row>
    <row r="240" spans="3:35" x14ac:dyDescent="0.2">
      <c r="C240" s="276"/>
      <c r="D240" s="276"/>
      <c r="E240" s="151"/>
      <c r="F240" s="156"/>
      <c r="G240" s="63"/>
      <c r="H240" s="63"/>
      <c r="I240" s="63"/>
    </row>
    <row r="241" spans="3:9" x14ac:dyDescent="0.2">
      <c r="C241" s="276"/>
      <c r="D241" s="276"/>
      <c r="E241" s="151"/>
      <c r="F241" s="156"/>
      <c r="G241" s="63"/>
      <c r="H241" s="63"/>
      <c r="I241" s="63"/>
    </row>
    <row r="242" spans="3:9" x14ac:dyDescent="0.2">
      <c r="C242" s="276"/>
      <c r="D242" s="276"/>
      <c r="E242" s="151"/>
      <c r="F242" s="156"/>
      <c r="G242" s="63"/>
      <c r="H242" s="63"/>
      <c r="I242" s="63"/>
    </row>
    <row r="243" spans="3:9" x14ac:dyDescent="0.2">
      <c r="C243" s="276"/>
      <c r="D243" s="276"/>
      <c r="E243" s="151"/>
      <c r="F243" s="156"/>
      <c r="G243" s="63"/>
      <c r="H243" s="63"/>
      <c r="I243" s="63"/>
    </row>
    <row r="244" spans="3:9" x14ac:dyDescent="0.2">
      <c r="C244" s="276"/>
      <c r="D244" s="276"/>
      <c r="E244" s="151"/>
      <c r="F244" s="156"/>
      <c r="G244" s="63"/>
      <c r="H244" s="63"/>
      <c r="I244" s="63"/>
    </row>
    <row r="245" spans="3:9" ht="12.75" customHeight="1" x14ac:dyDescent="0.2">
      <c r="C245" s="276"/>
      <c r="D245" s="276"/>
      <c r="E245" s="151"/>
      <c r="F245" s="156"/>
      <c r="G245" s="63"/>
      <c r="H245" s="63"/>
      <c r="I245" s="63"/>
    </row>
    <row r="246" spans="3:9" ht="18.75" customHeight="1" x14ac:dyDescent="0.3">
      <c r="C246" s="277"/>
      <c r="D246" s="277"/>
      <c r="E246" s="151"/>
      <c r="F246" s="156"/>
      <c r="G246" s="63"/>
      <c r="H246" s="151"/>
      <c r="I246" s="63"/>
    </row>
    <row r="247" spans="3:9" x14ac:dyDescent="0.2">
      <c r="C247" s="63"/>
      <c r="D247" s="63"/>
      <c r="E247" s="63"/>
      <c r="F247" s="63"/>
      <c r="G247" s="63"/>
      <c r="H247" s="63"/>
      <c r="I247" s="63"/>
    </row>
    <row r="248" spans="3:9" x14ac:dyDescent="0.2">
      <c r="C248" s="63"/>
      <c r="D248" s="63"/>
      <c r="E248" s="63"/>
      <c r="F248" s="154"/>
      <c r="G248" s="63"/>
      <c r="H248" s="63"/>
      <c r="I248" s="63"/>
    </row>
  </sheetData>
  <mergeCells count="70">
    <mergeCell ref="C244:D244"/>
    <mergeCell ref="C245:D245"/>
    <mergeCell ref="C246:D246"/>
    <mergeCell ref="C238:D238"/>
    <mergeCell ref="C239:D239"/>
    <mergeCell ref="C240:D240"/>
    <mergeCell ref="C241:D241"/>
    <mergeCell ref="C242:D242"/>
    <mergeCell ref="C243:D243"/>
    <mergeCell ref="C232:D232"/>
    <mergeCell ref="C215:I215"/>
    <mergeCell ref="C222:E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12:D212"/>
    <mergeCell ref="F212:H212"/>
    <mergeCell ref="C213:D213"/>
    <mergeCell ref="F213:H213"/>
    <mergeCell ref="C214:D214"/>
    <mergeCell ref="F214:H214"/>
    <mergeCell ref="C209:D209"/>
    <mergeCell ref="F209:H209"/>
    <mergeCell ref="C210:D210"/>
    <mergeCell ref="F210:H210"/>
    <mergeCell ref="C211:D211"/>
    <mergeCell ref="F211:H211"/>
    <mergeCell ref="C208:D208"/>
    <mergeCell ref="F208:H208"/>
    <mergeCell ref="C136:G136"/>
    <mergeCell ref="C148:N148"/>
    <mergeCell ref="C151:C153"/>
    <mergeCell ref="C154:G154"/>
    <mergeCell ref="C163:N163"/>
    <mergeCell ref="C166:C171"/>
    <mergeCell ref="C172:G172"/>
    <mergeCell ref="C182:N182"/>
    <mergeCell ref="C185:C188"/>
    <mergeCell ref="C189:G189"/>
    <mergeCell ref="F207:H207"/>
    <mergeCell ref="C130:C135"/>
    <mergeCell ref="C76:N76"/>
    <mergeCell ref="C79:C84"/>
    <mergeCell ref="C85:G85"/>
    <mergeCell ref="C88:C89"/>
    <mergeCell ref="C90:G90"/>
    <mergeCell ref="C104:N104"/>
    <mergeCell ref="C107:C110"/>
    <mergeCell ref="C111:G111"/>
    <mergeCell ref="C114:C115"/>
    <mergeCell ref="C116:G116"/>
    <mergeCell ref="C127:N127"/>
    <mergeCell ref="C64:G64"/>
    <mergeCell ref="C2:L2"/>
    <mergeCell ref="B4:C4"/>
    <mergeCell ref="C7:N7"/>
    <mergeCell ref="C10:C14"/>
    <mergeCell ref="C15:G15"/>
    <mergeCell ref="C18:C23"/>
    <mergeCell ref="C24:G24"/>
    <mergeCell ref="C47:N47"/>
    <mergeCell ref="C50:C55"/>
    <mergeCell ref="C56:G56"/>
    <mergeCell ref="C59:C63"/>
  </mergeCells>
  <pageMargins left="0.7" right="0.7" top="0.75" bottom="0.75" header="0.3" footer="0.3"/>
  <pageSetup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237"/>
  <sheetViews>
    <sheetView topLeftCell="B199" zoomScale="80" zoomScaleNormal="80" workbookViewId="0">
      <selection activeCell="E236" sqref="E236"/>
    </sheetView>
  </sheetViews>
  <sheetFormatPr defaultColWidth="11.42578125" defaultRowHeight="12.75" x14ac:dyDescent="0.2"/>
  <cols>
    <col min="1" max="1" width="3.85546875" style="50" customWidth="1"/>
    <col min="2" max="2" width="4" style="50" customWidth="1"/>
    <col min="3" max="3" width="14.7109375" style="50" customWidth="1"/>
    <col min="4" max="4" width="17.28515625" style="50" customWidth="1"/>
    <col min="5" max="5" width="21.7109375" style="50" customWidth="1"/>
    <col min="6" max="6" width="25.28515625" style="50" customWidth="1"/>
    <col min="7" max="7" width="20" style="50" customWidth="1"/>
    <col min="8" max="8" width="16.5703125" style="50" customWidth="1"/>
    <col min="9" max="9" width="18.42578125" style="50" customWidth="1"/>
    <col min="10" max="10" width="21.7109375" style="50" customWidth="1"/>
    <col min="11" max="11" width="23.42578125" style="50" customWidth="1"/>
    <col min="12" max="12" width="21.7109375" style="50" bestFit="1" customWidth="1"/>
    <col min="13" max="14" width="21.7109375" style="53" bestFit="1" customWidth="1"/>
    <col min="15" max="15" width="24.140625" style="53" customWidth="1"/>
    <col min="16" max="16" width="23.140625" style="53" bestFit="1" customWidth="1"/>
    <col min="17" max="17" width="20.5703125" style="53" customWidth="1"/>
    <col min="18" max="18" width="12.85546875" style="53" customWidth="1"/>
    <col min="19" max="19" width="11.42578125" style="53"/>
    <col min="20" max="35" width="11.42578125" style="50"/>
    <col min="36" max="16384" width="11.42578125" style="54"/>
  </cols>
  <sheetData>
    <row r="2" spans="1:36" x14ac:dyDescent="0.2"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51"/>
      <c r="N2" s="52"/>
    </row>
    <row r="3" spans="1:36" ht="13.5" thickBot="1" x14ac:dyDescent="0.25"/>
    <row r="4" spans="1:36" ht="27" customHeight="1" thickBot="1" x14ac:dyDescent="0.25">
      <c r="B4" s="245" t="s">
        <v>75</v>
      </c>
      <c r="C4" s="245"/>
      <c r="D4" s="157"/>
      <c r="E4" s="280" t="s">
        <v>175</v>
      </c>
      <c r="F4" s="281"/>
      <c r="G4" s="281"/>
      <c r="H4" s="281"/>
      <c r="I4" s="281"/>
      <c r="J4" s="281"/>
      <c r="K4" s="281"/>
      <c r="L4" s="281"/>
    </row>
    <row r="5" spans="1:36" ht="11.25" customHeight="1" thickBot="1" x14ac:dyDescent="0.25">
      <c r="C5" s="56"/>
      <c r="D5" s="55"/>
    </row>
    <row r="6" spans="1:36" x14ac:dyDescent="0.2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  <c r="N6" s="59"/>
      <c r="O6" s="60"/>
    </row>
    <row r="7" spans="1:36" ht="21" x14ac:dyDescent="0.35">
      <c r="B7" s="61"/>
      <c r="C7" s="246" t="s">
        <v>76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62"/>
    </row>
    <row r="8" spans="1:36" x14ac:dyDescent="0.2">
      <c r="B8" s="61"/>
      <c r="C8" s="63"/>
      <c r="D8" s="63"/>
      <c r="E8" s="63"/>
      <c r="F8" s="63"/>
      <c r="G8" s="63"/>
      <c r="H8" s="63"/>
      <c r="I8" s="63"/>
      <c r="J8" s="63"/>
      <c r="K8" s="63"/>
      <c r="L8" s="63"/>
      <c r="M8" s="64"/>
      <c r="N8" s="64"/>
      <c r="O8" s="62"/>
    </row>
    <row r="9" spans="1:36" ht="33" customHeight="1" x14ac:dyDescent="0.2">
      <c r="B9" s="61"/>
      <c r="C9" s="65" t="s">
        <v>77</v>
      </c>
      <c r="D9" s="65" t="s">
        <v>78</v>
      </c>
      <c r="E9" s="65" t="s">
        <v>79</v>
      </c>
      <c r="F9" s="65" t="s">
        <v>80</v>
      </c>
      <c r="G9" s="65" t="s">
        <v>81</v>
      </c>
      <c r="H9" s="65" t="s">
        <v>83</v>
      </c>
      <c r="I9" s="65" t="s">
        <v>84</v>
      </c>
      <c r="J9" s="65" t="s">
        <v>85</v>
      </c>
      <c r="K9" s="65" t="s">
        <v>86</v>
      </c>
      <c r="L9" s="65" t="s">
        <v>87</v>
      </c>
      <c r="M9" s="66"/>
      <c r="N9" s="64"/>
      <c r="O9" s="62"/>
      <c r="S9" s="50"/>
      <c r="AJ9" s="50"/>
    </row>
    <row r="10" spans="1:36" ht="12.75" customHeight="1" x14ac:dyDescent="0.2">
      <c r="B10" s="61"/>
      <c r="C10" s="247" t="s">
        <v>88</v>
      </c>
      <c r="D10" s="67" t="s">
        <v>89</v>
      </c>
      <c r="E10" s="67" t="s">
        <v>90</v>
      </c>
      <c r="F10" s="282">
        <v>58876169</v>
      </c>
      <c r="G10" s="284">
        <v>4</v>
      </c>
      <c r="H10" s="278">
        <f>+G10*F10</f>
        <v>235504676</v>
      </c>
      <c r="I10" s="278">
        <f>+H10*(1+$D$4)</f>
        <v>235504676</v>
      </c>
      <c r="J10" s="278">
        <f>+I10*(1+$D$4)</f>
        <v>235504676</v>
      </c>
      <c r="K10" s="278">
        <f>+J10*(1+$D$4)</f>
        <v>235504676</v>
      </c>
      <c r="L10" s="278">
        <f>+K10*(1+$D$4)</f>
        <v>235504676</v>
      </c>
      <c r="M10" s="70"/>
      <c r="N10" s="64"/>
      <c r="O10" s="158"/>
      <c r="P10" s="71"/>
      <c r="S10" s="50"/>
      <c r="AJ10" s="50"/>
    </row>
    <row r="11" spans="1:36" ht="12.75" customHeight="1" x14ac:dyDescent="0.2">
      <c r="B11" s="61"/>
      <c r="C11" s="248"/>
      <c r="D11" s="72" t="s">
        <v>89</v>
      </c>
      <c r="E11" s="72" t="s">
        <v>91</v>
      </c>
      <c r="F11" s="283"/>
      <c r="G11" s="285"/>
      <c r="H11" s="279"/>
      <c r="I11" s="279">
        <f t="shared" ref="I11:L15" si="0">+H11*(1+$D$4)</f>
        <v>0</v>
      </c>
      <c r="J11" s="279">
        <f t="shared" si="0"/>
        <v>0</v>
      </c>
      <c r="K11" s="279">
        <f t="shared" si="0"/>
        <v>0</v>
      </c>
      <c r="L11" s="279">
        <f t="shared" si="0"/>
        <v>0</v>
      </c>
      <c r="M11" s="70"/>
      <c r="N11" s="64"/>
      <c r="O11" s="62"/>
      <c r="P11" s="71"/>
      <c r="S11" s="50"/>
      <c r="AJ11" s="50"/>
    </row>
    <row r="12" spans="1:36" ht="25.5" x14ac:dyDescent="0.2">
      <c r="B12" s="61"/>
      <c r="C12" s="248"/>
      <c r="D12" s="72" t="s">
        <v>92</v>
      </c>
      <c r="E12" s="72" t="s">
        <v>176</v>
      </c>
      <c r="F12" s="68">
        <v>25925190</v>
      </c>
      <c r="G12" s="67">
        <v>2</v>
      </c>
      <c r="H12" s="69">
        <f>+G12*F12</f>
        <v>51850380</v>
      </c>
      <c r="I12" s="69">
        <f>+H12*(1+$D$4)</f>
        <v>51850380</v>
      </c>
      <c r="J12" s="69">
        <f t="shared" si="0"/>
        <v>51850380</v>
      </c>
      <c r="K12" s="69">
        <f t="shared" si="0"/>
        <v>51850380</v>
      </c>
      <c r="L12" s="69">
        <f t="shared" si="0"/>
        <v>51850380</v>
      </c>
      <c r="M12" s="70"/>
      <c r="N12" s="64"/>
      <c r="O12" s="62"/>
      <c r="P12" s="71"/>
      <c r="S12" s="50"/>
      <c r="AJ12" s="50"/>
    </row>
    <row r="13" spans="1:36" ht="25.5" x14ac:dyDescent="0.2">
      <c r="B13" s="61"/>
      <c r="C13" s="248"/>
      <c r="D13" s="72" t="s">
        <v>92</v>
      </c>
      <c r="E13" s="72" t="s">
        <v>176</v>
      </c>
      <c r="F13" s="68">
        <v>2664008</v>
      </c>
      <c r="G13" s="67">
        <v>2</v>
      </c>
      <c r="H13" s="69">
        <f>+G13*F13</f>
        <v>5328016</v>
      </c>
      <c r="I13" s="69">
        <f>+H13*(1+$D$4)</f>
        <v>5328016</v>
      </c>
      <c r="J13" s="69">
        <f t="shared" si="0"/>
        <v>5328016</v>
      </c>
      <c r="K13" s="69">
        <f t="shared" si="0"/>
        <v>5328016</v>
      </c>
      <c r="L13" s="69">
        <f t="shared" si="0"/>
        <v>5328016</v>
      </c>
      <c r="M13" s="70"/>
      <c r="N13" s="64"/>
      <c r="O13" s="62"/>
      <c r="P13" s="71"/>
      <c r="S13" s="50"/>
      <c r="AJ13" s="50"/>
    </row>
    <row r="14" spans="1:36" x14ac:dyDescent="0.2">
      <c r="B14" s="61"/>
      <c r="C14" s="248"/>
      <c r="D14" s="72" t="s">
        <v>89</v>
      </c>
      <c r="E14" s="72" t="s">
        <v>94</v>
      </c>
      <c r="F14" s="68">
        <v>731089</v>
      </c>
      <c r="G14" s="67">
        <v>4</v>
      </c>
      <c r="H14" s="69">
        <f>+G14*F14</f>
        <v>2924356</v>
      </c>
      <c r="I14" s="69">
        <f>+H14*(1+$D$4)</f>
        <v>2924356</v>
      </c>
      <c r="J14" s="69">
        <f t="shared" si="0"/>
        <v>2924356</v>
      </c>
      <c r="K14" s="69">
        <f t="shared" si="0"/>
        <v>2924356</v>
      </c>
      <c r="L14" s="69">
        <f t="shared" si="0"/>
        <v>2924356</v>
      </c>
      <c r="M14" s="70"/>
      <c r="N14" s="64"/>
      <c r="O14" s="62"/>
      <c r="P14" s="71"/>
      <c r="S14" s="50"/>
      <c r="AJ14" s="50"/>
    </row>
    <row r="15" spans="1:36" x14ac:dyDescent="0.2">
      <c r="B15" s="61"/>
      <c r="C15" s="249"/>
      <c r="D15" s="73" t="s">
        <v>89</v>
      </c>
      <c r="E15" s="73" t="s">
        <v>95</v>
      </c>
      <c r="F15" s="68">
        <v>1560924</v>
      </c>
      <c r="G15" s="67">
        <v>4</v>
      </c>
      <c r="H15" s="69">
        <f>+G15*F15</f>
        <v>6243696</v>
      </c>
      <c r="I15" s="69">
        <f>+H15*(1+$D$4)</f>
        <v>6243696</v>
      </c>
      <c r="J15" s="69">
        <f t="shared" si="0"/>
        <v>6243696</v>
      </c>
      <c r="K15" s="69">
        <f t="shared" si="0"/>
        <v>6243696</v>
      </c>
      <c r="L15" s="69">
        <f t="shared" si="0"/>
        <v>6243696</v>
      </c>
      <c r="M15" s="70"/>
      <c r="N15" s="64"/>
      <c r="O15" s="62"/>
      <c r="P15" s="71"/>
      <c r="S15" s="50"/>
      <c r="AJ15" s="50"/>
    </row>
    <row r="16" spans="1:36" s="81" customFormat="1" x14ac:dyDescent="0.2">
      <c r="A16" s="74"/>
      <c r="B16" s="75"/>
      <c r="C16" s="241" t="s">
        <v>96</v>
      </c>
      <c r="D16" s="242"/>
      <c r="E16" s="242"/>
      <c r="F16" s="242"/>
      <c r="G16" s="243"/>
      <c r="H16" s="76">
        <f>SUM(H10:H15)</f>
        <v>301851124</v>
      </c>
      <c r="I16" s="76">
        <f>SUM(I10:I15)</f>
        <v>301851124</v>
      </c>
      <c r="J16" s="76">
        <f t="shared" ref="J16:L16" si="1">SUM(J10:J15)</f>
        <v>301851124</v>
      </c>
      <c r="K16" s="76">
        <f t="shared" si="1"/>
        <v>301851124</v>
      </c>
      <c r="L16" s="77">
        <f t="shared" si="1"/>
        <v>301851124</v>
      </c>
      <c r="M16" s="78"/>
      <c r="N16" s="159"/>
      <c r="O16" s="84"/>
      <c r="P16" s="80"/>
      <c r="Q16" s="80"/>
      <c r="R16" s="80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</row>
    <row r="17" spans="1:37" s="81" customFormat="1" x14ac:dyDescent="0.2">
      <c r="A17" s="74"/>
      <c r="B17" s="75"/>
      <c r="C17" s="82"/>
      <c r="D17" s="82"/>
      <c r="E17" s="82"/>
      <c r="F17" s="82"/>
      <c r="G17" s="82"/>
      <c r="H17" s="83"/>
      <c r="I17" s="83"/>
      <c r="J17" s="83"/>
      <c r="K17" s="83"/>
      <c r="L17" s="83"/>
      <c r="M17" s="78"/>
      <c r="N17" s="78"/>
      <c r="O17" s="84"/>
      <c r="P17" s="80"/>
      <c r="Q17" s="80"/>
      <c r="R17" s="80"/>
      <c r="S17" s="80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</row>
    <row r="18" spans="1:37" ht="38.25" x14ac:dyDescent="0.2">
      <c r="B18" s="61"/>
      <c r="C18" s="65" t="s">
        <v>77</v>
      </c>
      <c r="D18" s="65" t="s">
        <v>78</v>
      </c>
      <c r="E18" s="65" t="s">
        <v>79</v>
      </c>
      <c r="F18" s="65" t="s">
        <v>97</v>
      </c>
      <c r="G18" s="65" t="s">
        <v>98</v>
      </c>
      <c r="H18" s="65" t="s">
        <v>83</v>
      </c>
      <c r="I18" s="65" t="s">
        <v>84</v>
      </c>
      <c r="J18" s="65" t="s">
        <v>85</v>
      </c>
      <c r="K18" s="65" t="s">
        <v>86</v>
      </c>
      <c r="L18" s="65" t="s">
        <v>87</v>
      </c>
      <c r="M18" s="66"/>
      <c r="N18" s="160"/>
      <c r="O18" s="62"/>
      <c r="S18" s="50"/>
      <c r="AI18" s="54"/>
    </row>
    <row r="19" spans="1:37" ht="12.75" customHeight="1" x14ac:dyDescent="0.2">
      <c r="B19" s="61"/>
      <c r="C19" s="247" t="s">
        <v>99</v>
      </c>
      <c r="D19" s="67">
        <v>2</v>
      </c>
      <c r="E19" s="67" t="s">
        <v>100</v>
      </c>
      <c r="F19" s="85">
        <f>3500000*0.97</f>
        <v>3395000</v>
      </c>
      <c r="G19" s="67">
        <v>4</v>
      </c>
      <c r="H19" s="85">
        <f>+F19*G19*D19</f>
        <v>27160000</v>
      </c>
      <c r="I19" s="85">
        <f>H19*(1+$D$4)</f>
        <v>27160000</v>
      </c>
      <c r="J19" s="85">
        <f>I19*(1+$D$4)</f>
        <v>27160000</v>
      </c>
      <c r="K19" s="85">
        <f>J19*(1+$D$4)</f>
        <v>27160000</v>
      </c>
      <c r="L19" s="85">
        <f>K19*(1+$D$4)</f>
        <v>27160000</v>
      </c>
      <c r="M19" s="86"/>
      <c r="N19" s="160"/>
      <c r="O19" s="62"/>
      <c r="S19" s="50"/>
      <c r="AI19" s="54"/>
    </row>
    <row r="20" spans="1:37" x14ac:dyDescent="0.2">
      <c r="B20" s="61"/>
      <c r="C20" s="248"/>
      <c r="D20" s="72">
        <v>1</v>
      </c>
      <c r="E20" s="72" t="s">
        <v>101</v>
      </c>
      <c r="F20" s="87">
        <f>3500000*0.97</f>
        <v>3395000</v>
      </c>
      <c r="G20" s="67">
        <v>4</v>
      </c>
      <c r="H20" s="85">
        <f t="shared" ref="H20:H24" si="2">+F20*G20*D20</f>
        <v>13580000</v>
      </c>
      <c r="I20" s="85">
        <f t="shared" ref="I20:L24" si="3">H20*(1+$D$4)</f>
        <v>13580000</v>
      </c>
      <c r="J20" s="85">
        <f t="shared" si="3"/>
        <v>13580000</v>
      </c>
      <c r="K20" s="85">
        <f t="shared" si="3"/>
        <v>13580000</v>
      </c>
      <c r="L20" s="85">
        <f t="shared" si="3"/>
        <v>13580000</v>
      </c>
      <c r="M20" s="86"/>
      <c r="N20" s="160"/>
      <c r="O20" s="62"/>
      <c r="S20" s="50"/>
      <c r="AI20" s="54"/>
    </row>
    <row r="21" spans="1:37" x14ac:dyDescent="0.2">
      <c r="B21" s="61"/>
      <c r="C21" s="248"/>
      <c r="D21" s="72">
        <v>2</v>
      </c>
      <c r="E21" s="72" t="s">
        <v>102</v>
      </c>
      <c r="F21" s="87">
        <f>3000000*0.97</f>
        <v>2910000</v>
      </c>
      <c r="G21" s="67">
        <v>4</v>
      </c>
      <c r="H21" s="85">
        <f t="shared" si="2"/>
        <v>23280000</v>
      </c>
      <c r="I21" s="85">
        <f t="shared" si="3"/>
        <v>23280000</v>
      </c>
      <c r="J21" s="85">
        <f t="shared" si="3"/>
        <v>23280000</v>
      </c>
      <c r="K21" s="85">
        <f t="shared" si="3"/>
        <v>23280000</v>
      </c>
      <c r="L21" s="85">
        <f t="shared" si="3"/>
        <v>23280000</v>
      </c>
      <c r="M21" s="86"/>
      <c r="N21" s="160"/>
      <c r="O21" s="62"/>
      <c r="S21" s="50"/>
      <c r="AI21" s="54"/>
    </row>
    <row r="22" spans="1:37" x14ac:dyDescent="0.2">
      <c r="B22" s="61"/>
      <c r="C22" s="248"/>
      <c r="D22" s="72">
        <v>1</v>
      </c>
      <c r="E22" s="72" t="s">
        <v>91</v>
      </c>
      <c r="F22" s="87">
        <f>4000000*0.97</f>
        <v>3880000</v>
      </c>
      <c r="G22" s="67">
        <v>4</v>
      </c>
      <c r="H22" s="85">
        <f t="shared" si="2"/>
        <v>15520000</v>
      </c>
      <c r="I22" s="85">
        <f t="shared" si="3"/>
        <v>15520000</v>
      </c>
      <c r="J22" s="85">
        <f t="shared" si="3"/>
        <v>15520000</v>
      </c>
      <c r="K22" s="85">
        <f t="shared" si="3"/>
        <v>15520000</v>
      </c>
      <c r="L22" s="85">
        <f t="shared" si="3"/>
        <v>15520000</v>
      </c>
      <c r="M22" s="86"/>
      <c r="N22" s="160"/>
      <c r="O22" s="62"/>
      <c r="S22" s="50"/>
      <c r="AI22" s="54"/>
    </row>
    <row r="23" spans="1:37" x14ac:dyDescent="0.2">
      <c r="B23" s="61"/>
      <c r="C23" s="248"/>
      <c r="D23" s="72">
        <v>2</v>
      </c>
      <c r="E23" s="72" t="s">
        <v>94</v>
      </c>
      <c r="F23" s="87">
        <f>3500000*0.97</f>
        <v>3395000</v>
      </c>
      <c r="G23" s="67">
        <v>4</v>
      </c>
      <c r="H23" s="85">
        <f t="shared" si="2"/>
        <v>27160000</v>
      </c>
      <c r="I23" s="85">
        <f t="shared" si="3"/>
        <v>27160000</v>
      </c>
      <c r="J23" s="85">
        <f t="shared" si="3"/>
        <v>27160000</v>
      </c>
      <c r="K23" s="85">
        <f t="shared" si="3"/>
        <v>27160000</v>
      </c>
      <c r="L23" s="85">
        <f t="shared" si="3"/>
        <v>27160000</v>
      </c>
      <c r="M23" s="86"/>
      <c r="N23" s="160"/>
      <c r="O23" s="62"/>
      <c r="S23" s="50"/>
      <c r="AI23" s="54"/>
    </row>
    <row r="24" spans="1:37" x14ac:dyDescent="0.2">
      <c r="B24" s="61"/>
      <c r="C24" s="249"/>
      <c r="D24" s="73">
        <v>2</v>
      </c>
      <c r="E24" s="73" t="s">
        <v>95</v>
      </c>
      <c r="F24" s="88">
        <f>3500000*0.97</f>
        <v>3395000</v>
      </c>
      <c r="G24" s="67">
        <v>4</v>
      </c>
      <c r="H24" s="85">
        <f t="shared" si="2"/>
        <v>27160000</v>
      </c>
      <c r="I24" s="85">
        <f t="shared" si="3"/>
        <v>27160000</v>
      </c>
      <c r="J24" s="85">
        <f t="shared" si="3"/>
        <v>27160000</v>
      </c>
      <c r="K24" s="85">
        <f t="shared" si="3"/>
        <v>27160000</v>
      </c>
      <c r="L24" s="85">
        <f t="shared" si="3"/>
        <v>27160000</v>
      </c>
      <c r="M24" s="86"/>
      <c r="N24" s="160"/>
      <c r="O24" s="62"/>
      <c r="S24" s="50"/>
      <c r="AI24" s="54"/>
    </row>
    <row r="25" spans="1:37" s="81" customFormat="1" x14ac:dyDescent="0.2">
      <c r="A25" s="74"/>
      <c r="B25" s="75"/>
      <c r="C25" s="241" t="s">
        <v>96</v>
      </c>
      <c r="D25" s="242"/>
      <c r="E25" s="242"/>
      <c r="F25" s="242"/>
      <c r="G25" s="243"/>
      <c r="H25" s="76">
        <f>SUM(H19:H24)</f>
        <v>133860000</v>
      </c>
      <c r="I25" s="76">
        <f t="shared" ref="I25:L25" si="4">SUM(I19:I24)</f>
        <v>133860000</v>
      </c>
      <c r="J25" s="76">
        <f t="shared" si="4"/>
        <v>133860000</v>
      </c>
      <c r="K25" s="76">
        <f t="shared" si="4"/>
        <v>133860000</v>
      </c>
      <c r="L25" s="77">
        <f t="shared" si="4"/>
        <v>133860000</v>
      </c>
      <c r="M25" s="78"/>
      <c r="N25" s="160"/>
      <c r="O25" s="84"/>
      <c r="P25" s="80"/>
      <c r="Q25" s="80"/>
      <c r="R25" s="80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</row>
    <row r="26" spans="1:37" x14ac:dyDescent="0.2">
      <c r="B26" s="61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4"/>
      <c r="N26" s="64"/>
      <c r="O26" s="62"/>
    </row>
    <row r="27" spans="1:37" ht="25.5" x14ac:dyDescent="0.2">
      <c r="B27" s="61"/>
      <c r="C27" s="63"/>
      <c r="D27" s="63"/>
      <c r="E27" s="65" t="s">
        <v>77</v>
      </c>
      <c r="F27" s="65" t="s">
        <v>103</v>
      </c>
      <c r="G27" s="65" t="s">
        <v>97</v>
      </c>
      <c r="H27" s="65" t="s">
        <v>83</v>
      </c>
      <c r="I27" s="65" t="s">
        <v>84</v>
      </c>
      <c r="J27" s="65" t="s">
        <v>85</v>
      </c>
      <c r="K27" s="65" t="s">
        <v>86</v>
      </c>
      <c r="L27" s="65" t="s">
        <v>87</v>
      </c>
      <c r="M27" s="66"/>
      <c r="N27" s="160"/>
      <c r="O27" s="62"/>
      <c r="S27" s="50"/>
      <c r="AI27" s="54"/>
    </row>
    <row r="28" spans="1:37" ht="47.25" customHeight="1" x14ac:dyDescent="0.2">
      <c r="B28" s="61"/>
      <c r="C28" s="63"/>
      <c r="D28" s="63"/>
      <c r="E28" s="89" t="s">
        <v>104</v>
      </c>
      <c r="F28" s="90">
        <v>2</v>
      </c>
      <c r="G28" s="85">
        <f>20000000*0.97</f>
        <v>19400000</v>
      </c>
      <c r="H28" s="85">
        <f>+G28*F28</f>
        <v>38800000</v>
      </c>
      <c r="I28" s="85">
        <f t="shared" ref="I28:L28" si="5">+H28*(1+$D$4)</f>
        <v>38800000</v>
      </c>
      <c r="J28" s="85">
        <f t="shared" si="5"/>
        <v>38800000</v>
      </c>
      <c r="K28" s="85">
        <f t="shared" si="5"/>
        <v>38800000</v>
      </c>
      <c r="L28" s="85">
        <f t="shared" si="5"/>
        <v>38800000</v>
      </c>
      <c r="M28" s="86"/>
      <c r="N28" s="160"/>
      <c r="O28" s="62"/>
      <c r="S28" s="50"/>
      <c r="AI28" s="54"/>
    </row>
    <row r="29" spans="1:37" x14ac:dyDescent="0.2">
      <c r="B29" s="61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4"/>
      <c r="N29" s="64"/>
      <c r="O29" s="62"/>
    </row>
    <row r="30" spans="1:37" x14ac:dyDescent="0.2">
      <c r="B30" s="61"/>
      <c r="C30" s="91" t="s">
        <v>105</v>
      </c>
      <c r="D30" s="63"/>
      <c r="E30" s="63"/>
      <c r="F30" s="63"/>
      <c r="G30" s="63"/>
      <c r="H30" s="63"/>
      <c r="I30" s="63"/>
      <c r="J30" s="63"/>
      <c r="K30" s="63"/>
      <c r="L30" s="63"/>
      <c r="M30" s="64"/>
      <c r="N30" s="64"/>
      <c r="O30" s="62"/>
    </row>
    <row r="31" spans="1:37" x14ac:dyDescent="0.2">
      <c r="B31" s="61"/>
      <c r="C31" s="63"/>
      <c r="D31" s="63"/>
      <c r="E31" s="63"/>
      <c r="F31" s="65" t="s">
        <v>77</v>
      </c>
      <c r="G31" s="65" t="s">
        <v>83</v>
      </c>
      <c r="H31" s="65" t="s">
        <v>84</v>
      </c>
      <c r="I31" s="65" t="s">
        <v>85</v>
      </c>
      <c r="J31" s="65" t="s">
        <v>86</v>
      </c>
      <c r="K31" s="65" t="s">
        <v>87</v>
      </c>
      <c r="L31" s="92" t="s">
        <v>106</v>
      </c>
      <c r="M31" s="64"/>
      <c r="N31" s="64"/>
      <c r="O31" s="62"/>
      <c r="S31" s="50"/>
      <c r="AH31" s="54"/>
      <c r="AI31" s="54"/>
    </row>
    <row r="32" spans="1:37" ht="25.5" x14ac:dyDescent="0.2">
      <c r="B32" s="61"/>
      <c r="C32" s="63"/>
      <c r="D32" s="63"/>
      <c r="E32" s="63"/>
      <c r="F32" s="93" t="str">
        <f>+C10</f>
        <v>Monitoreos Seguimiento Ambiental Campo</v>
      </c>
      <c r="G32" s="94">
        <f>+H16</f>
        <v>301851124</v>
      </c>
      <c r="H32" s="94">
        <f>+I16</f>
        <v>301851124</v>
      </c>
      <c r="I32" s="94">
        <f>+J16</f>
        <v>301851124</v>
      </c>
      <c r="J32" s="94">
        <f>+K16</f>
        <v>301851124</v>
      </c>
      <c r="K32" s="94">
        <f>+L16</f>
        <v>301851124</v>
      </c>
      <c r="L32" s="95">
        <f>SUM(G32:K32)</f>
        <v>1509255620</v>
      </c>
      <c r="M32" s="64"/>
      <c r="N32" s="64"/>
      <c r="O32" s="62"/>
      <c r="S32" s="50"/>
      <c r="AH32" s="54"/>
      <c r="AI32" s="54"/>
    </row>
    <row r="33" spans="1:36" x14ac:dyDescent="0.2">
      <c r="B33" s="61"/>
      <c r="C33" s="63"/>
      <c r="D33" s="63"/>
      <c r="E33" s="63"/>
      <c r="F33" s="93" t="str">
        <f>+C19</f>
        <v>Monitoreos  Perforación  Pozo</v>
      </c>
      <c r="G33" s="94">
        <f>+H25</f>
        <v>133860000</v>
      </c>
      <c r="H33" s="94">
        <f>+I25</f>
        <v>133860000</v>
      </c>
      <c r="I33" s="94">
        <f>+J25</f>
        <v>133860000</v>
      </c>
      <c r="J33" s="94">
        <f>+K25</f>
        <v>133860000</v>
      </c>
      <c r="K33" s="94">
        <f>+L25</f>
        <v>133860000</v>
      </c>
      <c r="L33" s="95">
        <f>SUM(G33:K33)</f>
        <v>669300000</v>
      </c>
      <c r="M33" s="64"/>
      <c r="N33" s="64"/>
      <c r="O33" s="62"/>
      <c r="S33" s="50"/>
      <c r="AH33" s="54"/>
      <c r="AI33" s="54"/>
    </row>
    <row r="34" spans="1:36" ht="38.25" x14ac:dyDescent="0.2">
      <c r="B34" s="61"/>
      <c r="C34" s="63"/>
      <c r="D34" s="63"/>
      <c r="E34" s="63"/>
      <c r="F34" s="96" t="str">
        <f>+E28</f>
        <v>Varios: Contingencias, Derrames, Quejas, Reclamos, Demandas y Sancioneas</v>
      </c>
      <c r="G34" s="94">
        <f>+H28</f>
        <v>38800000</v>
      </c>
      <c r="H34" s="94">
        <f>+I28</f>
        <v>38800000</v>
      </c>
      <c r="I34" s="94">
        <f>+J28</f>
        <v>38800000</v>
      </c>
      <c r="J34" s="94">
        <f>+K28</f>
        <v>38800000</v>
      </c>
      <c r="K34" s="94">
        <f>+L28</f>
        <v>38800000</v>
      </c>
      <c r="L34" s="94">
        <f>SUM(L32:L33)</f>
        <v>2178555620</v>
      </c>
      <c r="M34" s="64"/>
      <c r="N34" s="64"/>
      <c r="O34" s="62"/>
      <c r="S34" s="50"/>
      <c r="AH34" s="54"/>
      <c r="AI34" s="54"/>
    </row>
    <row r="35" spans="1:36" s="105" customFormat="1" x14ac:dyDescent="0.2">
      <c r="A35" s="97"/>
      <c r="B35" s="98"/>
      <c r="C35" s="99"/>
      <c r="D35" s="99"/>
      <c r="E35" s="99"/>
      <c r="F35" s="100" t="s">
        <v>107</v>
      </c>
      <c r="G35" s="101">
        <f t="shared" ref="G35:K35" si="6">SUM(G32:G34)</f>
        <v>474511124</v>
      </c>
      <c r="H35" s="101">
        <f t="shared" si="6"/>
        <v>474511124</v>
      </c>
      <c r="I35" s="101">
        <f t="shared" si="6"/>
        <v>474511124</v>
      </c>
      <c r="J35" s="101">
        <f t="shared" si="6"/>
        <v>474511124</v>
      </c>
      <c r="K35" s="101">
        <f t="shared" si="6"/>
        <v>474511124</v>
      </c>
      <c r="L35" s="102">
        <f>SUM(G35:K35)</f>
        <v>2372555620</v>
      </c>
      <c r="M35" s="64"/>
      <c r="N35" s="127"/>
      <c r="O35" s="103"/>
      <c r="P35" s="104"/>
      <c r="Q35" s="104"/>
      <c r="R35" s="104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</row>
    <row r="36" spans="1:36" x14ac:dyDescent="0.2">
      <c r="B36" s="61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4"/>
      <c r="N36" s="64"/>
      <c r="O36" s="62"/>
      <c r="AJ36" s="50"/>
    </row>
    <row r="37" spans="1:36" x14ac:dyDescent="0.2">
      <c r="B37" s="61"/>
      <c r="C37" s="106" t="s">
        <v>108</v>
      </c>
      <c r="D37" s="63"/>
      <c r="E37" s="63"/>
      <c r="F37" s="63"/>
      <c r="G37" s="63"/>
      <c r="H37" s="63"/>
      <c r="I37" s="63"/>
      <c r="J37" s="63"/>
      <c r="K37" s="63"/>
      <c r="L37" s="63"/>
      <c r="M37" s="64"/>
      <c r="N37" s="64"/>
      <c r="O37" s="62"/>
    </row>
    <row r="38" spans="1:36" x14ac:dyDescent="0.2">
      <c r="B38" s="61"/>
      <c r="C38" s="106"/>
      <c r="D38" s="63"/>
      <c r="E38" s="63"/>
      <c r="F38" s="63"/>
      <c r="G38" s="63"/>
      <c r="H38" s="63"/>
      <c r="I38" s="63"/>
      <c r="J38" s="63"/>
      <c r="K38" s="63"/>
      <c r="L38" s="63"/>
      <c r="M38" s="64"/>
      <c r="N38" s="64"/>
      <c r="O38" s="62"/>
    </row>
    <row r="39" spans="1:36" x14ac:dyDescent="0.2">
      <c r="B39" s="61"/>
      <c r="C39" s="106" t="s">
        <v>109</v>
      </c>
      <c r="D39" s="63"/>
      <c r="E39" s="63"/>
      <c r="F39" s="63"/>
      <c r="G39" s="63"/>
      <c r="H39" s="63"/>
      <c r="I39" s="63"/>
      <c r="J39" s="63"/>
      <c r="K39" s="63"/>
      <c r="L39" s="63"/>
      <c r="M39" s="64"/>
      <c r="N39" s="64"/>
      <c r="O39" s="62"/>
    </row>
    <row r="40" spans="1:36" x14ac:dyDescent="0.2">
      <c r="B40" s="61"/>
      <c r="C40" s="106" t="s">
        <v>110</v>
      </c>
      <c r="D40" s="63"/>
      <c r="E40" s="63"/>
      <c r="F40" s="63"/>
      <c r="G40" s="63"/>
      <c r="H40" s="63"/>
      <c r="I40" s="63"/>
      <c r="J40" s="63"/>
      <c r="K40" s="63"/>
      <c r="L40" s="63"/>
      <c r="M40" s="64"/>
      <c r="N40" s="64"/>
      <c r="O40" s="62"/>
    </row>
    <row r="41" spans="1:36" x14ac:dyDescent="0.2">
      <c r="B41" s="61"/>
      <c r="C41" s="106" t="s">
        <v>111</v>
      </c>
      <c r="D41" s="63"/>
      <c r="E41" s="63"/>
      <c r="F41" s="63"/>
      <c r="G41" s="63"/>
      <c r="H41" s="63"/>
      <c r="I41" s="63"/>
      <c r="J41" s="63"/>
      <c r="K41" s="63"/>
      <c r="L41" s="63"/>
      <c r="M41" s="64"/>
      <c r="N41" s="64"/>
      <c r="O41" s="62"/>
    </row>
    <row r="42" spans="1:36" x14ac:dyDescent="0.2">
      <c r="B42" s="61"/>
      <c r="C42" s="106" t="s">
        <v>112</v>
      </c>
      <c r="D42" s="63"/>
      <c r="E42" s="63"/>
      <c r="F42" s="63"/>
      <c r="G42" s="63"/>
      <c r="H42" s="63"/>
      <c r="I42" s="63"/>
      <c r="J42" s="63"/>
      <c r="K42" s="63"/>
      <c r="L42" s="63"/>
      <c r="M42" s="64"/>
      <c r="N42" s="64"/>
      <c r="O42" s="62"/>
    </row>
    <row r="43" spans="1:36" x14ac:dyDescent="0.2">
      <c r="B43" s="61"/>
      <c r="C43" s="106" t="s">
        <v>113</v>
      </c>
      <c r="D43" s="63"/>
      <c r="E43" s="63"/>
      <c r="F43" s="63"/>
      <c r="G43" s="63"/>
      <c r="H43" s="63"/>
      <c r="I43" s="63"/>
      <c r="J43" s="63"/>
      <c r="K43" s="63"/>
      <c r="L43" s="63"/>
      <c r="M43" s="64"/>
      <c r="N43" s="64"/>
      <c r="O43" s="62"/>
    </row>
    <row r="44" spans="1:36" x14ac:dyDescent="0.2">
      <c r="B44" s="61"/>
      <c r="C44" s="106" t="s">
        <v>114</v>
      </c>
      <c r="D44" s="63"/>
      <c r="E44" s="63"/>
      <c r="F44" s="63"/>
      <c r="G44" s="63"/>
      <c r="H44" s="63"/>
      <c r="I44" s="63"/>
      <c r="J44" s="63"/>
      <c r="K44" s="63"/>
      <c r="L44" s="63"/>
      <c r="M44" s="64"/>
      <c r="N44" s="64"/>
      <c r="O44" s="62"/>
    </row>
    <row r="45" spans="1:36" ht="20.25" customHeight="1" thickBot="1" x14ac:dyDescent="0.25">
      <c r="B45" s="107"/>
      <c r="C45" s="108" t="s">
        <v>115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10"/>
      <c r="N45" s="110"/>
      <c r="O45" s="111"/>
    </row>
    <row r="46" spans="1:36" ht="13.5" thickBot="1" x14ac:dyDescent="0.25">
      <c r="O46" s="64"/>
    </row>
    <row r="47" spans="1:36" x14ac:dyDescent="0.2"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9"/>
      <c r="O47" s="60"/>
    </row>
    <row r="48" spans="1:36" ht="21" x14ac:dyDescent="0.35">
      <c r="B48" s="61"/>
      <c r="C48" s="246" t="s">
        <v>116</v>
      </c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62"/>
    </row>
    <row r="49" spans="2:35" x14ac:dyDescent="0.2">
      <c r="B49" s="61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4"/>
      <c r="N49" s="64"/>
      <c r="O49" s="62"/>
    </row>
    <row r="50" spans="2:35" x14ac:dyDescent="0.2">
      <c r="B50" s="61"/>
      <c r="C50" s="65" t="s">
        <v>77</v>
      </c>
      <c r="D50" s="65" t="s">
        <v>78</v>
      </c>
      <c r="E50" s="65" t="s">
        <v>79</v>
      </c>
      <c r="F50" s="65" t="s">
        <v>80</v>
      </c>
      <c r="G50" s="65" t="s">
        <v>81</v>
      </c>
      <c r="H50" s="65" t="s">
        <v>83</v>
      </c>
      <c r="I50" s="65" t="s">
        <v>84</v>
      </c>
      <c r="J50" s="65" t="s">
        <v>85</v>
      </c>
      <c r="K50" s="65" t="s">
        <v>86</v>
      </c>
      <c r="L50" s="65" t="s">
        <v>87</v>
      </c>
      <c r="M50" s="66"/>
      <c r="N50" s="64"/>
      <c r="O50" s="62"/>
      <c r="S50" s="50"/>
      <c r="AI50" s="54"/>
    </row>
    <row r="51" spans="2:35" x14ac:dyDescent="0.2">
      <c r="B51" s="61"/>
      <c r="C51" s="247" t="s">
        <v>88</v>
      </c>
      <c r="D51" s="67" t="s">
        <v>117</v>
      </c>
      <c r="E51" s="67" t="s">
        <v>90</v>
      </c>
      <c r="F51" s="278">
        <v>97357462</v>
      </c>
      <c r="G51" s="284">
        <v>1</v>
      </c>
      <c r="H51" s="278">
        <f>+G51*F51</f>
        <v>97357462</v>
      </c>
      <c r="I51" s="278">
        <f>+H51*(1+$D$4)</f>
        <v>97357462</v>
      </c>
      <c r="J51" s="278">
        <f>+I51*(1+$D$4)</f>
        <v>97357462</v>
      </c>
      <c r="K51" s="278">
        <f>+J51*(1+$D$4)</f>
        <v>97357462</v>
      </c>
      <c r="L51" s="278">
        <f>+K51*(1+$D$4)</f>
        <v>97357462</v>
      </c>
      <c r="M51" s="70"/>
      <c r="N51" s="64"/>
      <c r="O51" s="62"/>
      <c r="S51" s="50"/>
      <c r="AI51" s="54"/>
    </row>
    <row r="52" spans="2:35" ht="15" customHeight="1" x14ac:dyDescent="0.2">
      <c r="B52" s="61"/>
      <c r="C52" s="248"/>
      <c r="D52" s="72" t="s">
        <v>117</v>
      </c>
      <c r="E52" s="72" t="s">
        <v>91</v>
      </c>
      <c r="F52" s="279"/>
      <c r="G52" s="285"/>
      <c r="H52" s="279"/>
      <c r="I52" s="279"/>
      <c r="J52" s="279"/>
      <c r="K52" s="279"/>
      <c r="L52" s="279"/>
      <c r="M52" s="70"/>
      <c r="N52" s="64"/>
      <c r="O52" s="62"/>
      <c r="S52" s="50"/>
      <c r="AI52" s="54"/>
    </row>
    <row r="53" spans="2:35" ht="28.5" customHeight="1" x14ac:dyDescent="0.2">
      <c r="B53" s="61"/>
      <c r="C53" s="248"/>
      <c r="D53" s="72" t="s">
        <v>92</v>
      </c>
      <c r="E53" s="72" t="s">
        <v>118</v>
      </c>
      <c r="F53" s="69">
        <v>17449912</v>
      </c>
      <c r="G53" s="67">
        <v>2</v>
      </c>
      <c r="H53" s="69">
        <f>+G53*F53</f>
        <v>34899824</v>
      </c>
      <c r="I53" s="69">
        <f>+H53*(1+$D$4)</f>
        <v>34899824</v>
      </c>
      <c r="J53" s="69">
        <f t="shared" ref="J53:L56" si="7">+I53*(1+$D$4)</f>
        <v>34899824</v>
      </c>
      <c r="K53" s="69">
        <f t="shared" si="7"/>
        <v>34899824</v>
      </c>
      <c r="L53" s="69">
        <f t="shared" si="7"/>
        <v>34899824</v>
      </c>
      <c r="M53" s="70"/>
      <c r="N53" s="64"/>
      <c r="O53" s="62"/>
      <c r="S53" s="50"/>
      <c r="AI53" s="54"/>
    </row>
    <row r="54" spans="2:35" x14ac:dyDescent="0.2">
      <c r="B54" s="61"/>
      <c r="C54" s="248"/>
      <c r="D54" s="118" t="s">
        <v>92</v>
      </c>
      <c r="E54" s="73" t="s">
        <v>119</v>
      </c>
      <c r="F54" s="69">
        <v>1577220</v>
      </c>
      <c r="G54" s="67">
        <v>2</v>
      </c>
      <c r="H54" s="69">
        <f>+G54*F54</f>
        <v>3154440</v>
      </c>
      <c r="I54" s="69">
        <f t="shared" ref="I54" si="8">+H54*(1+$D$4)</f>
        <v>3154440</v>
      </c>
      <c r="J54" s="69">
        <f t="shared" si="7"/>
        <v>3154440</v>
      </c>
      <c r="K54" s="69">
        <f t="shared" si="7"/>
        <v>3154440</v>
      </c>
      <c r="L54" s="69">
        <f t="shared" si="7"/>
        <v>3154440</v>
      </c>
      <c r="M54" s="70"/>
      <c r="N54" s="64"/>
      <c r="O54" s="62"/>
      <c r="S54" s="50"/>
      <c r="AI54" s="54"/>
    </row>
    <row r="55" spans="2:35" x14ac:dyDescent="0.2">
      <c r="B55" s="61"/>
      <c r="C55" s="248"/>
      <c r="D55" s="73" t="s">
        <v>89</v>
      </c>
      <c r="E55" s="73" t="s">
        <v>120</v>
      </c>
      <c r="F55" s="69">
        <v>5220152</v>
      </c>
      <c r="G55" s="67">
        <v>4</v>
      </c>
      <c r="H55" s="69">
        <f>+G55*F55</f>
        <v>20880608</v>
      </c>
      <c r="I55" s="69">
        <f>+H55*(1+$D$4)</f>
        <v>20880608</v>
      </c>
      <c r="J55" s="69">
        <f t="shared" si="7"/>
        <v>20880608</v>
      </c>
      <c r="K55" s="69">
        <f t="shared" si="7"/>
        <v>20880608</v>
      </c>
      <c r="L55" s="69">
        <f t="shared" si="7"/>
        <v>20880608</v>
      </c>
      <c r="M55" s="70"/>
      <c r="N55" s="64"/>
      <c r="O55" s="62"/>
      <c r="S55" s="50"/>
      <c r="AI55" s="54"/>
    </row>
    <row r="56" spans="2:35" s="113" customFormat="1" x14ac:dyDescent="0.2">
      <c r="B56" s="112"/>
      <c r="C56" s="249"/>
      <c r="D56" s="73" t="s">
        <v>121</v>
      </c>
      <c r="E56" s="73" t="s">
        <v>122</v>
      </c>
      <c r="F56" s="69">
        <v>1357321</v>
      </c>
      <c r="G56" s="67">
        <v>12</v>
      </c>
      <c r="H56" s="69">
        <f>+G56*F56</f>
        <v>16287852</v>
      </c>
      <c r="I56" s="69">
        <f t="shared" ref="I56" si="9">+H56*(1+$D$4)</f>
        <v>16287852</v>
      </c>
      <c r="J56" s="69">
        <f t="shared" si="7"/>
        <v>16287852</v>
      </c>
      <c r="K56" s="69">
        <f t="shared" si="7"/>
        <v>16287852</v>
      </c>
      <c r="L56" s="69">
        <f t="shared" si="7"/>
        <v>16287852</v>
      </c>
      <c r="M56" s="70"/>
      <c r="N56" s="64"/>
      <c r="O56" s="62"/>
      <c r="P56" s="53"/>
      <c r="Q56" s="53"/>
      <c r="R56" s="53"/>
      <c r="S56" s="50"/>
      <c r="T56" s="50"/>
      <c r="U56" s="50"/>
      <c r="V56" s="50"/>
      <c r="W56" s="50"/>
      <c r="X56" s="50"/>
      <c r="Y56" s="50"/>
      <c r="Z56" s="50"/>
    </row>
    <row r="57" spans="2:35" x14ac:dyDescent="0.2">
      <c r="B57" s="75"/>
      <c r="C57" s="241" t="s">
        <v>96</v>
      </c>
      <c r="D57" s="242"/>
      <c r="E57" s="242"/>
      <c r="F57" s="242"/>
      <c r="G57" s="243"/>
      <c r="H57" s="76">
        <f t="shared" ref="H57:K57" si="10">SUM(H51:H56)</f>
        <v>172580186</v>
      </c>
      <c r="I57" s="76">
        <f t="shared" si="10"/>
        <v>172580186</v>
      </c>
      <c r="J57" s="76">
        <f t="shared" si="10"/>
        <v>172580186</v>
      </c>
      <c r="K57" s="76">
        <f t="shared" si="10"/>
        <v>172580186</v>
      </c>
      <c r="L57" s="77">
        <f>SUM(L51:L56)</f>
        <v>172580186</v>
      </c>
      <c r="M57" s="78"/>
      <c r="N57" s="159"/>
      <c r="O57" s="62"/>
      <c r="S57" s="50"/>
      <c r="AI57" s="54"/>
    </row>
    <row r="58" spans="2:35" x14ac:dyDescent="0.2">
      <c r="B58" s="75"/>
      <c r="C58" s="82"/>
      <c r="D58" s="82"/>
      <c r="E58" s="82"/>
      <c r="F58" s="82"/>
      <c r="G58" s="82"/>
      <c r="H58" s="83"/>
      <c r="I58" s="83"/>
      <c r="J58" s="83"/>
      <c r="K58" s="83"/>
      <c r="L58" s="83"/>
      <c r="M58" s="78"/>
      <c r="N58" s="78"/>
      <c r="O58" s="84"/>
    </row>
    <row r="59" spans="2:35" ht="38.25" x14ac:dyDescent="0.2">
      <c r="B59" s="61"/>
      <c r="C59" s="65" t="s">
        <v>77</v>
      </c>
      <c r="D59" s="65" t="s">
        <v>78</v>
      </c>
      <c r="E59" s="65" t="s">
        <v>79</v>
      </c>
      <c r="F59" s="65" t="s">
        <v>97</v>
      </c>
      <c r="G59" s="65" t="s">
        <v>98</v>
      </c>
      <c r="H59" s="65" t="s">
        <v>83</v>
      </c>
      <c r="I59" s="65" t="s">
        <v>84</v>
      </c>
      <c r="J59" s="65" t="s">
        <v>85</v>
      </c>
      <c r="K59" s="65" t="s">
        <v>86</v>
      </c>
      <c r="L59" s="65" t="s">
        <v>87</v>
      </c>
      <c r="M59" s="66"/>
      <c r="N59" s="160"/>
      <c r="O59" s="62"/>
      <c r="S59" s="50"/>
      <c r="AI59" s="54"/>
    </row>
    <row r="60" spans="2:35" ht="12.75" customHeight="1" x14ac:dyDescent="0.2">
      <c r="B60" s="61"/>
      <c r="C60" s="250" t="s">
        <v>99</v>
      </c>
      <c r="D60" s="114">
        <v>2</v>
      </c>
      <c r="E60" s="114" t="s">
        <v>100</v>
      </c>
      <c r="F60" s="115">
        <f>6000000*0.97</f>
        <v>5820000</v>
      </c>
      <c r="G60" s="67">
        <v>3</v>
      </c>
      <c r="H60" s="85">
        <f>+D60*F60*G60</f>
        <v>34920000</v>
      </c>
      <c r="I60" s="85">
        <f>+(H60*$D$4)+H60</f>
        <v>34920000</v>
      </c>
      <c r="J60" s="85">
        <f t="shared" ref="J60:L60" si="11">+(I60*$D$4)+I60</f>
        <v>34920000</v>
      </c>
      <c r="K60" s="85">
        <f t="shared" si="11"/>
        <v>34920000</v>
      </c>
      <c r="L60" s="85">
        <f t="shared" si="11"/>
        <v>34920000</v>
      </c>
      <c r="M60" s="86"/>
      <c r="N60" s="160"/>
      <c r="O60" s="62"/>
      <c r="S60" s="50"/>
      <c r="AI60" s="54"/>
    </row>
    <row r="61" spans="2:35" x14ac:dyDescent="0.2">
      <c r="B61" s="61"/>
      <c r="C61" s="251"/>
      <c r="D61" s="116">
        <v>1</v>
      </c>
      <c r="E61" s="116" t="s">
        <v>101</v>
      </c>
      <c r="F61" s="117">
        <f>3500000*0.97</f>
        <v>3395000</v>
      </c>
      <c r="G61" s="67">
        <v>3</v>
      </c>
      <c r="H61" s="85">
        <f>+D61*F61*G61</f>
        <v>10185000</v>
      </c>
      <c r="I61" s="85">
        <f t="shared" ref="I61:L64" si="12">+(H61*$D$4)+H61</f>
        <v>10185000</v>
      </c>
      <c r="J61" s="85">
        <f t="shared" si="12"/>
        <v>10185000</v>
      </c>
      <c r="K61" s="85">
        <f t="shared" si="12"/>
        <v>10185000</v>
      </c>
      <c r="L61" s="85">
        <f t="shared" si="12"/>
        <v>10185000</v>
      </c>
      <c r="M61" s="86"/>
      <c r="N61" s="160"/>
      <c r="O61" s="62"/>
      <c r="S61" s="50"/>
      <c r="AI61" s="54"/>
    </row>
    <row r="62" spans="2:35" x14ac:dyDescent="0.2">
      <c r="B62" s="61"/>
      <c r="C62" s="251"/>
      <c r="D62" s="116">
        <v>1</v>
      </c>
      <c r="E62" s="116" t="s">
        <v>102</v>
      </c>
      <c r="F62" s="117">
        <f>3000000*0.97</f>
        <v>2910000</v>
      </c>
      <c r="G62" s="67">
        <v>3</v>
      </c>
      <c r="H62" s="85">
        <f>+D62*F62*G62</f>
        <v>8730000</v>
      </c>
      <c r="I62" s="85">
        <f t="shared" si="12"/>
        <v>8730000</v>
      </c>
      <c r="J62" s="85">
        <f t="shared" si="12"/>
        <v>8730000</v>
      </c>
      <c r="K62" s="85">
        <f t="shared" si="12"/>
        <v>8730000</v>
      </c>
      <c r="L62" s="85">
        <f t="shared" si="12"/>
        <v>8730000</v>
      </c>
      <c r="M62" s="86"/>
      <c r="N62" s="160"/>
      <c r="O62" s="62"/>
      <c r="S62" s="50"/>
      <c r="AI62" s="54"/>
    </row>
    <row r="63" spans="2:35" x14ac:dyDescent="0.2">
      <c r="B63" s="61"/>
      <c r="C63" s="251"/>
      <c r="D63" s="116">
        <v>2</v>
      </c>
      <c r="E63" s="116" t="s">
        <v>94</v>
      </c>
      <c r="F63" s="117">
        <f>3500000*0.97</f>
        <v>3395000</v>
      </c>
      <c r="G63" s="67">
        <v>3</v>
      </c>
      <c r="H63" s="85">
        <f>+D63*F63*G63</f>
        <v>20370000</v>
      </c>
      <c r="I63" s="85">
        <f t="shared" si="12"/>
        <v>20370000</v>
      </c>
      <c r="J63" s="85">
        <f t="shared" si="12"/>
        <v>20370000</v>
      </c>
      <c r="K63" s="85">
        <f t="shared" si="12"/>
        <v>20370000</v>
      </c>
      <c r="L63" s="85">
        <f t="shared" si="12"/>
        <v>20370000</v>
      </c>
      <c r="M63" s="86"/>
      <c r="N63" s="160"/>
      <c r="O63" s="62"/>
      <c r="S63" s="50"/>
      <c r="AI63" s="54"/>
    </row>
    <row r="64" spans="2:35" x14ac:dyDescent="0.2">
      <c r="B64" s="61"/>
      <c r="C64" s="252"/>
      <c r="D64" s="118">
        <v>2</v>
      </c>
      <c r="E64" s="118" t="s">
        <v>95</v>
      </c>
      <c r="F64" s="119">
        <f>1900000*0.97</f>
        <v>1843000</v>
      </c>
      <c r="G64" s="67">
        <v>3</v>
      </c>
      <c r="H64" s="85">
        <f>+D64*F64*G64</f>
        <v>11058000</v>
      </c>
      <c r="I64" s="85">
        <f t="shared" si="12"/>
        <v>11058000</v>
      </c>
      <c r="J64" s="85">
        <f t="shared" si="12"/>
        <v>11058000</v>
      </c>
      <c r="K64" s="85">
        <f t="shared" si="12"/>
        <v>11058000</v>
      </c>
      <c r="L64" s="85">
        <f t="shared" si="12"/>
        <v>11058000</v>
      </c>
      <c r="M64" s="86"/>
      <c r="N64" s="160"/>
      <c r="O64" s="62"/>
      <c r="S64" s="50"/>
      <c r="AI64" s="54"/>
    </row>
    <row r="65" spans="2:35" x14ac:dyDescent="0.2">
      <c r="B65" s="75"/>
      <c r="C65" s="241" t="s">
        <v>96</v>
      </c>
      <c r="D65" s="242"/>
      <c r="E65" s="242"/>
      <c r="F65" s="242"/>
      <c r="G65" s="243"/>
      <c r="H65" s="76">
        <f t="shared" ref="H65:L65" si="13">SUM(H60:H64)</f>
        <v>85263000</v>
      </c>
      <c r="I65" s="76">
        <f t="shared" si="13"/>
        <v>85263000</v>
      </c>
      <c r="J65" s="76">
        <f t="shared" si="13"/>
        <v>85263000</v>
      </c>
      <c r="K65" s="76">
        <f t="shared" si="13"/>
        <v>85263000</v>
      </c>
      <c r="L65" s="77">
        <f t="shared" si="13"/>
        <v>85263000</v>
      </c>
      <c r="M65" s="78"/>
      <c r="N65" s="160"/>
      <c r="O65" s="62"/>
      <c r="S65" s="50"/>
      <c r="AI65" s="54"/>
    </row>
    <row r="66" spans="2:35" x14ac:dyDescent="0.2">
      <c r="B66" s="61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4"/>
      <c r="N66" s="64"/>
      <c r="O66" s="62"/>
    </row>
    <row r="67" spans="2:35" x14ac:dyDescent="0.2">
      <c r="B67" s="61"/>
      <c r="C67" s="161"/>
      <c r="D67" s="63"/>
      <c r="E67" s="63"/>
      <c r="F67" s="63"/>
      <c r="G67" s="63"/>
      <c r="H67" s="63"/>
      <c r="I67" s="63"/>
      <c r="J67" s="63"/>
      <c r="K67" s="63"/>
      <c r="L67" s="63"/>
      <c r="M67" s="64"/>
      <c r="N67" s="64"/>
      <c r="O67" s="62"/>
    </row>
    <row r="68" spans="2:35" x14ac:dyDescent="0.2">
      <c r="B68" s="61"/>
      <c r="C68" s="91" t="s">
        <v>123</v>
      </c>
      <c r="D68" s="63"/>
      <c r="E68" s="63"/>
      <c r="F68" s="65" t="s">
        <v>77</v>
      </c>
      <c r="G68" s="65" t="s">
        <v>83</v>
      </c>
      <c r="H68" s="65" t="s">
        <v>84</v>
      </c>
      <c r="I68" s="65" t="s">
        <v>85</v>
      </c>
      <c r="J68" s="65" t="s">
        <v>86</v>
      </c>
      <c r="K68" s="65" t="s">
        <v>87</v>
      </c>
      <c r="L68" s="92" t="s">
        <v>106</v>
      </c>
      <c r="M68" s="64"/>
      <c r="N68" s="64"/>
      <c r="O68" s="62"/>
      <c r="S68" s="50"/>
      <c r="AI68" s="54"/>
    </row>
    <row r="69" spans="2:35" ht="25.5" x14ac:dyDescent="0.2">
      <c r="B69" s="61"/>
      <c r="C69" s="91"/>
      <c r="D69" s="63"/>
      <c r="E69" s="63"/>
      <c r="F69" s="120" t="str">
        <f>+C51</f>
        <v>Monitoreos Seguimiento Ambiental Campo</v>
      </c>
      <c r="G69" s="94">
        <f>+H57</f>
        <v>172580186</v>
      </c>
      <c r="H69" s="94">
        <f>+I57</f>
        <v>172580186</v>
      </c>
      <c r="I69" s="94">
        <f>+J57</f>
        <v>172580186</v>
      </c>
      <c r="J69" s="94">
        <f>+K57</f>
        <v>172580186</v>
      </c>
      <c r="K69" s="94">
        <f>+L57</f>
        <v>172580186</v>
      </c>
      <c r="L69" s="95">
        <f>SUM(G69:K69)</f>
        <v>862900930</v>
      </c>
      <c r="M69" s="64"/>
      <c r="N69" s="64"/>
      <c r="O69" s="62"/>
      <c r="S69" s="50"/>
      <c r="AI69" s="54"/>
    </row>
    <row r="70" spans="2:35" x14ac:dyDescent="0.2">
      <c r="B70" s="61"/>
      <c r="C70" s="91"/>
      <c r="D70" s="63"/>
      <c r="E70" s="63"/>
      <c r="F70" s="120" t="str">
        <f>+C60</f>
        <v>Monitoreos  Perforación  Pozo</v>
      </c>
      <c r="G70" s="94">
        <f>+H65</f>
        <v>85263000</v>
      </c>
      <c r="H70" s="94">
        <f>+I65</f>
        <v>85263000</v>
      </c>
      <c r="I70" s="94">
        <f>+J65</f>
        <v>85263000</v>
      </c>
      <c r="J70" s="94">
        <f>+K65</f>
        <v>85263000</v>
      </c>
      <c r="K70" s="94">
        <f>+L65</f>
        <v>85263000</v>
      </c>
      <c r="L70" s="95">
        <f>SUM(G70:K70)</f>
        <v>426315000</v>
      </c>
      <c r="M70" s="64"/>
      <c r="N70" s="64"/>
      <c r="O70" s="62"/>
      <c r="S70" s="50"/>
      <c r="AI70" s="54"/>
    </row>
    <row r="71" spans="2:35" x14ac:dyDescent="0.2">
      <c r="B71" s="98"/>
      <c r="C71" s="99"/>
      <c r="D71" s="99"/>
      <c r="E71" s="99"/>
      <c r="F71" s="121" t="s">
        <v>107</v>
      </c>
      <c r="G71" s="101">
        <f t="shared" ref="G71:L71" si="14">SUM(G69:G70)</f>
        <v>257843186</v>
      </c>
      <c r="H71" s="101">
        <f t="shared" si="14"/>
        <v>257843186</v>
      </c>
      <c r="I71" s="101">
        <f t="shared" si="14"/>
        <v>257843186</v>
      </c>
      <c r="J71" s="101">
        <f t="shared" si="14"/>
        <v>257843186</v>
      </c>
      <c r="K71" s="101">
        <f t="shared" si="14"/>
        <v>257843186</v>
      </c>
      <c r="L71" s="101">
        <f t="shared" si="14"/>
        <v>1289215930</v>
      </c>
      <c r="M71" s="64"/>
      <c r="N71" s="127"/>
      <c r="O71" s="62"/>
      <c r="S71" s="50"/>
      <c r="AI71" s="54"/>
    </row>
    <row r="72" spans="2:35" x14ac:dyDescent="0.2">
      <c r="B72" s="6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4"/>
      <c r="N72" s="64"/>
      <c r="O72" s="62"/>
    </row>
    <row r="73" spans="2:35" x14ac:dyDescent="0.2">
      <c r="B73" s="61"/>
      <c r="C73" s="106"/>
      <c r="D73" s="63"/>
      <c r="E73" s="63"/>
      <c r="F73" s="63"/>
      <c r="G73" s="63"/>
      <c r="H73" s="63"/>
      <c r="I73" s="63"/>
      <c r="J73" s="63"/>
      <c r="K73" s="63"/>
      <c r="L73" s="63"/>
      <c r="M73" s="64"/>
      <c r="N73" s="64"/>
      <c r="O73" s="62"/>
    </row>
    <row r="74" spans="2:35" ht="13.5" thickBot="1" x14ac:dyDescent="0.25">
      <c r="B74" s="107"/>
      <c r="C74" s="108"/>
      <c r="D74" s="109"/>
      <c r="E74" s="109"/>
      <c r="F74" s="109"/>
      <c r="G74" s="109"/>
      <c r="H74" s="109"/>
      <c r="I74" s="109"/>
      <c r="J74" s="109"/>
      <c r="K74" s="109"/>
      <c r="L74" s="109"/>
      <c r="M74" s="110"/>
      <c r="N74" s="110"/>
      <c r="O74" s="111"/>
    </row>
    <row r="75" spans="2:35" ht="13.5" thickBot="1" x14ac:dyDescent="0.25">
      <c r="O75" s="64"/>
    </row>
    <row r="76" spans="2:35" x14ac:dyDescent="0.2">
      <c r="B76" s="57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9"/>
      <c r="N76" s="59"/>
      <c r="O76" s="60"/>
    </row>
    <row r="77" spans="2:35" ht="23.25" x14ac:dyDescent="0.35">
      <c r="B77" s="61"/>
      <c r="C77" s="253" t="s">
        <v>124</v>
      </c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62"/>
    </row>
    <row r="78" spans="2:35" x14ac:dyDescent="0.2">
      <c r="B78" s="61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4"/>
      <c r="N78" s="64"/>
      <c r="O78" s="62"/>
    </row>
    <row r="79" spans="2:35" x14ac:dyDescent="0.2">
      <c r="B79" s="61"/>
      <c r="C79" s="65" t="s">
        <v>77</v>
      </c>
      <c r="D79" s="65" t="s">
        <v>78</v>
      </c>
      <c r="E79" s="65" t="s">
        <v>79</v>
      </c>
      <c r="F79" s="65" t="s">
        <v>80</v>
      </c>
      <c r="G79" s="65" t="s">
        <v>81</v>
      </c>
      <c r="H79" s="65" t="s">
        <v>83</v>
      </c>
      <c r="I79" s="65" t="s">
        <v>84</v>
      </c>
      <c r="J79" s="65" t="s">
        <v>85</v>
      </c>
      <c r="K79" s="65" t="s">
        <v>86</v>
      </c>
      <c r="L79" s="65" t="s">
        <v>87</v>
      </c>
      <c r="M79" s="66"/>
      <c r="N79" s="64"/>
      <c r="O79" s="62"/>
      <c r="S79" s="50"/>
      <c r="AI79" s="54"/>
    </row>
    <row r="80" spans="2:35" ht="12.75" customHeight="1" x14ac:dyDescent="0.2">
      <c r="B80" s="61"/>
      <c r="C80" s="247" t="s">
        <v>125</v>
      </c>
      <c r="D80" s="72" t="s">
        <v>121</v>
      </c>
      <c r="E80" s="72" t="s">
        <v>94</v>
      </c>
      <c r="F80" s="287">
        <v>3435352</v>
      </c>
      <c r="G80" s="284">
        <v>12</v>
      </c>
      <c r="H80" s="282">
        <f>+(F80*4)+(4114352*8)</f>
        <v>46656224</v>
      </c>
      <c r="I80" s="282">
        <f>+H80*(1+$D$4)</f>
        <v>46656224</v>
      </c>
      <c r="J80" s="282">
        <f t="shared" ref="J80:L87" si="15">+I80*(1+$D$4)</f>
        <v>46656224</v>
      </c>
      <c r="K80" s="282">
        <f t="shared" si="15"/>
        <v>46656224</v>
      </c>
      <c r="L80" s="282">
        <f t="shared" si="15"/>
        <v>46656224</v>
      </c>
      <c r="M80" s="70"/>
      <c r="N80" s="64"/>
      <c r="O80" s="62"/>
      <c r="S80" s="50"/>
      <c r="AI80" s="54"/>
    </row>
    <row r="81" spans="2:35" ht="15" customHeight="1" x14ac:dyDescent="0.2">
      <c r="B81" s="61"/>
      <c r="C81" s="248"/>
      <c r="D81" s="72" t="s">
        <v>121</v>
      </c>
      <c r="E81" s="72" t="s">
        <v>95</v>
      </c>
      <c r="F81" s="288"/>
      <c r="G81" s="290"/>
      <c r="H81" s="286"/>
      <c r="I81" s="286"/>
      <c r="J81" s="286"/>
      <c r="K81" s="286"/>
      <c r="L81" s="286"/>
      <c r="M81" s="70"/>
      <c r="N81" s="64"/>
      <c r="O81" s="62"/>
      <c r="S81" s="50"/>
      <c r="AI81" s="54"/>
    </row>
    <row r="82" spans="2:35" ht="15" customHeight="1" x14ac:dyDescent="0.2">
      <c r="B82" s="61"/>
      <c r="C82" s="248"/>
      <c r="D82" s="72" t="s">
        <v>121</v>
      </c>
      <c r="E82" s="72" t="s">
        <v>93</v>
      </c>
      <c r="F82" s="288"/>
      <c r="G82" s="290"/>
      <c r="H82" s="286"/>
      <c r="I82" s="286"/>
      <c r="J82" s="286"/>
      <c r="K82" s="286"/>
      <c r="L82" s="286"/>
      <c r="M82" s="70"/>
      <c r="N82" s="64"/>
      <c r="O82" s="62"/>
      <c r="S82" s="50"/>
      <c r="AI82" s="54"/>
    </row>
    <row r="83" spans="2:35" ht="15" customHeight="1" x14ac:dyDescent="0.2">
      <c r="B83" s="61"/>
      <c r="C83" s="248"/>
      <c r="D83" s="72" t="s">
        <v>121</v>
      </c>
      <c r="E83" s="72" t="s">
        <v>126</v>
      </c>
      <c r="F83" s="289"/>
      <c r="G83" s="285"/>
      <c r="H83" s="283"/>
      <c r="I83" s="283"/>
      <c r="J83" s="283"/>
      <c r="K83" s="283"/>
      <c r="L83" s="283"/>
      <c r="M83" s="70"/>
      <c r="N83" s="64"/>
      <c r="O83" s="62"/>
      <c r="S83" s="50"/>
      <c r="AI83" s="54"/>
    </row>
    <row r="84" spans="2:35" ht="15" customHeight="1" x14ac:dyDescent="0.2">
      <c r="B84" s="61"/>
      <c r="C84" s="248"/>
      <c r="D84" s="72" t="s">
        <v>89</v>
      </c>
      <c r="E84" s="72" t="s">
        <v>93</v>
      </c>
      <c r="F84" s="162">
        <v>41279902</v>
      </c>
      <c r="G84" s="67">
        <v>4</v>
      </c>
      <c r="H84" s="68">
        <f>+G84*F84</f>
        <v>165119608</v>
      </c>
      <c r="I84" s="68">
        <f t="shared" ref="I84:I85" si="16">+H84*(1+$D$4)</f>
        <v>165119608</v>
      </c>
      <c r="J84" s="68">
        <f t="shared" si="15"/>
        <v>165119608</v>
      </c>
      <c r="K84" s="68">
        <f t="shared" si="15"/>
        <v>165119608</v>
      </c>
      <c r="L84" s="68">
        <f t="shared" si="15"/>
        <v>165119608</v>
      </c>
      <c r="M84" s="70"/>
      <c r="N84" s="64"/>
      <c r="O84" s="62"/>
      <c r="S84" s="50"/>
      <c r="AI84" s="54"/>
    </row>
    <row r="85" spans="2:35" ht="15" customHeight="1" x14ac:dyDescent="0.2">
      <c r="B85" s="61"/>
      <c r="C85" s="248"/>
      <c r="D85" s="72" t="s">
        <v>127</v>
      </c>
      <c r="E85" s="72" t="s">
        <v>93</v>
      </c>
      <c r="F85" s="162">
        <v>1911288</v>
      </c>
      <c r="G85" s="67">
        <v>2</v>
      </c>
      <c r="H85" s="68">
        <f>+G85*F85</f>
        <v>3822576</v>
      </c>
      <c r="I85" s="68">
        <f t="shared" si="16"/>
        <v>3822576</v>
      </c>
      <c r="J85" s="68">
        <f t="shared" si="15"/>
        <v>3822576</v>
      </c>
      <c r="K85" s="68">
        <f t="shared" si="15"/>
        <v>3822576</v>
      </c>
      <c r="L85" s="68">
        <f t="shared" si="15"/>
        <v>3822576</v>
      </c>
      <c r="M85" s="70"/>
      <c r="N85" s="64"/>
      <c r="O85" s="62"/>
      <c r="S85" s="50"/>
      <c r="AI85" s="54"/>
    </row>
    <row r="86" spans="2:35" ht="15" customHeight="1" x14ac:dyDescent="0.2">
      <c r="B86" s="61"/>
      <c r="C86" s="248"/>
      <c r="D86" s="72" t="s">
        <v>127</v>
      </c>
      <c r="E86" s="72" t="s">
        <v>128</v>
      </c>
      <c r="F86" s="162">
        <v>19770928</v>
      </c>
      <c r="G86" s="67">
        <v>2</v>
      </c>
      <c r="H86" s="68">
        <f>+G86*F86</f>
        <v>39541856</v>
      </c>
      <c r="I86" s="68">
        <f>+H86*(1+$D$4)</f>
        <v>39541856</v>
      </c>
      <c r="J86" s="68">
        <f t="shared" si="15"/>
        <v>39541856</v>
      </c>
      <c r="K86" s="68">
        <f t="shared" si="15"/>
        <v>39541856</v>
      </c>
      <c r="L86" s="68">
        <f t="shared" si="15"/>
        <v>39541856</v>
      </c>
      <c r="M86" s="70"/>
      <c r="N86" s="64"/>
      <c r="O86" s="62"/>
      <c r="S86" s="50"/>
      <c r="AI86" s="54"/>
    </row>
    <row r="87" spans="2:35" ht="15" customHeight="1" x14ac:dyDescent="0.2">
      <c r="B87" s="61"/>
      <c r="C87" s="249"/>
      <c r="D87" s="73" t="s">
        <v>127</v>
      </c>
      <c r="E87" s="73" t="s">
        <v>129</v>
      </c>
      <c r="F87" s="68">
        <v>25642872</v>
      </c>
      <c r="G87" s="67">
        <v>2</v>
      </c>
      <c r="H87" s="68">
        <f>+G87*F87</f>
        <v>51285744</v>
      </c>
      <c r="I87" s="68">
        <f>+H87*(1+$D$4)</f>
        <v>51285744</v>
      </c>
      <c r="J87" s="68">
        <f t="shared" si="15"/>
        <v>51285744</v>
      </c>
      <c r="K87" s="68">
        <f t="shared" si="15"/>
        <v>51285744</v>
      </c>
      <c r="L87" s="68">
        <f t="shared" si="15"/>
        <v>51285744</v>
      </c>
      <c r="M87" s="70"/>
      <c r="N87" s="64"/>
      <c r="O87" s="62"/>
      <c r="S87" s="50"/>
      <c r="AI87" s="54"/>
    </row>
    <row r="88" spans="2:35" x14ac:dyDescent="0.2">
      <c r="B88" s="75"/>
      <c r="C88" s="241" t="s">
        <v>96</v>
      </c>
      <c r="D88" s="242"/>
      <c r="E88" s="242"/>
      <c r="F88" s="242"/>
      <c r="G88" s="243"/>
      <c r="H88" s="76">
        <f>SUM(H80:H87)</f>
        <v>306426008</v>
      </c>
      <c r="I88" s="76">
        <f>SUM(I80:I87)</f>
        <v>306426008</v>
      </c>
      <c r="J88" s="76">
        <f>SUM(J80:J87)</f>
        <v>306426008</v>
      </c>
      <c r="K88" s="76">
        <f>SUM(K80:K87)</f>
        <v>306426008</v>
      </c>
      <c r="L88" s="77">
        <f>SUM(L80:L87)</f>
        <v>306426008</v>
      </c>
      <c r="M88" s="78"/>
      <c r="N88" s="159"/>
      <c r="O88" s="62"/>
      <c r="S88" s="50"/>
      <c r="AI88" s="54"/>
    </row>
    <row r="89" spans="2:35" x14ac:dyDescent="0.2">
      <c r="B89" s="75"/>
      <c r="C89" s="82"/>
      <c r="D89" s="82"/>
      <c r="E89" s="82"/>
      <c r="F89" s="82"/>
      <c r="G89" s="82"/>
      <c r="H89" s="83"/>
      <c r="I89" s="83"/>
      <c r="J89" s="83"/>
      <c r="K89" s="83"/>
      <c r="L89" s="83"/>
      <c r="M89" s="78"/>
      <c r="N89" s="78"/>
      <c r="O89" s="84"/>
    </row>
    <row r="90" spans="2:35" ht="38.25" x14ac:dyDescent="0.2">
      <c r="B90" s="61"/>
      <c r="C90" s="65" t="s">
        <v>77</v>
      </c>
      <c r="D90" s="65" t="s">
        <v>78</v>
      </c>
      <c r="E90" s="65" t="s">
        <v>79</v>
      </c>
      <c r="F90" s="65" t="s">
        <v>97</v>
      </c>
      <c r="G90" s="65" t="s">
        <v>98</v>
      </c>
      <c r="H90" s="65" t="s">
        <v>83</v>
      </c>
      <c r="I90" s="65" t="s">
        <v>84</v>
      </c>
      <c r="J90" s="65" t="s">
        <v>85</v>
      </c>
      <c r="K90" s="65" t="s">
        <v>86</v>
      </c>
      <c r="L90" s="65" t="s">
        <v>87</v>
      </c>
      <c r="M90" s="66"/>
      <c r="N90" s="160"/>
      <c r="O90" s="62"/>
      <c r="S90" s="50"/>
      <c r="AI90" s="54"/>
    </row>
    <row r="91" spans="2:35" ht="12.75" customHeight="1" x14ac:dyDescent="0.2">
      <c r="B91" s="61"/>
      <c r="C91" s="247" t="s">
        <v>130</v>
      </c>
      <c r="D91" s="67">
        <v>1</v>
      </c>
      <c r="E91" s="67" t="s">
        <v>90</v>
      </c>
      <c r="F91" s="85">
        <f>38000000*0.97</f>
        <v>36860000</v>
      </c>
      <c r="G91" s="67">
        <v>15</v>
      </c>
      <c r="H91" s="85">
        <f>+D91*F91*G91</f>
        <v>552900000</v>
      </c>
      <c r="I91" s="85">
        <f>+H91*(1+$D$4)</f>
        <v>552900000</v>
      </c>
      <c r="J91" s="85">
        <f t="shared" ref="J91:L92" si="17">+I91*(1+$D$4)</f>
        <v>552900000</v>
      </c>
      <c r="K91" s="85">
        <f t="shared" si="17"/>
        <v>552900000</v>
      </c>
      <c r="L91" s="85">
        <f t="shared" si="17"/>
        <v>552900000</v>
      </c>
      <c r="M91" s="86"/>
      <c r="N91" s="160"/>
      <c r="O91" s="62"/>
      <c r="S91" s="50"/>
      <c r="AI91" s="54"/>
    </row>
    <row r="92" spans="2:35" x14ac:dyDescent="0.2">
      <c r="B92" s="61"/>
      <c r="C92" s="249"/>
      <c r="D92" s="72">
        <v>1</v>
      </c>
      <c r="E92" s="72" t="s">
        <v>91</v>
      </c>
      <c r="F92" s="87">
        <f>1600000*0.97</f>
        <v>1552000</v>
      </c>
      <c r="G92" s="67">
        <v>15</v>
      </c>
      <c r="H92" s="85">
        <f>+D92*F92*G92</f>
        <v>23280000</v>
      </c>
      <c r="I92" s="85">
        <f>+H92*(1+$D$4)</f>
        <v>23280000</v>
      </c>
      <c r="J92" s="85">
        <f t="shared" si="17"/>
        <v>23280000</v>
      </c>
      <c r="K92" s="85">
        <f t="shared" si="17"/>
        <v>23280000</v>
      </c>
      <c r="L92" s="85">
        <f t="shared" si="17"/>
        <v>23280000</v>
      </c>
      <c r="M92" s="86"/>
      <c r="N92" s="160"/>
      <c r="O92" s="62"/>
      <c r="S92" s="50"/>
      <c r="AI92" s="54"/>
    </row>
    <row r="93" spans="2:35" x14ac:dyDescent="0.2">
      <c r="B93" s="75"/>
      <c r="C93" s="241" t="s">
        <v>96</v>
      </c>
      <c r="D93" s="242"/>
      <c r="E93" s="242"/>
      <c r="F93" s="242"/>
      <c r="G93" s="243"/>
      <c r="H93" s="76">
        <f t="shared" ref="H93:L93" si="18">SUM(H91:H92)</f>
        <v>576180000</v>
      </c>
      <c r="I93" s="76">
        <f t="shared" si="18"/>
        <v>576180000</v>
      </c>
      <c r="J93" s="76">
        <f t="shared" si="18"/>
        <v>576180000</v>
      </c>
      <c r="K93" s="76">
        <f t="shared" si="18"/>
        <v>576180000</v>
      </c>
      <c r="L93" s="77">
        <f t="shared" si="18"/>
        <v>576180000</v>
      </c>
      <c r="M93" s="78"/>
      <c r="N93" s="160"/>
      <c r="O93" s="62"/>
      <c r="S93" s="50"/>
      <c r="AI93" s="54"/>
    </row>
    <row r="94" spans="2:35" x14ac:dyDescent="0.2">
      <c r="B94" s="61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4"/>
      <c r="N94" s="64"/>
      <c r="O94" s="62"/>
    </row>
    <row r="95" spans="2:35" ht="25.5" x14ac:dyDescent="0.2">
      <c r="B95" s="61"/>
      <c r="C95" s="63"/>
      <c r="D95" s="63"/>
      <c r="E95" s="65" t="s">
        <v>77</v>
      </c>
      <c r="F95" s="65" t="s">
        <v>78</v>
      </c>
      <c r="G95" s="65" t="s">
        <v>97</v>
      </c>
      <c r="H95" s="65" t="s">
        <v>83</v>
      </c>
      <c r="I95" s="65" t="s">
        <v>84</v>
      </c>
      <c r="J95" s="65" t="s">
        <v>85</v>
      </c>
      <c r="K95" s="65" t="s">
        <v>86</v>
      </c>
      <c r="L95" s="65" t="s">
        <v>87</v>
      </c>
      <c r="M95" s="66"/>
      <c r="N95" s="160"/>
      <c r="O95" s="62"/>
      <c r="S95" s="50"/>
      <c r="AI95" s="54"/>
    </row>
    <row r="96" spans="2:35" ht="57.75" customHeight="1" x14ac:dyDescent="0.2">
      <c r="B96" s="61"/>
      <c r="C96" s="63"/>
      <c r="D96" s="63"/>
      <c r="E96" s="89" t="s">
        <v>104</v>
      </c>
      <c r="F96" s="90">
        <v>2</v>
      </c>
      <c r="G96" s="85">
        <f>20000000*0.97</f>
        <v>19400000</v>
      </c>
      <c r="H96" s="85">
        <f>+G96*F96</f>
        <v>38800000</v>
      </c>
      <c r="I96" s="85">
        <f t="shared" ref="I96:L96" si="19">+H96*(1+$D$4)</f>
        <v>38800000</v>
      </c>
      <c r="J96" s="85">
        <f t="shared" si="19"/>
        <v>38800000</v>
      </c>
      <c r="K96" s="85">
        <f t="shared" si="19"/>
        <v>38800000</v>
      </c>
      <c r="L96" s="85">
        <f t="shared" si="19"/>
        <v>38800000</v>
      </c>
      <c r="M96" s="86"/>
      <c r="N96" s="160"/>
      <c r="O96" s="62"/>
      <c r="S96" s="50"/>
      <c r="AI96" s="54"/>
    </row>
    <row r="97" spans="2:35" x14ac:dyDescent="0.2">
      <c r="B97" s="61"/>
      <c r="C97" s="91"/>
      <c r="D97" s="63"/>
      <c r="E97" s="63"/>
      <c r="F97" s="63"/>
      <c r="G97" s="63"/>
      <c r="H97" s="63"/>
      <c r="I97" s="63"/>
      <c r="J97" s="63"/>
      <c r="K97" s="63"/>
      <c r="L97" s="63"/>
      <c r="M97" s="64"/>
      <c r="N97" s="64"/>
      <c r="O97" s="62"/>
    </row>
    <row r="98" spans="2:35" x14ac:dyDescent="0.2">
      <c r="B98" s="61"/>
      <c r="C98" s="91" t="s">
        <v>131</v>
      </c>
      <c r="D98" s="63"/>
      <c r="E98" s="63"/>
      <c r="F98" s="65" t="s">
        <v>77</v>
      </c>
      <c r="G98" s="65" t="s">
        <v>83</v>
      </c>
      <c r="H98" s="65" t="s">
        <v>84</v>
      </c>
      <c r="I98" s="65" t="s">
        <v>85</v>
      </c>
      <c r="J98" s="65" t="s">
        <v>86</v>
      </c>
      <c r="K98" s="65" t="s">
        <v>87</v>
      </c>
      <c r="L98" s="92" t="s">
        <v>106</v>
      </c>
      <c r="M98" s="64"/>
      <c r="N98" s="64"/>
      <c r="O98" s="62"/>
      <c r="S98" s="50"/>
      <c r="AI98" s="54"/>
    </row>
    <row r="99" spans="2:35" x14ac:dyDescent="0.2">
      <c r="B99" s="61"/>
      <c r="C99" s="91"/>
      <c r="D99" s="63"/>
      <c r="E99" s="63"/>
      <c r="F99" s="120" t="str">
        <f>+C80</f>
        <v>Monitoreos Periodicos</v>
      </c>
      <c r="G99" s="94">
        <f>+H88</f>
        <v>306426008</v>
      </c>
      <c r="H99" s="94">
        <f>+I88</f>
        <v>306426008</v>
      </c>
      <c r="I99" s="94">
        <f>+J88</f>
        <v>306426008</v>
      </c>
      <c r="J99" s="94">
        <f>+K88</f>
        <v>306426008</v>
      </c>
      <c r="K99" s="94">
        <f>+L88</f>
        <v>306426008</v>
      </c>
      <c r="L99" s="95">
        <f>SUM(G99:K99)</f>
        <v>1532130040</v>
      </c>
      <c r="M99" s="64"/>
      <c r="N99" s="64"/>
      <c r="O99" s="62"/>
      <c r="S99" s="50"/>
      <c r="AI99" s="54"/>
    </row>
    <row r="100" spans="2:35" x14ac:dyDescent="0.2">
      <c r="B100" s="61"/>
      <c r="C100" s="91"/>
      <c r="D100" s="63"/>
      <c r="E100" s="63"/>
      <c r="F100" s="120" t="str">
        <f>+C91</f>
        <v xml:space="preserve">Campaña de Perforacion </v>
      </c>
      <c r="G100" s="94">
        <f>+H93</f>
        <v>576180000</v>
      </c>
      <c r="H100" s="94">
        <f>+I93</f>
        <v>576180000</v>
      </c>
      <c r="I100" s="94">
        <f>+J93</f>
        <v>576180000</v>
      </c>
      <c r="J100" s="94">
        <f>+K93</f>
        <v>576180000</v>
      </c>
      <c r="K100" s="94">
        <f>+L93</f>
        <v>576180000</v>
      </c>
      <c r="L100" s="95">
        <f>SUM(G100:K100)</f>
        <v>2880900000</v>
      </c>
      <c r="M100" s="64"/>
      <c r="N100" s="64"/>
      <c r="O100" s="62"/>
      <c r="S100" s="50"/>
      <c r="AI100" s="54"/>
    </row>
    <row r="101" spans="2:35" ht="59.25" customHeight="1" x14ac:dyDescent="0.2">
      <c r="B101" s="61"/>
      <c r="C101" s="91"/>
      <c r="D101" s="63"/>
      <c r="E101" s="63"/>
      <c r="F101" s="94" t="str">
        <f>+E96</f>
        <v>Varios: Contingencias, Derrames, Quejas, Reclamos, Demandas y Sancioneas</v>
      </c>
      <c r="G101" s="94">
        <f>+H96</f>
        <v>38800000</v>
      </c>
      <c r="H101" s="94">
        <f>+I96</f>
        <v>38800000</v>
      </c>
      <c r="I101" s="94">
        <f>+J96</f>
        <v>38800000</v>
      </c>
      <c r="J101" s="94">
        <f>+K96</f>
        <v>38800000</v>
      </c>
      <c r="K101" s="94">
        <f>+L96</f>
        <v>38800000</v>
      </c>
      <c r="L101" s="94">
        <f>+L96</f>
        <v>38800000</v>
      </c>
      <c r="M101" s="64"/>
      <c r="N101" s="64"/>
      <c r="O101" s="62"/>
      <c r="S101" s="50"/>
      <c r="AI101" s="54"/>
    </row>
    <row r="102" spans="2:35" x14ac:dyDescent="0.2">
      <c r="B102" s="98"/>
      <c r="C102" s="99"/>
      <c r="D102" s="99"/>
      <c r="E102" s="99"/>
      <c r="F102" s="123" t="s">
        <v>107</v>
      </c>
      <c r="G102" s="101">
        <f>SUM(G99:G101)</f>
        <v>921406008</v>
      </c>
      <c r="H102" s="101">
        <f t="shared" ref="H102:L102" si="20">SUM(H99:H101)</f>
        <v>921406008</v>
      </c>
      <c r="I102" s="101">
        <f t="shared" si="20"/>
        <v>921406008</v>
      </c>
      <c r="J102" s="101">
        <f t="shared" si="20"/>
        <v>921406008</v>
      </c>
      <c r="K102" s="101">
        <f t="shared" si="20"/>
        <v>921406008</v>
      </c>
      <c r="L102" s="102">
        <f t="shared" si="20"/>
        <v>4451830040</v>
      </c>
      <c r="M102" s="64"/>
      <c r="N102" s="127"/>
      <c r="O102" s="62"/>
      <c r="S102" s="50"/>
      <c r="AI102" s="54"/>
    </row>
    <row r="103" spans="2:35" x14ac:dyDescent="0.2">
      <c r="B103" s="61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4"/>
      <c r="N103" s="64"/>
      <c r="O103" s="62"/>
    </row>
    <row r="104" spans="2:35" ht="13.5" thickBot="1" x14ac:dyDescent="0.25">
      <c r="B104" s="107"/>
      <c r="C104" s="108"/>
      <c r="D104" s="109"/>
      <c r="E104" s="109"/>
      <c r="F104" s="109"/>
      <c r="G104" s="109"/>
      <c r="H104" s="109"/>
      <c r="I104" s="109"/>
      <c r="J104" s="109"/>
      <c r="K104" s="109"/>
      <c r="L104" s="109"/>
      <c r="M104" s="110"/>
      <c r="N104" s="110"/>
      <c r="O104" s="111"/>
    </row>
    <row r="105" spans="2:35" ht="13.5" thickBot="1" x14ac:dyDescent="0.25">
      <c r="O105" s="64"/>
    </row>
    <row r="106" spans="2:35" x14ac:dyDescent="0.2">
      <c r="B106" s="57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9"/>
      <c r="N106" s="59"/>
      <c r="O106" s="60"/>
    </row>
    <row r="107" spans="2:35" ht="26.25" x14ac:dyDescent="0.4">
      <c r="B107" s="61"/>
      <c r="C107" s="254" t="s">
        <v>132</v>
      </c>
      <c r="D107" s="254"/>
      <c r="E107" s="254"/>
      <c r="F107" s="254"/>
      <c r="G107" s="254"/>
      <c r="H107" s="254"/>
      <c r="I107" s="254"/>
      <c r="J107" s="254"/>
      <c r="K107" s="254"/>
      <c r="L107" s="254"/>
      <c r="M107" s="254"/>
      <c r="N107" s="254"/>
      <c r="O107" s="62"/>
    </row>
    <row r="108" spans="2:35" x14ac:dyDescent="0.2">
      <c r="B108" s="61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4"/>
      <c r="N108" s="64"/>
      <c r="O108" s="62"/>
    </row>
    <row r="109" spans="2:35" x14ac:dyDescent="0.2">
      <c r="B109" s="61"/>
      <c r="C109" s="65" t="s">
        <v>77</v>
      </c>
      <c r="D109" s="65" t="s">
        <v>78</v>
      </c>
      <c r="E109" s="65" t="s">
        <v>79</v>
      </c>
      <c r="F109" s="65" t="s">
        <v>80</v>
      </c>
      <c r="G109" s="65" t="s">
        <v>81</v>
      </c>
      <c r="H109" s="65" t="s">
        <v>83</v>
      </c>
      <c r="I109" s="65" t="s">
        <v>84</v>
      </c>
      <c r="J109" s="65" t="s">
        <v>85</v>
      </c>
      <c r="K109" s="65" t="s">
        <v>86</v>
      </c>
      <c r="L109" s="65" t="s">
        <v>87</v>
      </c>
      <c r="M109" s="66"/>
      <c r="N109" s="64"/>
      <c r="O109" s="62"/>
      <c r="S109" s="50"/>
      <c r="AI109" s="54"/>
    </row>
    <row r="110" spans="2:35" ht="12.75" customHeight="1" x14ac:dyDescent="0.2">
      <c r="B110" s="61"/>
      <c r="C110" s="247" t="s">
        <v>125</v>
      </c>
      <c r="D110" s="72" t="s">
        <v>92</v>
      </c>
      <c r="E110" s="72" t="s">
        <v>93</v>
      </c>
      <c r="F110" s="282">
        <v>49095795</v>
      </c>
      <c r="G110" s="278">
        <v>2</v>
      </c>
      <c r="H110" s="282">
        <f>+G110*F110</f>
        <v>98191590</v>
      </c>
      <c r="I110" s="282">
        <f>+H110*(1+$D$4)</f>
        <v>98191590</v>
      </c>
      <c r="J110" s="282">
        <f t="shared" ref="J110:L110" si="21">+I110*(1+$D$4)</f>
        <v>98191590</v>
      </c>
      <c r="K110" s="282">
        <f t="shared" si="21"/>
        <v>98191590</v>
      </c>
      <c r="L110" s="282">
        <f t="shared" si="21"/>
        <v>98191590</v>
      </c>
      <c r="M110" s="70"/>
      <c r="N110" s="64"/>
      <c r="O110" s="62"/>
      <c r="S110" s="50"/>
      <c r="AI110" s="54"/>
    </row>
    <row r="111" spans="2:35" ht="23.25" customHeight="1" x14ac:dyDescent="0.2">
      <c r="B111" s="61"/>
      <c r="C111" s="248"/>
      <c r="D111" s="72" t="s">
        <v>92</v>
      </c>
      <c r="E111" s="72" t="s">
        <v>133</v>
      </c>
      <c r="F111" s="286"/>
      <c r="G111" s="292"/>
      <c r="H111" s="286"/>
      <c r="I111" s="286"/>
      <c r="J111" s="286"/>
      <c r="K111" s="286"/>
      <c r="L111" s="286"/>
      <c r="M111" s="70"/>
      <c r="N111" s="64"/>
      <c r="O111" s="62"/>
      <c r="S111" s="50"/>
      <c r="AI111" s="54"/>
    </row>
    <row r="112" spans="2:35" ht="15" customHeight="1" x14ac:dyDescent="0.2">
      <c r="B112" s="61"/>
      <c r="C112" s="248"/>
      <c r="D112" s="72" t="s">
        <v>92</v>
      </c>
      <c r="E112" s="72" t="s">
        <v>90</v>
      </c>
      <c r="F112" s="286"/>
      <c r="G112" s="292"/>
      <c r="H112" s="286"/>
      <c r="I112" s="286"/>
      <c r="J112" s="286"/>
      <c r="K112" s="286"/>
      <c r="L112" s="286"/>
      <c r="M112" s="70"/>
      <c r="N112" s="64"/>
      <c r="O112" s="62"/>
      <c r="S112" s="50"/>
      <c r="AI112" s="54"/>
    </row>
    <row r="113" spans="2:35" ht="15" customHeight="1" x14ac:dyDescent="0.2">
      <c r="B113" s="61"/>
      <c r="C113" s="249"/>
      <c r="D113" s="72" t="s">
        <v>92</v>
      </c>
      <c r="E113" s="72" t="s">
        <v>91</v>
      </c>
      <c r="F113" s="291"/>
      <c r="G113" s="293"/>
      <c r="H113" s="291"/>
      <c r="I113" s="291"/>
      <c r="J113" s="291"/>
      <c r="K113" s="291"/>
      <c r="L113" s="291"/>
      <c r="M113" s="70"/>
      <c r="N113" s="64"/>
      <c r="O113" s="62"/>
      <c r="S113" s="50"/>
      <c r="AI113" s="54"/>
    </row>
    <row r="114" spans="2:35" x14ac:dyDescent="0.2">
      <c r="B114" s="75"/>
      <c r="C114" s="241" t="s">
        <v>96</v>
      </c>
      <c r="D114" s="242"/>
      <c r="E114" s="242"/>
      <c r="F114" s="242"/>
      <c r="G114" s="243"/>
      <c r="H114" s="76">
        <f t="shared" ref="H114:L114" si="22">SUM(H110:H113)</f>
        <v>98191590</v>
      </c>
      <c r="I114" s="76">
        <f t="shared" si="22"/>
        <v>98191590</v>
      </c>
      <c r="J114" s="76">
        <f t="shared" si="22"/>
        <v>98191590</v>
      </c>
      <c r="K114" s="76">
        <f t="shared" si="22"/>
        <v>98191590</v>
      </c>
      <c r="L114" s="77">
        <f t="shared" si="22"/>
        <v>98191590</v>
      </c>
      <c r="M114" s="78"/>
      <c r="N114" s="159"/>
      <c r="O114" s="62"/>
      <c r="S114" s="50"/>
      <c r="AI114" s="54"/>
    </row>
    <row r="115" spans="2:35" x14ac:dyDescent="0.2">
      <c r="B115" s="75"/>
      <c r="C115" s="82"/>
      <c r="D115" s="82"/>
      <c r="E115" s="82"/>
      <c r="F115" s="82"/>
      <c r="G115" s="82"/>
      <c r="H115" s="83"/>
      <c r="I115" s="83"/>
      <c r="J115" s="83"/>
      <c r="K115" s="83"/>
      <c r="L115" s="83"/>
      <c r="M115" s="78"/>
      <c r="N115" s="78"/>
      <c r="O115" s="84"/>
    </row>
    <row r="116" spans="2:35" ht="38.25" x14ac:dyDescent="0.2">
      <c r="B116" s="61"/>
      <c r="C116" s="65" t="s">
        <v>77</v>
      </c>
      <c r="D116" s="65" t="s">
        <v>78</v>
      </c>
      <c r="E116" s="65" t="s">
        <v>79</v>
      </c>
      <c r="F116" s="65" t="s">
        <v>97</v>
      </c>
      <c r="G116" s="65" t="s">
        <v>98</v>
      </c>
      <c r="H116" s="65" t="s">
        <v>83</v>
      </c>
      <c r="I116" s="65" t="s">
        <v>84</v>
      </c>
      <c r="J116" s="65" t="s">
        <v>85</v>
      </c>
      <c r="K116" s="65" t="s">
        <v>86</v>
      </c>
      <c r="L116" s="65" t="s">
        <v>87</v>
      </c>
      <c r="M116" s="66"/>
      <c r="N116" s="160"/>
      <c r="O116" s="62"/>
      <c r="S116" s="50"/>
      <c r="AI116" s="54"/>
    </row>
    <row r="117" spans="2:35" ht="12.75" customHeight="1" x14ac:dyDescent="0.2">
      <c r="B117" s="61"/>
      <c r="C117" s="247" t="s">
        <v>130</v>
      </c>
      <c r="D117" s="67">
        <v>1</v>
      </c>
      <c r="E117" s="67" t="s">
        <v>90</v>
      </c>
      <c r="F117" s="85">
        <f>55000000*0.97</f>
        <v>53350000</v>
      </c>
      <c r="G117" s="114">
        <v>1</v>
      </c>
      <c r="H117" s="85">
        <f>+D117*F117*G117</f>
        <v>53350000</v>
      </c>
      <c r="I117" s="85">
        <f>+(H117*$D$4)+H117</f>
        <v>53350000</v>
      </c>
      <c r="J117" s="85">
        <f>+(I117*$D$4)+I117</f>
        <v>53350000</v>
      </c>
      <c r="K117" s="85">
        <f t="shared" ref="K117:L118" si="23">+(J117*$D$4)+J117</f>
        <v>53350000</v>
      </c>
      <c r="L117" s="85">
        <f t="shared" si="23"/>
        <v>53350000</v>
      </c>
      <c r="M117" s="86"/>
      <c r="N117" s="160"/>
      <c r="O117" s="62"/>
      <c r="S117" s="50"/>
      <c r="AI117" s="54"/>
    </row>
    <row r="118" spans="2:35" x14ac:dyDescent="0.2">
      <c r="B118" s="61"/>
      <c r="C118" s="249"/>
      <c r="D118" s="72">
        <v>1</v>
      </c>
      <c r="E118" s="72" t="s">
        <v>91</v>
      </c>
      <c r="F118" s="87">
        <f>4000000*0.97</f>
        <v>3880000</v>
      </c>
      <c r="G118" s="114">
        <v>1</v>
      </c>
      <c r="H118" s="85">
        <f>+D118*F118*G118</f>
        <v>3880000</v>
      </c>
      <c r="I118" s="85">
        <f t="shared" ref="I118" si="24">+(H118*$D$4)+H118</f>
        <v>3880000</v>
      </c>
      <c r="J118" s="85">
        <f>+(I118*$D$4)+I118</f>
        <v>3880000</v>
      </c>
      <c r="K118" s="85">
        <f t="shared" si="23"/>
        <v>3880000</v>
      </c>
      <c r="L118" s="85">
        <f t="shared" si="23"/>
        <v>3880000</v>
      </c>
      <c r="M118" s="86"/>
      <c r="N118" s="160"/>
      <c r="O118" s="62"/>
      <c r="S118" s="50"/>
      <c r="AI118" s="54"/>
    </row>
    <row r="119" spans="2:35" x14ac:dyDescent="0.2">
      <c r="B119" s="75"/>
      <c r="C119" s="241" t="s">
        <v>96</v>
      </c>
      <c r="D119" s="242"/>
      <c r="E119" s="242"/>
      <c r="F119" s="242"/>
      <c r="G119" s="243"/>
      <c r="H119" s="76">
        <f t="shared" ref="H119:L119" si="25">SUM(H117:H118)</f>
        <v>57230000</v>
      </c>
      <c r="I119" s="76">
        <f t="shared" si="25"/>
        <v>57230000</v>
      </c>
      <c r="J119" s="76">
        <f t="shared" si="25"/>
        <v>57230000</v>
      </c>
      <c r="K119" s="76">
        <f t="shared" si="25"/>
        <v>57230000</v>
      </c>
      <c r="L119" s="77">
        <f t="shared" si="25"/>
        <v>57230000</v>
      </c>
      <c r="M119" s="78"/>
      <c r="N119" s="160"/>
      <c r="O119" s="62"/>
      <c r="S119" s="50"/>
      <c r="AI119" s="54"/>
    </row>
    <row r="120" spans="2:35" x14ac:dyDescent="0.2">
      <c r="B120" s="61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4"/>
      <c r="N120" s="64"/>
      <c r="O120" s="62"/>
    </row>
    <row r="121" spans="2:35" x14ac:dyDescent="0.2">
      <c r="B121" s="61"/>
      <c r="C121" s="91" t="s">
        <v>134</v>
      </c>
      <c r="D121" s="63"/>
      <c r="E121" s="63"/>
      <c r="F121" s="99"/>
      <c r="G121" s="63"/>
      <c r="H121" s="63"/>
      <c r="I121" s="63"/>
      <c r="J121" s="63"/>
      <c r="K121" s="63"/>
      <c r="L121" s="63"/>
      <c r="M121" s="64"/>
      <c r="N121" s="64"/>
      <c r="O121" s="62"/>
    </row>
    <row r="122" spans="2:35" x14ac:dyDescent="0.2">
      <c r="B122" s="61"/>
      <c r="C122" s="63"/>
      <c r="D122" s="63"/>
      <c r="E122" s="63"/>
      <c r="F122" s="65" t="s">
        <v>77</v>
      </c>
      <c r="G122" s="65" t="s">
        <v>83</v>
      </c>
      <c r="H122" s="65" t="s">
        <v>84</v>
      </c>
      <c r="I122" s="65" t="s">
        <v>85</v>
      </c>
      <c r="J122" s="65" t="s">
        <v>86</v>
      </c>
      <c r="K122" s="65" t="s">
        <v>87</v>
      </c>
      <c r="L122" s="92" t="s">
        <v>106</v>
      </c>
      <c r="M122" s="86"/>
      <c r="N122" s="64"/>
      <c r="O122" s="62"/>
      <c r="S122" s="50"/>
      <c r="AI122" s="54"/>
    </row>
    <row r="123" spans="2:35" x14ac:dyDescent="0.2">
      <c r="B123" s="61"/>
      <c r="C123" s="63"/>
      <c r="D123" s="63"/>
      <c r="E123" s="63"/>
      <c r="F123" s="120" t="str">
        <f>+C110</f>
        <v>Monitoreos Periodicos</v>
      </c>
      <c r="G123" s="94">
        <f>+H114</f>
        <v>98191590</v>
      </c>
      <c r="H123" s="94">
        <f>+I114</f>
        <v>98191590</v>
      </c>
      <c r="I123" s="94">
        <f>+J114</f>
        <v>98191590</v>
      </c>
      <c r="J123" s="94">
        <f>+K114</f>
        <v>98191590</v>
      </c>
      <c r="K123" s="94">
        <f>+L114</f>
        <v>98191590</v>
      </c>
      <c r="L123" s="95">
        <f>SUM(G123:K123)</f>
        <v>490957950</v>
      </c>
      <c r="M123" s="86"/>
      <c r="N123" s="64"/>
      <c r="O123" s="62"/>
      <c r="S123" s="50"/>
      <c r="AI123" s="54"/>
    </row>
    <row r="124" spans="2:35" x14ac:dyDescent="0.2">
      <c r="B124" s="61"/>
      <c r="C124" s="63"/>
      <c r="D124" s="63"/>
      <c r="E124" s="63"/>
      <c r="F124" s="120" t="str">
        <f>+C117</f>
        <v xml:space="preserve">Campaña de Perforacion </v>
      </c>
      <c r="G124" s="94">
        <f>+H119</f>
        <v>57230000</v>
      </c>
      <c r="H124" s="94">
        <f>+I119</f>
        <v>57230000</v>
      </c>
      <c r="I124" s="94">
        <f>+J119</f>
        <v>57230000</v>
      </c>
      <c r="J124" s="94">
        <f>+K119</f>
        <v>57230000</v>
      </c>
      <c r="K124" s="94">
        <f>+L119</f>
        <v>57230000</v>
      </c>
      <c r="L124" s="95">
        <f>SUM(G124:K124)</f>
        <v>286150000</v>
      </c>
      <c r="M124" s="86"/>
      <c r="N124" s="64"/>
      <c r="O124" s="62"/>
      <c r="S124" s="50"/>
      <c r="AI124" s="54"/>
    </row>
    <row r="125" spans="2:35" x14ac:dyDescent="0.2">
      <c r="B125" s="98"/>
      <c r="C125" s="99"/>
      <c r="D125" s="99"/>
      <c r="E125" s="99"/>
      <c r="F125" s="123" t="s">
        <v>107</v>
      </c>
      <c r="G125" s="101">
        <f t="shared" ref="G125:K125" si="26">SUM(G123:G124)</f>
        <v>155421590</v>
      </c>
      <c r="H125" s="101">
        <f t="shared" si="26"/>
        <v>155421590</v>
      </c>
      <c r="I125" s="101">
        <f t="shared" si="26"/>
        <v>155421590</v>
      </c>
      <c r="J125" s="101">
        <f t="shared" si="26"/>
        <v>155421590</v>
      </c>
      <c r="K125" s="101">
        <f t="shared" si="26"/>
        <v>155421590</v>
      </c>
      <c r="L125" s="102">
        <f>SUM(G125:K125)</f>
        <v>777107950</v>
      </c>
      <c r="M125" s="86"/>
      <c r="N125" s="127"/>
      <c r="O125" s="62"/>
      <c r="S125" s="50"/>
      <c r="AI125" s="54"/>
    </row>
    <row r="126" spans="2:35" x14ac:dyDescent="0.2">
      <c r="B126" s="61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4"/>
      <c r="N126" s="64"/>
      <c r="O126" s="62"/>
    </row>
    <row r="127" spans="2:35" ht="13.5" thickBot="1" x14ac:dyDescent="0.25">
      <c r="B127" s="107"/>
      <c r="C127" s="108"/>
      <c r="D127" s="109"/>
      <c r="E127" s="109"/>
      <c r="F127" s="109"/>
      <c r="G127" s="109"/>
      <c r="H127" s="109"/>
      <c r="I127" s="109"/>
      <c r="J127" s="109"/>
      <c r="K127" s="109"/>
      <c r="L127" s="109"/>
      <c r="M127" s="110"/>
      <c r="N127" s="110"/>
      <c r="O127" s="111"/>
    </row>
    <row r="128" spans="2:35" ht="13.5" thickBot="1" x14ac:dyDescent="0.25">
      <c r="O128" s="64"/>
    </row>
    <row r="129" spans="2:35" x14ac:dyDescent="0.2">
      <c r="B129" s="57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9"/>
      <c r="N129" s="59"/>
      <c r="O129" s="60"/>
    </row>
    <row r="130" spans="2:35" ht="31.5" x14ac:dyDescent="0.5">
      <c r="B130" s="61"/>
      <c r="C130" s="255" t="s">
        <v>135</v>
      </c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62"/>
    </row>
    <row r="131" spans="2:35" x14ac:dyDescent="0.2">
      <c r="B131" s="61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4"/>
      <c r="N131" s="64"/>
      <c r="O131" s="62"/>
    </row>
    <row r="132" spans="2:35" x14ac:dyDescent="0.2">
      <c r="B132" s="61"/>
      <c r="C132" s="65" t="s">
        <v>77</v>
      </c>
      <c r="D132" s="65" t="s">
        <v>78</v>
      </c>
      <c r="E132" s="65" t="s">
        <v>79</v>
      </c>
      <c r="F132" s="65" t="s">
        <v>80</v>
      </c>
      <c r="G132" s="65" t="s">
        <v>81</v>
      </c>
      <c r="H132" s="65" t="s">
        <v>83</v>
      </c>
      <c r="I132" s="65" t="s">
        <v>84</v>
      </c>
      <c r="J132" s="65" t="s">
        <v>85</v>
      </c>
      <c r="K132" s="65" t="s">
        <v>86</v>
      </c>
      <c r="L132" s="65" t="s">
        <v>87</v>
      </c>
      <c r="M132" s="66"/>
      <c r="N132" s="64"/>
      <c r="O132" s="62"/>
      <c r="S132" s="50"/>
      <c r="AI132" s="54"/>
    </row>
    <row r="133" spans="2:35" x14ac:dyDescent="0.2">
      <c r="B133" s="61"/>
      <c r="C133" s="247" t="s">
        <v>136</v>
      </c>
      <c r="D133" s="72" t="s">
        <v>117</v>
      </c>
      <c r="E133" s="72" t="s">
        <v>128</v>
      </c>
      <c r="F133" s="282">
        <v>9909520</v>
      </c>
      <c r="G133" s="284">
        <v>1</v>
      </c>
      <c r="H133" s="282">
        <f>+G133*F133</f>
        <v>9909520</v>
      </c>
      <c r="I133" s="282">
        <f>+H133*(1+$D$4)</f>
        <v>9909520</v>
      </c>
      <c r="J133" s="282">
        <f t="shared" ref="J133:L138" si="27">+I133*(1+$D$4)</f>
        <v>9909520</v>
      </c>
      <c r="K133" s="282">
        <f t="shared" si="27"/>
        <v>9909520</v>
      </c>
      <c r="L133" s="282">
        <f t="shared" si="27"/>
        <v>9909520</v>
      </c>
      <c r="M133" s="70"/>
      <c r="N133" s="64"/>
      <c r="O133" s="62"/>
      <c r="S133" s="50"/>
      <c r="AI133" s="54"/>
    </row>
    <row r="134" spans="2:35" ht="15" customHeight="1" x14ac:dyDescent="0.2">
      <c r="B134" s="61"/>
      <c r="C134" s="248"/>
      <c r="D134" s="72" t="s">
        <v>117</v>
      </c>
      <c r="E134" s="72" t="s">
        <v>91</v>
      </c>
      <c r="F134" s="286"/>
      <c r="G134" s="290"/>
      <c r="H134" s="286"/>
      <c r="I134" s="286"/>
      <c r="J134" s="286"/>
      <c r="K134" s="286"/>
      <c r="L134" s="286"/>
      <c r="M134" s="70"/>
      <c r="N134" s="64"/>
      <c r="O134" s="62"/>
      <c r="Q134" s="124"/>
      <c r="S134" s="50"/>
      <c r="AI134" s="54"/>
    </row>
    <row r="135" spans="2:35" ht="15" customHeight="1" x14ac:dyDescent="0.2">
      <c r="B135" s="61"/>
      <c r="C135" s="248"/>
      <c r="D135" s="72" t="s">
        <v>117</v>
      </c>
      <c r="E135" s="72" t="s">
        <v>94</v>
      </c>
      <c r="F135" s="283"/>
      <c r="G135" s="285"/>
      <c r="H135" s="283"/>
      <c r="I135" s="283"/>
      <c r="J135" s="283"/>
      <c r="K135" s="283"/>
      <c r="L135" s="283"/>
      <c r="M135" s="70"/>
      <c r="N135" s="64"/>
      <c r="O135" s="62"/>
      <c r="Q135" s="124"/>
      <c r="S135" s="50"/>
      <c r="AI135" s="54"/>
    </row>
    <row r="136" spans="2:35" ht="15" customHeight="1" x14ac:dyDescent="0.2">
      <c r="B136" s="61"/>
      <c r="C136" s="248"/>
      <c r="D136" s="72" t="s">
        <v>92</v>
      </c>
      <c r="E136" s="72" t="s">
        <v>94</v>
      </c>
      <c r="F136" s="68">
        <v>779589</v>
      </c>
      <c r="G136" s="67">
        <v>2</v>
      </c>
      <c r="H136" s="68">
        <f>+G136*F136</f>
        <v>1559178</v>
      </c>
      <c r="I136" s="68">
        <f>+H136*(1+$D$4)</f>
        <v>1559178</v>
      </c>
      <c r="J136" s="68">
        <f t="shared" ref="J136:L136" si="28">+I136*(1+$D$4)</f>
        <v>1559178</v>
      </c>
      <c r="K136" s="68">
        <f t="shared" si="28"/>
        <v>1559178</v>
      </c>
      <c r="L136" s="68">
        <f t="shared" si="28"/>
        <v>1559178</v>
      </c>
      <c r="M136" s="70"/>
      <c r="N136" s="64"/>
      <c r="O136" s="62"/>
      <c r="Q136" s="124"/>
      <c r="S136" s="50"/>
      <c r="AI136" s="54"/>
    </row>
    <row r="137" spans="2:35" ht="25.5" x14ac:dyDescent="0.2">
      <c r="B137" s="61"/>
      <c r="C137" s="248"/>
      <c r="D137" s="72" t="s">
        <v>121</v>
      </c>
      <c r="E137" s="72" t="s">
        <v>137</v>
      </c>
      <c r="F137" s="68">
        <v>12416000</v>
      </c>
      <c r="G137" s="67">
        <v>12</v>
      </c>
      <c r="H137" s="68">
        <f>+G137*F137</f>
        <v>148992000</v>
      </c>
      <c r="I137" s="68">
        <f t="shared" ref="I137:I138" si="29">+H137*(1+$D$4)</f>
        <v>148992000</v>
      </c>
      <c r="J137" s="68">
        <f t="shared" si="27"/>
        <v>148992000</v>
      </c>
      <c r="K137" s="68">
        <f t="shared" si="27"/>
        <v>148992000</v>
      </c>
      <c r="L137" s="68">
        <f t="shared" si="27"/>
        <v>148992000</v>
      </c>
      <c r="M137" s="70"/>
      <c r="N137" s="64"/>
      <c r="O137" s="62"/>
      <c r="Q137" s="124"/>
      <c r="S137" s="50"/>
      <c r="AI137" s="54"/>
    </row>
    <row r="138" spans="2:35" ht="25.5" x14ac:dyDescent="0.2">
      <c r="B138" s="61"/>
      <c r="C138" s="248"/>
      <c r="D138" s="72" t="s">
        <v>121</v>
      </c>
      <c r="E138" s="72" t="s">
        <v>137</v>
      </c>
      <c r="F138" s="68">
        <v>12416000</v>
      </c>
      <c r="G138" s="67">
        <v>12</v>
      </c>
      <c r="H138" s="68">
        <f>+G138*F138</f>
        <v>148992000</v>
      </c>
      <c r="I138" s="68">
        <f t="shared" si="29"/>
        <v>148992000</v>
      </c>
      <c r="J138" s="68">
        <f t="shared" si="27"/>
        <v>148992000</v>
      </c>
      <c r="K138" s="68">
        <f t="shared" si="27"/>
        <v>148992000</v>
      </c>
      <c r="L138" s="68">
        <f t="shared" si="27"/>
        <v>148992000</v>
      </c>
      <c r="M138" s="70"/>
      <c r="N138" s="64"/>
      <c r="O138" s="62"/>
      <c r="Q138" s="124"/>
      <c r="S138" s="50"/>
      <c r="AI138" s="54"/>
    </row>
    <row r="139" spans="2:35" x14ac:dyDescent="0.2">
      <c r="B139" s="75"/>
      <c r="C139" s="241" t="s">
        <v>96</v>
      </c>
      <c r="D139" s="242"/>
      <c r="E139" s="242"/>
      <c r="F139" s="242"/>
      <c r="G139" s="243"/>
      <c r="H139" s="76">
        <f>SUM(H133:H138)</f>
        <v>309452698</v>
      </c>
      <c r="I139" s="76">
        <f>SUM(I133:I138)</f>
        <v>309452698</v>
      </c>
      <c r="J139" s="76">
        <f>SUM(J133:J138)</f>
        <v>309452698</v>
      </c>
      <c r="K139" s="76">
        <f>SUM(K133:K138)</f>
        <v>309452698</v>
      </c>
      <c r="L139" s="77">
        <f>SUM(L133:L138)</f>
        <v>309452698</v>
      </c>
      <c r="M139" s="78"/>
      <c r="N139" s="159"/>
      <c r="O139" s="62"/>
      <c r="Q139" s="124"/>
      <c r="S139" s="50"/>
      <c r="AI139" s="54"/>
    </row>
    <row r="140" spans="2:35" x14ac:dyDescent="0.2">
      <c r="B140" s="75"/>
      <c r="C140" s="82"/>
      <c r="D140" s="82"/>
      <c r="E140" s="82"/>
      <c r="F140" s="82"/>
      <c r="G140" s="82"/>
      <c r="H140" s="83"/>
      <c r="I140" s="83"/>
      <c r="J140" s="83"/>
      <c r="K140" s="83"/>
      <c r="L140" s="83"/>
      <c r="M140" s="78"/>
      <c r="N140" s="78"/>
      <c r="O140" s="84"/>
      <c r="R140" s="124"/>
    </row>
    <row r="141" spans="2:35" ht="25.5" x14ac:dyDescent="0.2">
      <c r="B141" s="61"/>
      <c r="C141" s="63"/>
      <c r="D141" s="63"/>
      <c r="E141" s="65" t="s">
        <v>77</v>
      </c>
      <c r="F141" s="65" t="s">
        <v>78</v>
      </c>
      <c r="G141" s="65" t="s">
        <v>97</v>
      </c>
      <c r="H141" s="65" t="s">
        <v>83</v>
      </c>
      <c r="I141" s="65" t="s">
        <v>84</v>
      </c>
      <c r="J141" s="65" t="s">
        <v>85</v>
      </c>
      <c r="K141" s="65" t="s">
        <v>86</v>
      </c>
      <c r="L141" s="65" t="s">
        <v>87</v>
      </c>
      <c r="M141" s="66"/>
      <c r="N141" s="160"/>
      <c r="O141" s="62"/>
      <c r="Q141" s="124"/>
      <c r="S141" s="50"/>
      <c r="AI141" s="54"/>
    </row>
    <row r="142" spans="2:35" ht="33.75" customHeight="1" x14ac:dyDescent="0.2">
      <c r="B142" s="61"/>
      <c r="C142" s="63"/>
      <c r="D142" s="63"/>
      <c r="E142" s="89" t="s">
        <v>138</v>
      </c>
      <c r="F142" s="90">
        <v>2</v>
      </c>
      <c r="G142" s="85">
        <f>11000000*0.97</f>
        <v>10670000</v>
      </c>
      <c r="H142" s="85">
        <f>+G142*F142</f>
        <v>21340000</v>
      </c>
      <c r="I142" s="85">
        <f t="shared" ref="I142:L142" si="30">+H142*(1+$D$4)</f>
        <v>21340000</v>
      </c>
      <c r="J142" s="85">
        <f t="shared" si="30"/>
        <v>21340000</v>
      </c>
      <c r="K142" s="85">
        <f t="shared" si="30"/>
        <v>21340000</v>
      </c>
      <c r="L142" s="85">
        <f t="shared" si="30"/>
        <v>21340000</v>
      </c>
      <c r="M142" s="86"/>
      <c r="N142" s="160"/>
      <c r="O142" s="62"/>
      <c r="S142" s="50"/>
      <c r="AI142" s="54"/>
    </row>
    <row r="143" spans="2:35" x14ac:dyDescent="0.2">
      <c r="B143" s="61"/>
      <c r="C143" s="125"/>
      <c r="D143" s="63"/>
      <c r="E143" s="63"/>
      <c r="F143" s="63"/>
      <c r="G143" s="63"/>
      <c r="H143" s="63"/>
      <c r="I143" s="63"/>
      <c r="J143" s="63"/>
      <c r="K143" s="63"/>
      <c r="L143" s="63"/>
      <c r="M143" s="64"/>
      <c r="N143" s="64"/>
      <c r="O143" s="62"/>
    </row>
    <row r="144" spans="2:35" x14ac:dyDescent="0.2">
      <c r="B144" s="61"/>
      <c r="C144" s="91" t="s">
        <v>139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4"/>
      <c r="N144" s="64"/>
      <c r="O144" s="62"/>
    </row>
    <row r="145" spans="2:35" x14ac:dyDescent="0.2">
      <c r="B145" s="61"/>
      <c r="C145" s="63"/>
      <c r="D145" s="63"/>
      <c r="E145" s="63"/>
      <c r="F145" s="65" t="s">
        <v>77</v>
      </c>
      <c r="G145" s="65" t="s">
        <v>83</v>
      </c>
      <c r="H145" s="65" t="s">
        <v>84</v>
      </c>
      <c r="I145" s="65" t="s">
        <v>85</v>
      </c>
      <c r="J145" s="65" t="s">
        <v>86</v>
      </c>
      <c r="K145" s="65" t="s">
        <v>87</v>
      </c>
      <c r="L145" s="126" t="s">
        <v>106</v>
      </c>
      <c r="M145" s="127"/>
      <c r="N145" s="64"/>
      <c r="O145" s="62"/>
      <c r="S145" s="50"/>
      <c r="AI145" s="54"/>
    </row>
    <row r="146" spans="2:35" x14ac:dyDescent="0.2">
      <c r="B146" s="98"/>
      <c r="C146" s="99"/>
      <c r="D146" s="99"/>
      <c r="E146" s="99"/>
      <c r="F146" s="123" t="s">
        <v>140</v>
      </c>
      <c r="G146" s="101">
        <f>+H139+H142</f>
        <v>330792698</v>
      </c>
      <c r="H146" s="101">
        <f>+I139+I142</f>
        <v>330792698</v>
      </c>
      <c r="I146" s="101">
        <f>+J139+J142</f>
        <v>330792698</v>
      </c>
      <c r="J146" s="101">
        <f>+K139+K142</f>
        <v>330792698</v>
      </c>
      <c r="K146" s="101">
        <f>+L139+L142</f>
        <v>330792698</v>
      </c>
      <c r="L146" s="128">
        <f>SUM(G146:K146)</f>
        <v>1653963490</v>
      </c>
      <c r="M146" s="129"/>
      <c r="N146" s="127"/>
      <c r="O146" s="62"/>
      <c r="S146" s="50"/>
      <c r="AI146" s="54"/>
    </row>
    <row r="147" spans="2:35" x14ac:dyDescent="0.2">
      <c r="B147" s="61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4"/>
      <c r="N147" s="64"/>
      <c r="O147" s="62"/>
    </row>
    <row r="148" spans="2:35" ht="13.5" thickBot="1" x14ac:dyDescent="0.25">
      <c r="B148" s="107"/>
      <c r="C148" s="108"/>
      <c r="D148" s="109"/>
      <c r="E148" s="109"/>
      <c r="F148" s="109"/>
      <c r="G148" s="109"/>
      <c r="H148" s="109"/>
      <c r="I148" s="109"/>
      <c r="J148" s="109"/>
      <c r="K148" s="109"/>
      <c r="L148" s="109"/>
      <c r="M148" s="110"/>
      <c r="N148" s="110"/>
      <c r="O148" s="111"/>
    </row>
    <row r="149" spans="2:35" ht="13.5" thickBot="1" x14ac:dyDescent="0.25">
      <c r="O149" s="64"/>
    </row>
    <row r="150" spans="2:35" x14ac:dyDescent="0.2">
      <c r="B150" s="57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9"/>
      <c r="N150" s="59"/>
      <c r="O150" s="60"/>
    </row>
    <row r="151" spans="2:35" ht="26.25" x14ac:dyDescent="0.4">
      <c r="B151" s="61"/>
      <c r="C151" s="254" t="s">
        <v>141</v>
      </c>
      <c r="D151" s="254"/>
      <c r="E151" s="254"/>
      <c r="F151" s="254"/>
      <c r="G151" s="254"/>
      <c r="H151" s="254"/>
      <c r="I151" s="254"/>
      <c r="J151" s="254"/>
      <c r="K151" s="254"/>
      <c r="L151" s="254"/>
      <c r="M151" s="254"/>
      <c r="N151" s="254"/>
      <c r="O151" s="62"/>
    </row>
    <row r="152" spans="2:35" x14ac:dyDescent="0.2">
      <c r="B152" s="61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4"/>
      <c r="N152" s="64"/>
      <c r="O152" s="62"/>
    </row>
    <row r="153" spans="2:35" x14ac:dyDescent="0.2">
      <c r="B153" s="61"/>
      <c r="C153" s="65" t="s">
        <v>77</v>
      </c>
      <c r="D153" s="65" t="s">
        <v>78</v>
      </c>
      <c r="E153" s="65" t="s">
        <v>79</v>
      </c>
      <c r="F153" s="65" t="s">
        <v>80</v>
      </c>
      <c r="G153" s="65" t="s">
        <v>81</v>
      </c>
      <c r="H153" s="65" t="s">
        <v>83</v>
      </c>
      <c r="I153" s="65" t="s">
        <v>84</v>
      </c>
      <c r="J153" s="65" t="s">
        <v>85</v>
      </c>
      <c r="K153" s="65" t="s">
        <v>86</v>
      </c>
      <c r="L153" s="65" t="s">
        <v>87</v>
      </c>
      <c r="M153" s="66"/>
      <c r="N153" s="64"/>
      <c r="O153" s="62"/>
      <c r="S153" s="50"/>
      <c r="AI153" s="54"/>
    </row>
    <row r="154" spans="2:35" x14ac:dyDescent="0.2">
      <c r="B154" s="61"/>
      <c r="C154" s="247" t="s">
        <v>142</v>
      </c>
      <c r="D154" s="72" t="s">
        <v>117</v>
      </c>
      <c r="E154" s="72" t="s">
        <v>90</v>
      </c>
      <c r="F154" s="282">
        <v>85787158</v>
      </c>
      <c r="G154" s="284">
        <v>1</v>
      </c>
      <c r="H154" s="278">
        <f>+G154*F154</f>
        <v>85787158</v>
      </c>
      <c r="I154" s="278">
        <f>+H154*(1+$D$4)</f>
        <v>85787158</v>
      </c>
      <c r="J154" s="278">
        <f t="shared" ref="J154:L156" si="31">+I154*(1+$D$4)</f>
        <v>85787158</v>
      </c>
      <c r="K154" s="278">
        <f t="shared" si="31"/>
        <v>85787158</v>
      </c>
      <c r="L154" s="278">
        <f t="shared" si="31"/>
        <v>85787158</v>
      </c>
      <c r="M154" s="70"/>
      <c r="N154" s="64"/>
      <c r="O154" s="62"/>
      <c r="S154" s="50"/>
      <c r="AI154" s="54"/>
    </row>
    <row r="155" spans="2:35" ht="15" customHeight="1" x14ac:dyDescent="0.2">
      <c r="B155" s="61"/>
      <c r="C155" s="248"/>
      <c r="D155" s="72" t="s">
        <v>117</v>
      </c>
      <c r="E155" s="72" t="s">
        <v>91</v>
      </c>
      <c r="F155" s="283"/>
      <c r="G155" s="285"/>
      <c r="H155" s="279"/>
      <c r="I155" s="279"/>
      <c r="J155" s="279"/>
      <c r="K155" s="279"/>
      <c r="L155" s="279"/>
      <c r="M155" s="70"/>
      <c r="N155" s="64"/>
      <c r="O155" s="62"/>
      <c r="S155" s="50"/>
      <c r="AI155" s="54"/>
    </row>
    <row r="156" spans="2:35" x14ac:dyDescent="0.2">
      <c r="B156" s="61"/>
      <c r="C156" s="249"/>
      <c r="D156" s="72">
        <v>1</v>
      </c>
      <c r="E156" s="72" t="s">
        <v>143</v>
      </c>
      <c r="F156" s="68">
        <f>5500000*0.97</f>
        <v>5335000</v>
      </c>
      <c r="G156" s="67">
        <v>3</v>
      </c>
      <c r="H156" s="69">
        <f>+G156*F156</f>
        <v>16005000</v>
      </c>
      <c r="I156" s="69">
        <f t="shared" ref="I156" si="32">+H156*(1+$D$4)</f>
        <v>16005000</v>
      </c>
      <c r="J156" s="69">
        <f t="shared" si="31"/>
        <v>16005000</v>
      </c>
      <c r="K156" s="69">
        <f t="shared" si="31"/>
        <v>16005000</v>
      </c>
      <c r="L156" s="69">
        <f t="shared" si="31"/>
        <v>16005000</v>
      </c>
      <c r="M156" s="70"/>
      <c r="N156" s="64"/>
      <c r="O156" s="62"/>
      <c r="S156" s="50"/>
      <c r="AI156" s="54"/>
    </row>
    <row r="157" spans="2:35" x14ac:dyDescent="0.2">
      <c r="B157" s="75"/>
      <c r="C157" s="241" t="s">
        <v>96</v>
      </c>
      <c r="D157" s="242"/>
      <c r="E157" s="242"/>
      <c r="F157" s="242"/>
      <c r="G157" s="243"/>
      <c r="H157" s="76">
        <f t="shared" ref="H157:L157" si="33">SUM(H154:H156)</f>
        <v>101792158</v>
      </c>
      <c r="I157" s="76">
        <f t="shared" si="33"/>
        <v>101792158</v>
      </c>
      <c r="J157" s="76">
        <f t="shared" si="33"/>
        <v>101792158</v>
      </c>
      <c r="K157" s="76">
        <f t="shared" si="33"/>
        <v>101792158</v>
      </c>
      <c r="L157" s="77">
        <f t="shared" si="33"/>
        <v>101792158</v>
      </c>
      <c r="M157" s="78"/>
      <c r="N157" s="159"/>
      <c r="O157" s="62"/>
      <c r="S157" s="50"/>
      <c r="AI157" s="54"/>
    </row>
    <row r="158" spans="2:35" x14ac:dyDescent="0.2">
      <c r="B158" s="75"/>
      <c r="C158" s="82"/>
      <c r="D158" s="82"/>
      <c r="E158" s="82"/>
      <c r="F158" s="82"/>
      <c r="G158" s="82"/>
      <c r="H158" s="83"/>
      <c r="I158" s="83"/>
      <c r="J158" s="83"/>
      <c r="K158" s="83"/>
      <c r="L158" s="83"/>
      <c r="M158" s="78"/>
      <c r="N158" s="78"/>
      <c r="O158" s="84"/>
    </row>
    <row r="159" spans="2:35" x14ac:dyDescent="0.2">
      <c r="B159" s="61"/>
      <c r="C159" s="91" t="s">
        <v>144</v>
      </c>
      <c r="D159" s="63"/>
      <c r="E159" s="63"/>
      <c r="F159" s="63"/>
      <c r="G159" s="63"/>
      <c r="H159" s="63"/>
      <c r="I159" s="63"/>
      <c r="J159" s="63"/>
      <c r="K159" s="63"/>
      <c r="L159" s="63"/>
      <c r="M159" s="64"/>
      <c r="N159" s="64"/>
      <c r="O159" s="62"/>
    </row>
    <row r="160" spans="2:35" x14ac:dyDescent="0.2">
      <c r="B160" s="61"/>
      <c r="C160" s="63"/>
      <c r="D160" s="63"/>
      <c r="E160" s="63"/>
      <c r="F160" s="65" t="s">
        <v>77</v>
      </c>
      <c r="G160" s="65" t="s">
        <v>83</v>
      </c>
      <c r="H160" s="65" t="s">
        <v>84</v>
      </c>
      <c r="I160" s="65" t="s">
        <v>85</v>
      </c>
      <c r="J160" s="65" t="s">
        <v>86</v>
      </c>
      <c r="K160" s="65" t="s">
        <v>87</v>
      </c>
      <c r="L160" s="126" t="s">
        <v>106</v>
      </c>
      <c r="M160" s="127"/>
      <c r="N160" s="64"/>
      <c r="O160" s="62"/>
      <c r="S160" s="50"/>
      <c r="AI160" s="54"/>
    </row>
    <row r="161" spans="2:35" x14ac:dyDescent="0.2">
      <c r="B161" s="98"/>
      <c r="C161" s="99"/>
      <c r="D161" s="99"/>
      <c r="E161" s="99"/>
      <c r="F161" s="123" t="s">
        <v>125</v>
      </c>
      <c r="G161" s="101">
        <f>+H157</f>
        <v>101792158</v>
      </c>
      <c r="H161" s="101">
        <f>+I157</f>
        <v>101792158</v>
      </c>
      <c r="I161" s="101">
        <f>+J157</f>
        <v>101792158</v>
      </c>
      <c r="J161" s="101">
        <f>+K157</f>
        <v>101792158</v>
      </c>
      <c r="K161" s="101">
        <f>+L157</f>
        <v>101792158</v>
      </c>
      <c r="L161" s="128">
        <f>SUM(G161:K161)</f>
        <v>508960790</v>
      </c>
      <c r="M161" s="129"/>
      <c r="N161" s="127"/>
      <c r="O161" s="62"/>
      <c r="S161" s="50"/>
      <c r="AI161" s="54"/>
    </row>
    <row r="162" spans="2:35" x14ac:dyDescent="0.2">
      <c r="B162" s="61"/>
      <c r="C162" s="106"/>
      <c r="D162" s="63"/>
      <c r="E162" s="63"/>
      <c r="F162" s="63"/>
      <c r="G162" s="63"/>
      <c r="H162" s="63"/>
      <c r="I162" s="63"/>
      <c r="J162" s="63"/>
      <c r="K162" s="63"/>
      <c r="L162" s="63"/>
      <c r="M162" s="64"/>
      <c r="N162" s="64"/>
      <c r="O162" s="62"/>
    </row>
    <row r="163" spans="2:35" ht="13.5" thickBot="1" x14ac:dyDescent="0.25">
      <c r="B163" s="107"/>
      <c r="C163" s="108"/>
      <c r="D163" s="109"/>
      <c r="E163" s="109"/>
      <c r="F163" s="109"/>
      <c r="G163" s="109"/>
      <c r="H163" s="109"/>
      <c r="I163" s="109"/>
      <c r="J163" s="109"/>
      <c r="K163" s="109"/>
      <c r="L163" s="109"/>
      <c r="M163" s="110"/>
      <c r="N163" s="110"/>
      <c r="O163" s="111"/>
    </row>
    <row r="164" spans="2:35" ht="13.5" thickBot="1" x14ac:dyDescent="0.25">
      <c r="O164" s="64"/>
      <c r="T164" s="53"/>
    </row>
    <row r="165" spans="2:35" x14ac:dyDescent="0.2">
      <c r="B165" s="57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9"/>
      <c r="N165" s="59"/>
      <c r="O165" s="60"/>
      <c r="T165" s="53"/>
    </row>
    <row r="166" spans="2:35" ht="23.25" x14ac:dyDescent="0.35">
      <c r="B166" s="61"/>
      <c r="C166" s="253" t="s">
        <v>145</v>
      </c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62"/>
      <c r="T166" s="53"/>
    </row>
    <row r="167" spans="2:35" x14ac:dyDescent="0.2">
      <c r="B167" s="61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4"/>
      <c r="N167" s="64"/>
      <c r="O167" s="62"/>
      <c r="T167" s="53"/>
    </row>
    <row r="168" spans="2:35" x14ac:dyDescent="0.2">
      <c r="B168" s="61"/>
      <c r="C168" s="65" t="s">
        <v>77</v>
      </c>
      <c r="D168" s="65" t="s">
        <v>78</v>
      </c>
      <c r="E168" s="65" t="s">
        <v>79</v>
      </c>
      <c r="F168" s="65" t="s">
        <v>80</v>
      </c>
      <c r="G168" s="65" t="s">
        <v>81</v>
      </c>
      <c r="H168" s="65" t="s">
        <v>83</v>
      </c>
      <c r="I168" s="65" t="s">
        <v>84</v>
      </c>
      <c r="J168" s="65" t="s">
        <v>85</v>
      </c>
      <c r="K168" s="65" t="s">
        <v>86</v>
      </c>
      <c r="L168" s="65" t="s">
        <v>87</v>
      </c>
      <c r="M168" s="66"/>
      <c r="N168" s="64"/>
      <c r="O168" s="62"/>
      <c r="AI168" s="54"/>
    </row>
    <row r="169" spans="2:35" ht="12.75" customHeight="1" x14ac:dyDescent="0.2">
      <c r="B169" s="61"/>
      <c r="C169" s="247" t="s">
        <v>146</v>
      </c>
      <c r="D169" s="72" t="s">
        <v>121</v>
      </c>
      <c r="E169" s="72" t="s">
        <v>93</v>
      </c>
      <c r="F169" s="278">
        <v>1532988</v>
      </c>
      <c r="G169" s="284">
        <v>12</v>
      </c>
      <c r="H169" s="278">
        <f>+(F169*2)+(2910388*10)</f>
        <v>32169856</v>
      </c>
      <c r="I169" s="278">
        <f>+H169*(1+$D$4)</f>
        <v>32169856</v>
      </c>
      <c r="J169" s="278">
        <f t="shared" ref="J169:L172" si="34">+I169*(1+$D$4)</f>
        <v>32169856</v>
      </c>
      <c r="K169" s="278">
        <f t="shared" si="34"/>
        <v>32169856</v>
      </c>
      <c r="L169" s="278">
        <f t="shared" si="34"/>
        <v>32169856</v>
      </c>
      <c r="M169" s="70"/>
      <c r="N169" s="64"/>
      <c r="O169" s="62"/>
      <c r="AI169" s="54"/>
    </row>
    <row r="170" spans="2:35" ht="15" customHeight="1" x14ac:dyDescent="0.2">
      <c r="B170" s="61"/>
      <c r="C170" s="248"/>
      <c r="D170" s="72" t="s">
        <v>121</v>
      </c>
      <c r="E170" s="72" t="s">
        <v>94</v>
      </c>
      <c r="F170" s="279"/>
      <c r="G170" s="285"/>
      <c r="H170" s="279"/>
      <c r="I170" s="279"/>
      <c r="J170" s="279"/>
      <c r="K170" s="279"/>
      <c r="L170" s="279"/>
      <c r="M170" s="70"/>
      <c r="N170" s="64"/>
      <c r="O170" s="62"/>
      <c r="AI170" s="54"/>
    </row>
    <row r="171" spans="2:35" ht="27" customHeight="1" x14ac:dyDescent="0.2">
      <c r="B171" s="61"/>
      <c r="C171" s="248"/>
      <c r="D171" s="72" t="s">
        <v>117</v>
      </c>
      <c r="E171" s="72" t="s">
        <v>148</v>
      </c>
      <c r="F171" s="69">
        <v>3987864</v>
      </c>
      <c r="G171" s="67">
        <v>1</v>
      </c>
      <c r="H171" s="69">
        <f>+G171*F171</f>
        <v>3987864</v>
      </c>
      <c r="I171" s="69">
        <f t="shared" ref="I171:L172" si="35">+H171*(1+$D$4)</f>
        <v>3987864</v>
      </c>
      <c r="J171" s="69">
        <f t="shared" si="35"/>
        <v>3987864</v>
      </c>
      <c r="K171" s="69">
        <f t="shared" si="35"/>
        <v>3987864</v>
      </c>
      <c r="L171" s="69">
        <f t="shared" si="35"/>
        <v>3987864</v>
      </c>
      <c r="M171" s="70"/>
      <c r="N171" s="64"/>
      <c r="O171" s="62"/>
      <c r="AI171" s="54"/>
    </row>
    <row r="172" spans="2:35" x14ac:dyDescent="0.2">
      <c r="B172" s="61"/>
      <c r="C172" s="248"/>
      <c r="D172" s="72" t="s">
        <v>92</v>
      </c>
      <c r="E172" s="72" t="s">
        <v>147</v>
      </c>
      <c r="F172" s="294">
        <v>63391655</v>
      </c>
      <c r="G172" s="295">
        <v>2</v>
      </c>
      <c r="H172" s="294">
        <f>+G172*F172</f>
        <v>126783310</v>
      </c>
      <c r="I172" s="294">
        <f t="shared" si="35"/>
        <v>126783310</v>
      </c>
      <c r="J172" s="294">
        <f t="shared" si="34"/>
        <v>126783310</v>
      </c>
      <c r="K172" s="294">
        <f t="shared" si="34"/>
        <v>126783310</v>
      </c>
      <c r="L172" s="294">
        <f t="shared" si="34"/>
        <v>126783310</v>
      </c>
      <c r="M172" s="70"/>
      <c r="N172" s="64"/>
      <c r="O172" s="62"/>
      <c r="AI172" s="54"/>
    </row>
    <row r="173" spans="2:35" ht="15" customHeight="1" x14ac:dyDescent="0.2">
      <c r="B173" s="61"/>
      <c r="C173" s="248"/>
      <c r="D173" s="72" t="s">
        <v>92</v>
      </c>
      <c r="E173" s="72" t="s">
        <v>91</v>
      </c>
      <c r="F173" s="292"/>
      <c r="G173" s="290"/>
      <c r="H173" s="292"/>
      <c r="I173" s="292"/>
      <c r="J173" s="292"/>
      <c r="K173" s="292"/>
      <c r="L173" s="292"/>
      <c r="M173" s="70"/>
      <c r="N173" s="64"/>
      <c r="O173" s="62"/>
      <c r="AI173" s="54"/>
    </row>
    <row r="174" spans="2:35" ht="15" customHeight="1" x14ac:dyDescent="0.2">
      <c r="B174" s="61"/>
      <c r="C174" s="249"/>
      <c r="D174" s="72" t="s">
        <v>92</v>
      </c>
      <c r="E174" s="72" t="s">
        <v>90</v>
      </c>
      <c r="F174" s="293"/>
      <c r="G174" s="296"/>
      <c r="H174" s="293"/>
      <c r="I174" s="293"/>
      <c r="J174" s="293"/>
      <c r="K174" s="293"/>
      <c r="L174" s="293"/>
      <c r="M174" s="70"/>
      <c r="N174" s="64"/>
      <c r="O174" s="62"/>
      <c r="AI174" s="54"/>
    </row>
    <row r="175" spans="2:35" x14ac:dyDescent="0.2">
      <c r="B175" s="75"/>
      <c r="C175" s="241" t="s">
        <v>96</v>
      </c>
      <c r="D175" s="242"/>
      <c r="E175" s="242"/>
      <c r="F175" s="242"/>
      <c r="G175" s="243"/>
      <c r="H175" s="76">
        <f>SUM(H169:H174)</f>
        <v>162941030</v>
      </c>
      <c r="I175" s="76">
        <f>SUM(I169:I174)</f>
        <v>162941030</v>
      </c>
      <c r="J175" s="76">
        <f>SUM(J169:J174)</f>
        <v>162941030</v>
      </c>
      <c r="K175" s="76">
        <f>SUM(K169:K174)</f>
        <v>162941030</v>
      </c>
      <c r="L175" s="77">
        <f>SUM(L169:L174)</f>
        <v>162941030</v>
      </c>
      <c r="M175" s="78"/>
      <c r="N175" s="159"/>
      <c r="O175" s="62"/>
      <c r="AI175" s="54"/>
    </row>
    <row r="176" spans="2:35" x14ac:dyDescent="0.2">
      <c r="B176" s="75"/>
      <c r="C176" s="82"/>
      <c r="D176" s="82"/>
      <c r="E176" s="82"/>
      <c r="F176" s="82"/>
      <c r="G176" s="82"/>
      <c r="H176" s="83"/>
      <c r="I176" s="83"/>
      <c r="J176" s="83"/>
      <c r="K176" s="83"/>
      <c r="L176" s="83"/>
      <c r="M176" s="78"/>
      <c r="N176" s="78"/>
      <c r="O176" s="84"/>
      <c r="T176" s="53"/>
    </row>
    <row r="177" spans="2:35" x14ac:dyDescent="0.2">
      <c r="B177" s="61"/>
      <c r="C177" s="91" t="s">
        <v>149</v>
      </c>
      <c r="D177" s="63"/>
      <c r="E177" s="63"/>
      <c r="F177" s="63"/>
      <c r="G177" s="63"/>
      <c r="H177" s="63"/>
      <c r="I177" s="63"/>
      <c r="J177" s="63"/>
      <c r="K177" s="63"/>
      <c r="L177" s="63"/>
      <c r="M177" s="64"/>
      <c r="N177" s="64"/>
      <c r="O177" s="62"/>
      <c r="T177" s="53"/>
    </row>
    <row r="178" spans="2:35" x14ac:dyDescent="0.2">
      <c r="B178" s="61"/>
      <c r="C178" s="63"/>
      <c r="D178" s="63"/>
      <c r="E178" s="63"/>
      <c r="F178" s="65" t="s">
        <v>77</v>
      </c>
      <c r="G178" s="65" t="s">
        <v>83</v>
      </c>
      <c r="H178" s="65" t="s">
        <v>84</v>
      </c>
      <c r="I178" s="65" t="s">
        <v>85</v>
      </c>
      <c r="J178" s="65" t="s">
        <v>86</v>
      </c>
      <c r="K178" s="65" t="s">
        <v>87</v>
      </c>
      <c r="L178" s="126" t="s">
        <v>106</v>
      </c>
      <c r="M178" s="127"/>
      <c r="N178" s="64"/>
      <c r="O178" s="62"/>
      <c r="AI178" s="54"/>
    </row>
    <row r="179" spans="2:35" x14ac:dyDescent="0.2">
      <c r="B179" s="98"/>
      <c r="C179" s="99"/>
      <c r="D179" s="99"/>
      <c r="E179" s="99"/>
      <c r="F179" s="123" t="s">
        <v>125</v>
      </c>
      <c r="G179" s="101">
        <f>+H175</f>
        <v>162941030</v>
      </c>
      <c r="H179" s="101">
        <f>+I175</f>
        <v>162941030</v>
      </c>
      <c r="I179" s="101">
        <f>+J175</f>
        <v>162941030</v>
      </c>
      <c r="J179" s="101">
        <f>+K175</f>
        <v>162941030</v>
      </c>
      <c r="K179" s="101">
        <f>+L175</f>
        <v>162941030</v>
      </c>
      <c r="L179" s="128">
        <f>SUM(G179:K179)</f>
        <v>814705150</v>
      </c>
      <c r="M179" s="129"/>
      <c r="N179" s="127"/>
      <c r="O179" s="62"/>
      <c r="AI179" s="54"/>
    </row>
    <row r="180" spans="2:35" x14ac:dyDescent="0.2">
      <c r="B180" s="61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4"/>
      <c r="N180" s="64"/>
      <c r="O180" s="62"/>
    </row>
    <row r="181" spans="2:35" ht="13.5" thickBot="1" x14ac:dyDescent="0.25">
      <c r="B181" s="107"/>
      <c r="C181" s="108"/>
      <c r="D181" s="109"/>
      <c r="E181" s="109"/>
      <c r="F181" s="109"/>
      <c r="G181" s="109"/>
      <c r="H181" s="109"/>
      <c r="I181" s="109"/>
      <c r="J181" s="109"/>
      <c r="K181" s="109"/>
      <c r="L181" s="109"/>
      <c r="M181" s="110"/>
      <c r="N181" s="110"/>
      <c r="O181" s="111"/>
    </row>
    <row r="182" spans="2:35" x14ac:dyDescent="0.2">
      <c r="O182" s="64"/>
    </row>
    <row r="183" spans="2:35" ht="13.5" thickBot="1" x14ac:dyDescent="0.25">
      <c r="O183" s="64"/>
    </row>
    <row r="184" spans="2:35" x14ac:dyDescent="0.2">
      <c r="B184" s="57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9"/>
      <c r="N184" s="59"/>
      <c r="O184" s="60"/>
    </row>
    <row r="185" spans="2:35" ht="26.25" x14ac:dyDescent="0.4">
      <c r="B185" s="61"/>
      <c r="C185" s="254" t="s">
        <v>150</v>
      </c>
      <c r="D185" s="254"/>
      <c r="E185" s="254"/>
      <c r="F185" s="254"/>
      <c r="G185" s="254"/>
      <c r="H185" s="254"/>
      <c r="I185" s="254"/>
      <c r="J185" s="254"/>
      <c r="K185" s="254"/>
      <c r="L185" s="254"/>
      <c r="M185" s="254"/>
      <c r="N185" s="254"/>
      <c r="O185" s="62"/>
    </row>
    <row r="186" spans="2:35" x14ac:dyDescent="0.2">
      <c r="B186" s="61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4"/>
      <c r="N186" s="64"/>
      <c r="O186" s="62"/>
    </row>
    <row r="187" spans="2:35" x14ac:dyDescent="0.2">
      <c r="B187" s="61"/>
      <c r="C187" s="65" t="s">
        <v>77</v>
      </c>
      <c r="D187" s="65" t="s">
        <v>78</v>
      </c>
      <c r="E187" s="65" t="s">
        <v>79</v>
      </c>
      <c r="F187" s="65" t="s">
        <v>80</v>
      </c>
      <c r="G187" s="65" t="s">
        <v>81</v>
      </c>
      <c r="H187" s="65" t="s">
        <v>83</v>
      </c>
      <c r="I187" s="65" t="s">
        <v>84</v>
      </c>
      <c r="J187" s="65" t="s">
        <v>85</v>
      </c>
      <c r="K187" s="65" t="s">
        <v>86</v>
      </c>
      <c r="L187" s="65" t="s">
        <v>87</v>
      </c>
      <c r="M187" s="66"/>
      <c r="N187" s="64"/>
      <c r="O187" s="62"/>
      <c r="S187" s="50"/>
      <c r="AI187" s="54"/>
    </row>
    <row r="188" spans="2:35" ht="12.75" customHeight="1" x14ac:dyDescent="0.2">
      <c r="B188" s="61"/>
      <c r="C188" s="247" t="s">
        <v>125</v>
      </c>
      <c r="D188" s="72" t="s">
        <v>92</v>
      </c>
      <c r="E188" s="72" t="s">
        <v>120</v>
      </c>
      <c r="F188" s="69">
        <f>6000000*0.97</f>
        <v>5820000</v>
      </c>
      <c r="G188" s="67">
        <v>2</v>
      </c>
      <c r="H188" s="69">
        <f>+G188*F188</f>
        <v>11640000</v>
      </c>
      <c r="I188" s="69">
        <f>+H188*(1+$D$4)</f>
        <v>11640000</v>
      </c>
      <c r="J188" s="69">
        <f t="shared" ref="J188:L191" si="36">+I188*(1+$D$4)</f>
        <v>11640000</v>
      </c>
      <c r="K188" s="69">
        <f t="shared" si="36"/>
        <v>11640000</v>
      </c>
      <c r="L188" s="69">
        <f t="shared" si="36"/>
        <v>11640000</v>
      </c>
      <c r="M188" s="70"/>
      <c r="N188" s="64"/>
      <c r="O188" s="62"/>
      <c r="S188" s="50"/>
      <c r="AI188" s="54"/>
    </row>
    <row r="189" spans="2:35" ht="12.75" customHeight="1" x14ac:dyDescent="0.2">
      <c r="B189" s="61"/>
      <c r="C189" s="248"/>
      <c r="D189" s="72" t="s">
        <v>117</v>
      </c>
      <c r="E189" s="72" t="s">
        <v>90</v>
      </c>
      <c r="F189" s="69">
        <f>58000000*0.97</f>
        <v>56260000</v>
      </c>
      <c r="G189" s="67">
        <v>1</v>
      </c>
      <c r="H189" s="69">
        <f>+G189*F189</f>
        <v>56260000</v>
      </c>
      <c r="I189" s="69">
        <f>+H189*(1+$D$4)</f>
        <v>56260000</v>
      </c>
      <c r="J189" s="69">
        <f>+I189*(1+$D$4)</f>
        <v>56260000</v>
      </c>
      <c r="K189" s="69">
        <f t="shared" si="36"/>
        <v>56260000</v>
      </c>
      <c r="L189" s="69">
        <f t="shared" si="36"/>
        <v>56260000</v>
      </c>
      <c r="M189" s="70"/>
      <c r="N189" s="64"/>
      <c r="O189" s="62"/>
      <c r="S189" s="50"/>
      <c r="AI189" s="54"/>
    </row>
    <row r="190" spans="2:35" ht="12.75" customHeight="1" x14ac:dyDescent="0.2">
      <c r="B190" s="61"/>
      <c r="C190" s="248"/>
      <c r="D190" s="72" t="s">
        <v>117</v>
      </c>
      <c r="E190" s="72" t="s">
        <v>151</v>
      </c>
      <c r="F190" s="69">
        <f>4000000*0.97</f>
        <v>3880000</v>
      </c>
      <c r="G190" s="67">
        <v>1</v>
      </c>
      <c r="H190" s="69">
        <f>+G190*F190</f>
        <v>3880000</v>
      </c>
      <c r="I190" s="69">
        <f>+H190*(1+$D$4)</f>
        <v>3880000</v>
      </c>
      <c r="J190" s="69">
        <f>+I190*(1+$D$4)</f>
        <v>3880000</v>
      </c>
      <c r="K190" s="69">
        <f t="shared" si="36"/>
        <v>3880000</v>
      </c>
      <c r="L190" s="69">
        <f t="shared" si="36"/>
        <v>3880000</v>
      </c>
      <c r="M190" s="70"/>
      <c r="N190" s="64"/>
      <c r="O190" s="62"/>
      <c r="S190" s="50"/>
      <c r="AI190" s="54"/>
    </row>
    <row r="191" spans="2:35" ht="23.25" customHeight="1" x14ac:dyDescent="0.2">
      <c r="B191" s="61"/>
      <c r="C191" s="248"/>
      <c r="D191" s="72" t="s">
        <v>92</v>
      </c>
      <c r="E191" s="72" t="s">
        <v>143</v>
      </c>
      <c r="F191" s="69">
        <f>13000000*0.97</f>
        <v>12610000</v>
      </c>
      <c r="G191" s="67">
        <v>2</v>
      </c>
      <c r="H191" s="69">
        <f>+G191*F191</f>
        <v>25220000</v>
      </c>
      <c r="I191" s="69">
        <f>+H191*(1+$D$4)</f>
        <v>25220000</v>
      </c>
      <c r="J191" s="69">
        <f t="shared" si="36"/>
        <v>25220000</v>
      </c>
      <c r="K191" s="69">
        <f t="shared" si="36"/>
        <v>25220000</v>
      </c>
      <c r="L191" s="69">
        <f t="shared" si="36"/>
        <v>25220000</v>
      </c>
      <c r="M191" s="70"/>
      <c r="N191" s="64"/>
      <c r="O191" s="62"/>
      <c r="S191" s="50"/>
      <c r="AI191" s="54"/>
    </row>
    <row r="192" spans="2:35" x14ac:dyDescent="0.2">
      <c r="B192" s="75"/>
      <c r="C192" s="241" t="s">
        <v>96</v>
      </c>
      <c r="D192" s="242"/>
      <c r="E192" s="242"/>
      <c r="F192" s="242"/>
      <c r="G192" s="243"/>
      <c r="H192" s="76">
        <f t="shared" ref="H192:L192" si="37">SUM(H188:H191)</f>
        <v>97000000</v>
      </c>
      <c r="I192" s="76">
        <f t="shared" si="37"/>
        <v>97000000</v>
      </c>
      <c r="J192" s="76">
        <f t="shared" si="37"/>
        <v>97000000</v>
      </c>
      <c r="K192" s="76">
        <f t="shared" si="37"/>
        <v>97000000</v>
      </c>
      <c r="L192" s="77">
        <f t="shared" si="37"/>
        <v>97000000</v>
      </c>
      <c r="M192" s="78"/>
      <c r="N192" s="159"/>
      <c r="O192" s="62"/>
      <c r="S192" s="50"/>
      <c r="AI192" s="54"/>
    </row>
    <row r="193" spans="2:35" x14ac:dyDescent="0.2">
      <c r="B193" s="75"/>
      <c r="C193" s="82"/>
      <c r="D193" s="82"/>
      <c r="E193" s="82"/>
      <c r="F193" s="82"/>
      <c r="G193" s="82"/>
      <c r="H193" s="83"/>
      <c r="I193" s="83"/>
      <c r="J193" s="83"/>
      <c r="K193" s="83"/>
      <c r="L193" s="83"/>
      <c r="M193" s="78"/>
      <c r="N193" s="78"/>
      <c r="O193" s="84"/>
    </row>
    <row r="194" spans="2:35" x14ac:dyDescent="0.2">
      <c r="B194" s="61"/>
      <c r="C194" s="63"/>
      <c r="D194" s="63"/>
      <c r="E194" s="63"/>
      <c r="F194" s="65" t="s">
        <v>77</v>
      </c>
      <c r="G194" s="65" t="s">
        <v>83</v>
      </c>
      <c r="H194" s="65" t="s">
        <v>84</v>
      </c>
      <c r="I194" s="65" t="s">
        <v>85</v>
      </c>
      <c r="J194" s="65" t="s">
        <v>86</v>
      </c>
      <c r="K194" s="65" t="s">
        <v>87</v>
      </c>
      <c r="L194" s="126" t="s">
        <v>106</v>
      </c>
      <c r="M194" s="127"/>
      <c r="N194" s="64"/>
      <c r="O194" s="62"/>
      <c r="S194" s="50"/>
      <c r="AI194" s="54"/>
    </row>
    <row r="195" spans="2:35" x14ac:dyDescent="0.2">
      <c r="B195" s="98"/>
      <c r="C195" s="99"/>
      <c r="D195" s="99"/>
      <c r="E195" s="99"/>
      <c r="F195" s="123" t="s">
        <v>125</v>
      </c>
      <c r="G195" s="101">
        <f>+H192</f>
        <v>97000000</v>
      </c>
      <c r="H195" s="101">
        <f>+I192</f>
        <v>97000000</v>
      </c>
      <c r="I195" s="101">
        <f>+J192</f>
        <v>97000000</v>
      </c>
      <c r="J195" s="101">
        <f>+K192</f>
        <v>97000000</v>
      </c>
      <c r="K195" s="101">
        <f>+L192</f>
        <v>97000000</v>
      </c>
      <c r="L195" s="128">
        <f>SUM(G195:K195)</f>
        <v>485000000</v>
      </c>
      <c r="M195" s="129"/>
      <c r="N195" s="127"/>
      <c r="O195" s="62"/>
      <c r="S195" s="50"/>
      <c r="AI195" s="54"/>
    </row>
    <row r="196" spans="2:35" x14ac:dyDescent="0.2">
      <c r="B196" s="61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4"/>
      <c r="N196" s="64"/>
      <c r="O196" s="62"/>
    </row>
    <row r="197" spans="2:35" ht="13.5" thickBot="1" x14ac:dyDescent="0.25">
      <c r="B197" s="107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10"/>
      <c r="N197" s="110"/>
      <c r="O197" s="111"/>
    </row>
    <row r="198" spans="2:35" x14ac:dyDescent="0.2">
      <c r="O198" s="64"/>
    </row>
    <row r="199" spans="2:35" x14ac:dyDescent="0.2">
      <c r="O199" s="64"/>
    </row>
    <row r="200" spans="2:35" ht="13.5" thickBot="1" x14ac:dyDescent="0.25">
      <c r="O200" s="64"/>
    </row>
    <row r="201" spans="2:35" x14ac:dyDescent="0.2">
      <c r="B201" s="57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9"/>
      <c r="N201" s="59"/>
      <c r="O201" s="60"/>
    </row>
    <row r="202" spans="2:35" x14ac:dyDescent="0.2">
      <c r="B202" s="6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4"/>
      <c r="N202" s="64"/>
      <c r="O202" s="62"/>
    </row>
    <row r="203" spans="2:35" x14ac:dyDescent="0.2">
      <c r="B203" s="61"/>
      <c r="C203" s="65" t="s">
        <v>77</v>
      </c>
      <c r="D203" s="65" t="s">
        <v>83</v>
      </c>
      <c r="E203" s="65" t="s">
        <v>84</v>
      </c>
      <c r="F203" s="65" t="s">
        <v>85</v>
      </c>
      <c r="G203" s="65" t="s">
        <v>86</v>
      </c>
      <c r="H203" s="65" t="s">
        <v>87</v>
      </c>
      <c r="I203" s="92" t="s">
        <v>106</v>
      </c>
      <c r="J203" s="63"/>
      <c r="K203" s="63"/>
      <c r="L203" s="64"/>
      <c r="M203" s="64"/>
      <c r="N203" s="64"/>
      <c r="O203" s="62"/>
      <c r="S203" s="50"/>
      <c r="AI203" s="54"/>
    </row>
    <row r="204" spans="2:35" ht="38.25" x14ac:dyDescent="0.2">
      <c r="B204" s="61"/>
      <c r="C204" s="123" t="s">
        <v>152</v>
      </c>
      <c r="D204" s="101">
        <f>+G35+G71+G102+G125+G146+G161+G179+G195</f>
        <v>2501707794</v>
      </c>
      <c r="E204" s="101">
        <f>+H35+H71+H102+H125+H146+H161+H179+H195</f>
        <v>2501707794</v>
      </c>
      <c r="F204" s="101">
        <f>+I35+I71+I102+I125+I146+I161+I179+I195</f>
        <v>2501707794</v>
      </c>
      <c r="G204" s="101">
        <f>+J35+J71+J102+J125+J146+J161+J179+J195</f>
        <v>2501707794</v>
      </c>
      <c r="H204" s="101">
        <f>+K35+K71+K102+K125+K146+K161+K179+K195</f>
        <v>2501707794</v>
      </c>
      <c r="I204" s="101">
        <f>SUM(D204:H204)</f>
        <v>12508538970</v>
      </c>
      <c r="J204" s="63"/>
      <c r="K204" s="63"/>
      <c r="L204" s="64"/>
      <c r="M204" s="64"/>
      <c r="N204" s="64"/>
      <c r="O204" s="62"/>
      <c r="S204" s="50"/>
      <c r="AI204" s="54"/>
    </row>
    <row r="205" spans="2:35" x14ac:dyDescent="0.2">
      <c r="B205" s="61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4"/>
      <c r="N205" s="64"/>
      <c r="O205" s="62"/>
    </row>
    <row r="206" spans="2:35" ht="13.5" thickBot="1" x14ac:dyDescent="0.25">
      <c r="B206" s="107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/>
      <c r="N206" s="110"/>
      <c r="O206" s="111"/>
    </row>
    <row r="207" spans="2:35" x14ac:dyDescent="0.2">
      <c r="O207" s="64"/>
    </row>
    <row r="210" spans="1:34" s="134" customFormat="1" ht="32.25" customHeight="1" x14ac:dyDescent="0.25">
      <c r="A210" s="130"/>
      <c r="B210" s="130"/>
      <c r="C210" s="131" t="s">
        <v>153</v>
      </c>
      <c r="D210" s="142"/>
      <c r="E210" s="142" t="s">
        <v>154</v>
      </c>
      <c r="F210" s="259" t="s">
        <v>155</v>
      </c>
      <c r="G210" s="260"/>
      <c r="H210" s="261"/>
      <c r="I210" s="132" t="s">
        <v>156</v>
      </c>
      <c r="J210" s="131" t="s">
        <v>83</v>
      </c>
      <c r="K210" s="131" t="s">
        <v>84</v>
      </c>
      <c r="L210" s="131" t="s">
        <v>85</v>
      </c>
      <c r="M210" s="131" t="s">
        <v>86</v>
      </c>
      <c r="N210" s="131" t="s">
        <v>87</v>
      </c>
      <c r="O210" s="131" t="s">
        <v>106</v>
      </c>
      <c r="P210" s="133"/>
      <c r="Q210" s="133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</row>
    <row r="211" spans="1:34" s="134" customFormat="1" ht="21.75" customHeight="1" x14ac:dyDescent="0.25">
      <c r="A211" s="130"/>
      <c r="B211" s="130"/>
      <c r="C211" s="256" t="s">
        <v>157</v>
      </c>
      <c r="D211" s="257"/>
      <c r="E211" s="135">
        <v>6</v>
      </c>
      <c r="F211" s="258" t="s">
        <v>158</v>
      </c>
      <c r="G211" s="258"/>
      <c r="H211" s="258"/>
      <c r="I211" s="136">
        <f>180000000*0.97</f>
        <v>174600000</v>
      </c>
      <c r="J211" s="136">
        <f>+I211*E211</f>
        <v>1047600000</v>
      </c>
      <c r="K211" s="136">
        <f>+J211*(1+$D$4)</f>
        <v>1047600000</v>
      </c>
      <c r="L211" s="136">
        <f t="shared" ref="L211:N211" si="38">+K211*(1+$D$4)</f>
        <v>1047600000</v>
      </c>
      <c r="M211" s="136">
        <f t="shared" si="38"/>
        <v>1047600000</v>
      </c>
      <c r="N211" s="136">
        <f t="shared" si="38"/>
        <v>1047600000</v>
      </c>
      <c r="O211" s="137">
        <f>SUM(J211:N211)</f>
        <v>5238000000</v>
      </c>
      <c r="P211" s="133"/>
      <c r="Q211" s="133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</row>
    <row r="212" spans="1:34" s="134" customFormat="1" x14ac:dyDescent="0.25">
      <c r="A212" s="130"/>
      <c r="B212" s="130"/>
      <c r="C212" s="262" t="s">
        <v>159</v>
      </c>
      <c r="D212" s="263"/>
      <c r="E212" s="138">
        <v>6</v>
      </c>
      <c r="F212" s="258" t="s">
        <v>160</v>
      </c>
      <c r="G212" s="258"/>
      <c r="H212" s="258"/>
      <c r="I212" s="136">
        <f>120000000*0.97</f>
        <v>116400000</v>
      </c>
      <c r="J212" s="136">
        <f t="shared" ref="J212:J217" si="39">+I212*E212</f>
        <v>698400000</v>
      </c>
      <c r="K212" s="136">
        <f t="shared" ref="K212:N217" si="40">+J212*(1+$D$4)</f>
        <v>698400000</v>
      </c>
      <c r="L212" s="136">
        <f t="shared" si="40"/>
        <v>698400000</v>
      </c>
      <c r="M212" s="136">
        <f t="shared" si="40"/>
        <v>698400000</v>
      </c>
      <c r="N212" s="136">
        <f t="shared" si="40"/>
        <v>698400000</v>
      </c>
      <c r="O212" s="137">
        <f t="shared" ref="O212:O217" si="41">SUM(J212:N212)</f>
        <v>3492000000</v>
      </c>
      <c r="P212" s="133"/>
      <c r="Q212" s="133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  <c r="AD212" s="130"/>
      <c r="AE212" s="130"/>
      <c r="AF212" s="130"/>
      <c r="AG212" s="130"/>
    </row>
    <row r="213" spans="1:34" s="134" customFormat="1" x14ac:dyDescent="0.25">
      <c r="A213" s="130"/>
      <c r="B213" s="130"/>
      <c r="C213" s="262" t="s">
        <v>161</v>
      </c>
      <c r="D213" s="263"/>
      <c r="E213" s="138">
        <v>8</v>
      </c>
      <c r="F213" s="258" t="s">
        <v>162</v>
      </c>
      <c r="G213" s="258"/>
      <c r="H213" s="258"/>
      <c r="I213" s="136">
        <f>80000000*0.97</f>
        <v>77600000</v>
      </c>
      <c r="J213" s="136">
        <f t="shared" si="39"/>
        <v>620800000</v>
      </c>
      <c r="K213" s="136">
        <f t="shared" si="40"/>
        <v>620800000</v>
      </c>
      <c r="L213" s="136">
        <f t="shared" si="40"/>
        <v>620800000</v>
      </c>
      <c r="M213" s="136">
        <f t="shared" si="40"/>
        <v>620800000</v>
      </c>
      <c r="N213" s="136">
        <f t="shared" si="40"/>
        <v>620800000</v>
      </c>
      <c r="O213" s="137">
        <f t="shared" si="41"/>
        <v>3104000000</v>
      </c>
      <c r="P213" s="133"/>
      <c r="Q213" s="133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</row>
    <row r="214" spans="1:34" s="134" customFormat="1" x14ac:dyDescent="0.25">
      <c r="A214" s="130"/>
      <c r="B214" s="130"/>
      <c r="C214" s="262" t="s">
        <v>163</v>
      </c>
      <c r="D214" s="263"/>
      <c r="E214" s="138">
        <v>3</v>
      </c>
      <c r="F214" s="258" t="s">
        <v>164</v>
      </c>
      <c r="G214" s="258"/>
      <c r="H214" s="258"/>
      <c r="I214" s="136">
        <f>44000000*0.97</f>
        <v>42680000</v>
      </c>
      <c r="J214" s="136">
        <f t="shared" si="39"/>
        <v>128040000</v>
      </c>
      <c r="K214" s="136">
        <f t="shared" si="40"/>
        <v>128040000</v>
      </c>
      <c r="L214" s="136">
        <f t="shared" si="40"/>
        <v>128040000</v>
      </c>
      <c r="M214" s="136">
        <f t="shared" si="40"/>
        <v>128040000</v>
      </c>
      <c r="N214" s="136">
        <f t="shared" si="40"/>
        <v>128040000</v>
      </c>
      <c r="O214" s="137">
        <f t="shared" si="41"/>
        <v>640200000</v>
      </c>
      <c r="P214" s="133"/>
      <c r="Q214" s="133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</row>
    <row r="215" spans="1:34" s="134" customFormat="1" x14ac:dyDescent="0.25">
      <c r="A215" s="130"/>
      <c r="B215" s="130"/>
      <c r="C215" s="262" t="s">
        <v>165</v>
      </c>
      <c r="D215" s="263"/>
      <c r="E215" s="138">
        <v>3</v>
      </c>
      <c r="F215" s="258" t="s">
        <v>166</v>
      </c>
      <c r="G215" s="258"/>
      <c r="H215" s="258"/>
      <c r="I215" s="136">
        <f>11000000*0.97</f>
        <v>10670000</v>
      </c>
      <c r="J215" s="136">
        <f t="shared" si="39"/>
        <v>32010000</v>
      </c>
      <c r="K215" s="136">
        <f t="shared" si="40"/>
        <v>32010000</v>
      </c>
      <c r="L215" s="136">
        <f t="shared" si="40"/>
        <v>32010000</v>
      </c>
      <c r="M215" s="136">
        <f t="shared" si="40"/>
        <v>32010000</v>
      </c>
      <c r="N215" s="136">
        <f t="shared" si="40"/>
        <v>32010000</v>
      </c>
      <c r="O215" s="137">
        <f t="shared" si="41"/>
        <v>160050000</v>
      </c>
      <c r="P215" s="133"/>
      <c r="Q215" s="133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</row>
    <row r="216" spans="1:34" s="134" customFormat="1" x14ac:dyDescent="0.25">
      <c r="A216" s="130"/>
      <c r="B216" s="130"/>
      <c r="C216" s="262" t="s">
        <v>167</v>
      </c>
      <c r="D216" s="263"/>
      <c r="E216" s="138">
        <v>4</v>
      </c>
      <c r="F216" s="258" t="s">
        <v>168</v>
      </c>
      <c r="G216" s="258"/>
      <c r="H216" s="258"/>
      <c r="I216" s="136">
        <f>8000000*0.97</f>
        <v>7760000</v>
      </c>
      <c r="J216" s="136">
        <f t="shared" si="39"/>
        <v>31040000</v>
      </c>
      <c r="K216" s="136">
        <f t="shared" si="40"/>
        <v>31040000</v>
      </c>
      <c r="L216" s="136">
        <f t="shared" si="40"/>
        <v>31040000</v>
      </c>
      <c r="M216" s="136">
        <f t="shared" si="40"/>
        <v>31040000</v>
      </c>
      <c r="N216" s="136">
        <f t="shared" si="40"/>
        <v>31040000</v>
      </c>
      <c r="O216" s="137">
        <f t="shared" si="41"/>
        <v>155200000</v>
      </c>
      <c r="P216" s="133"/>
      <c r="Q216" s="133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  <c r="AD216" s="130"/>
      <c r="AE216" s="130"/>
      <c r="AF216" s="130"/>
      <c r="AG216" s="130"/>
    </row>
    <row r="217" spans="1:34" s="134" customFormat="1" x14ac:dyDescent="0.25">
      <c r="A217" s="130"/>
      <c r="B217" s="130"/>
      <c r="C217" s="262" t="s">
        <v>169</v>
      </c>
      <c r="D217" s="263"/>
      <c r="E217" s="139">
        <v>1</v>
      </c>
      <c r="F217" s="264" t="s">
        <v>168</v>
      </c>
      <c r="G217" s="264"/>
      <c r="H217" s="264"/>
      <c r="I217" s="140">
        <f>25000000*0.97</f>
        <v>24250000</v>
      </c>
      <c r="J217" s="136">
        <f t="shared" si="39"/>
        <v>24250000</v>
      </c>
      <c r="K217" s="136">
        <f t="shared" si="40"/>
        <v>24250000</v>
      </c>
      <c r="L217" s="136">
        <f t="shared" si="40"/>
        <v>24250000</v>
      </c>
      <c r="M217" s="136">
        <f t="shared" si="40"/>
        <v>24250000</v>
      </c>
      <c r="N217" s="136">
        <f t="shared" si="40"/>
        <v>24250000</v>
      </c>
      <c r="O217" s="137">
        <f t="shared" si="41"/>
        <v>121250000</v>
      </c>
      <c r="P217" s="133"/>
      <c r="Q217" s="133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</row>
    <row r="218" spans="1:34" s="134" customFormat="1" ht="15" customHeight="1" x14ac:dyDescent="0.2">
      <c r="A218" s="130"/>
      <c r="B218" s="130"/>
      <c r="C218" s="267" t="s">
        <v>170</v>
      </c>
      <c r="D218" s="268"/>
      <c r="E218" s="268"/>
      <c r="F218" s="268"/>
      <c r="G218" s="268"/>
      <c r="H218" s="268"/>
      <c r="I218" s="269"/>
      <c r="J218" s="141">
        <f t="shared" ref="J218:N218" si="42">SUM(J211:J217)</f>
        <v>2582140000</v>
      </c>
      <c r="K218" s="141">
        <f t="shared" si="42"/>
        <v>2582140000</v>
      </c>
      <c r="L218" s="141">
        <f t="shared" si="42"/>
        <v>2582140000</v>
      </c>
      <c r="M218" s="141">
        <f t="shared" si="42"/>
        <v>2582140000</v>
      </c>
      <c r="N218" s="141">
        <f t="shared" si="42"/>
        <v>2582140000</v>
      </c>
      <c r="O218" s="141">
        <f>SUM(O211:O217)</f>
        <v>12910700000</v>
      </c>
      <c r="P218" s="133"/>
      <c r="Q218" s="133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</row>
    <row r="219" spans="1:34" s="134" customFormat="1" x14ac:dyDescent="0.25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3"/>
      <c r="M219" s="133"/>
      <c r="N219" s="133"/>
      <c r="O219" s="133"/>
      <c r="P219" s="133"/>
      <c r="Q219" s="133"/>
      <c r="R219" s="133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30"/>
    </row>
    <row r="220" spans="1:34" s="134" customFormat="1" ht="24" customHeight="1" x14ac:dyDescent="0.25">
      <c r="A220" s="130"/>
      <c r="B220" s="130"/>
      <c r="C220" s="130"/>
      <c r="D220" s="130"/>
      <c r="E220" s="130"/>
      <c r="F220" s="130"/>
      <c r="G220" s="130"/>
      <c r="H220" s="130"/>
      <c r="I220" s="130"/>
      <c r="J220" s="142" t="s">
        <v>83</v>
      </c>
      <c r="K220" s="142" t="s">
        <v>84</v>
      </c>
      <c r="L220" s="142" t="s">
        <v>85</v>
      </c>
      <c r="M220" s="142" t="s">
        <v>86</v>
      </c>
      <c r="N220" s="142" t="s">
        <v>87</v>
      </c>
      <c r="O220" s="142" t="s">
        <v>106</v>
      </c>
      <c r="P220" s="133"/>
      <c r="Q220" s="133"/>
      <c r="R220" s="133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30"/>
    </row>
    <row r="221" spans="1:34" s="144" customFormat="1" ht="18.75" x14ac:dyDescent="0.25">
      <c r="A221" s="143"/>
      <c r="B221" s="143"/>
      <c r="D221" s="143"/>
      <c r="E221" s="143"/>
      <c r="F221" s="143"/>
      <c r="G221" s="143"/>
      <c r="H221" s="143"/>
      <c r="I221" s="145" t="s">
        <v>171</v>
      </c>
      <c r="J221" s="146">
        <f t="shared" ref="J221:O221" si="43">+J218+D204</f>
        <v>5083847794</v>
      </c>
      <c r="K221" s="146">
        <f t="shared" si="43"/>
        <v>5083847794</v>
      </c>
      <c r="L221" s="146">
        <f t="shared" si="43"/>
        <v>5083847794</v>
      </c>
      <c r="M221" s="146">
        <f t="shared" si="43"/>
        <v>5083847794</v>
      </c>
      <c r="N221" s="146">
        <f t="shared" si="43"/>
        <v>5083847794</v>
      </c>
      <c r="O221" s="147">
        <f t="shared" si="43"/>
        <v>25419238970</v>
      </c>
      <c r="P221" s="148"/>
      <c r="Q221" s="148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</row>
    <row r="222" spans="1:34" ht="18.75" x14ac:dyDescent="0.2">
      <c r="I222" s="143"/>
    </row>
    <row r="225" spans="3:35" ht="15" customHeight="1" x14ac:dyDescent="0.2">
      <c r="C225" s="302" t="s">
        <v>172</v>
      </c>
      <c r="D225" s="302"/>
      <c r="E225" s="302"/>
      <c r="F225" s="302"/>
      <c r="G225" s="302"/>
      <c r="H225" s="302"/>
      <c r="K225" s="53"/>
      <c r="L225" s="53"/>
      <c r="R225" s="50"/>
      <c r="S225" s="50"/>
      <c r="AH225" s="54"/>
      <c r="AI225" s="54"/>
    </row>
    <row r="226" spans="3:35" ht="30" customHeight="1" x14ac:dyDescent="0.2">
      <c r="C226" s="163"/>
      <c r="D226" s="163"/>
      <c r="E226" s="164" t="s">
        <v>177</v>
      </c>
      <c r="F226" s="164" t="s">
        <v>178</v>
      </c>
      <c r="G226" s="164" t="s">
        <v>179</v>
      </c>
      <c r="H226" s="164" t="s">
        <v>180</v>
      </c>
      <c r="K226" s="53"/>
      <c r="L226" s="53"/>
      <c r="R226" s="50"/>
      <c r="S226" s="50"/>
      <c r="AH226" s="54"/>
      <c r="AI226" s="54"/>
    </row>
    <row r="227" spans="3:35" ht="15.75" x14ac:dyDescent="0.25">
      <c r="C227" s="297" t="s">
        <v>76</v>
      </c>
      <c r="D227" s="297"/>
      <c r="E227" s="165">
        <f>+'P &amp; E año completo  Inicial '!E223</f>
        <v>520485000</v>
      </c>
      <c r="F227" s="165">
        <f>+H35</f>
        <v>474511124</v>
      </c>
      <c r="G227" s="165">
        <f>+E227-F227</f>
        <v>45973876</v>
      </c>
      <c r="H227" s="166">
        <f>+G227/E227</f>
        <v>8.8328916299220919E-2</v>
      </c>
      <c r="K227" s="53"/>
      <c r="L227" s="53"/>
      <c r="R227" s="50"/>
      <c r="S227" s="50"/>
      <c r="AH227" s="54"/>
      <c r="AI227" s="54"/>
    </row>
    <row r="228" spans="3:35" ht="15.75" x14ac:dyDescent="0.25">
      <c r="C228" s="297" t="s">
        <v>116</v>
      </c>
      <c r="D228" s="297"/>
      <c r="E228" s="165">
        <f>+'P &amp; E año completo  Inicial '!E224</f>
        <v>282240000</v>
      </c>
      <c r="F228" s="165">
        <f>+H71</f>
        <v>257843186</v>
      </c>
      <c r="G228" s="165">
        <f t="shared" ref="G228:G235" si="44">+E228-F228</f>
        <v>24396814</v>
      </c>
      <c r="H228" s="166">
        <f t="shared" ref="H228:H236" si="45">+G228/E228</f>
        <v>8.6439958900226752E-2</v>
      </c>
      <c r="K228" s="53"/>
      <c r="L228" s="53"/>
      <c r="R228" s="50"/>
      <c r="S228" s="50"/>
      <c r="AH228" s="54"/>
      <c r="AI228" s="54"/>
    </row>
    <row r="229" spans="3:35" ht="15.75" x14ac:dyDescent="0.25">
      <c r="C229" s="297" t="s">
        <v>124</v>
      </c>
      <c r="D229" s="297"/>
      <c r="E229" s="165">
        <f>+'P &amp; E año completo  Inicial '!E225</f>
        <v>1033376379</v>
      </c>
      <c r="F229" s="165">
        <f>+H102</f>
        <v>921406008</v>
      </c>
      <c r="G229" s="165">
        <f t="shared" si="44"/>
        <v>111970371</v>
      </c>
      <c r="H229" s="166">
        <f t="shared" si="45"/>
        <v>0.10835390983907907</v>
      </c>
      <c r="K229" s="53"/>
      <c r="L229" s="53"/>
      <c r="R229" s="50"/>
      <c r="S229" s="50"/>
      <c r="AH229" s="54"/>
      <c r="AI229" s="54"/>
    </row>
    <row r="230" spans="3:35" ht="15.75" x14ac:dyDescent="0.25">
      <c r="C230" s="297" t="s">
        <v>132</v>
      </c>
      <c r="D230" s="297"/>
      <c r="E230" s="165">
        <f>+'P &amp; E año completo  Inicial '!E226</f>
        <v>184800000</v>
      </c>
      <c r="F230" s="165">
        <f>+H125</f>
        <v>155421590</v>
      </c>
      <c r="G230" s="165">
        <f t="shared" si="44"/>
        <v>29378410</v>
      </c>
      <c r="H230" s="166">
        <f t="shared" si="45"/>
        <v>0.15897408008658009</v>
      </c>
      <c r="K230" s="53"/>
      <c r="L230" s="53"/>
      <c r="R230" s="50"/>
      <c r="S230" s="50"/>
      <c r="AH230" s="54"/>
      <c r="AI230" s="54"/>
    </row>
    <row r="231" spans="3:35" ht="15.75" x14ac:dyDescent="0.25">
      <c r="C231" s="297" t="s">
        <v>135</v>
      </c>
      <c r="D231" s="297"/>
      <c r="E231" s="165">
        <f>+'P &amp; E año completo  Inicial '!E227</f>
        <v>528150000</v>
      </c>
      <c r="F231" s="165">
        <f>+H146</f>
        <v>330792698</v>
      </c>
      <c r="G231" s="165">
        <f t="shared" si="44"/>
        <v>197357302</v>
      </c>
      <c r="H231" s="166">
        <f t="shared" si="45"/>
        <v>0.37367661081132253</v>
      </c>
      <c r="K231" s="53"/>
      <c r="L231" s="53"/>
      <c r="R231" s="50"/>
      <c r="S231" s="50"/>
      <c r="AH231" s="54"/>
      <c r="AI231" s="54"/>
    </row>
    <row r="232" spans="3:35" ht="15.75" x14ac:dyDescent="0.25">
      <c r="C232" s="297" t="s">
        <v>141</v>
      </c>
      <c r="D232" s="297"/>
      <c r="E232" s="165">
        <f>+'P &amp; E año completo  Inicial '!E228</f>
        <v>124425000</v>
      </c>
      <c r="F232" s="165">
        <f>+H161</f>
        <v>101792158</v>
      </c>
      <c r="G232" s="165">
        <f t="shared" si="44"/>
        <v>22632842</v>
      </c>
      <c r="H232" s="166">
        <f t="shared" si="45"/>
        <v>0.18189947357846092</v>
      </c>
      <c r="K232" s="53"/>
      <c r="L232" s="53"/>
      <c r="R232" s="50"/>
      <c r="S232" s="50"/>
      <c r="AH232" s="54"/>
      <c r="AI232" s="54"/>
    </row>
    <row r="233" spans="3:35" ht="15.75" x14ac:dyDescent="0.25">
      <c r="C233" s="297" t="s">
        <v>145</v>
      </c>
      <c r="D233" s="297"/>
      <c r="E233" s="165">
        <f>+'P &amp; E año completo  Inicial '!E229</f>
        <v>191520000</v>
      </c>
      <c r="F233" s="165">
        <f>+H179</f>
        <v>162941030</v>
      </c>
      <c r="G233" s="165">
        <f t="shared" si="44"/>
        <v>28578970</v>
      </c>
      <c r="H233" s="166">
        <f t="shared" si="45"/>
        <v>0.14922185672514621</v>
      </c>
      <c r="K233" s="53"/>
      <c r="L233" s="53"/>
      <c r="R233" s="50"/>
      <c r="S233" s="50"/>
      <c r="AH233" s="54"/>
      <c r="AI233" s="54"/>
    </row>
    <row r="234" spans="3:35" ht="15.75" x14ac:dyDescent="0.25">
      <c r="C234" s="297" t="s">
        <v>150</v>
      </c>
      <c r="D234" s="297"/>
      <c r="E234" s="165">
        <f>+'P &amp; E año completo  Inicial '!E230</f>
        <v>105000000</v>
      </c>
      <c r="F234" s="165">
        <f>+H195</f>
        <v>97000000</v>
      </c>
      <c r="G234" s="165">
        <f t="shared" si="44"/>
        <v>8000000</v>
      </c>
      <c r="H234" s="166">
        <f t="shared" si="45"/>
        <v>7.6190476190476197E-2</v>
      </c>
      <c r="K234" s="53"/>
      <c r="L234" s="53"/>
      <c r="R234" s="50"/>
      <c r="S234" s="50"/>
      <c r="AH234" s="54"/>
      <c r="AI234" s="54"/>
    </row>
    <row r="235" spans="3:35" ht="30" customHeight="1" x14ac:dyDescent="0.25">
      <c r="C235" s="298" t="s">
        <v>173</v>
      </c>
      <c r="D235" s="299"/>
      <c r="E235" s="165">
        <f>+'P &amp; E año completo  Inicial '!E231</f>
        <v>2795100000</v>
      </c>
      <c r="F235" s="165">
        <f>+K218</f>
        <v>2582140000</v>
      </c>
      <c r="G235" s="165">
        <f t="shared" si="44"/>
        <v>212960000</v>
      </c>
      <c r="H235" s="166">
        <f t="shared" si="45"/>
        <v>7.6190476190476197E-2</v>
      </c>
      <c r="K235" s="53"/>
      <c r="L235" s="53"/>
      <c r="R235" s="50"/>
      <c r="S235" s="50"/>
      <c r="AH235" s="54"/>
      <c r="AI235" s="54"/>
    </row>
    <row r="236" spans="3:35" ht="15.75" x14ac:dyDescent="0.25">
      <c r="C236" s="300" t="s">
        <v>174</v>
      </c>
      <c r="D236" s="301"/>
      <c r="E236" s="167">
        <f>SUM(E227:E235)</f>
        <v>5765096379</v>
      </c>
      <c r="F236" s="167">
        <f>SUM(F227:F235)</f>
        <v>5083847794</v>
      </c>
      <c r="G236" s="167">
        <f>SUM(G227:G235)</f>
        <v>681248585</v>
      </c>
      <c r="H236" s="168">
        <f t="shared" si="45"/>
        <v>0.1181677703570617</v>
      </c>
      <c r="K236" s="53"/>
      <c r="L236" s="53"/>
      <c r="R236" s="50"/>
      <c r="S236" s="50"/>
      <c r="AH236" s="54"/>
      <c r="AI236" s="54"/>
    </row>
    <row r="237" spans="3:35" x14ac:dyDescent="0.2">
      <c r="F237" s="169"/>
    </row>
  </sheetData>
  <mergeCells count="118">
    <mergeCell ref="C231:D231"/>
    <mergeCell ref="C232:D232"/>
    <mergeCell ref="C233:D233"/>
    <mergeCell ref="C234:D234"/>
    <mergeCell ref="C235:D235"/>
    <mergeCell ref="C236:D236"/>
    <mergeCell ref="C218:I218"/>
    <mergeCell ref="C225:H225"/>
    <mergeCell ref="C227:D227"/>
    <mergeCell ref="C228:D228"/>
    <mergeCell ref="C229:D229"/>
    <mergeCell ref="C230:D230"/>
    <mergeCell ref="C215:D215"/>
    <mergeCell ref="F215:H215"/>
    <mergeCell ref="C216:D216"/>
    <mergeCell ref="F216:H216"/>
    <mergeCell ref="C217:D217"/>
    <mergeCell ref="F217:H217"/>
    <mergeCell ref="C212:D212"/>
    <mergeCell ref="F212:H212"/>
    <mergeCell ref="C213:D213"/>
    <mergeCell ref="F213:H213"/>
    <mergeCell ref="C214:D214"/>
    <mergeCell ref="F214:H214"/>
    <mergeCell ref="C185:N185"/>
    <mergeCell ref="C188:C191"/>
    <mergeCell ref="C192:G192"/>
    <mergeCell ref="F210:H210"/>
    <mergeCell ref="C211:D211"/>
    <mergeCell ref="F211:H211"/>
    <mergeCell ref="K169:K170"/>
    <mergeCell ref="L169:L170"/>
    <mergeCell ref="F172:F174"/>
    <mergeCell ref="G172:G174"/>
    <mergeCell ref="H172:H174"/>
    <mergeCell ref="I172:I174"/>
    <mergeCell ref="J172:J174"/>
    <mergeCell ref="K172:K174"/>
    <mergeCell ref="L172:L174"/>
    <mergeCell ref="C157:G157"/>
    <mergeCell ref="C166:N166"/>
    <mergeCell ref="C169:C174"/>
    <mergeCell ref="F169:F170"/>
    <mergeCell ref="G169:G170"/>
    <mergeCell ref="H169:H170"/>
    <mergeCell ref="I169:I170"/>
    <mergeCell ref="J169:J170"/>
    <mergeCell ref="C175:G175"/>
    <mergeCell ref="K133:K135"/>
    <mergeCell ref="L133:L135"/>
    <mergeCell ref="C139:G139"/>
    <mergeCell ref="C151:N151"/>
    <mergeCell ref="C154:C156"/>
    <mergeCell ref="F154:F155"/>
    <mergeCell ref="G154:G155"/>
    <mergeCell ref="H154:H155"/>
    <mergeCell ref="I154:I155"/>
    <mergeCell ref="J154:J155"/>
    <mergeCell ref="C133:C138"/>
    <mergeCell ref="F133:F135"/>
    <mergeCell ref="G133:G135"/>
    <mergeCell ref="H133:H135"/>
    <mergeCell ref="I133:I135"/>
    <mergeCell ref="J133:J135"/>
    <mergeCell ref="K154:K155"/>
    <mergeCell ref="L154:L155"/>
    <mergeCell ref="K110:K113"/>
    <mergeCell ref="L110:L113"/>
    <mergeCell ref="C114:G114"/>
    <mergeCell ref="C117:C118"/>
    <mergeCell ref="C119:G119"/>
    <mergeCell ref="C130:N130"/>
    <mergeCell ref="C110:C113"/>
    <mergeCell ref="F110:F113"/>
    <mergeCell ref="G110:G113"/>
    <mergeCell ref="H110:H113"/>
    <mergeCell ref="I110:I113"/>
    <mergeCell ref="J110:J113"/>
    <mergeCell ref="K80:K83"/>
    <mergeCell ref="L80:L83"/>
    <mergeCell ref="C88:G88"/>
    <mergeCell ref="C91:C92"/>
    <mergeCell ref="C93:G93"/>
    <mergeCell ref="C107:N107"/>
    <mergeCell ref="C80:C87"/>
    <mergeCell ref="F80:F83"/>
    <mergeCell ref="G80:G83"/>
    <mergeCell ref="H80:H83"/>
    <mergeCell ref="I80:I83"/>
    <mergeCell ref="J80:J83"/>
    <mergeCell ref="K51:K52"/>
    <mergeCell ref="L51:L52"/>
    <mergeCell ref="C57:G57"/>
    <mergeCell ref="C60:C64"/>
    <mergeCell ref="C65:G65"/>
    <mergeCell ref="C77:N77"/>
    <mergeCell ref="C51:C56"/>
    <mergeCell ref="F51:F52"/>
    <mergeCell ref="G51:G52"/>
    <mergeCell ref="H51:H52"/>
    <mergeCell ref="I51:I52"/>
    <mergeCell ref="J51:J52"/>
    <mergeCell ref="K10:K11"/>
    <mergeCell ref="L10:L11"/>
    <mergeCell ref="C16:G16"/>
    <mergeCell ref="C19:C24"/>
    <mergeCell ref="C25:G25"/>
    <mergeCell ref="C48:N48"/>
    <mergeCell ref="C2:L2"/>
    <mergeCell ref="B4:C4"/>
    <mergeCell ref="E4:L4"/>
    <mergeCell ref="C7:N7"/>
    <mergeCell ref="C10:C15"/>
    <mergeCell ref="F10:F11"/>
    <mergeCell ref="G10:G11"/>
    <mergeCell ref="H10:H11"/>
    <mergeCell ref="I10:I11"/>
    <mergeCell ref="J10:J11"/>
  </mergeCells>
  <pageMargins left="0.7" right="0.7" top="0.75" bottom="0.75" header="0.3" footer="0.3"/>
  <pageSetup scale="5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22" sqref="F22"/>
    </sheetView>
  </sheetViews>
  <sheetFormatPr defaultColWidth="11.42578125" defaultRowHeight="15" x14ac:dyDescent="0.25"/>
  <cols>
    <col min="1" max="1" width="34.28515625" customWidth="1"/>
    <col min="2" max="4" width="17.85546875" bestFit="1" customWidth="1"/>
    <col min="5" max="5" width="18.85546875" bestFit="1" customWidth="1"/>
    <col min="6" max="6" width="16.28515625" bestFit="1" customWidth="1"/>
    <col min="8" max="8" width="12" bestFit="1" customWidth="1"/>
  </cols>
  <sheetData>
    <row r="1" spans="1:8" x14ac:dyDescent="0.25">
      <c r="A1" s="175"/>
      <c r="B1" s="176"/>
      <c r="C1" s="176"/>
      <c r="D1" s="176"/>
      <c r="E1" s="176"/>
      <c r="F1" s="177"/>
      <c r="H1" s="178"/>
    </row>
    <row r="2" spans="1:8" x14ac:dyDescent="0.25">
      <c r="A2" s="175"/>
      <c r="B2" s="176"/>
      <c r="C2" s="176"/>
      <c r="D2" s="176"/>
      <c r="E2" s="176"/>
      <c r="F2" s="177"/>
    </row>
    <row r="3" spans="1:8" x14ac:dyDescent="0.25">
      <c r="A3" s="175"/>
      <c r="B3" s="176"/>
      <c r="C3" s="176"/>
      <c r="D3" s="176"/>
      <c r="E3" s="176"/>
      <c r="F3" s="177"/>
    </row>
    <row r="4" spans="1:8" ht="15.75" x14ac:dyDescent="0.25">
      <c r="A4" s="303" t="s">
        <v>181</v>
      </c>
      <c r="B4" s="303"/>
      <c r="C4" s="303"/>
      <c r="D4" s="303"/>
      <c r="E4" s="303"/>
      <c r="F4" s="303"/>
    </row>
    <row r="6" spans="1:8" x14ac:dyDescent="0.25">
      <c r="A6" s="182"/>
      <c r="B6" s="183" t="s">
        <v>185</v>
      </c>
      <c r="C6" s="183" t="s">
        <v>186</v>
      </c>
      <c r="D6" s="183" t="s">
        <v>187</v>
      </c>
      <c r="E6" s="183" t="s">
        <v>188</v>
      </c>
      <c r="F6" s="183" t="s">
        <v>191</v>
      </c>
    </row>
    <row r="7" spans="1:8" x14ac:dyDescent="0.25">
      <c r="A7" s="39" t="s">
        <v>182</v>
      </c>
      <c r="B7" s="40">
        <f>'Laboratorios prod.'!K15</f>
        <v>2864487240</v>
      </c>
      <c r="C7" s="40">
        <f>'Laboratorios prod.'!K16</f>
        <v>1782347616</v>
      </c>
      <c r="D7" s="40">
        <f>'Laboratorios prod.'!K17</f>
        <v>1464071256</v>
      </c>
      <c r="E7" s="40"/>
      <c r="F7" s="172">
        <f>SUM(B7:E7)</f>
        <v>6110906112</v>
      </c>
    </row>
    <row r="8" spans="1:8" x14ac:dyDescent="0.25">
      <c r="A8" s="39" t="s">
        <v>183</v>
      </c>
      <c r="B8" s="40">
        <f>'Tarifas Paquetes'!H43</f>
        <v>5492909598</v>
      </c>
      <c r="C8" s="40">
        <f>'Tarifas Paquetes'!H44</f>
        <v>1872582817.5</v>
      </c>
      <c r="D8" s="40">
        <f>'Tarifas Paquetes'!H45</f>
        <v>1123549690.5</v>
      </c>
      <c r="E8" s="40">
        <f>'Tarifas Paquetes'!H46</f>
        <v>3994843344.0000005</v>
      </c>
      <c r="F8" s="172">
        <f t="shared" ref="F8:F9" si="0">SUM(B8:E8)</f>
        <v>12483885450</v>
      </c>
    </row>
    <row r="9" spans="1:8" x14ac:dyDescent="0.25">
      <c r="A9" s="39" t="s">
        <v>184</v>
      </c>
      <c r="B9" s="40">
        <f>SUM('P &amp; E 2015- 2019 T. Finales'!F229,'P &amp; E 2015- 2019 T. Finales'!F230,'P &amp; E 2015- 2019 T. Finales'!F233)*5</f>
        <v>6198843140</v>
      </c>
      <c r="C9" s="40">
        <f>SUM('P &amp; E 2015- 2019 T. Finales'!F228,'P &amp; E 2015- 2019 T. Finales'!F232)*5</f>
        <v>1798176720</v>
      </c>
      <c r="D9" s="40">
        <f>SUM('P &amp; E 2015- 2019 T. Finales'!F227)*5</f>
        <v>2372555620</v>
      </c>
      <c r="E9" s="40">
        <f>SUM('P &amp; E 2015- 2019 T. Finales'!F231,'P &amp; E 2015- 2019 T. Finales'!F234,'P &amp; E 2015- 2019 T. Finales'!F235)*5</f>
        <v>15049663490</v>
      </c>
      <c r="F9" s="172">
        <f t="shared" si="0"/>
        <v>25419238970</v>
      </c>
    </row>
    <row r="10" spans="1:8" x14ac:dyDescent="0.25">
      <c r="A10" s="39" t="s">
        <v>190</v>
      </c>
      <c r="B10" s="172">
        <f>SUM(B7:B9)</f>
        <v>14556239978</v>
      </c>
      <c r="C10" s="172">
        <f>SUM(C7:C9)</f>
        <v>5453107153.5</v>
      </c>
      <c r="D10" s="172">
        <f>SUM(D7:D9)</f>
        <v>4960176566.5</v>
      </c>
      <c r="E10" s="172">
        <f>SUM(E7:E9)</f>
        <v>19044506834</v>
      </c>
      <c r="F10" s="173">
        <f>SUM(B10:E10)</f>
        <v>44014030532</v>
      </c>
    </row>
    <row r="11" spans="1:8" x14ac:dyDescent="0.25">
      <c r="F11" s="44"/>
      <c r="H11" s="178"/>
    </row>
    <row r="12" spans="1:8" x14ac:dyDescent="0.25">
      <c r="F12" s="174"/>
    </row>
    <row r="13" spans="1:8" x14ac:dyDescent="0.25">
      <c r="B13" s="179">
        <f>B9/$F$9</f>
        <v>0.24386423005487801</v>
      </c>
      <c r="C13" s="179">
        <f>C9/$F$9</f>
        <v>7.0740777177563163E-2</v>
      </c>
      <c r="D13" s="179">
        <f>D9/$F$9</f>
        <v>9.3337004416226235E-2</v>
      </c>
      <c r="E13" s="179">
        <f>E9/$F$9</f>
        <v>0.59205798835133261</v>
      </c>
      <c r="F13" s="180"/>
    </row>
    <row r="14" spans="1:8" x14ac:dyDescent="0.25">
      <c r="B14" s="181"/>
      <c r="C14" s="181"/>
      <c r="D14" s="181"/>
      <c r="E14" s="179"/>
      <c r="F14" s="181"/>
    </row>
    <row r="15" spans="1:8" x14ac:dyDescent="0.25">
      <c r="B15" s="181"/>
      <c r="C15" s="181"/>
      <c r="D15" s="181"/>
      <c r="E15" s="181"/>
      <c r="F15" s="181"/>
    </row>
    <row r="16" spans="1:8" x14ac:dyDescent="0.25">
      <c r="B16" s="181"/>
      <c r="C16" s="181"/>
      <c r="D16" s="181"/>
      <c r="E16" s="181"/>
      <c r="F16" s="181"/>
    </row>
    <row r="17" spans="2:6" x14ac:dyDescent="0.25">
      <c r="B17" s="181"/>
      <c r="C17" s="181"/>
      <c r="D17" s="181"/>
      <c r="E17" s="181"/>
      <c r="F17" s="181"/>
    </row>
    <row r="18" spans="2:6" x14ac:dyDescent="0.25">
      <c r="B18" s="181"/>
      <c r="C18" s="181"/>
      <c r="D18" s="181"/>
      <c r="E18" s="181"/>
      <c r="F18" s="181"/>
    </row>
    <row r="19" spans="2:6" x14ac:dyDescent="0.25">
      <c r="B19" s="181"/>
      <c r="C19" s="181"/>
      <c r="D19" s="181"/>
      <c r="E19" s="181"/>
      <c r="F19" s="181"/>
    </row>
    <row r="20" spans="2:6" x14ac:dyDescent="0.25">
      <c r="B20" s="181">
        <v>5765096379</v>
      </c>
      <c r="C20" s="181">
        <f>B20*1.04</f>
        <v>5995700234.1599998</v>
      </c>
      <c r="D20" s="181">
        <f>C20*1.04</f>
        <v>6235528243.5263996</v>
      </c>
      <c r="E20" s="181">
        <f>D20*1.04</f>
        <v>6484949373.2674561</v>
      </c>
      <c r="F20" s="181">
        <f>E20*1.04</f>
        <v>6744347348.1981544</v>
      </c>
    </row>
    <row r="21" spans="2:6" x14ac:dyDescent="0.25">
      <c r="B21" s="181"/>
      <c r="C21" s="181"/>
      <c r="D21" s="181"/>
      <c r="E21" s="181"/>
      <c r="F21" s="181"/>
    </row>
    <row r="22" spans="2:6" x14ac:dyDescent="0.25">
      <c r="B22" s="181"/>
      <c r="C22" s="181"/>
      <c r="D22" s="181"/>
      <c r="E22" s="181"/>
      <c r="F22" s="181"/>
    </row>
    <row r="24" spans="2:6" ht="16.5" x14ac:dyDescent="0.35">
      <c r="C24" s="171"/>
      <c r="E24" s="170"/>
    </row>
  </sheetData>
  <mergeCells count="1">
    <mergeCell ref="A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6"/>
  <sheetViews>
    <sheetView tabSelected="1" workbookViewId="0">
      <selection activeCell="AJ22" sqref="AJ22"/>
    </sheetView>
  </sheetViews>
  <sheetFormatPr defaultColWidth="9.140625" defaultRowHeight="12.75" x14ac:dyDescent="0.2"/>
  <cols>
    <col min="1" max="1" width="34.28515625" style="184" customWidth="1"/>
    <col min="2" max="17" width="18.85546875" style="185" hidden="1" customWidth="1"/>
    <col min="18" max="18" width="19.28515625" style="185" hidden="1" customWidth="1"/>
    <col min="19" max="19" width="19.28515625" style="184" hidden="1" customWidth="1"/>
    <col min="20" max="20" width="24.5703125" style="184" hidden="1" customWidth="1"/>
    <col min="21" max="21" width="19.28515625" style="184" hidden="1" customWidth="1"/>
    <col min="22" max="22" width="19.28515625" style="184" customWidth="1"/>
    <col min="23" max="23" width="15" style="184" bestFit="1" customWidth="1"/>
    <col min="24" max="24" width="9.140625" style="184"/>
    <col min="25" max="25" width="15.5703125" style="184" bestFit="1" customWidth="1"/>
    <col min="26" max="16384" width="9.140625" style="184"/>
  </cols>
  <sheetData>
    <row r="1" spans="1:25" ht="22.5" customHeight="1" x14ac:dyDescent="0.2">
      <c r="A1" s="308" t="s">
        <v>244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10"/>
    </row>
    <row r="3" spans="1:25" x14ac:dyDescent="0.2">
      <c r="A3" s="184" t="s">
        <v>240</v>
      </c>
    </row>
    <row r="4" spans="1:25" ht="41.25" customHeight="1" x14ac:dyDescent="0.2">
      <c r="A4" s="322" t="s">
        <v>196</v>
      </c>
      <c r="B4" s="311" t="s">
        <v>185</v>
      </c>
      <c r="C4" s="312"/>
      <c r="D4" s="312"/>
      <c r="E4" s="313"/>
      <c r="F4" s="314" t="s">
        <v>186</v>
      </c>
      <c r="G4" s="315"/>
      <c r="H4" s="315"/>
      <c r="I4" s="316"/>
      <c r="J4" s="317" t="s">
        <v>187</v>
      </c>
      <c r="K4" s="318"/>
      <c r="L4" s="318"/>
      <c r="M4" s="319"/>
      <c r="N4" s="320" t="s">
        <v>188</v>
      </c>
      <c r="O4" s="320"/>
      <c r="P4" s="320"/>
      <c r="Q4" s="321"/>
      <c r="R4" s="306" t="s">
        <v>191</v>
      </c>
      <c r="S4" s="306" t="s">
        <v>199</v>
      </c>
      <c r="T4" s="304" t="s">
        <v>241</v>
      </c>
      <c r="U4" s="304" t="s">
        <v>201</v>
      </c>
      <c r="V4" s="306" t="s">
        <v>200</v>
      </c>
    </row>
    <row r="5" spans="1:25" ht="41.25" customHeight="1" x14ac:dyDescent="0.2">
      <c r="A5" s="323"/>
      <c r="B5" s="235" t="s">
        <v>239</v>
      </c>
      <c r="C5" s="201" t="s">
        <v>193</v>
      </c>
      <c r="D5" s="201" t="s">
        <v>197</v>
      </c>
      <c r="E5" s="202" t="s">
        <v>195</v>
      </c>
      <c r="F5" s="186" t="s">
        <v>192</v>
      </c>
      <c r="G5" s="187" t="s">
        <v>193</v>
      </c>
      <c r="H5" s="187" t="s">
        <v>194</v>
      </c>
      <c r="I5" s="187" t="s">
        <v>195</v>
      </c>
      <c r="J5" s="190" t="s">
        <v>192</v>
      </c>
      <c r="K5" s="191" t="s">
        <v>193</v>
      </c>
      <c r="L5" s="191" t="s">
        <v>194</v>
      </c>
      <c r="M5" s="191" t="s">
        <v>195</v>
      </c>
      <c r="N5" s="188" t="s">
        <v>192</v>
      </c>
      <c r="O5" s="189" t="s">
        <v>193</v>
      </c>
      <c r="P5" s="189" t="s">
        <v>194</v>
      </c>
      <c r="Q5" s="189" t="s">
        <v>195</v>
      </c>
      <c r="R5" s="307"/>
      <c r="S5" s="307"/>
      <c r="T5" s="305"/>
      <c r="U5" s="305"/>
      <c r="V5" s="307"/>
    </row>
    <row r="6" spans="1:25" s="192" customFormat="1" ht="18.75" customHeight="1" x14ac:dyDescent="0.2">
      <c r="A6" s="234" t="s">
        <v>182</v>
      </c>
      <c r="B6" s="197">
        <v>2864487240</v>
      </c>
      <c r="C6" s="198">
        <v>140536012</v>
      </c>
      <c r="D6" s="198">
        <v>639896805</v>
      </c>
      <c r="E6" s="200">
        <f>+B6-C6-D6</f>
        <v>2084054423</v>
      </c>
      <c r="F6" s="194">
        <v>1782347616</v>
      </c>
      <c r="G6" s="195">
        <v>85598703</v>
      </c>
      <c r="H6" s="203">
        <v>414598939</v>
      </c>
      <c r="I6" s="196">
        <f>+F6-G6-H6</f>
        <v>1282149974</v>
      </c>
      <c r="J6" s="193">
        <v>1407319973</v>
      </c>
      <c r="K6" s="195">
        <v>0</v>
      </c>
      <c r="L6" s="203">
        <v>375239447</v>
      </c>
      <c r="M6" s="196">
        <f>+J6-K6-L6</f>
        <v>1032080526</v>
      </c>
      <c r="N6" s="194">
        <v>3994843344</v>
      </c>
      <c r="O6" s="195"/>
      <c r="P6" s="195"/>
      <c r="Q6" s="196">
        <f>+N6-O6-P6</f>
        <v>3994843344</v>
      </c>
      <c r="R6" s="193">
        <f t="shared" ref="R6:S7" si="0">+B6+F6+J6+N6</f>
        <v>10048998173</v>
      </c>
      <c r="S6" s="218">
        <f t="shared" si="0"/>
        <v>226134715</v>
      </c>
      <c r="T6" s="218" t="s">
        <v>242</v>
      </c>
      <c r="U6" s="218">
        <f>+D6+H6+L6+P6</f>
        <v>1429735191</v>
      </c>
      <c r="V6" s="218">
        <f>+E6+I6+M6+Q6</f>
        <v>8393128267</v>
      </c>
      <c r="W6" s="217"/>
      <c r="X6" s="217"/>
    </row>
    <row r="7" spans="1:25" s="192" customFormat="1" ht="18.75" customHeight="1" x14ac:dyDescent="0.2">
      <c r="A7" s="234" t="s">
        <v>183</v>
      </c>
      <c r="B7" s="197">
        <v>5492909598</v>
      </c>
      <c r="C7" s="198">
        <f>558229925+1664000+65630200+79171400</f>
        <v>704695525</v>
      </c>
      <c r="D7" s="199"/>
      <c r="E7" s="200">
        <f t="shared" ref="E7" si="1">+B7-C7-D7</f>
        <v>4788214073</v>
      </c>
      <c r="F7" s="197">
        <v>1872582817.5</v>
      </c>
      <c r="G7" s="198">
        <f>182913495+15208400+24500000+432600+185580400</f>
        <v>408634895</v>
      </c>
      <c r="H7" s="198">
        <v>0</v>
      </c>
      <c r="I7" s="200">
        <f>+F7-G7-H7</f>
        <v>1463947922.5</v>
      </c>
      <c r="J7" s="193">
        <v>873871982</v>
      </c>
      <c r="K7" s="198">
        <v>33798400</v>
      </c>
      <c r="L7" s="198">
        <v>0</v>
      </c>
      <c r="M7" s="200">
        <f t="shared" ref="M7:M8" si="2">+J7-K7-L7</f>
        <v>840073582</v>
      </c>
      <c r="N7" s="197"/>
      <c r="O7" s="198"/>
      <c r="P7" s="198"/>
      <c r="Q7" s="200">
        <f>+N7-O7-P7</f>
        <v>0</v>
      </c>
      <c r="R7" s="193">
        <f t="shared" si="0"/>
        <v>8239364397.5</v>
      </c>
      <c r="S7" s="218">
        <f t="shared" si="0"/>
        <v>1147128820</v>
      </c>
      <c r="T7" s="218"/>
      <c r="U7" s="218">
        <f>+D7+H7+L7+P7</f>
        <v>0</v>
      </c>
      <c r="V7" s="218">
        <f>+E7+I7+M7+Q7</f>
        <v>7092235577.5</v>
      </c>
      <c r="W7" s="217"/>
      <c r="X7" s="217"/>
      <c r="Y7" s="217"/>
    </row>
    <row r="8" spans="1:25" s="192" customFormat="1" ht="18.75" customHeight="1" x14ac:dyDescent="0.2">
      <c r="A8" s="234" t="s">
        <v>198</v>
      </c>
      <c r="B8" s="204">
        <v>6198843140</v>
      </c>
      <c r="C8" s="205">
        <v>597955454</v>
      </c>
      <c r="D8" s="207">
        <v>465180851</v>
      </c>
      <c r="E8" s="206">
        <f>+B8-C8-D8</f>
        <v>5135706835</v>
      </c>
      <c r="F8" s="204">
        <v>1798176720</v>
      </c>
      <c r="G8" s="205">
        <v>117999974</v>
      </c>
      <c r="H8" s="207">
        <v>265302928</v>
      </c>
      <c r="I8" s="206">
        <f>+F8-G8-H8</f>
        <v>1414873818</v>
      </c>
      <c r="J8" s="193">
        <v>1915545831</v>
      </c>
      <c r="K8" s="209">
        <v>0</v>
      </c>
      <c r="L8" s="210">
        <v>339422921</v>
      </c>
      <c r="M8" s="211">
        <f t="shared" si="2"/>
        <v>1576122910</v>
      </c>
      <c r="N8" s="208">
        <v>15049663490</v>
      </c>
      <c r="O8" s="209">
        <f>29706112+5309683+819908391</f>
        <v>854924186</v>
      </c>
      <c r="P8" s="210">
        <v>405770938</v>
      </c>
      <c r="Q8" s="211">
        <f>+N8-O8-P8</f>
        <v>13788968366</v>
      </c>
      <c r="R8" s="193">
        <f t="shared" ref="R8" si="3">+B8+F8+J8+N8</f>
        <v>24962229181</v>
      </c>
      <c r="S8" s="218">
        <f t="shared" ref="S8" si="4">+C8+G8+K8+O8</f>
        <v>1570879614</v>
      </c>
      <c r="T8" s="218" t="s">
        <v>243</v>
      </c>
      <c r="U8" s="218">
        <f t="shared" ref="U8" si="5">+D8+H8+L8+P8</f>
        <v>1475677638</v>
      </c>
      <c r="V8" s="218">
        <f>+E8+I8+M8+Q8</f>
        <v>21915671929</v>
      </c>
      <c r="W8" s="217"/>
      <c r="X8" s="217"/>
      <c r="Y8" s="217"/>
    </row>
    <row r="9" spans="1:25" ht="18.75" customHeight="1" x14ac:dyDescent="0.2">
      <c r="A9" s="212" t="s">
        <v>190</v>
      </c>
      <c r="B9" s="213">
        <f>SUM(B6:B8)</f>
        <v>14556239978</v>
      </c>
      <c r="C9" s="214">
        <f>SUM(C6:C8)</f>
        <v>1443186991</v>
      </c>
      <c r="D9" s="214">
        <f>SUM(D6:D8)</f>
        <v>1105077656</v>
      </c>
      <c r="E9" s="215">
        <f>+B9-C9-D9</f>
        <v>12007975331</v>
      </c>
      <c r="F9" s="213">
        <f>SUM(F6:F8)</f>
        <v>5453107153.5</v>
      </c>
      <c r="G9" s="214">
        <f>SUM(G6:G8)</f>
        <v>612233572</v>
      </c>
      <c r="H9" s="214">
        <f>SUM(H6:H8)</f>
        <v>679901867</v>
      </c>
      <c r="I9" s="215">
        <f>+F9-(G9+H9)</f>
        <v>4160971714.5</v>
      </c>
      <c r="J9" s="213">
        <v>4960176566.5</v>
      </c>
      <c r="K9" s="214">
        <f>SUM(K6:K8)</f>
        <v>33798400</v>
      </c>
      <c r="L9" s="214">
        <f>SUM(L6:L8)</f>
        <v>714662368</v>
      </c>
      <c r="M9" s="215">
        <f>+J9-(K9+L9)</f>
        <v>4211715798.5</v>
      </c>
      <c r="N9" s="213">
        <v>19044506834</v>
      </c>
      <c r="O9" s="214">
        <f>SUM(O6:O8)</f>
        <v>854924186</v>
      </c>
      <c r="P9" s="214">
        <f t="shared" ref="P9:Q9" si="6">SUM(P6:P8)</f>
        <v>405770938</v>
      </c>
      <c r="Q9" s="214">
        <f t="shared" si="6"/>
        <v>17783811710</v>
      </c>
      <c r="R9" s="216">
        <v>44014030532</v>
      </c>
      <c r="S9" s="219">
        <f>SUM(S6:S8)</f>
        <v>2944143149</v>
      </c>
      <c r="T9" s="219"/>
      <c r="U9" s="219">
        <f>SUM(U6:U8)</f>
        <v>2905412829</v>
      </c>
      <c r="V9" s="219">
        <f>SUM(V6:V8)</f>
        <v>37401035773.5</v>
      </c>
    </row>
    <row r="10" spans="1:25" s="232" customFormat="1" ht="12.75" customHeight="1" x14ac:dyDescent="0.2">
      <c r="A10" s="230" t="s">
        <v>236</v>
      </c>
      <c r="B10" s="231"/>
      <c r="C10" s="231">
        <f>+C9+D9</f>
        <v>2548264647</v>
      </c>
      <c r="D10" s="231"/>
      <c r="E10" s="231"/>
      <c r="F10" s="231"/>
      <c r="G10" s="231">
        <f>+G9+H9</f>
        <v>1292135439</v>
      </c>
      <c r="H10" s="231"/>
      <c r="I10" s="231"/>
      <c r="J10" s="231"/>
      <c r="K10" s="231">
        <f>+K9+L9</f>
        <v>748460768</v>
      </c>
      <c r="L10" s="231"/>
      <c r="M10" s="231"/>
      <c r="N10" s="231"/>
      <c r="O10" s="231">
        <f>+O9+P9</f>
        <v>1260695124</v>
      </c>
      <c r="P10" s="231"/>
      <c r="Q10" s="231"/>
      <c r="R10" s="231"/>
      <c r="S10" s="230"/>
      <c r="T10" s="230"/>
      <c r="U10" s="230"/>
      <c r="V10" s="230"/>
    </row>
    <row r="11" spans="1:25" s="232" customFormat="1" ht="11.25" customHeight="1" x14ac:dyDescent="0.2">
      <c r="A11" s="230" t="s">
        <v>237</v>
      </c>
      <c r="B11" s="231"/>
      <c r="C11" s="231">
        <f>+C10+G10+K10+O10</f>
        <v>5849555978</v>
      </c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3"/>
      <c r="T11" s="233"/>
      <c r="U11" s="230"/>
      <c r="V11" s="230"/>
    </row>
    <row r="13" spans="1:25" ht="25.5" x14ac:dyDescent="0.2">
      <c r="A13" s="234" t="s">
        <v>182</v>
      </c>
      <c r="J13" s="191" t="s">
        <v>238</v>
      </c>
    </row>
    <row r="14" spans="1:25" x14ac:dyDescent="0.2">
      <c r="A14" s="234" t="s">
        <v>183</v>
      </c>
      <c r="J14" s="193">
        <v>1407319973</v>
      </c>
    </row>
    <row r="15" spans="1:25" x14ac:dyDescent="0.2">
      <c r="A15" s="234" t="s">
        <v>198</v>
      </c>
      <c r="J15" s="193">
        <v>873871982</v>
      </c>
    </row>
    <row r="16" spans="1:25" x14ac:dyDescent="0.2">
      <c r="J16" s="193">
        <v>1915545831</v>
      </c>
    </row>
  </sheetData>
  <mergeCells count="11">
    <mergeCell ref="T4:T5"/>
    <mergeCell ref="S4:S5"/>
    <mergeCell ref="V4:V5"/>
    <mergeCell ref="U4:U5"/>
    <mergeCell ref="A1:V1"/>
    <mergeCell ref="B4:E4"/>
    <mergeCell ref="F4:I4"/>
    <mergeCell ref="J4:M4"/>
    <mergeCell ref="N4:Q4"/>
    <mergeCell ref="A4:A5"/>
    <mergeCell ref="R4:R5"/>
  </mergeCells>
  <pageMargins left="0.74803149606299213" right="0.74803149606299213" top="0.98425196850393704" bottom="0.98425196850393704" header="0.51181102362204722" footer="0.51181102362204722"/>
  <pageSetup scale="5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workbookViewId="0">
      <selection activeCell="J24" sqref="J24"/>
    </sheetView>
  </sheetViews>
  <sheetFormatPr defaultColWidth="9.140625" defaultRowHeight="12.75" x14ac:dyDescent="0.2"/>
  <cols>
    <col min="1" max="1" width="25.28515625" style="184" customWidth="1"/>
    <col min="2" max="2" width="48.5703125" style="184" customWidth="1"/>
    <col min="3" max="3" width="25.28515625" style="184" customWidth="1"/>
    <col min="4" max="4" width="25.28515625" style="220" customWidth="1"/>
    <col min="5" max="5" width="25.28515625" style="184" customWidth="1"/>
    <col min="6" max="16384" width="9.140625" style="184"/>
  </cols>
  <sheetData>
    <row r="4" spans="1:5" ht="32.25" customHeight="1" x14ac:dyDescent="0.2">
      <c r="A4" s="221" t="s">
        <v>202</v>
      </c>
      <c r="B4" s="221" t="s">
        <v>203</v>
      </c>
      <c r="C4" s="221" t="s">
        <v>234</v>
      </c>
      <c r="D4" s="222" t="s">
        <v>233</v>
      </c>
      <c r="E4" s="221" t="s">
        <v>235</v>
      </c>
    </row>
    <row r="5" spans="1:5" x14ac:dyDescent="0.2">
      <c r="A5" s="223">
        <v>10</v>
      </c>
      <c r="B5" s="223" t="s">
        <v>204</v>
      </c>
      <c r="C5" s="224">
        <v>558229925</v>
      </c>
      <c r="D5" s="224">
        <v>558229925</v>
      </c>
      <c r="E5" s="224">
        <f>+C5-D5</f>
        <v>0</v>
      </c>
    </row>
    <row r="6" spans="1:5" x14ac:dyDescent="0.2">
      <c r="A6" s="225">
        <v>20</v>
      </c>
      <c r="B6" s="225" t="s">
        <v>215</v>
      </c>
      <c r="C6" s="226">
        <v>182913495</v>
      </c>
      <c r="D6" s="226">
        <v>182913495</v>
      </c>
      <c r="E6" s="226">
        <f t="shared" ref="E6:E32" si="0">+C6-D6</f>
        <v>0</v>
      </c>
    </row>
    <row r="7" spans="1:5" x14ac:dyDescent="0.2">
      <c r="A7" s="225">
        <v>30</v>
      </c>
      <c r="B7" s="225" t="s">
        <v>225</v>
      </c>
      <c r="C7" s="226">
        <v>405985400</v>
      </c>
      <c r="D7" s="226">
        <v>405985400</v>
      </c>
      <c r="E7" s="226">
        <f t="shared" si="0"/>
        <v>0</v>
      </c>
    </row>
    <row r="8" spans="1:5" x14ac:dyDescent="0.2">
      <c r="A8" s="225">
        <v>40</v>
      </c>
      <c r="B8" s="225" t="s">
        <v>226</v>
      </c>
      <c r="C8" s="226">
        <v>140536012</v>
      </c>
      <c r="D8" s="226">
        <v>140536012</v>
      </c>
      <c r="E8" s="226">
        <f t="shared" si="0"/>
        <v>0</v>
      </c>
    </row>
    <row r="9" spans="1:5" x14ac:dyDescent="0.2">
      <c r="A9" s="225">
        <v>50</v>
      </c>
      <c r="B9" s="225" t="s">
        <v>227</v>
      </c>
      <c r="C9" s="226">
        <v>85598703</v>
      </c>
      <c r="D9" s="226">
        <v>85598703</v>
      </c>
      <c r="E9" s="226">
        <f t="shared" si="0"/>
        <v>0</v>
      </c>
    </row>
    <row r="10" spans="1:5" x14ac:dyDescent="0.2">
      <c r="A10" s="225">
        <v>60</v>
      </c>
      <c r="B10" s="225" t="s">
        <v>228</v>
      </c>
      <c r="C10" s="226">
        <v>25917624</v>
      </c>
      <c r="D10" s="226">
        <v>25917624</v>
      </c>
      <c r="E10" s="226">
        <f t="shared" si="0"/>
        <v>0</v>
      </c>
    </row>
    <row r="11" spans="1:5" x14ac:dyDescent="0.2">
      <c r="A11" s="225">
        <v>70</v>
      </c>
      <c r="B11" s="225" t="s">
        <v>229</v>
      </c>
      <c r="C11" s="226">
        <v>451727460</v>
      </c>
      <c r="D11" s="226">
        <v>451727460</v>
      </c>
      <c r="E11" s="226">
        <f t="shared" si="0"/>
        <v>0</v>
      </c>
    </row>
    <row r="12" spans="1:5" x14ac:dyDescent="0.2">
      <c r="A12" s="225">
        <v>80</v>
      </c>
      <c r="B12" s="225" t="s">
        <v>230</v>
      </c>
      <c r="C12" s="226">
        <v>60619330</v>
      </c>
      <c r="D12" s="226">
        <v>60619330</v>
      </c>
      <c r="E12" s="226">
        <f t="shared" si="0"/>
        <v>0</v>
      </c>
    </row>
    <row r="13" spans="1:5" x14ac:dyDescent="0.2">
      <c r="A13" s="225">
        <v>90</v>
      </c>
      <c r="B13" s="225" t="s">
        <v>231</v>
      </c>
      <c r="C13" s="226">
        <v>29706112</v>
      </c>
      <c r="D13" s="226">
        <v>29706112</v>
      </c>
      <c r="E13" s="226">
        <f t="shared" si="0"/>
        <v>0</v>
      </c>
    </row>
    <row r="14" spans="1:5" x14ac:dyDescent="0.2">
      <c r="A14" s="225">
        <v>100</v>
      </c>
      <c r="B14" s="225" t="s">
        <v>205</v>
      </c>
      <c r="C14" s="226">
        <v>92082350</v>
      </c>
      <c r="D14" s="226">
        <v>92082350</v>
      </c>
      <c r="E14" s="226">
        <f t="shared" si="0"/>
        <v>0</v>
      </c>
    </row>
    <row r="15" spans="1:5" x14ac:dyDescent="0.2">
      <c r="A15" s="225">
        <v>110</v>
      </c>
      <c r="B15" s="225" t="s">
        <v>206</v>
      </c>
      <c r="C15" s="226">
        <v>85608664</v>
      </c>
      <c r="D15" s="226">
        <v>85608664</v>
      </c>
      <c r="E15" s="226">
        <f t="shared" si="0"/>
        <v>0</v>
      </c>
    </row>
    <row r="16" spans="1:5" x14ac:dyDescent="0.2">
      <c r="A16" s="225">
        <v>120</v>
      </c>
      <c r="B16" s="225" t="s">
        <v>207</v>
      </c>
      <c r="C16" s="226">
        <v>5309683</v>
      </c>
      <c r="D16" s="226">
        <v>5309683</v>
      </c>
      <c r="E16" s="226">
        <f t="shared" si="0"/>
        <v>0</v>
      </c>
    </row>
    <row r="17" spans="1:5" x14ac:dyDescent="0.2">
      <c r="A17" s="225">
        <v>130</v>
      </c>
      <c r="B17" s="225" t="s">
        <v>208</v>
      </c>
      <c r="C17" s="226">
        <v>819908391</v>
      </c>
      <c r="D17" s="226">
        <v>819908391</v>
      </c>
      <c r="E17" s="226">
        <f t="shared" si="0"/>
        <v>0</v>
      </c>
    </row>
    <row r="18" spans="1:5" x14ac:dyDescent="0.2">
      <c r="A18" s="225">
        <v>140</v>
      </c>
      <c r="B18" s="225" t="s">
        <v>209</v>
      </c>
      <c r="C18" s="226">
        <v>0</v>
      </c>
      <c r="D18" s="226">
        <v>0</v>
      </c>
      <c r="E18" s="226">
        <f t="shared" si="0"/>
        <v>0</v>
      </c>
    </row>
    <row r="19" spans="1:5" x14ac:dyDescent="0.2">
      <c r="A19" s="225">
        <v>150</v>
      </c>
      <c r="B19" s="225" t="s">
        <v>210</v>
      </c>
      <c r="C19" s="226">
        <v>0</v>
      </c>
      <c r="D19" s="226">
        <v>0</v>
      </c>
      <c r="E19" s="226">
        <f t="shared" si="0"/>
        <v>0</v>
      </c>
    </row>
    <row r="20" spans="1:5" x14ac:dyDescent="0.2">
      <c r="A20" s="225">
        <v>160</v>
      </c>
      <c r="B20" s="225" t="s">
        <v>211</v>
      </c>
      <c r="C20" s="226">
        <v>0</v>
      </c>
      <c r="D20" s="226">
        <v>0</v>
      </c>
      <c r="E20" s="226">
        <f t="shared" si="0"/>
        <v>0</v>
      </c>
    </row>
    <row r="21" spans="1:5" x14ac:dyDescent="0.2">
      <c r="A21" s="225">
        <v>170</v>
      </c>
      <c r="B21" s="225" t="s">
        <v>212</v>
      </c>
      <c r="C21" s="226">
        <v>0</v>
      </c>
      <c r="D21" s="226">
        <v>0</v>
      </c>
      <c r="E21" s="226">
        <f t="shared" si="0"/>
        <v>0</v>
      </c>
    </row>
    <row r="22" spans="1:5" x14ac:dyDescent="0.2">
      <c r="A22" s="225">
        <v>180</v>
      </c>
      <c r="B22" s="225" t="s">
        <v>213</v>
      </c>
      <c r="C22" s="226">
        <v>0</v>
      </c>
      <c r="D22" s="226">
        <v>0</v>
      </c>
      <c r="E22" s="226">
        <f t="shared" si="0"/>
        <v>0</v>
      </c>
    </row>
    <row r="23" spans="1:5" x14ac:dyDescent="0.2">
      <c r="A23" s="225">
        <v>190</v>
      </c>
      <c r="B23" s="225" t="s">
        <v>214</v>
      </c>
      <c r="C23" s="226">
        <v>0</v>
      </c>
      <c r="D23" s="226">
        <v>0</v>
      </c>
      <c r="E23" s="226">
        <f t="shared" si="0"/>
        <v>0</v>
      </c>
    </row>
    <row r="24" spans="1:5" x14ac:dyDescent="0.2">
      <c r="A24" s="225">
        <v>200</v>
      </c>
      <c r="B24" s="225" t="s">
        <v>216</v>
      </c>
      <c r="C24" s="226">
        <v>0</v>
      </c>
      <c r="D24" s="226">
        <v>0</v>
      </c>
      <c r="E24" s="226">
        <f t="shared" si="0"/>
        <v>0</v>
      </c>
    </row>
    <row r="25" spans="1:5" x14ac:dyDescent="0.2">
      <c r="A25" s="225">
        <v>210</v>
      </c>
      <c r="B25" s="225" t="s">
        <v>217</v>
      </c>
      <c r="C25" s="226">
        <v>0</v>
      </c>
      <c r="D25" s="226">
        <v>0</v>
      </c>
      <c r="E25" s="226">
        <f t="shared" si="0"/>
        <v>0</v>
      </c>
    </row>
    <row r="26" spans="1:5" x14ac:dyDescent="0.2">
      <c r="A26" s="225">
        <v>220</v>
      </c>
      <c r="B26" s="225" t="s">
        <v>218</v>
      </c>
      <c r="C26" s="226">
        <v>375239447</v>
      </c>
      <c r="D26" s="226">
        <v>16311786</v>
      </c>
      <c r="E26" s="226">
        <f t="shared" si="0"/>
        <v>358927661</v>
      </c>
    </row>
    <row r="27" spans="1:5" x14ac:dyDescent="0.2">
      <c r="A27" s="225">
        <v>230</v>
      </c>
      <c r="B27" s="225" t="s">
        <v>219</v>
      </c>
      <c r="C27" s="226">
        <v>414598939</v>
      </c>
      <c r="D27" s="226">
        <v>29559041</v>
      </c>
      <c r="E27" s="226">
        <f t="shared" si="0"/>
        <v>385039898</v>
      </c>
    </row>
    <row r="28" spans="1:5" x14ac:dyDescent="0.2">
      <c r="A28" s="225">
        <v>240</v>
      </c>
      <c r="B28" s="225" t="s">
        <v>220</v>
      </c>
      <c r="C28" s="226">
        <v>639896805</v>
      </c>
      <c r="D28" s="226">
        <v>47272004</v>
      </c>
      <c r="E28" s="226">
        <f t="shared" si="0"/>
        <v>592624801</v>
      </c>
    </row>
    <row r="29" spans="1:5" x14ac:dyDescent="0.2">
      <c r="A29" s="225">
        <v>250</v>
      </c>
      <c r="B29" s="225" t="s">
        <v>221</v>
      </c>
      <c r="C29" s="226">
        <v>405770938</v>
      </c>
      <c r="D29" s="226">
        <v>338457838</v>
      </c>
      <c r="E29" s="226">
        <f t="shared" si="0"/>
        <v>67313100</v>
      </c>
    </row>
    <row r="30" spans="1:5" x14ac:dyDescent="0.2">
      <c r="A30" s="225">
        <v>260</v>
      </c>
      <c r="B30" s="225" t="s">
        <v>222</v>
      </c>
      <c r="C30" s="226">
        <v>339422921</v>
      </c>
      <c r="D30" s="226">
        <v>98305188</v>
      </c>
      <c r="E30" s="226">
        <f t="shared" si="0"/>
        <v>241117733</v>
      </c>
    </row>
    <row r="31" spans="1:5" x14ac:dyDescent="0.2">
      <c r="A31" s="225">
        <v>270</v>
      </c>
      <c r="B31" s="225" t="s">
        <v>223</v>
      </c>
      <c r="C31" s="226">
        <v>265302928</v>
      </c>
      <c r="D31" s="226">
        <v>5527448</v>
      </c>
      <c r="E31" s="226">
        <f t="shared" si="0"/>
        <v>259775480</v>
      </c>
    </row>
    <row r="32" spans="1:5" x14ac:dyDescent="0.2">
      <c r="A32" s="225">
        <v>280</v>
      </c>
      <c r="B32" s="225" t="s">
        <v>224</v>
      </c>
      <c r="C32" s="226">
        <v>465180851</v>
      </c>
      <c r="D32" s="226">
        <v>58969016</v>
      </c>
      <c r="E32" s="226">
        <f t="shared" si="0"/>
        <v>406211835</v>
      </c>
    </row>
    <row r="33" spans="1:5" ht="30" customHeight="1" x14ac:dyDescent="0.2">
      <c r="A33" s="227" t="s">
        <v>232</v>
      </c>
      <c r="B33" s="227"/>
      <c r="C33" s="228">
        <f>SUM(C5:C32)</f>
        <v>5849555978</v>
      </c>
      <c r="D33" s="229">
        <f>SUM(D5:D32)</f>
        <v>3538545470</v>
      </c>
      <c r="E33" s="229">
        <f>SUM(E5:E32)</f>
        <v>2311010508</v>
      </c>
    </row>
  </sheetData>
  <sortState ref="A5:C32">
    <sortCondition ref="A5:A32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Tarifas Paquetes</vt:lpstr>
      <vt:lpstr>Laboratorios prod.</vt:lpstr>
      <vt:lpstr>P &amp; E año completo  Inicial </vt:lpstr>
      <vt:lpstr>P &amp; E 2015- 2019 T. Finales</vt:lpstr>
      <vt:lpstr>PPTO Resumen</vt:lpstr>
      <vt:lpstr>PPTO DEFINITIVO</vt:lpstr>
      <vt:lpstr>EJECUCION ACTUAL</vt:lpstr>
      <vt:lpstr>'Tarifas Paquetes'!A</vt:lpstr>
      <vt:lpstr>'Tarifas Paquetes'!Print_Area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Castellanos, Javier</dc:creator>
  <cp:lastModifiedBy>andrea.reyes</cp:lastModifiedBy>
  <cp:lastPrinted>2015-11-04T20:54:23Z</cp:lastPrinted>
  <dcterms:created xsi:type="dcterms:W3CDTF">2014-03-18T12:57:39Z</dcterms:created>
  <dcterms:modified xsi:type="dcterms:W3CDTF">2015-11-11T14:34:43Z</dcterms:modified>
</cp:coreProperties>
</file>